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2.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7.xml" ContentType="application/vnd.openxmlformats-officedocument.drawing+xml"/>
  <Override PartName="/xl/ctrlProps/ctrlProp13.xml" ContentType="application/vnd.ms-excel.controlproperties+xml"/>
  <Override PartName="/xl/drawings/drawing8.xml" ContentType="application/vnd.openxmlformats-officedocument.drawing+xml"/>
  <Override PartName="/xl/drawings/drawing9.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10.xml" ContentType="application/vnd.openxmlformats-officedocument.drawing+xml"/>
  <Override PartName="/xl/ctrlProps/ctrlProp20.xml" ContentType="application/vnd.ms-excel.controlproperties+xml"/>
  <Override PartName="/xl/ctrlProps/ctrlProp21.xml" ContentType="application/vnd.ms-excel.controlproperties+xml"/>
  <Override PartName="/xl/drawings/drawing11.xml" ContentType="application/vnd.openxmlformats-officedocument.drawing+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12.xml" ContentType="application/vnd.openxmlformats-officedocument.drawing+xml"/>
  <Override PartName="/xl/ctrlProps/ctrlProp33.xml" ContentType="application/vnd.ms-excel.controlproperties+xml"/>
  <Override PartName="/xl/ctrlProps/ctrlProp34.xml" ContentType="application/vnd.ms-excel.controlpropertie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1.xml" ContentType="application/vnd.openxmlformats-officedocument.spreadsheetml.comments+xml"/>
  <Override PartName="/xl/drawings/drawing16.xml" ContentType="application/vnd.openxmlformats-officedocument.drawing+xml"/>
  <Override PartName="/xl/comments2.xml" ContentType="application/vnd.openxmlformats-officedocument.spreadsheetml.comments+xml"/>
  <Override PartName="/xl/drawings/drawing17.xml" ContentType="application/vnd.openxmlformats-officedocument.drawing+xml"/>
  <Override PartName="/xl/comments3.xml" ContentType="application/vnd.openxmlformats-officedocument.spreadsheetml.comments+xml"/>
  <Override PartName="/xl/drawings/drawing18.xml" ContentType="application/vnd.openxmlformats-officedocument.drawing+xml"/>
  <Override PartName="/xl/comments4.xml" ContentType="application/vnd.openxmlformats-officedocument.spreadsheetml.comments+xml"/>
  <Override PartName="/xl/drawings/drawing19.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saveExternalLinkValues="0" codeName="DieseArbeitsmappe" hidePivotFieldList="1"/>
  <mc:AlternateContent xmlns:mc="http://schemas.openxmlformats.org/markup-compatibility/2006">
    <mc:Choice Requires="x15">
      <x15ac:absPath xmlns:x15ac="http://schemas.microsoft.com/office/spreadsheetml/2010/11/ac" url="\\faintapbksd1\udata$\u216135\Desktop\"/>
    </mc:Choice>
  </mc:AlternateContent>
  <workbookProtection workbookAlgorithmName="SHA-512" workbookHashValue="I7g5Tx2jXqpmcagCS2epaiaU30j86qDqC/bdg5HHyWboml6AWdDwxN2YWqpu/htd1hq8NeqaGFTRhn848pPI5w==" workbookSaltValue="D9vWwuf6ITYOMIjDhHNLHg==" workbookSpinCount="100000" lockStructure="1"/>
  <bookViews>
    <workbookView xWindow="0" yWindow="-120" windowWidth="16425" windowHeight="4320" tabRatio="918"/>
  </bookViews>
  <sheets>
    <sheet name="Grunddaten" sheetId="222" r:id="rId1"/>
    <sheet name="Release Notes" sheetId="248" state="hidden" r:id="rId2"/>
    <sheet name="Anstellung KigaPrim" sheetId="229" r:id="rId3"/>
    <sheet name="Externe Stv. KigaPrim" sheetId="232" r:id="rId4"/>
    <sheet name="Anstellung MS" sheetId="234" r:id="rId5"/>
    <sheet name="Externe Stv. MS" sheetId="235" r:id="rId6"/>
    <sheet name="UP Vertragsaenderung" sheetId="233" r:id="rId7"/>
    <sheet name="Anstellung KPTF" sheetId="236" r:id="rId8"/>
    <sheet name="Externe Stv. KPTF" sheetId="237" r:id="rId9"/>
    <sheet name="Anstellung BFS" sheetId="238" r:id="rId10"/>
    <sheet name="VP Anstellung" sheetId="223" r:id="rId11"/>
    <sheet name="VP Vertragsaenderung" sheetId="242" r:id="rId12"/>
    <sheet name="VP Zusätzlicher Vertrag" sheetId="243" r:id="rId13"/>
    <sheet name="Pensenberechnung" sheetId="245" r:id="rId14"/>
    <sheet name="Ferienplan Pensenberechnung" sheetId="247" r:id="rId15"/>
    <sheet name="Lohnrechner" sheetId="241" r:id="rId16"/>
    <sheet name="Lohnberechnung" sheetId="6" r:id="rId17"/>
    <sheet name="Wechsel max. 1 LB" sheetId="226" r:id="rId18"/>
    <sheet name="Wechsel anspruchsvollere Fkt." sheetId="227" r:id="rId19"/>
    <sheet name="Wechsel gleiche Ausb. Anf." sheetId="228" r:id="rId20"/>
    <sheet name="Druckeinstellungen" sheetId="239" r:id="rId21"/>
    <sheet name="Stammdaten_DropDown" sheetId="21" state="hidden" r:id="rId22"/>
    <sheet name="LohntabelleM" sheetId="15" state="hidden" r:id="rId23"/>
    <sheet name="LohntabelleJ" sheetId="14" state="hidden" r:id="rId24"/>
    <sheet name="A1-Texte" sheetId="5" state="hidden" r:id="rId25"/>
    <sheet name="MU-Daten" sheetId="2" state="hidden" r:id="rId26"/>
    <sheet name="Bewertungstabelle" sheetId="13" state="hidden" r:id="rId27"/>
  </sheets>
  <definedNames>
    <definedName name="_A_AnstellungKigaPrim">'Anstellung KigaPrim'!$G$15,'Anstellung KigaPrim'!$G$17,'Anstellung KigaPrim'!$K$17,'Anstellung KigaPrim'!$J$30,'Anstellung KigaPrim'!$G$30,'Anstellung KigaPrim'!$G$32,'Anstellung KigaPrim'!$G$34,'Anstellung KigaPrim'!$J$34,'Anstellung KigaPrim'!$K$36,'Anstellung KigaPrim'!$K$38,'Anstellung KigaPrim'!$G$36,'Anstellung KigaPrim'!$G$38,'Anstellung KigaPrim'!$G$40,'Anstellung KigaPrim'!$G$42,'Anstellung KigaPrim'!$L$42,'Anstellung KigaPrim'!$J$46,'Anstellung KigaPrim'!$L$46,'Anstellung KigaPrim'!$L$49,'Anstellung KigaPrim'!$E$54,'Anstellung KigaPrim'!$E$55,'Anstellung KigaPrim'!$E$56,'Anstellung KigaPrim'!$L$58,'Anstellung KigaPrim'!$H$68,'Anstellung KigaPrim'!#REF!,'Anstellung KigaPrim'!$L$71,'Anstellung KigaPrim'!#REF!,'Anstellung KigaPrim'!$G$73,'Anstellung KigaPrim'!$G$77,'Anstellung KigaPrim'!$E$83,'Anstellung KigaPrim'!$E$84,'Anstellung KigaPrim'!$E$85,'Anstellung KigaPrim'!$K$91</definedName>
    <definedName name="_A_Grunddaten">Grunddaten!$E$9,Grunddaten!$E$11,Grunddaten!$E$13,Grunddaten!$E$15,Grunddaten!$E$17,Grunddaten!$E$19</definedName>
    <definedName name="_xlnm._FilterDatabase" localSheetId="25" hidden="1">'MU-Daten'!$A$1:$T$427</definedName>
    <definedName name="_xlnm._FilterDatabase" localSheetId="12" hidden="1">'VP Zusätzlicher Vertrag'!#REF!</definedName>
    <definedName name="AlterFerienanspruch">Pensenberechnung!$O$15</definedName>
    <definedName name="Anrede">Stammdaten_DropDown!$A$93:$A$95</definedName>
    <definedName name="Anstellung">Stammdaten_DropDown!$A$28:$A$29</definedName>
    <definedName name="Anstellung2">Stammdaten_DropDown!$A$28:$A$29</definedName>
    <definedName name="AnstellungBF">Stammdaten_DropDown!$E$55:$E$57</definedName>
    <definedName name="AnstellungsartVP">Stammdaten_DropDown!$E$39:$E$41</definedName>
    <definedName name="Aus_MU">'MU-Daten'!$A$2:$A$1005</definedName>
    <definedName name="Ausbildung">Stammdaten_DropDown!$C$14:$C$55</definedName>
    <definedName name="BandLohnBer">Lohnberechnung!$I$68</definedName>
    <definedName name="BandLohnRechner" localSheetId="13">Pensenberechnung!#REF!</definedName>
    <definedName name="BandLohnRechner">Lohnrechner!$J$15</definedName>
    <definedName name="BeginnArbeitsdauer">Pensenberechnung!$G$17</definedName>
    <definedName name="BegründungFürBefristung">Stammdaten_DropDown!$A$32:$A$35</definedName>
    <definedName name="BGLohnBer">Lohnberechnung!$I$70</definedName>
    <definedName name="ChkBoxPrimarSchule">"Gruppieren 2"</definedName>
    <definedName name="_xlnm.Print_Area" localSheetId="9">'Anstellung BFS'!$A$1:$L$102</definedName>
    <definedName name="_xlnm.Print_Area" localSheetId="2">'Anstellung KigaPrim'!$A$1:$M$101</definedName>
    <definedName name="_xlnm.Print_Area" localSheetId="7">'Anstellung KPTF'!$A$1:$M$96</definedName>
    <definedName name="_xlnm.Print_Area" localSheetId="4">'Anstellung MS'!$A$1:$M$96</definedName>
    <definedName name="_xlnm.Print_Area" localSheetId="3">'Externe Stv. KigaPrim'!$A$1:$L$93</definedName>
    <definedName name="_xlnm.Print_Area" localSheetId="8">'Externe Stv. KPTF'!$A$1:$L$89</definedName>
    <definedName name="_xlnm.Print_Area" localSheetId="5">'Externe Stv. MS'!$A$1:$L$89</definedName>
    <definedName name="_xlnm.Print_Area" localSheetId="16">Lohnberechnung!$A$1:$L$81</definedName>
    <definedName name="_xlnm.Print_Area" localSheetId="15">Lohnrechner!$A$1:$Q$31</definedName>
    <definedName name="_xlnm.Print_Area" localSheetId="13">Pensenberechnung!$A$1:$Q$29</definedName>
    <definedName name="_xlnm.Print_Area" localSheetId="6">'UP Vertragsaenderung'!$A$1:$L$122</definedName>
    <definedName name="_xlnm.Print_Area" localSheetId="10">'VP Anstellung'!$A$1:$L$119</definedName>
    <definedName name="_xlnm.Print_Area" localSheetId="11">'VP Vertragsaenderung'!$A$1:$M$124</definedName>
    <definedName name="_xlnm.Print_Area" localSheetId="12">'VP Zusätzlicher Vertrag'!$A$1:$L$113</definedName>
    <definedName name="_xlnm.Print_Area" localSheetId="18">'Wechsel anspruchsvollere Fkt.'!$A$1:$S$52</definedName>
    <definedName name="_xlnm.Print_Area" localSheetId="19">'Wechsel gleiche Ausb. Anf.'!$A$1:$S$55</definedName>
    <definedName name="_xlnm.Print_Area" localSheetId="17">'Wechsel max. 1 LB'!$A$1:$T$51</definedName>
    <definedName name="_xlnm.Print_Titles" localSheetId="25">'MU-Daten'!$1:$1</definedName>
    <definedName name="EffLohnLohnBer">Lohnberechnung!$I$71</definedName>
    <definedName name="EndeArbeitsdauer">Pensenberechnung!$J$17</definedName>
    <definedName name="EntscheidDesAmtesFürVolksschulen">Stammdaten_DropDown!$A$51:$A$54</definedName>
    <definedName name="Erfahrungswert">LohntabelleM!$B$3:$AE$3</definedName>
    <definedName name="ESSprungManuell">Stammdaten_DropDown!$A$38:$A$39</definedName>
    <definedName name="ESSprungManuell2">Stammdaten_DropDown!$A$38:$A$39</definedName>
    <definedName name="EStv_SekZweiButton">"Button 1"</definedName>
    <definedName name="EWLohnBer">Lohnberechnung!$J$68</definedName>
    <definedName name="EWLohnRechner" localSheetId="13">Pensenberechnung!#REF!</definedName>
    <definedName name="EWLohnRechner">Lohnrechner!$O$15</definedName>
    <definedName name="F" localSheetId="16">Lohnberechnung!$A$6:$J$69</definedName>
    <definedName name="Ferien_KJ">'Ferienplan Pensenberechnung'!$M$13</definedName>
    <definedName name="Ferien_pro_Rata">'Ferienplan Pensenberechnung'!$M$14</definedName>
    <definedName name="Ferien_WE">'Ferienplan Pensenberechnung'!$M$15</definedName>
    <definedName name="Gepl_Wochenstunden">Pensenberechnung!$J$15</definedName>
    <definedName name="GewBewilligung">Stammdaten_DropDown!$C$3:$C$7</definedName>
    <definedName name="IndivBem">Stammdaten_DropDown!$A$104:$A$111</definedName>
    <definedName name="KompetenzDerSchulleitung">Stammdaten_DropDown!$A$42:$A$48</definedName>
    <definedName name="Kreuz">Stammdaten_DropDown!$C$10:$C$11</definedName>
    <definedName name="Lohnband">LohntabelleM!$A$4:$A$31</definedName>
    <definedName name="LohnBerLohn">Lohnberechnung!$A$75</definedName>
    <definedName name="LohnBerNotiz">Lohnberechnung!$A$76</definedName>
    <definedName name="LohnLohnBer">Lohnberechnung!$I$69</definedName>
    <definedName name="LohnLohnRechner" localSheetId="13">Pensenberechnung!#REF!</definedName>
    <definedName name="LohnLohnRechner">Lohnrechner!$N$22</definedName>
    <definedName name="MAAnrede">Grunddaten!$E$13</definedName>
    <definedName name="MAGeburtsdatum">Grunddaten!$E$19</definedName>
    <definedName name="MAName">Grunddaten!$E$15</definedName>
    <definedName name="MAPersID">Grunddaten!$E$11</definedName>
    <definedName name="MAVertragsNr">Grunddaten!$E$9</definedName>
    <definedName name="MAVorname">Grunddaten!$E$17</definedName>
    <definedName name="MULohnberechnung">Lohnberechnung!$I$6</definedName>
    <definedName name="Pensum">'Ferienplan Pensenberechnung'!$M$29</definedName>
    <definedName name="Pflichtlektionen">Stammdaten_DropDown!$E$47:$E$52</definedName>
    <definedName name="Regelung">Stammdaten_DropDown!$A$57:$A$58</definedName>
    <definedName name="Schulferien_wArbeitsdauer">'Ferienplan Pensenberechnung'!$M$18</definedName>
    <definedName name="SchulKindergartenTyp">Stammdaten_DropDown!$A$61:$A$64</definedName>
    <definedName name="Schultypen">Stammdaten_DropDown!$E$16:$E$19</definedName>
    <definedName name="SchultypKGPS">Stammdaten_DropDown!$C$62:$C$81</definedName>
    <definedName name="SchultypSek1">Stammdaten_DropDown!$A$68:$A$75</definedName>
    <definedName name="SekTyp">Stammdaten_DropDown!$C$58:$C$59</definedName>
    <definedName name="Stunden_Vollpensum">'Ferienplan Pensenberechnung'!$M$28</definedName>
    <definedName name="Stundenansatz_Tag">'Ferienplan Pensenberechnung'!$M$26</definedName>
    <definedName name="Stundenansatz_Tag_ungerundet">'Ferienplan Pensenberechnung'!$M$25</definedName>
    <definedName name="Stundenansatz_Woche">'Ferienplan Pensenberechnung'!$M$24</definedName>
    <definedName name="Tage_Anstellung">'Ferienplan Pensenberechnung'!$M$11</definedName>
    <definedName name="Tage_Anstellungen_oFerien">'Ferienplan Pensenberechnung'!$M$16</definedName>
    <definedName name="Tage_ohne_Schulferien">'Ferienplan Pensenberechnung'!$M$19</definedName>
    <definedName name="TechnEintrittsDatum">Stammdaten_DropDown!$E$13</definedName>
    <definedName name="TSMAnst">Stammdaten_DropDown!$A$98:$A$101</definedName>
    <definedName name="UArtKindergarten">Stammdaten_DropDown!$E$62:$E$64</definedName>
    <definedName name="UArtKreiskindergarten">Stammdaten_DropDown!$E$67:$E$69</definedName>
    <definedName name="UArtKreisprimarschule">Stammdaten_DropDown!$E$82:$E$89</definedName>
    <definedName name="UArtPrimarschule">Stammdaten_DropDown!$E$72:$E$79</definedName>
    <definedName name="Umrechnungsfaktor_Tage">'Ferienplan Pensenberechnung'!$M$21</definedName>
    <definedName name="UnterrichtsartKigaPrim">Stammdaten_DropDown!$C$88:$C$97</definedName>
    <definedName name="Vertragsart">Stammdaten_DropDown!$A$18:$A$22</definedName>
    <definedName name="VPFunktSchule">Stammdaten_DropDown!$E$32:$E$36</definedName>
    <definedName name="Zeitwirtschaft">Stammdaten_DropDown!$A$13:$A$15</definedName>
    <definedName name="Zivilstand">Stammdaten_DropDown!$A$3:$A$10</definedName>
    <definedName name="Zurück_zu_Grundd">'Anstellung KigaPrim'!$O$8</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78" i="238" l="1"/>
  <c r="N79" i="238"/>
  <c r="N116" i="233" l="1"/>
  <c r="M27" i="228" l="1"/>
  <c r="AM14" i="227" l="1"/>
  <c r="AL14" i="227" s="1"/>
  <c r="AN14" i="227" s="1"/>
  <c r="D3" i="223" l="1"/>
  <c r="D3" i="242"/>
  <c r="D3" i="243"/>
  <c r="K96" i="229" l="1"/>
  <c r="I96" i="229"/>
  <c r="N106" i="243" l="1"/>
  <c r="N104" i="243"/>
  <c r="N102" i="243"/>
  <c r="N101" i="243"/>
  <c r="N100" i="243"/>
  <c r="N99" i="243"/>
  <c r="K109" i="243"/>
  <c r="L109" i="243"/>
  <c r="E109" i="243"/>
  <c r="O121" i="242"/>
  <c r="O119" i="242"/>
  <c r="O117" i="242"/>
  <c r="O116" i="242"/>
  <c r="O115" i="242"/>
  <c r="O113" i="242"/>
  <c r="L121" i="242"/>
  <c r="M121" i="242"/>
  <c r="E121" i="242"/>
  <c r="N112" i="223"/>
  <c r="N110" i="223"/>
  <c r="N108" i="223"/>
  <c r="N107" i="223"/>
  <c r="N106" i="223"/>
  <c r="N105" i="223"/>
  <c r="K115" i="223"/>
  <c r="L115" i="223"/>
  <c r="E115" i="223"/>
  <c r="N87" i="238"/>
  <c r="N83" i="238"/>
  <c r="N81" i="238"/>
  <c r="N80" i="238"/>
  <c r="L80" i="238"/>
  <c r="K80" i="238" s="1"/>
  <c r="E80" i="238"/>
  <c r="N85" i="237"/>
  <c r="N83" i="237"/>
  <c r="N81" i="237"/>
  <c r="N80" i="237"/>
  <c r="N79" i="237"/>
  <c r="N77" i="237"/>
  <c r="L85" i="237"/>
  <c r="K85" i="237" s="1"/>
  <c r="E85" i="237"/>
  <c r="O92" i="236"/>
  <c r="O90" i="236"/>
  <c r="O88" i="236"/>
  <c r="O87" i="236"/>
  <c r="O86" i="236"/>
  <c r="O84" i="236"/>
  <c r="M92" i="236"/>
  <c r="L92" i="236" s="1"/>
  <c r="E92" i="236"/>
  <c r="N118" i="233"/>
  <c r="N114" i="233"/>
  <c r="N113" i="233"/>
  <c r="N112" i="233"/>
  <c r="N110" i="233"/>
  <c r="L118" i="233"/>
  <c r="K118" i="233" s="1"/>
  <c r="E118" i="233"/>
  <c r="N85" i="235"/>
  <c r="N83" i="235"/>
  <c r="N81" i="235"/>
  <c r="N80" i="235"/>
  <c r="N79" i="235"/>
  <c r="N77" i="235"/>
  <c r="L85" i="235"/>
  <c r="K85" i="235" s="1"/>
  <c r="E85" i="235"/>
  <c r="O92" i="234"/>
  <c r="O90" i="234"/>
  <c r="O88" i="234"/>
  <c r="O87" i="234"/>
  <c r="O86" i="234"/>
  <c r="O84" i="234"/>
  <c r="M92" i="234"/>
  <c r="L92" i="234" s="1"/>
  <c r="E92" i="234"/>
  <c r="N81" i="232" l="1"/>
  <c r="N83" i="232"/>
  <c r="N84" i="232"/>
  <c r="N85" i="232"/>
  <c r="N87" i="232"/>
  <c r="N89" i="232"/>
  <c r="L89" i="232"/>
  <c r="K89" i="232" s="1"/>
  <c r="E89" i="232"/>
  <c r="N32" i="232"/>
  <c r="O97" i="229"/>
  <c r="O95" i="229"/>
  <c r="O93" i="229"/>
  <c r="O92" i="229"/>
  <c r="O91" i="229"/>
  <c r="O89" i="229"/>
  <c r="A115" i="21"/>
  <c r="O30" i="229"/>
  <c r="E97" i="229"/>
  <c r="M97" i="229"/>
  <c r="L97" i="229" s="1"/>
  <c r="A528" i="2" l="1"/>
  <c r="W527" i="2"/>
  <c r="A527" i="2"/>
  <c r="W526" i="2"/>
  <c r="A526" i="2"/>
  <c r="W525" i="2"/>
  <c r="A525" i="2"/>
  <c r="W524" i="2"/>
  <c r="A524" i="2"/>
  <c r="W523" i="2"/>
  <c r="A523" i="2"/>
  <c r="W522" i="2"/>
  <c r="A522" i="2"/>
  <c r="W521" i="2"/>
  <c r="A521" i="2"/>
  <c r="W520" i="2"/>
  <c r="A520" i="2"/>
  <c r="W519" i="2"/>
  <c r="A519" i="2"/>
  <c r="W518" i="2"/>
  <c r="A518" i="2"/>
  <c r="W517" i="2"/>
  <c r="A517" i="2"/>
  <c r="W516" i="2"/>
  <c r="A516" i="2"/>
  <c r="W515" i="2"/>
  <c r="A515" i="2"/>
  <c r="W514" i="2"/>
  <c r="A514" i="2"/>
  <c r="W513" i="2"/>
  <c r="A513" i="2"/>
  <c r="W512" i="2"/>
  <c r="A512" i="2"/>
  <c r="W511" i="2"/>
  <c r="A511" i="2"/>
  <c r="W510" i="2"/>
  <c r="A510" i="2"/>
  <c r="W509" i="2"/>
  <c r="A509" i="2"/>
  <c r="W508" i="2"/>
  <c r="A508" i="2"/>
  <c r="W507" i="2"/>
  <c r="A507" i="2"/>
  <c r="W506" i="2"/>
  <c r="A506" i="2"/>
  <c r="W505" i="2"/>
  <c r="A505" i="2"/>
  <c r="W504" i="2"/>
  <c r="A504" i="2"/>
  <c r="W503" i="2"/>
  <c r="A503" i="2"/>
  <c r="W502" i="2"/>
  <c r="A502" i="2"/>
  <c r="W501" i="2"/>
  <c r="A501" i="2"/>
  <c r="W500" i="2"/>
  <c r="A500" i="2"/>
  <c r="W499" i="2"/>
  <c r="A499" i="2"/>
  <c r="W498" i="2"/>
  <c r="A498" i="2"/>
  <c r="W497" i="2"/>
  <c r="A497" i="2"/>
  <c r="W496" i="2"/>
  <c r="A496" i="2"/>
  <c r="W495" i="2"/>
  <c r="A495" i="2"/>
  <c r="W494" i="2"/>
  <c r="A494" i="2"/>
  <c r="W493" i="2"/>
  <c r="A493" i="2"/>
  <c r="W492" i="2"/>
  <c r="A492" i="2"/>
  <c r="W491" i="2"/>
  <c r="A491" i="2"/>
  <c r="W490" i="2"/>
  <c r="A490" i="2"/>
  <c r="W489" i="2"/>
  <c r="A489" i="2"/>
  <c r="W488" i="2"/>
  <c r="A488" i="2"/>
  <c r="W487" i="2"/>
  <c r="A487" i="2"/>
  <c r="W486" i="2"/>
  <c r="A486" i="2"/>
  <c r="W485" i="2"/>
  <c r="A485" i="2"/>
  <c r="W484" i="2"/>
  <c r="A484" i="2"/>
  <c r="W483" i="2"/>
  <c r="A483" i="2"/>
  <c r="W482" i="2"/>
  <c r="A482" i="2"/>
  <c r="W481" i="2"/>
  <c r="A481" i="2"/>
  <c r="W480" i="2"/>
  <c r="A480" i="2"/>
  <c r="W479" i="2"/>
  <c r="A479" i="2"/>
  <c r="W478" i="2"/>
  <c r="A478" i="2"/>
  <c r="W477" i="2"/>
  <c r="A477" i="2"/>
  <c r="W476" i="2"/>
  <c r="A476" i="2"/>
  <c r="W475" i="2"/>
  <c r="A475" i="2"/>
  <c r="W474" i="2"/>
  <c r="A474" i="2"/>
  <c r="W473" i="2"/>
  <c r="A473" i="2"/>
  <c r="W472" i="2"/>
  <c r="A472" i="2"/>
  <c r="W471" i="2"/>
  <c r="A471" i="2"/>
  <c r="W470" i="2"/>
  <c r="A470" i="2"/>
  <c r="W469" i="2"/>
  <c r="A469" i="2"/>
  <c r="W468" i="2"/>
  <c r="A468" i="2"/>
  <c r="W467" i="2"/>
  <c r="A467" i="2"/>
  <c r="W466" i="2"/>
  <c r="A466" i="2"/>
  <c r="W465" i="2"/>
  <c r="A465" i="2"/>
  <c r="W464" i="2"/>
  <c r="A464" i="2"/>
  <c r="W463" i="2"/>
  <c r="A463" i="2"/>
  <c r="W462" i="2"/>
  <c r="A462" i="2"/>
  <c r="W461" i="2"/>
  <c r="A461" i="2"/>
  <c r="W460" i="2"/>
  <c r="A460" i="2"/>
  <c r="W459" i="2"/>
  <c r="A459" i="2"/>
  <c r="W458" i="2"/>
  <c r="A458" i="2"/>
  <c r="W457" i="2"/>
  <c r="A457" i="2"/>
  <c r="W456" i="2"/>
  <c r="A456" i="2"/>
  <c r="W455" i="2"/>
  <c r="A455" i="2"/>
  <c r="W454" i="2"/>
  <c r="A454" i="2"/>
  <c r="W453" i="2"/>
  <c r="A453" i="2"/>
  <c r="W452" i="2"/>
  <c r="A452" i="2"/>
  <c r="W451" i="2"/>
  <c r="A451" i="2"/>
  <c r="W450" i="2"/>
  <c r="A450" i="2"/>
  <c r="W449" i="2"/>
  <c r="A449" i="2"/>
  <c r="W448" i="2"/>
  <c r="A448" i="2"/>
  <c r="W447" i="2"/>
  <c r="A447" i="2"/>
  <c r="W446" i="2"/>
  <c r="A446" i="2"/>
  <c r="W445" i="2"/>
  <c r="A445" i="2"/>
  <c r="W444" i="2"/>
  <c r="A444" i="2"/>
  <c r="W443" i="2"/>
  <c r="A443" i="2"/>
  <c r="W442" i="2"/>
  <c r="A442" i="2"/>
  <c r="W441" i="2"/>
  <c r="A441" i="2"/>
  <c r="W440" i="2"/>
  <c r="A440" i="2"/>
  <c r="W439" i="2"/>
  <c r="A439" i="2"/>
  <c r="W438" i="2"/>
  <c r="A438" i="2"/>
  <c r="W437" i="2"/>
  <c r="A437" i="2"/>
  <c r="W436" i="2"/>
  <c r="A436" i="2"/>
  <c r="W435" i="2"/>
  <c r="A435" i="2"/>
  <c r="W434" i="2"/>
  <c r="A434" i="2"/>
  <c r="W433" i="2"/>
  <c r="A433" i="2"/>
  <c r="W432" i="2"/>
  <c r="A432" i="2"/>
  <c r="W431" i="2"/>
  <c r="A431" i="2"/>
  <c r="W430" i="2"/>
  <c r="A430" i="2"/>
  <c r="W429" i="2"/>
  <c r="A429" i="2"/>
  <c r="W428" i="2"/>
  <c r="A428" i="2"/>
  <c r="W427" i="2"/>
  <c r="A427" i="2"/>
  <c r="W426" i="2"/>
  <c r="A426" i="2"/>
  <c r="W425" i="2"/>
  <c r="A425" i="2"/>
  <c r="W424" i="2"/>
  <c r="A424" i="2"/>
  <c r="W423" i="2"/>
  <c r="A423" i="2"/>
  <c r="W422" i="2"/>
  <c r="A422" i="2"/>
  <c r="W421" i="2"/>
  <c r="A421" i="2"/>
  <c r="W420" i="2"/>
  <c r="A420" i="2"/>
  <c r="W419" i="2"/>
  <c r="A419" i="2"/>
  <c r="W418" i="2"/>
  <c r="A418" i="2"/>
  <c r="W417" i="2"/>
  <c r="A417" i="2"/>
  <c r="W416" i="2"/>
  <c r="A416" i="2"/>
  <c r="W415" i="2"/>
  <c r="A415" i="2"/>
  <c r="W414" i="2"/>
  <c r="A414" i="2"/>
  <c r="W413" i="2"/>
  <c r="A413" i="2"/>
  <c r="W412" i="2"/>
  <c r="A412" i="2"/>
  <c r="W411" i="2"/>
  <c r="A411" i="2"/>
  <c r="W410" i="2"/>
  <c r="A410" i="2"/>
  <c r="W409" i="2"/>
  <c r="A409" i="2"/>
  <c r="W408" i="2"/>
  <c r="A408" i="2"/>
  <c r="W407" i="2"/>
  <c r="A407" i="2"/>
  <c r="W406" i="2"/>
  <c r="A406" i="2"/>
  <c r="W405" i="2"/>
  <c r="A405" i="2"/>
  <c r="W404" i="2"/>
  <c r="A404" i="2"/>
  <c r="W403" i="2"/>
  <c r="A403" i="2"/>
  <c r="W402" i="2"/>
  <c r="A402" i="2"/>
  <c r="W401" i="2"/>
  <c r="A401" i="2"/>
  <c r="W400" i="2"/>
  <c r="A400" i="2"/>
  <c r="W399" i="2"/>
  <c r="A399" i="2"/>
  <c r="W398" i="2"/>
  <c r="A398" i="2"/>
  <c r="W397" i="2"/>
  <c r="A397" i="2"/>
  <c r="W396" i="2"/>
  <c r="A396" i="2"/>
  <c r="W395" i="2"/>
  <c r="A395" i="2"/>
  <c r="W394" i="2"/>
  <c r="A394" i="2"/>
  <c r="W393" i="2"/>
  <c r="A393" i="2"/>
  <c r="W392" i="2"/>
  <c r="A392" i="2"/>
  <c r="W391" i="2"/>
  <c r="A391" i="2"/>
  <c r="W390" i="2"/>
  <c r="A390" i="2"/>
  <c r="W389" i="2"/>
  <c r="A389" i="2"/>
  <c r="W388" i="2"/>
  <c r="A388" i="2"/>
  <c r="W387" i="2"/>
  <c r="A387" i="2"/>
  <c r="W386" i="2"/>
  <c r="A386" i="2"/>
  <c r="W385" i="2"/>
  <c r="A385" i="2"/>
  <c r="W384" i="2"/>
  <c r="A384" i="2"/>
  <c r="W383" i="2"/>
  <c r="A383" i="2"/>
  <c r="W382" i="2"/>
  <c r="A382" i="2"/>
  <c r="W381" i="2"/>
  <c r="A381" i="2"/>
  <c r="W380" i="2"/>
  <c r="A380" i="2"/>
  <c r="W379" i="2"/>
  <c r="A379" i="2"/>
  <c r="W378" i="2"/>
  <c r="A378" i="2"/>
  <c r="W377" i="2"/>
  <c r="A377" i="2"/>
  <c r="W376" i="2"/>
  <c r="A376" i="2"/>
  <c r="W375" i="2"/>
  <c r="A375" i="2"/>
  <c r="W374" i="2"/>
  <c r="A374" i="2"/>
  <c r="W373" i="2"/>
  <c r="A373" i="2"/>
  <c r="W372" i="2"/>
  <c r="A372" i="2"/>
  <c r="W371" i="2"/>
  <c r="A371" i="2"/>
  <c r="W370" i="2"/>
  <c r="A370" i="2"/>
  <c r="W369" i="2"/>
  <c r="A369" i="2"/>
  <c r="W368" i="2"/>
  <c r="A368" i="2"/>
  <c r="W367" i="2"/>
  <c r="A367" i="2"/>
  <c r="W366" i="2"/>
  <c r="A366" i="2"/>
  <c r="W365" i="2"/>
  <c r="A365" i="2"/>
  <c r="W364" i="2"/>
  <c r="A364" i="2"/>
  <c r="W363" i="2"/>
  <c r="A363" i="2"/>
  <c r="W362" i="2"/>
  <c r="A362" i="2"/>
  <c r="W361" i="2"/>
  <c r="A361" i="2"/>
  <c r="W360" i="2"/>
  <c r="A360" i="2"/>
  <c r="W359" i="2"/>
  <c r="A359" i="2"/>
  <c r="W358" i="2"/>
  <c r="A358" i="2"/>
  <c r="W357" i="2"/>
  <c r="A357" i="2"/>
  <c r="W356" i="2"/>
  <c r="A356" i="2"/>
  <c r="W355" i="2"/>
  <c r="A355" i="2"/>
  <c r="W354" i="2"/>
  <c r="A354" i="2"/>
  <c r="W353" i="2"/>
  <c r="A353" i="2"/>
  <c r="W352" i="2"/>
  <c r="A352" i="2"/>
  <c r="W351" i="2"/>
  <c r="A351" i="2"/>
  <c r="W350" i="2"/>
  <c r="A350" i="2"/>
  <c r="W349" i="2"/>
  <c r="A349" i="2"/>
  <c r="W348" i="2"/>
  <c r="A348" i="2"/>
  <c r="W347" i="2"/>
  <c r="A347" i="2"/>
  <c r="W346" i="2"/>
  <c r="A346" i="2"/>
  <c r="W345" i="2"/>
  <c r="A345" i="2"/>
  <c r="W344" i="2"/>
  <c r="A344" i="2"/>
  <c r="W343" i="2"/>
  <c r="A343" i="2"/>
  <c r="W342" i="2"/>
  <c r="A342" i="2"/>
  <c r="W341" i="2"/>
  <c r="A341" i="2"/>
  <c r="W340" i="2"/>
  <c r="A340" i="2"/>
  <c r="W339" i="2"/>
  <c r="A339" i="2"/>
  <c r="W338" i="2"/>
  <c r="A338" i="2"/>
  <c r="W337" i="2"/>
  <c r="A337" i="2"/>
  <c r="W336" i="2"/>
  <c r="A336" i="2"/>
  <c r="W335" i="2"/>
  <c r="A335" i="2"/>
  <c r="W334" i="2"/>
  <c r="A334" i="2"/>
  <c r="W333" i="2"/>
  <c r="A333" i="2"/>
  <c r="W332" i="2"/>
  <c r="A332" i="2"/>
  <c r="W331" i="2"/>
  <c r="A331" i="2"/>
  <c r="W330" i="2"/>
  <c r="A330" i="2"/>
  <c r="W329" i="2"/>
  <c r="A329" i="2"/>
  <c r="W328" i="2"/>
  <c r="A328" i="2"/>
  <c r="W327" i="2"/>
  <c r="A327" i="2"/>
  <c r="W326" i="2"/>
  <c r="A326" i="2"/>
  <c r="W325" i="2"/>
  <c r="A325" i="2"/>
  <c r="W324" i="2"/>
  <c r="A324" i="2"/>
  <c r="W323" i="2"/>
  <c r="A323" i="2"/>
  <c r="W322" i="2"/>
  <c r="A322" i="2"/>
  <c r="W321" i="2"/>
  <c r="A321" i="2"/>
  <c r="W320" i="2"/>
  <c r="A320" i="2"/>
  <c r="W319" i="2"/>
  <c r="A319" i="2"/>
  <c r="W318" i="2"/>
  <c r="A318" i="2"/>
  <c r="W317" i="2"/>
  <c r="A317" i="2"/>
  <c r="W316" i="2"/>
  <c r="A316" i="2"/>
  <c r="W315" i="2"/>
  <c r="A315" i="2"/>
  <c r="W314" i="2"/>
  <c r="A314" i="2"/>
  <c r="W313" i="2"/>
  <c r="A313" i="2"/>
  <c r="W312" i="2"/>
  <c r="A312" i="2"/>
  <c r="W311" i="2"/>
  <c r="A311" i="2"/>
  <c r="W310" i="2"/>
  <c r="A310" i="2"/>
  <c r="W309" i="2"/>
  <c r="A309" i="2"/>
  <c r="W308" i="2"/>
  <c r="A308" i="2"/>
  <c r="W307" i="2"/>
  <c r="A307" i="2"/>
  <c r="W306" i="2"/>
  <c r="A306" i="2"/>
  <c r="W305" i="2"/>
  <c r="A305" i="2"/>
  <c r="W304" i="2"/>
  <c r="A304" i="2"/>
  <c r="W303" i="2"/>
  <c r="A303" i="2"/>
  <c r="W302" i="2"/>
  <c r="A302" i="2"/>
  <c r="W301" i="2"/>
  <c r="A301" i="2"/>
  <c r="W300" i="2"/>
  <c r="A300" i="2"/>
  <c r="W299" i="2"/>
  <c r="A299" i="2"/>
  <c r="W298" i="2"/>
  <c r="A298" i="2"/>
  <c r="W297" i="2"/>
  <c r="A297" i="2"/>
  <c r="W296" i="2"/>
  <c r="A296" i="2"/>
  <c r="W295" i="2"/>
  <c r="A295" i="2"/>
  <c r="W294" i="2"/>
  <c r="W293" i="2"/>
  <c r="A293" i="2"/>
  <c r="W292" i="2"/>
  <c r="A292" i="2"/>
  <c r="W291" i="2"/>
  <c r="A291" i="2"/>
  <c r="W290" i="2"/>
  <c r="A290" i="2"/>
  <c r="W289" i="2"/>
  <c r="A289" i="2"/>
  <c r="W288" i="2"/>
  <c r="A288" i="2"/>
  <c r="W287" i="2"/>
  <c r="A287" i="2"/>
  <c r="W286" i="2"/>
  <c r="A286" i="2"/>
  <c r="W285" i="2"/>
  <c r="A285" i="2"/>
  <c r="W284" i="2"/>
  <c r="A284" i="2"/>
  <c r="W283" i="2"/>
  <c r="A283" i="2"/>
  <c r="W282" i="2"/>
  <c r="A282" i="2"/>
  <c r="W281" i="2"/>
  <c r="A281" i="2"/>
  <c r="W280" i="2"/>
  <c r="A280" i="2"/>
  <c r="W279" i="2"/>
  <c r="A279" i="2"/>
  <c r="W278" i="2"/>
  <c r="A278" i="2"/>
  <c r="W277" i="2"/>
  <c r="A277" i="2"/>
  <c r="W276" i="2"/>
  <c r="A276" i="2"/>
  <c r="W275" i="2"/>
  <c r="A275" i="2"/>
  <c r="W274" i="2"/>
  <c r="A274" i="2"/>
  <c r="W273" i="2"/>
  <c r="A273" i="2"/>
  <c r="W272" i="2"/>
  <c r="A272" i="2"/>
  <c r="W271" i="2"/>
  <c r="A271" i="2"/>
  <c r="W270" i="2"/>
  <c r="A270" i="2"/>
  <c r="W269" i="2"/>
  <c r="A269" i="2"/>
  <c r="W268" i="2"/>
  <c r="A268" i="2"/>
  <c r="W267" i="2"/>
  <c r="A267" i="2"/>
  <c r="W266" i="2"/>
  <c r="A266" i="2"/>
  <c r="W265" i="2"/>
  <c r="A265" i="2"/>
  <c r="W264" i="2"/>
  <c r="A264" i="2"/>
  <c r="W263" i="2"/>
  <c r="A263" i="2"/>
  <c r="W262" i="2"/>
  <c r="A262" i="2"/>
  <c r="W261" i="2"/>
  <c r="A261" i="2"/>
  <c r="W260" i="2"/>
  <c r="A260" i="2"/>
  <c r="W259" i="2"/>
  <c r="A259" i="2"/>
  <c r="W258" i="2"/>
  <c r="A258" i="2"/>
  <c r="W257" i="2"/>
  <c r="A257" i="2"/>
  <c r="W256" i="2"/>
  <c r="A256" i="2"/>
  <c r="W255" i="2"/>
  <c r="A255" i="2"/>
  <c r="W254" i="2"/>
  <c r="A254" i="2"/>
  <c r="W253" i="2"/>
  <c r="A253" i="2"/>
  <c r="W252" i="2"/>
  <c r="A252" i="2"/>
  <c r="W251" i="2"/>
  <c r="A251" i="2"/>
  <c r="W250" i="2"/>
  <c r="A250" i="2"/>
  <c r="W249" i="2"/>
  <c r="A249" i="2"/>
  <c r="W248" i="2"/>
  <c r="A248" i="2"/>
  <c r="W247" i="2"/>
  <c r="A247" i="2"/>
  <c r="W246" i="2"/>
  <c r="A246" i="2"/>
  <c r="W245" i="2"/>
  <c r="A245" i="2"/>
  <c r="W244" i="2"/>
  <c r="A244" i="2"/>
  <c r="W243" i="2"/>
  <c r="A243" i="2"/>
  <c r="W242" i="2"/>
  <c r="A242" i="2"/>
  <c r="W241" i="2"/>
  <c r="A241" i="2"/>
  <c r="W240" i="2"/>
  <c r="A240" i="2"/>
  <c r="W239" i="2"/>
  <c r="A239" i="2"/>
  <c r="W238" i="2"/>
  <c r="A238" i="2"/>
  <c r="W237" i="2"/>
  <c r="A237" i="2"/>
  <c r="W236" i="2"/>
  <c r="A236" i="2"/>
  <c r="W235" i="2"/>
  <c r="A235" i="2"/>
  <c r="W234" i="2"/>
  <c r="A234" i="2"/>
  <c r="W233" i="2"/>
  <c r="A233" i="2"/>
  <c r="W232" i="2"/>
  <c r="A232" i="2"/>
  <c r="W231" i="2"/>
  <c r="A231" i="2"/>
  <c r="W230" i="2"/>
  <c r="A230" i="2"/>
  <c r="W229" i="2"/>
  <c r="A229" i="2"/>
  <c r="W228" i="2"/>
  <c r="A228" i="2"/>
  <c r="W227" i="2"/>
  <c r="A227" i="2"/>
  <c r="W226" i="2"/>
  <c r="A226" i="2"/>
  <c r="W225" i="2"/>
  <c r="A225" i="2"/>
  <c r="W224" i="2"/>
  <c r="A224" i="2"/>
  <c r="W223" i="2"/>
  <c r="A223" i="2"/>
  <c r="W222" i="2"/>
  <c r="A222" i="2"/>
  <c r="W221" i="2"/>
  <c r="A221" i="2"/>
  <c r="W220" i="2"/>
  <c r="A220" i="2"/>
  <c r="W219" i="2"/>
  <c r="A219" i="2"/>
  <c r="W218" i="2"/>
  <c r="A218" i="2"/>
  <c r="W217" i="2"/>
  <c r="A217" i="2"/>
  <c r="W216" i="2"/>
  <c r="A216" i="2"/>
  <c r="W215" i="2"/>
  <c r="A215" i="2"/>
  <c r="W214" i="2"/>
  <c r="A214" i="2"/>
  <c r="W213" i="2"/>
  <c r="A213" i="2"/>
  <c r="W212" i="2"/>
  <c r="A212" i="2"/>
  <c r="W211" i="2"/>
  <c r="A211" i="2"/>
  <c r="W210" i="2"/>
  <c r="A210" i="2"/>
  <c r="W209" i="2"/>
  <c r="A209" i="2"/>
  <c r="W208" i="2"/>
  <c r="A208" i="2"/>
  <c r="W207" i="2"/>
  <c r="A207" i="2"/>
  <c r="W206" i="2"/>
  <c r="A206" i="2"/>
  <c r="W205" i="2"/>
  <c r="A205" i="2"/>
  <c r="W204" i="2"/>
  <c r="A204" i="2"/>
  <c r="W203" i="2"/>
  <c r="A203" i="2"/>
  <c r="W202" i="2"/>
  <c r="A202" i="2"/>
  <c r="W201" i="2"/>
  <c r="A201" i="2"/>
  <c r="W200" i="2"/>
  <c r="A200" i="2"/>
  <c r="W199" i="2"/>
  <c r="A199" i="2"/>
  <c r="W198" i="2"/>
  <c r="A198" i="2"/>
  <c r="W197" i="2"/>
  <c r="A197" i="2"/>
  <c r="W196" i="2"/>
  <c r="A196" i="2"/>
  <c r="W195" i="2"/>
  <c r="A195" i="2"/>
  <c r="W194" i="2"/>
  <c r="A194" i="2"/>
  <c r="W193" i="2"/>
  <c r="A193" i="2"/>
  <c r="W192" i="2"/>
  <c r="A192" i="2"/>
  <c r="W191" i="2"/>
  <c r="A191" i="2"/>
  <c r="W190" i="2"/>
  <c r="A190" i="2"/>
  <c r="W189" i="2"/>
  <c r="A189" i="2"/>
  <c r="W188" i="2"/>
  <c r="A188" i="2"/>
  <c r="W187" i="2"/>
  <c r="A187" i="2"/>
  <c r="W186" i="2"/>
  <c r="A186" i="2"/>
  <c r="W185" i="2"/>
  <c r="A185" i="2"/>
  <c r="W184" i="2"/>
  <c r="A184" i="2"/>
  <c r="W183" i="2"/>
  <c r="A183" i="2"/>
  <c r="W182" i="2"/>
  <c r="A182" i="2"/>
  <c r="W181" i="2"/>
  <c r="A181" i="2"/>
  <c r="W180" i="2"/>
  <c r="A180" i="2"/>
  <c r="W179" i="2"/>
  <c r="A179" i="2"/>
  <c r="W178" i="2"/>
  <c r="A178" i="2"/>
  <c r="W177" i="2"/>
  <c r="A177" i="2"/>
  <c r="W176" i="2"/>
  <c r="A176" i="2"/>
  <c r="W175" i="2"/>
  <c r="A175" i="2"/>
  <c r="W174" i="2"/>
  <c r="A174" i="2"/>
  <c r="W173" i="2"/>
  <c r="A173" i="2"/>
  <c r="W172" i="2"/>
  <c r="A172" i="2"/>
  <c r="W171" i="2"/>
  <c r="A171" i="2"/>
  <c r="W170" i="2"/>
  <c r="A170" i="2"/>
  <c r="W169" i="2"/>
  <c r="A169" i="2"/>
  <c r="W168" i="2"/>
  <c r="A168" i="2"/>
  <c r="W167" i="2"/>
  <c r="A167" i="2"/>
  <c r="W166" i="2"/>
  <c r="A166" i="2"/>
  <c r="W165" i="2"/>
  <c r="A165" i="2"/>
  <c r="W164" i="2"/>
  <c r="A164" i="2"/>
  <c r="W163" i="2"/>
  <c r="A163" i="2"/>
  <c r="W162" i="2"/>
  <c r="A162" i="2"/>
  <c r="W161" i="2"/>
  <c r="A161" i="2"/>
  <c r="W160" i="2"/>
  <c r="A160" i="2"/>
  <c r="W159" i="2"/>
  <c r="A159" i="2"/>
  <c r="W158" i="2"/>
  <c r="A158" i="2"/>
  <c r="W157" i="2"/>
  <c r="A157" i="2"/>
  <c r="W156" i="2"/>
  <c r="A156" i="2"/>
  <c r="W155" i="2"/>
  <c r="A155" i="2"/>
  <c r="W154" i="2"/>
  <c r="A154" i="2"/>
  <c r="W153" i="2"/>
  <c r="A153" i="2"/>
  <c r="W152" i="2"/>
  <c r="A152" i="2"/>
  <c r="W151" i="2"/>
  <c r="A151" i="2"/>
  <c r="W150" i="2"/>
  <c r="A150" i="2"/>
  <c r="W149" i="2"/>
  <c r="A149" i="2"/>
  <c r="W148" i="2"/>
  <c r="A148" i="2"/>
  <c r="W147" i="2"/>
  <c r="A147" i="2"/>
  <c r="W146" i="2"/>
  <c r="A146" i="2"/>
  <c r="W145" i="2"/>
  <c r="A145" i="2"/>
  <c r="W144" i="2"/>
  <c r="A144" i="2"/>
  <c r="W143" i="2"/>
  <c r="A143" i="2"/>
  <c r="W142" i="2"/>
  <c r="A142" i="2"/>
  <c r="W141" i="2"/>
  <c r="A141" i="2"/>
  <c r="W140" i="2"/>
  <c r="A140" i="2"/>
  <c r="W139" i="2"/>
  <c r="A139" i="2"/>
  <c r="W138" i="2"/>
  <c r="A138" i="2"/>
  <c r="W137" i="2"/>
  <c r="A137" i="2"/>
  <c r="W136" i="2"/>
  <c r="A136" i="2"/>
  <c r="W135" i="2"/>
  <c r="A135" i="2"/>
  <c r="W134" i="2"/>
  <c r="A134" i="2"/>
  <c r="W133" i="2"/>
  <c r="A133" i="2"/>
  <c r="W132" i="2"/>
  <c r="A132" i="2"/>
  <c r="W131" i="2"/>
  <c r="A131" i="2"/>
  <c r="W130" i="2"/>
  <c r="A130" i="2"/>
  <c r="W129" i="2"/>
  <c r="A129" i="2"/>
  <c r="W128" i="2"/>
  <c r="A128" i="2"/>
  <c r="W127" i="2"/>
  <c r="A127" i="2"/>
  <c r="W126" i="2"/>
  <c r="A126" i="2"/>
  <c r="W125" i="2"/>
  <c r="A125" i="2"/>
  <c r="W124" i="2"/>
  <c r="A124" i="2"/>
  <c r="W123" i="2"/>
  <c r="A123" i="2"/>
  <c r="W122" i="2"/>
  <c r="A122" i="2"/>
  <c r="W121" i="2"/>
  <c r="A121" i="2"/>
  <c r="W120" i="2"/>
  <c r="A120" i="2"/>
  <c r="W119" i="2"/>
  <c r="A119" i="2"/>
  <c r="W118" i="2"/>
  <c r="A118" i="2"/>
  <c r="W117" i="2"/>
  <c r="A117" i="2"/>
  <c r="W116" i="2"/>
  <c r="A116" i="2"/>
  <c r="W115" i="2"/>
  <c r="A115" i="2"/>
  <c r="W114" i="2"/>
  <c r="A114" i="2"/>
  <c r="W113" i="2"/>
  <c r="A113" i="2"/>
  <c r="W112" i="2"/>
  <c r="A112" i="2"/>
  <c r="W111" i="2"/>
  <c r="A111" i="2"/>
  <c r="W110" i="2"/>
  <c r="A110" i="2"/>
  <c r="W109" i="2"/>
  <c r="A109" i="2"/>
  <c r="W108" i="2"/>
  <c r="A108" i="2"/>
  <c r="W107" i="2"/>
  <c r="A107" i="2"/>
  <c r="W106" i="2"/>
  <c r="A106" i="2"/>
  <c r="W105" i="2"/>
  <c r="A105" i="2"/>
  <c r="W104" i="2"/>
  <c r="A104" i="2"/>
  <c r="W103" i="2"/>
  <c r="A103" i="2"/>
  <c r="W102" i="2"/>
  <c r="A102" i="2"/>
  <c r="W101" i="2"/>
  <c r="A101" i="2"/>
  <c r="W100" i="2"/>
  <c r="A100" i="2"/>
  <c r="W99" i="2"/>
  <c r="A99" i="2"/>
  <c r="W98" i="2"/>
  <c r="A98" i="2"/>
  <c r="W97" i="2"/>
  <c r="A97" i="2"/>
  <c r="W96" i="2"/>
  <c r="A96" i="2"/>
  <c r="W95" i="2"/>
  <c r="A95" i="2"/>
  <c r="W94" i="2"/>
  <c r="A94" i="2"/>
  <c r="W93" i="2"/>
  <c r="A93" i="2"/>
  <c r="W92" i="2"/>
  <c r="A92" i="2"/>
  <c r="W91" i="2"/>
  <c r="A91" i="2"/>
  <c r="W90" i="2"/>
  <c r="A90" i="2"/>
  <c r="W89" i="2"/>
  <c r="A89" i="2"/>
  <c r="W88" i="2"/>
  <c r="A88" i="2"/>
  <c r="W87" i="2"/>
  <c r="A87" i="2"/>
  <c r="W86" i="2"/>
  <c r="A86" i="2"/>
  <c r="W85" i="2"/>
  <c r="A85" i="2"/>
  <c r="W84" i="2"/>
  <c r="A84" i="2"/>
  <c r="W83" i="2"/>
  <c r="A83" i="2"/>
  <c r="W82" i="2"/>
  <c r="A82" i="2"/>
  <c r="W81" i="2"/>
  <c r="A81" i="2"/>
  <c r="W80" i="2"/>
  <c r="A80" i="2"/>
  <c r="W79" i="2"/>
  <c r="A79" i="2"/>
  <c r="W78" i="2"/>
  <c r="A78" i="2"/>
  <c r="W77" i="2"/>
  <c r="A77" i="2"/>
  <c r="W76" i="2"/>
  <c r="A76" i="2"/>
  <c r="W75" i="2"/>
  <c r="A75" i="2"/>
  <c r="W74" i="2"/>
  <c r="A74" i="2"/>
  <c r="W73" i="2"/>
  <c r="A73" i="2"/>
  <c r="W72" i="2"/>
  <c r="A72" i="2"/>
  <c r="W71" i="2"/>
  <c r="A71" i="2"/>
  <c r="W70" i="2"/>
  <c r="A70" i="2"/>
  <c r="W69" i="2"/>
  <c r="A69" i="2"/>
  <c r="W68" i="2"/>
  <c r="A68" i="2"/>
  <c r="W67" i="2"/>
  <c r="A67" i="2"/>
  <c r="W66" i="2"/>
  <c r="A66" i="2"/>
  <c r="W65" i="2"/>
  <c r="A65" i="2"/>
  <c r="W64" i="2"/>
  <c r="A64" i="2"/>
  <c r="W63" i="2"/>
  <c r="A63" i="2"/>
  <c r="W62" i="2"/>
  <c r="A62" i="2"/>
  <c r="W61" i="2"/>
  <c r="A61" i="2"/>
  <c r="W60" i="2"/>
  <c r="A60" i="2"/>
  <c r="W59" i="2"/>
  <c r="A59" i="2"/>
  <c r="W58" i="2"/>
  <c r="A58" i="2"/>
  <c r="W57" i="2"/>
  <c r="A57" i="2"/>
  <c r="W56" i="2"/>
  <c r="A56" i="2"/>
  <c r="W55" i="2"/>
  <c r="A55" i="2"/>
  <c r="W54" i="2"/>
  <c r="A54" i="2"/>
  <c r="W53" i="2"/>
  <c r="A53" i="2"/>
  <c r="W52" i="2"/>
  <c r="A52" i="2"/>
  <c r="W51" i="2"/>
  <c r="A51" i="2"/>
  <c r="W50" i="2"/>
  <c r="A50" i="2"/>
  <c r="W49" i="2"/>
  <c r="A49" i="2"/>
  <c r="W48" i="2"/>
  <c r="A48" i="2"/>
  <c r="W47" i="2"/>
  <c r="A47" i="2"/>
  <c r="W46" i="2"/>
  <c r="A46" i="2"/>
  <c r="W45" i="2"/>
  <c r="A45" i="2"/>
  <c r="W44" i="2"/>
  <c r="A44" i="2"/>
  <c r="W43" i="2"/>
  <c r="A43" i="2"/>
  <c r="W42" i="2"/>
  <c r="A42" i="2"/>
  <c r="W41" i="2"/>
  <c r="A41" i="2"/>
  <c r="W40" i="2"/>
  <c r="A40" i="2"/>
  <c r="W39" i="2"/>
  <c r="A39" i="2"/>
  <c r="W38" i="2"/>
  <c r="A38" i="2"/>
  <c r="W37" i="2"/>
  <c r="A37" i="2"/>
  <c r="W36" i="2"/>
  <c r="A36" i="2"/>
  <c r="W35" i="2"/>
  <c r="A35" i="2"/>
  <c r="W34" i="2"/>
  <c r="A34" i="2"/>
  <c r="W33" i="2"/>
  <c r="A33" i="2"/>
  <c r="W32" i="2"/>
  <c r="A32" i="2"/>
  <c r="W31" i="2"/>
  <c r="A31" i="2"/>
  <c r="W30" i="2"/>
  <c r="A30" i="2"/>
  <c r="W29" i="2"/>
  <c r="A29" i="2"/>
  <c r="W28" i="2"/>
  <c r="A28" i="2"/>
  <c r="W27" i="2"/>
  <c r="A27" i="2"/>
  <c r="W26" i="2"/>
  <c r="A26" i="2"/>
  <c r="W25" i="2"/>
  <c r="A25" i="2"/>
  <c r="W24" i="2"/>
  <c r="A24" i="2"/>
  <c r="W23" i="2"/>
  <c r="A23" i="2"/>
  <c r="W22" i="2"/>
  <c r="A22" i="2"/>
  <c r="W21" i="2"/>
  <c r="A21" i="2"/>
  <c r="W20" i="2"/>
  <c r="A20" i="2"/>
  <c r="W19" i="2"/>
  <c r="A19" i="2"/>
  <c r="W18" i="2"/>
  <c r="A18" i="2"/>
  <c r="W17" i="2"/>
  <c r="A17" i="2"/>
  <c r="W16" i="2"/>
  <c r="A16" i="2"/>
  <c r="W15" i="2"/>
  <c r="A15" i="2"/>
  <c r="W14" i="2"/>
  <c r="A14" i="2"/>
  <c r="W13" i="2"/>
  <c r="A13" i="2"/>
  <c r="W12" i="2"/>
  <c r="A12" i="2"/>
  <c r="W11" i="2"/>
  <c r="A11" i="2"/>
  <c r="W10" i="2"/>
  <c r="A10" i="2"/>
  <c r="W9" i="2"/>
  <c r="A9" i="2"/>
  <c r="W8" i="2"/>
  <c r="A8" i="2"/>
  <c r="W7" i="2"/>
  <c r="A7" i="2"/>
  <c r="W6" i="2"/>
  <c r="A6" i="2"/>
  <c r="W5" i="2"/>
  <c r="A5" i="2"/>
  <c r="W4" i="2"/>
  <c r="A4" i="2"/>
  <c r="W3" i="2"/>
  <c r="A3" i="2"/>
  <c r="W2" i="2"/>
  <c r="A2" i="2"/>
  <c r="A1" i="14" l="1"/>
  <c r="D69" i="6" l="1"/>
  <c r="D71" i="6"/>
  <c r="S14" i="6"/>
  <c r="S15" i="6"/>
  <c r="S16" i="6"/>
  <c r="S17" i="6"/>
  <c r="S18" i="6"/>
  <c r="S19" i="6"/>
  <c r="S21" i="6"/>
  <c r="S22" i="6"/>
  <c r="S23" i="6"/>
  <c r="S24" i="6"/>
  <c r="S25" i="6"/>
  <c r="S26" i="6"/>
  <c r="S27" i="6"/>
  <c r="S28" i="6"/>
  <c r="S29" i="6"/>
  <c r="S30" i="6"/>
  <c r="S32" i="6"/>
  <c r="S33" i="6"/>
  <c r="S34" i="6"/>
  <c r="S13" i="6"/>
  <c r="R14" i="6"/>
  <c r="R15" i="6"/>
  <c r="R16" i="6"/>
  <c r="R17" i="6"/>
  <c r="R18" i="6"/>
  <c r="R19" i="6"/>
  <c r="R20" i="6"/>
  <c r="S20" i="6" s="1"/>
  <c r="R21" i="6"/>
  <c r="R22" i="6"/>
  <c r="R23" i="6"/>
  <c r="R24" i="6"/>
  <c r="R25" i="6"/>
  <c r="R26" i="6"/>
  <c r="R27" i="6"/>
  <c r="R28" i="6"/>
  <c r="R29" i="6"/>
  <c r="R30" i="6"/>
  <c r="R31" i="6"/>
  <c r="R36" i="6" s="1"/>
  <c r="R32" i="6"/>
  <c r="R33" i="6"/>
  <c r="R34" i="6"/>
  <c r="R13" i="6"/>
  <c r="S31" i="6" l="1"/>
  <c r="S36" i="6" s="1"/>
  <c r="A1" i="15" l="1"/>
  <c r="Q41" i="222"/>
  <c r="F75" i="238" l="1"/>
  <c r="M23" i="247" l="1"/>
  <c r="M11" i="247"/>
  <c r="O17" i="245" s="1"/>
  <c r="O15" i="245"/>
  <c r="M13" i="247" s="1"/>
  <c r="O19" i="245" s="1"/>
  <c r="M14" i="247" l="1"/>
  <c r="M15" i="247" s="1"/>
  <c r="M16" i="247" l="1"/>
  <c r="I34" i="243" l="1"/>
  <c r="I40" i="223"/>
  <c r="E27" i="245" l="1"/>
  <c r="E35" i="247"/>
  <c r="E34" i="247"/>
  <c r="E33" i="247"/>
  <c r="E32" i="247"/>
  <c r="E31" i="247"/>
  <c r="E30" i="247"/>
  <c r="E29" i="247"/>
  <c r="E28" i="247"/>
  <c r="E27" i="247"/>
  <c r="E26" i="247"/>
  <c r="E25" i="247"/>
  <c r="E24" i="247"/>
  <c r="E23" i="247"/>
  <c r="E22" i="247"/>
  <c r="E21" i="247"/>
  <c r="E20" i="247"/>
  <c r="E19" i="247"/>
  <c r="E18" i="247"/>
  <c r="E17" i="247"/>
  <c r="E16" i="247"/>
  <c r="E15" i="247"/>
  <c r="E14" i="247"/>
  <c r="E13" i="247"/>
  <c r="E12" i="247"/>
  <c r="E11" i="247"/>
  <c r="E10" i="247"/>
  <c r="E9" i="247"/>
  <c r="E8" i="247"/>
  <c r="E7" i="247"/>
  <c r="E6" i="247"/>
  <c r="E5" i="247"/>
  <c r="D35" i="247"/>
  <c r="D34" i="247"/>
  <c r="D33" i="247"/>
  <c r="D32" i="247"/>
  <c r="D31" i="247"/>
  <c r="D30" i="247"/>
  <c r="D29" i="247"/>
  <c r="D28" i="247"/>
  <c r="D27" i="247"/>
  <c r="D26" i="247"/>
  <c r="D25" i="247"/>
  <c r="D24" i="247"/>
  <c r="D23" i="247"/>
  <c r="D22" i="247"/>
  <c r="D21" i="247"/>
  <c r="D20" i="247"/>
  <c r="D19" i="247"/>
  <c r="D18" i="247"/>
  <c r="D17" i="247"/>
  <c r="D16" i="247"/>
  <c r="D15" i="247"/>
  <c r="D14" i="247"/>
  <c r="D13" i="247"/>
  <c r="D12" i="247"/>
  <c r="D11" i="247"/>
  <c r="D10" i="247"/>
  <c r="D9" i="247"/>
  <c r="D8" i="247"/>
  <c r="D7" i="247"/>
  <c r="D6" i="247"/>
  <c r="D5" i="247"/>
  <c r="E2" i="247"/>
  <c r="C2" i="247"/>
  <c r="K28" i="242"/>
  <c r="H28" i="242"/>
  <c r="F12" i="228"/>
  <c r="E10" i="228"/>
  <c r="E10" i="227"/>
  <c r="E10" i="226"/>
  <c r="G14" i="223"/>
  <c r="J14" i="243"/>
  <c r="O10" i="228"/>
  <c r="O10" i="226"/>
  <c r="O10" i="227"/>
  <c r="O8" i="228"/>
  <c r="O8" i="227"/>
  <c r="O8" i="226"/>
  <c r="E8" i="6"/>
  <c r="N11" i="241"/>
  <c r="N11" i="245"/>
  <c r="J12" i="243"/>
  <c r="L14" i="242"/>
  <c r="J12" i="223"/>
  <c r="J11" i="238"/>
  <c r="J11" i="237"/>
  <c r="K11" i="236"/>
  <c r="K13" i="233"/>
  <c r="J11" i="235"/>
  <c r="K11" i="234"/>
  <c r="J11" i="232"/>
  <c r="K11" i="229"/>
  <c r="G11" i="229"/>
  <c r="G11" i="232"/>
  <c r="G11" i="234"/>
  <c r="G11" i="235"/>
  <c r="G13" i="233"/>
  <c r="G11" i="236"/>
  <c r="G11" i="237"/>
  <c r="G11" i="238"/>
  <c r="G12" i="223"/>
  <c r="G14" i="242"/>
  <c r="G12" i="243"/>
  <c r="H11" i="245"/>
  <c r="H11" i="241"/>
  <c r="E7" i="6"/>
  <c r="E8" i="226"/>
  <c r="E8" i="227"/>
  <c r="E8" i="228"/>
  <c r="E6" i="228"/>
  <c r="E6" i="227"/>
  <c r="E6" i="226"/>
  <c r="H9" i="241"/>
  <c r="H9" i="245"/>
  <c r="G10" i="243"/>
  <c r="G12" i="242"/>
  <c r="G10" i="223"/>
  <c r="G9" i="238"/>
  <c r="G9" i="237"/>
  <c r="G9" i="236"/>
  <c r="G11" i="233"/>
  <c r="G9" i="235"/>
  <c r="G9" i="234"/>
  <c r="G9" i="232"/>
  <c r="G9" i="229"/>
  <c r="J9" i="247" l="1"/>
  <c r="F31" i="247"/>
  <c r="F23" i="247"/>
  <c r="O13" i="245"/>
  <c r="O9" i="245"/>
  <c r="H13" i="245"/>
  <c r="F30" i="247" l="1"/>
  <c r="F15" i="247"/>
  <c r="F6" i="247"/>
  <c r="F10" i="247"/>
  <c r="F32" i="247"/>
  <c r="F14" i="247"/>
  <c r="F22" i="247"/>
  <c r="F34" i="247"/>
  <c r="F33" i="247"/>
  <c r="F28" i="247"/>
  <c r="F25" i="247"/>
  <c r="F7" i="247"/>
  <c r="F19" i="247"/>
  <c r="F20" i="247"/>
  <c r="F21" i="247"/>
  <c r="F29" i="247"/>
  <c r="F24" i="247"/>
  <c r="F11" i="247"/>
  <c r="F17" i="247"/>
  <c r="F8" i="247"/>
  <c r="F26" i="247"/>
  <c r="F9" i="247"/>
  <c r="F16" i="247"/>
  <c r="F18" i="247"/>
  <c r="F12" i="247"/>
  <c r="F13" i="247"/>
  <c r="F5" i="247"/>
  <c r="F35" i="247"/>
  <c r="F27" i="247"/>
  <c r="O16" i="241"/>
  <c r="H42" i="236"/>
  <c r="G19" i="236"/>
  <c r="G19" i="229"/>
  <c r="J13" i="235"/>
  <c r="G13" i="235"/>
  <c r="G19" i="232"/>
  <c r="G19" i="237"/>
  <c r="M18" i="247" l="1"/>
  <c r="J19" i="245" s="1"/>
  <c r="AC87" i="226"/>
  <c r="AC86" i="226"/>
  <c r="AC85" i="226"/>
  <c r="AC84" i="226"/>
  <c r="AC83" i="226"/>
  <c r="AC82" i="226"/>
  <c r="AC81" i="226"/>
  <c r="AC80" i="226"/>
  <c r="AC79" i="226"/>
  <c r="AC78" i="226"/>
  <c r="AC77" i="226"/>
  <c r="AC76" i="226"/>
  <c r="AC75" i="226"/>
  <c r="AC74" i="226"/>
  <c r="AC73" i="226"/>
  <c r="AC72" i="226"/>
  <c r="AC71" i="226"/>
  <c r="AC70" i="226"/>
  <c r="AC69" i="226"/>
  <c r="AC68" i="226"/>
  <c r="AC67" i="226"/>
  <c r="AC66" i="226"/>
  <c r="AC65" i="226"/>
  <c r="AC64" i="226"/>
  <c r="AC63" i="226"/>
  <c r="AC62" i="226"/>
  <c r="AC61" i="226"/>
  <c r="M19" i="247" l="1"/>
  <c r="M21" i="247" s="1"/>
  <c r="M24" i="247" s="1"/>
  <c r="M25" i="247" s="1"/>
  <c r="M26" i="247" s="1"/>
  <c r="O23" i="245"/>
  <c r="J21" i="245" l="1"/>
  <c r="M29" i="247"/>
  <c r="O21" i="245"/>
  <c r="J83" i="243"/>
  <c r="G81" i="243"/>
  <c r="S109" i="242"/>
  <c r="S108" i="242"/>
  <c r="S107" i="242"/>
  <c r="S101" i="242"/>
  <c r="K89" i="242"/>
  <c r="H87" i="242"/>
  <c r="S71" i="242"/>
  <c r="S70" i="242"/>
  <c r="L16" i="242"/>
  <c r="G16" i="242"/>
  <c r="J81" i="223"/>
  <c r="J86" i="233"/>
  <c r="J61" i="237"/>
  <c r="J61" i="235"/>
  <c r="J65" i="232"/>
  <c r="J82" i="238"/>
  <c r="J68" i="236"/>
  <c r="J68" i="234"/>
  <c r="J73" i="229"/>
  <c r="O27" i="245" l="1"/>
  <c r="F28" i="242" s="1"/>
  <c r="J24" i="242" s="1"/>
  <c r="J25" i="245"/>
  <c r="M50" i="6"/>
  <c r="H50" i="6"/>
  <c r="G50" i="6"/>
  <c r="M49" i="6"/>
  <c r="H49" i="6"/>
  <c r="G49" i="6"/>
  <c r="M48" i="6"/>
  <c r="H48" i="6"/>
  <c r="G48" i="6"/>
  <c r="M47" i="6"/>
  <c r="H47" i="6"/>
  <c r="G47" i="6"/>
  <c r="M46" i="6"/>
  <c r="H46" i="6"/>
  <c r="G46" i="6"/>
  <c r="M54" i="6"/>
  <c r="H54" i="6"/>
  <c r="G54" i="6"/>
  <c r="M53" i="6"/>
  <c r="H53" i="6"/>
  <c r="G53" i="6"/>
  <c r="M52" i="6"/>
  <c r="H52" i="6"/>
  <c r="G52" i="6"/>
  <c r="I36" i="243" l="1"/>
  <c r="I42" i="223"/>
  <c r="I49" i="6"/>
  <c r="J49" i="6" s="1"/>
  <c r="I48" i="6"/>
  <c r="J48" i="6" s="1"/>
  <c r="I54" i="6"/>
  <c r="J54" i="6" s="1"/>
  <c r="I50" i="6"/>
  <c r="J50" i="6" s="1"/>
  <c r="I46" i="6"/>
  <c r="J46" i="6" s="1"/>
  <c r="I47" i="6"/>
  <c r="J47" i="6" s="1"/>
  <c r="I53" i="6"/>
  <c r="J53" i="6" s="1"/>
  <c r="I52" i="6"/>
  <c r="J52" i="6" s="1"/>
  <c r="BD59" i="228" l="1"/>
  <c r="BD60" i="228"/>
  <c r="K16" i="241" l="1"/>
  <c r="I22" i="241" s="1"/>
  <c r="O13" i="241"/>
  <c r="H13" i="241"/>
  <c r="I24" i="241" l="1"/>
  <c r="I26" i="241" s="1"/>
  <c r="N22" i="241" a="1"/>
  <c r="N22" i="241" s="1"/>
  <c r="G84" i="233"/>
  <c r="G59" i="237"/>
  <c r="R98" i="238"/>
  <c r="R97" i="238"/>
  <c r="R96" i="238"/>
  <c r="R90" i="238"/>
  <c r="R89" i="238"/>
  <c r="R88" i="238"/>
  <c r="G64" i="238"/>
  <c r="G19" i="238"/>
  <c r="J13" i="238"/>
  <c r="G13" i="238"/>
  <c r="R73" i="237"/>
  <c r="R71" i="237"/>
  <c r="R46" i="237"/>
  <c r="R45" i="237"/>
  <c r="R44" i="237"/>
  <c r="J39" i="237"/>
  <c r="J13" i="237"/>
  <c r="G13" i="237"/>
  <c r="R80" i="236"/>
  <c r="R79" i="236"/>
  <c r="R78" i="236"/>
  <c r="G66" i="236"/>
  <c r="R51" i="236"/>
  <c r="R49" i="236"/>
  <c r="G13" i="236"/>
  <c r="R46" i="235"/>
  <c r="R73" i="235"/>
  <c r="G59" i="235"/>
  <c r="K9" i="235"/>
  <c r="J37" i="235"/>
  <c r="R51" i="234"/>
  <c r="R80" i="234"/>
  <c r="G66" i="234"/>
  <c r="H40" i="234"/>
  <c r="G19" i="234"/>
  <c r="G13" i="234"/>
  <c r="R67" i="233"/>
  <c r="R106" i="233"/>
  <c r="R105" i="233"/>
  <c r="R104" i="233"/>
  <c r="R98" i="233"/>
  <c r="R68" i="233"/>
  <c r="K15" i="233"/>
  <c r="G15" i="233"/>
  <c r="G13" i="232"/>
  <c r="R77" i="232"/>
  <c r="R75" i="232"/>
  <c r="G63" i="232"/>
  <c r="R50" i="232"/>
  <c r="R49" i="232"/>
  <c r="R48" i="232"/>
  <c r="J39" i="232"/>
  <c r="J13" i="232"/>
  <c r="R85" i="229"/>
  <c r="R84" i="229"/>
  <c r="R83" i="229"/>
  <c r="G71" i="229"/>
  <c r="R56" i="229"/>
  <c r="R54" i="229"/>
  <c r="H44" i="229"/>
  <c r="G13" i="229"/>
  <c r="J36" i="228"/>
  <c r="J29" i="228"/>
  <c r="C25" i="228"/>
  <c r="K22" i="228"/>
  <c r="K21" i="228"/>
  <c r="K19" i="228"/>
  <c r="K18" i="228"/>
  <c r="BD77" i="228"/>
  <c r="BD76" i="228"/>
  <c r="BD75" i="228"/>
  <c r="BD74" i="228"/>
  <c r="BD73" i="228"/>
  <c r="BD72" i="228"/>
  <c r="BD71" i="228"/>
  <c r="BD70" i="228"/>
  <c r="BD69" i="228"/>
  <c r="BD68" i="228"/>
  <c r="BD67" i="228"/>
  <c r="BD66" i="228"/>
  <c r="BD65" i="228"/>
  <c r="BD64" i="228"/>
  <c r="BD63" i="228"/>
  <c r="BD62" i="228"/>
  <c r="BD61" i="228"/>
  <c r="BD58" i="228"/>
  <c r="BD57" i="228"/>
  <c r="BD56" i="228"/>
  <c r="BD55" i="228"/>
  <c r="J33" i="227"/>
  <c r="M26" i="227"/>
  <c r="C24" i="227"/>
  <c r="L20" i="227"/>
  <c r="L18" i="227"/>
  <c r="F12" i="227"/>
  <c r="J32" i="226"/>
  <c r="M25" i="226"/>
  <c r="C23" i="226"/>
  <c r="J27" i="226" s="1"/>
  <c r="N27" i="226" s="1"/>
  <c r="J28" i="226" s="1"/>
  <c r="M18" i="226"/>
  <c r="M20" i="226"/>
  <c r="F12" i="226"/>
  <c r="G79" i="223"/>
  <c r="G20" i="223"/>
  <c r="J28" i="227" l="1"/>
  <c r="J29" i="227" s="1"/>
  <c r="P29" i="227" s="1"/>
  <c r="AQ29" i="228"/>
  <c r="AQ22" i="228"/>
  <c r="AQ31" i="228"/>
  <c r="AQ30" i="228"/>
  <c r="AQ14" i="228"/>
  <c r="AQ19" i="228"/>
  <c r="AQ13" i="228"/>
  <c r="AQ12" i="228"/>
  <c r="N29" i="228"/>
  <c r="J30" i="228" s="1"/>
  <c r="N28" i="226"/>
  <c r="P28" i="227" l="1"/>
  <c r="N28" i="227"/>
  <c r="AQ38" i="228"/>
  <c r="AQ37" i="228"/>
  <c r="AQ36" i="228"/>
  <c r="AT12" i="228"/>
  <c r="AS12" i="228"/>
  <c r="AT13" i="228"/>
  <c r="AS13" i="228"/>
  <c r="AS19" i="228"/>
  <c r="AT19" i="228"/>
  <c r="AS14" i="228"/>
  <c r="AT14" i="228"/>
  <c r="AT30" i="228"/>
  <c r="AS30" i="228"/>
  <c r="AT31" i="228"/>
  <c r="AS31" i="228"/>
  <c r="AT22" i="228"/>
  <c r="AS22" i="228"/>
  <c r="AT29" i="228"/>
  <c r="AS29" i="228"/>
  <c r="N30" i="228"/>
  <c r="J35" i="227"/>
  <c r="N35" i="227" s="1"/>
  <c r="Q35" i="227" s="1"/>
  <c r="N29" i="227"/>
  <c r="J34" i="226"/>
  <c r="AT37" i="228" l="1"/>
  <c r="AT38" i="228"/>
  <c r="AS38" i="228"/>
  <c r="AU38" i="228" s="1"/>
  <c r="AV38" i="228"/>
  <c r="AP52" i="228"/>
  <c r="AW52" i="228" s="1"/>
  <c r="AS37" i="228"/>
  <c r="AP53" i="228"/>
  <c r="AR46" i="228"/>
  <c r="AS46" i="228" s="1"/>
  <c r="AT46" i="228" s="1"/>
  <c r="AV46" i="228" s="1"/>
  <c r="AR38" i="228" s="1"/>
  <c r="AW38" i="228" s="1"/>
  <c r="AV37" i="228"/>
  <c r="AT36" i="228"/>
  <c r="AS36" i="228"/>
  <c r="AU36" i="228" s="1"/>
  <c r="AV36" i="228"/>
  <c r="N34" i="226"/>
  <c r="Q34" i="226" s="1"/>
  <c r="AV42" i="228" l="1"/>
  <c r="AU37" i="228"/>
  <c r="AR52" i="228"/>
  <c r="AS52" i="228" s="1"/>
  <c r="AT52" i="228" s="1"/>
  <c r="AU52" i="228" s="1"/>
  <c r="AV52" i="228" s="1"/>
  <c r="AR36" i="228"/>
  <c r="AW53" i="228"/>
  <c r="AW54" i="228" s="1"/>
  <c r="AR53" i="228"/>
  <c r="AS53" i="228" s="1"/>
  <c r="AT53" i="228" s="1"/>
  <c r="AU53" i="228" s="1"/>
  <c r="AV53" i="228" s="1"/>
  <c r="AR37" i="228"/>
  <c r="AW37" i="228" s="1"/>
  <c r="K14" i="6"/>
  <c r="J14" i="6"/>
  <c r="I14" i="6"/>
  <c r="AV54" i="228" l="1"/>
  <c r="AR57" i="228" s="1" a="1"/>
  <c r="AR57" i="228" s="1"/>
  <c r="AW36" i="228"/>
  <c r="AU57" i="228"/>
  <c r="E14" i="6"/>
  <c r="AS57" i="228" l="1"/>
  <c r="J34" i="228" s="1"/>
  <c r="AT57" i="228"/>
  <c r="AW57" i="228"/>
  <c r="AV57" i="228"/>
  <c r="E13" i="21"/>
  <c r="I12" i="6"/>
  <c r="Q13" i="6"/>
  <c r="M5" i="6"/>
  <c r="Q2" i="6" s="1"/>
  <c r="G27" i="6"/>
  <c r="H27" i="6"/>
  <c r="G28" i="6"/>
  <c r="H28" i="6"/>
  <c r="G41" i="6"/>
  <c r="H41" i="6"/>
  <c r="G42" i="6"/>
  <c r="H42" i="6"/>
  <c r="G43" i="6"/>
  <c r="H43" i="6"/>
  <c r="G44" i="6"/>
  <c r="H44" i="6"/>
  <c r="G45" i="6"/>
  <c r="H45" i="6"/>
  <c r="G51" i="6"/>
  <c r="H51" i="6"/>
  <c r="G55" i="6"/>
  <c r="H55" i="6"/>
  <c r="G56" i="6"/>
  <c r="H56" i="6"/>
  <c r="G29" i="6"/>
  <c r="H29" i="6"/>
  <c r="G30" i="6"/>
  <c r="H30" i="6"/>
  <c r="G31" i="6"/>
  <c r="H31" i="6"/>
  <c r="G32" i="6"/>
  <c r="H32" i="6"/>
  <c r="G33" i="6"/>
  <c r="H33" i="6"/>
  <c r="G34" i="6"/>
  <c r="H34" i="6"/>
  <c r="M34" i="6"/>
  <c r="G35" i="6"/>
  <c r="H35" i="6"/>
  <c r="G36" i="6"/>
  <c r="H36" i="6"/>
  <c r="G37" i="6"/>
  <c r="H37" i="6"/>
  <c r="G38" i="6"/>
  <c r="H38" i="6"/>
  <c r="G39" i="6"/>
  <c r="H39" i="6"/>
  <c r="G40" i="6"/>
  <c r="H40" i="6"/>
  <c r="M28" i="6"/>
  <c r="M41" i="6"/>
  <c r="M42" i="6"/>
  <c r="M43" i="6"/>
  <c r="M44" i="6"/>
  <c r="M45" i="6"/>
  <c r="M51" i="6"/>
  <c r="M55" i="6"/>
  <c r="M56" i="6"/>
  <c r="M27" i="6"/>
  <c r="M29" i="6"/>
  <c r="M30" i="6"/>
  <c r="M31" i="6"/>
  <c r="M32" i="6"/>
  <c r="M33" i="6"/>
  <c r="M35" i="6"/>
  <c r="M36" i="6"/>
  <c r="M37" i="6"/>
  <c r="M38" i="6"/>
  <c r="M39" i="6"/>
  <c r="M40" i="6"/>
  <c r="Q21" i="6"/>
  <c r="Q27" i="6"/>
  <c r="Q26" i="6"/>
  <c r="Q19" i="6"/>
  <c r="Q15" i="6"/>
  <c r="Q17" i="6"/>
  <c r="Q12" i="6"/>
  <c r="Q14" i="6"/>
  <c r="Q16" i="6"/>
  <c r="Q18" i="6"/>
  <c r="Q20" i="6"/>
  <c r="Q22" i="6"/>
  <c r="Q23" i="6"/>
  <c r="Q24" i="6"/>
  <c r="Q25" i="6"/>
  <c r="Q28" i="6"/>
  <c r="Q29" i="6"/>
  <c r="Q30" i="6"/>
  <c r="Q31" i="6"/>
  <c r="Q32" i="6"/>
  <c r="Q33" i="6"/>
  <c r="Q34" i="6"/>
  <c r="O13" i="6"/>
  <c r="C29" i="13"/>
  <c r="C33" i="13"/>
  <c r="C34" i="13" s="1"/>
  <c r="C35" i="13" s="1"/>
  <c r="C36" i="13" s="1"/>
  <c r="C37" i="13" s="1"/>
  <c r="C38" i="13" s="1"/>
  <c r="C39" i="13" s="1"/>
  <c r="C40" i="13" s="1"/>
  <c r="C41" i="13" s="1"/>
  <c r="C42" i="13" s="1"/>
  <c r="C43" i="13" s="1"/>
  <c r="C44" i="13" s="1"/>
  <c r="C45" i="13" s="1"/>
  <c r="C46" i="13" s="1"/>
  <c r="C47" i="13" s="1"/>
  <c r="C48" i="13" s="1"/>
  <c r="C49" i="13" s="1"/>
  <c r="C50" i="13" s="1"/>
  <c r="C51" i="13" s="1"/>
  <c r="C52" i="13" s="1"/>
  <c r="C53" i="13" s="1"/>
  <c r="C54" i="13" s="1"/>
  <c r="C55" i="13" s="1"/>
  <c r="C56" i="13" s="1"/>
  <c r="M25" i="6"/>
  <c r="J21" i="6"/>
  <c r="K21" i="6"/>
  <c r="J24" i="6"/>
  <c r="K24" i="6"/>
  <c r="J20" i="6"/>
  <c r="K20" i="6"/>
  <c r="J22" i="6"/>
  <c r="K22" i="6"/>
  <c r="J23" i="6"/>
  <c r="K23" i="6"/>
  <c r="O15" i="6"/>
  <c r="O17" i="6"/>
  <c r="O26" i="6"/>
  <c r="O27" i="6"/>
  <c r="O20" i="6"/>
  <c r="O21" i="6"/>
  <c r="O18" i="6"/>
  <c r="O14" i="6"/>
  <c r="C31" i="13"/>
  <c r="P34" i="6"/>
  <c r="O34" i="6"/>
  <c r="P33" i="6"/>
  <c r="O33" i="6"/>
  <c r="P32" i="6"/>
  <c r="O32" i="6"/>
  <c r="P31" i="6"/>
  <c r="O31" i="6"/>
  <c r="P30" i="6"/>
  <c r="O30" i="6"/>
  <c r="P29" i="6"/>
  <c r="O29" i="6"/>
  <c r="P28" i="6"/>
  <c r="O28" i="6"/>
  <c r="P27" i="6"/>
  <c r="P26" i="6"/>
  <c r="P25" i="6"/>
  <c r="O25" i="6"/>
  <c r="P24" i="6"/>
  <c r="O24" i="6"/>
  <c r="P23" i="6"/>
  <c r="O23" i="6"/>
  <c r="P22" i="6"/>
  <c r="O22" i="6"/>
  <c r="P21" i="6"/>
  <c r="P20" i="6"/>
  <c r="P19" i="6"/>
  <c r="O19" i="6"/>
  <c r="P18" i="6"/>
  <c r="P17" i="6"/>
  <c r="P16" i="6"/>
  <c r="O16" i="6"/>
  <c r="P15" i="6"/>
  <c r="P14" i="6"/>
  <c r="P13" i="6"/>
  <c r="E79" i="6"/>
  <c r="E25" i="6"/>
  <c r="N34" i="228" l="1"/>
  <c r="J38" i="228"/>
  <c r="N38" i="228" s="1"/>
  <c r="Q38" i="228" s="1"/>
  <c r="AW46" i="228"/>
  <c r="AY46" i="228" s="1"/>
  <c r="O6" i="6"/>
  <c r="I34" i="6"/>
  <c r="J34" i="6" s="1"/>
  <c r="I32" i="6"/>
  <c r="J32" i="6" s="1"/>
  <c r="I28" i="6"/>
  <c r="J28" i="6" s="1"/>
  <c r="I55" i="6"/>
  <c r="J55" i="6" s="1"/>
  <c r="I35" i="6"/>
  <c r="J35" i="6" s="1"/>
  <c r="I29" i="6"/>
  <c r="J29" i="6" s="1"/>
  <c r="I41" i="6"/>
  <c r="J41" i="6" s="1"/>
  <c r="M6" i="6"/>
  <c r="I31" i="6"/>
  <c r="J31" i="6" s="1"/>
  <c r="I30" i="6"/>
  <c r="J30" i="6" s="1"/>
  <c r="I39" i="6"/>
  <c r="J39" i="6" s="1"/>
  <c r="I37" i="6"/>
  <c r="J37" i="6" s="1"/>
  <c r="I42" i="6"/>
  <c r="J42" i="6" s="1"/>
  <c r="Q36" i="6"/>
  <c r="N11" i="6" s="1"/>
  <c r="K11" i="6"/>
  <c r="J11" i="6" s="1"/>
  <c r="K12" i="6" s="1"/>
  <c r="I38" i="6"/>
  <c r="J38" i="6" s="1"/>
  <c r="I56" i="6"/>
  <c r="J56" i="6" s="1"/>
  <c r="I44" i="6"/>
  <c r="J44" i="6" s="1"/>
  <c r="I40" i="6"/>
  <c r="J40" i="6" s="1"/>
  <c r="I33" i="6"/>
  <c r="I43" i="6"/>
  <c r="J43" i="6" s="1"/>
  <c r="I45" i="6"/>
  <c r="J45" i="6" s="1"/>
  <c r="I27" i="6"/>
  <c r="I19" i="6"/>
  <c r="I51" i="6"/>
  <c r="J51" i="6" s="1"/>
  <c r="K58" i="6"/>
  <c r="N58" i="6" s="1"/>
  <c r="I36" i="6"/>
  <c r="J36" i="6" s="1"/>
  <c r="I66" i="6" l="1"/>
  <c r="I68" i="6" s="1"/>
  <c r="J27" i="6"/>
  <c r="I58" i="6"/>
  <c r="G8" i="6"/>
  <c r="Q7" i="6"/>
  <c r="O7" i="6" s="1"/>
  <c r="Q6" i="6"/>
  <c r="Q5" i="6"/>
  <c r="J33" i="6"/>
  <c r="J58" i="6" s="1"/>
  <c r="J19" i="6"/>
  <c r="K19" i="6" s="1"/>
  <c r="N2" i="6"/>
  <c r="J12" i="6"/>
  <c r="O5" i="6" l="1"/>
  <c r="N5" i="6" s="1"/>
  <c r="Q4" i="6" s="1"/>
  <c r="O37" i="6" s="1"/>
  <c r="R37" i="6" s="1"/>
  <c r="R38" i="6" s="1"/>
  <c r="S38" i="6" s="1"/>
  <c r="I59" i="6"/>
  <c r="J59" i="6" s="1"/>
  <c r="E17" i="6" l="1"/>
  <c r="P37" i="6" s="1"/>
  <c r="I60" i="6"/>
  <c r="E60" i="6" s="1"/>
  <c r="N8" i="6"/>
  <c r="Q37" i="6"/>
  <c r="O39" i="6" l="1"/>
  <c r="P42" i="6"/>
  <c r="O40" i="6"/>
  <c r="P39" i="6"/>
  <c r="P40" i="6"/>
  <c r="Q38" i="6"/>
  <c r="O42" i="6" l="1"/>
  <c r="I62" i="6" s="1"/>
  <c r="I63" i="6" s="1"/>
  <c r="J63" i="6" s="1"/>
  <c r="I64" i="6" s="1"/>
  <c r="J66" i="6" s="1"/>
  <c r="J68" i="6" s="1"/>
  <c r="J118" i="242" l="1"/>
  <c r="K118" i="242" s="1"/>
  <c r="H89" i="236"/>
  <c r="K89" i="236" s="1"/>
  <c r="I89" i="234"/>
  <c r="K89" i="234" s="1"/>
  <c r="I94" i="229"/>
  <c r="K94" i="229" s="1"/>
  <c r="K103" i="243"/>
  <c r="K109" i="223"/>
  <c r="I115" i="233"/>
  <c r="J115" i="233" s="1"/>
  <c r="I86" i="232"/>
  <c r="J86" i="232" s="1"/>
  <c r="H82" i="235"/>
  <c r="J82" i="235" s="1"/>
  <c r="K88" i="234"/>
  <c r="K76" i="238"/>
  <c r="K81" i="237"/>
  <c r="L117" i="242"/>
  <c r="H110" i="223"/>
  <c r="J110" i="223" s="1"/>
  <c r="H104" i="243"/>
  <c r="J104" i="243" s="1"/>
  <c r="K85" i="232"/>
  <c r="L88" i="236"/>
  <c r="H77" i="238"/>
  <c r="I69" i="6"/>
  <c r="K114" i="233"/>
  <c r="L93" i="229"/>
  <c r="K81" i="235"/>
  <c r="H82" i="237"/>
  <c r="J82" i="237" s="1"/>
  <c r="J77" i="238"/>
  <c r="K95" i="229" l="1"/>
  <c r="A74" i="6"/>
  <c r="K111" i="223"/>
  <c r="K113" i="223" s="1"/>
  <c r="K90" i="234"/>
  <c r="K83" i="235"/>
  <c r="I91" i="236"/>
  <c r="K91" i="236" s="1"/>
  <c r="J87" i="232"/>
  <c r="I71" i="6"/>
  <c r="A75" i="6" s="1"/>
  <c r="I72" i="6"/>
  <c r="I84" i="235"/>
  <c r="J84" i="235" s="1"/>
  <c r="J120" i="242"/>
  <c r="K120" i="242" s="1"/>
  <c r="J116" i="233"/>
  <c r="L90" i="236"/>
  <c r="K83" i="237"/>
  <c r="I81" i="238"/>
  <c r="J81" i="238" s="1"/>
  <c r="I106" i="243"/>
  <c r="J106" i="243" s="1"/>
  <c r="I88" i="232"/>
  <c r="J88" i="232" s="1"/>
  <c r="G78" i="238"/>
  <c r="K105" i="243"/>
  <c r="K107" i="243" s="1"/>
  <c r="K119" i="242"/>
  <c r="I112" i="223"/>
  <c r="J112" i="223" s="1"/>
  <c r="I117" i="233"/>
  <c r="J117" i="233" s="1"/>
  <c r="G93" i="229"/>
  <c r="E82" i="237"/>
  <c r="G82" i="237" s="1"/>
  <c r="E89" i="236"/>
  <c r="G89" i="236" s="1"/>
  <c r="G81" i="237"/>
  <c r="E118" i="242"/>
  <c r="G118" i="242" s="1"/>
  <c r="G109" i="223"/>
  <c r="E82" i="235"/>
  <c r="G82" i="235" s="1"/>
  <c r="E86" i="232"/>
  <c r="G86" i="232" s="1"/>
  <c r="E104" i="243"/>
  <c r="G104" i="243" s="1"/>
  <c r="E94" i="229"/>
  <c r="G94" i="229" s="1"/>
  <c r="G103" i="243"/>
  <c r="E115" i="233"/>
  <c r="G115" i="233" s="1"/>
  <c r="G81" i="235"/>
  <c r="E89" i="234"/>
  <c r="G89" i="234" s="1"/>
  <c r="G76" i="238"/>
  <c r="G117" i="242"/>
  <c r="E77" i="238"/>
  <c r="G88" i="236"/>
  <c r="G88" i="234"/>
  <c r="E110" i="223"/>
  <c r="G110" i="223" s="1"/>
  <c r="G85" i="232"/>
  <c r="G114" i="233"/>
  <c r="O25" i="245"/>
  <c r="G77" i="238" l="1"/>
</calcChain>
</file>

<file path=xl/comments1.xml><?xml version="1.0" encoding="utf-8"?>
<comments xmlns="http://schemas.openxmlformats.org/spreadsheetml/2006/main">
  <authors>
    <author>Schwarb, Thomas FKD</author>
  </authors>
  <commentList>
    <comment ref="N5" authorId="0" shapeId="0">
      <text>
        <r>
          <rPr>
            <b/>
            <sz val="8"/>
            <color indexed="81"/>
            <rFont val="Tahoma"/>
            <family val="2"/>
          </rPr>
          <t>Nur das zutreffende Feld ankreuzen um die Ausbildung der Person zu definieren.</t>
        </r>
        <r>
          <rPr>
            <sz val="8"/>
            <color indexed="81"/>
            <rFont val="Tahoma"/>
            <family val="2"/>
          </rPr>
          <t xml:space="preserve">
</t>
        </r>
      </text>
    </comment>
    <comment ref="E6" authorId="0" shapeId="0">
      <text>
        <r>
          <rPr>
            <b/>
            <sz val="8"/>
            <color indexed="81"/>
            <rFont val="Tahoma"/>
            <family val="2"/>
          </rPr>
          <t xml:space="preserve">Geben Sie hier die zutreffende Dienststelle resp. das Amt ein. </t>
        </r>
      </text>
    </comment>
    <comment ref="I6" authorId="0" shapeId="0">
      <text>
        <r>
          <rPr>
            <b/>
            <sz val="8"/>
            <color rgb="FF000000"/>
            <rFont val="Tahoma"/>
            <family val="2"/>
          </rPr>
          <t xml:space="preserve">Geben Sie hier den Code der Modellumschreibung nach dem Muster XXXX.YYz ein.
</t>
        </r>
        <r>
          <rPr>
            <b/>
            <sz val="8"/>
            <color rgb="FF000000"/>
            <rFont val="Tahoma"/>
            <family val="2"/>
          </rPr>
          <t xml:space="preserve">
</t>
        </r>
        <r>
          <rPr>
            <b/>
            <sz val="8"/>
            <color rgb="FF000000"/>
            <rFont val="Tahoma"/>
            <family val="2"/>
          </rPr>
          <t xml:space="preserve">Bei unbeschriebenen MUs gibt es keine Varianten XXXX.YYa oder XXXX.YYb usw.
</t>
        </r>
        <r>
          <rPr>
            <b/>
            <sz val="8"/>
            <color rgb="FF000000"/>
            <rFont val="Tahoma"/>
            <family val="2"/>
          </rPr>
          <t xml:space="preserve">
</t>
        </r>
        <r>
          <rPr>
            <b/>
            <sz val="8"/>
            <color rgb="FF000000"/>
            <rFont val="Tahoma"/>
            <family val="2"/>
          </rPr>
          <t xml:space="preserve">Bei einstelligen Lohnklassen "0" voranstellen.
</t>
        </r>
        <r>
          <rPr>
            <b/>
            <sz val="8"/>
            <color rgb="FF000000"/>
            <rFont val="Tahoma"/>
            <family val="2"/>
          </rPr>
          <t>Z.B.: 712.06</t>
        </r>
      </text>
    </comment>
    <comment ref="G7" authorId="0" shapeId="0">
      <text>
        <r>
          <rPr>
            <b/>
            <sz val="8"/>
            <color rgb="FF000000"/>
            <rFont val="Tahoma"/>
            <family val="2"/>
          </rPr>
          <t>Funktions-/ Stellenbezeichnung (intern)</t>
        </r>
      </text>
    </comment>
    <comment ref="E11" authorId="0" shapeId="0">
      <text>
        <r>
          <rPr>
            <b/>
            <sz val="8"/>
            <color indexed="81"/>
            <rFont val="Tahoma"/>
            <family val="2"/>
          </rPr>
          <t>Ermittelt sich autom. aus den Erfahrungszeilen die in rechten Spalte mit "X" markiert werden.  Kann aber auch manuell erfasst werden. (vgl. Richtlinie für die Treueprämie)</t>
        </r>
      </text>
    </comment>
    <comment ref="K11" authorId="0" shapeId="0">
      <text>
        <r>
          <rPr>
            <b/>
            <sz val="8"/>
            <color indexed="81"/>
            <rFont val="Tahoma"/>
            <family val="2"/>
          </rPr>
          <t>Ermittelt sich autom. aus den Erfahrungszeilen die in rechten Spalte mit "X" markiert werden.  Kann aber auch manuell erfasst werden.</t>
        </r>
      </text>
    </comment>
    <comment ref="N13" authorId="0" shapeId="0">
      <text>
        <r>
          <rPr>
            <b/>
            <sz val="8"/>
            <color indexed="81"/>
            <rFont val="Tahoma"/>
            <family val="2"/>
          </rPr>
          <t>Nur das zutreffende Feld ankreuzen um die Ausbildung der Person zu definieren.</t>
        </r>
        <r>
          <rPr>
            <sz val="8"/>
            <color indexed="81"/>
            <rFont val="Tahoma"/>
            <family val="2"/>
          </rPr>
          <t xml:space="preserve">
</t>
        </r>
      </text>
    </comment>
    <comment ref="D17" authorId="0" shapeId="0">
      <text>
        <r>
          <rPr>
            <b/>
            <sz val="8"/>
            <color indexed="81"/>
            <rFont val="Tahoma"/>
            <family val="2"/>
          </rPr>
          <t>Gemäss Modellumschreibung (MU) erforderliche Ausbildung.
Beachten Sie, dass es MUs gibt, welche verschiedene Ausbildungsvarianten vorsehen.</t>
        </r>
      </text>
    </comment>
    <comment ref="E17" authorId="0" shapeId="0">
      <text>
        <r>
          <rPr>
            <b/>
            <sz val="8"/>
            <color indexed="81"/>
            <rFont val="Tahoma"/>
            <family val="2"/>
          </rPr>
          <t>Gemäss Modellumschreibung (MU) erforderliche Ausbildung.
Beachten Sie, dass es MUs gibt, welche verschiedene Ausbildungsvarianten vorsehen.</t>
        </r>
      </text>
    </comment>
    <comment ref="K25" authorId="0" shapeId="0">
      <text>
        <r>
          <rPr>
            <b/>
            <sz val="8"/>
            <color indexed="81"/>
            <rFont val="Tahoma"/>
            <family val="2"/>
          </rPr>
          <t xml:space="preserve">Geben Sie bei der jeweiligen Zeile ein "X" ein, wenn diese Erfahrungszeit für die Treueprämie anrechenbar ist.  (vgl. Richtlinie zur Treueprämie) </t>
        </r>
      </text>
    </comment>
    <comment ref="A26" authorId="0" shapeId="0">
      <text>
        <r>
          <rPr>
            <b/>
            <sz val="8"/>
            <color indexed="81"/>
            <rFont val="Tahoma"/>
            <family val="2"/>
          </rPr>
          <t>Beginn der Erfahrungsperiode (Monat).</t>
        </r>
      </text>
    </comment>
    <comment ref="B26" authorId="0" shapeId="0">
      <text>
        <r>
          <rPr>
            <b/>
            <sz val="8"/>
            <color indexed="81"/>
            <rFont val="Tahoma"/>
            <family val="2"/>
          </rPr>
          <t>Beginn der Erfahrungsperiode (Jahr). Anrechnung frühestens ab 18. Altersjahr.</t>
        </r>
      </text>
    </comment>
    <comment ref="E26" authorId="0" shapeId="0">
      <text>
        <r>
          <rPr>
            <b/>
            <sz val="8"/>
            <color indexed="81"/>
            <rFont val="Tahoma"/>
            <family val="2"/>
          </rPr>
          <t>Alle Erfahrungen bis zum Zeitpunkt des Vertragsbeginns erfassen!</t>
        </r>
        <r>
          <rPr>
            <sz val="8"/>
            <color indexed="81"/>
            <rFont val="Tahoma"/>
            <family val="2"/>
          </rPr>
          <t xml:space="preserve">
</t>
        </r>
      </text>
    </comment>
    <comment ref="F26" authorId="0" shapeId="0">
      <text>
        <r>
          <rPr>
            <b/>
            <sz val="8"/>
            <color indexed="81"/>
            <rFont val="Tahoma"/>
            <family val="2"/>
          </rPr>
          <t>Hier geben Sie den Anrechnungssatz der erworbenen Erfahrung an. (vgl. ES-Richtlinie)</t>
        </r>
      </text>
    </comment>
    <comment ref="K26" authorId="0" shapeId="0">
      <text>
        <r>
          <rPr>
            <b/>
            <sz val="8"/>
            <color indexed="81"/>
            <rFont val="Tahoma"/>
            <family val="2"/>
          </rPr>
          <t xml:space="preserve">Geben Sie bei der jeweiligen Zeile ein "X" ein, wenn diese Erfahrungszeit für die Treueprämie anrechenbar ist.  (vgl. Richtlinie für die Treueprämie) </t>
        </r>
      </text>
    </comment>
    <comment ref="O37" authorId="0" shapeId="0">
      <text>
        <r>
          <rPr>
            <b/>
            <sz val="8"/>
            <color indexed="81"/>
            <rFont val="Tahoma"/>
            <family val="2"/>
          </rPr>
          <t>Falls die MU verschiedene Ausbildungsvarianten kennt, kann hier der A1-Wert geändert werden</t>
        </r>
      </text>
    </comment>
    <comment ref="P37" authorId="0" shapeId="0">
      <text>
        <r>
          <rPr>
            <b/>
            <sz val="8"/>
            <color indexed="81"/>
            <rFont val="Tahoma"/>
            <family val="2"/>
          </rPr>
          <t>Falls die MU verschiedene Ausbildungsvarianten kennt, kann hier der Text geändert werden. Der Text beeinflusst die Berechnung aber nicht.</t>
        </r>
      </text>
    </comment>
    <comment ref="E60" authorId="0" shapeId="0">
      <text>
        <r>
          <rPr>
            <b/>
            <sz val="8"/>
            <color indexed="81"/>
            <rFont val="Tahoma"/>
            <family val="2"/>
          </rPr>
          <t>Der A2-Wert wird automatisch ermittelt. Der Wert rechts, kann aber überschrieben werden.</t>
        </r>
      </text>
    </comment>
    <comment ref="I60" authorId="0" shapeId="0">
      <text>
        <r>
          <rPr>
            <b/>
            <sz val="8"/>
            <color indexed="81"/>
            <rFont val="Tahoma"/>
            <family val="2"/>
          </rPr>
          <t>Aus der Modellumschreibung ermittelter A2-Wert. Modellumschreibungen können mehr als eine Variante haben. Die Variante kann oben rechts gewählt werden.</t>
        </r>
      </text>
    </comment>
    <comment ref="E61" authorId="0" shapeId="0">
      <text>
        <r>
          <rPr>
            <b/>
            <sz val="8"/>
            <color indexed="81"/>
            <rFont val="Tahoma"/>
            <family val="2"/>
          </rPr>
          <t>Nützliche Zusatzausbildungen, die gem. MU aber nicht zwingend sind, können hier erfasst werden. Vgl. ES-Richtlinie für den Anrechnungssatz.</t>
        </r>
      </text>
    </comment>
    <comment ref="E62" authorId="0" shapeId="0">
      <text>
        <r>
          <rPr>
            <b/>
            <sz val="8"/>
            <color indexed="81"/>
            <rFont val="Tahoma"/>
            <family val="2"/>
          </rPr>
          <t>Geben Sie hier an, welche Ausbildung allenfalls fehlt. Die Berechnung kann anhend der Tabelle rechts erfolgen.</t>
        </r>
      </text>
    </comment>
    <comment ref="I62" authorId="0" shapeId="0">
      <text>
        <r>
          <rPr>
            <b/>
            <sz val="8"/>
            <color rgb="FF000000"/>
            <rFont val="Tahoma"/>
            <family val="2"/>
          </rPr>
          <t>Die Berechnung kann anhend der Tabelle rechts erfolgen.</t>
        </r>
      </text>
    </comment>
  </commentList>
</comments>
</file>

<file path=xl/comments2.xml><?xml version="1.0" encoding="utf-8"?>
<comments xmlns="http://schemas.openxmlformats.org/spreadsheetml/2006/main">
  <authors>
    <author>ogogIV</author>
  </authors>
  <commentList>
    <comment ref="C23" authorId="0" shapeId="0">
      <text>
        <r>
          <rPr>
            <sz val="10"/>
            <color indexed="81"/>
            <rFont val="Arial"/>
            <family val="2"/>
          </rPr>
          <t>Geprüft wird, ob die  Einreihung in der gleichen Funktionskette erfolgt UND die Differenz der Lohnklassen/Lohnbänder nicht grösser als 1 ist.</t>
        </r>
      </text>
    </comment>
  </commentList>
</comments>
</file>

<file path=xl/comments3.xml><?xml version="1.0" encoding="utf-8"?>
<comments xmlns="http://schemas.openxmlformats.org/spreadsheetml/2006/main">
  <authors>
    <author>Jan Spörri</author>
  </authors>
  <commentList>
    <comment ref="C24" authorId="0" shapeId="0">
      <text>
        <r>
          <rPr>
            <b/>
            <sz val="9"/>
            <color indexed="81"/>
            <rFont val="Segoe UI"/>
            <family val="2"/>
          </rPr>
          <t>Geprüft wird ob neues Lohnband besser ist als das Bisherige.</t>
        </r>
      </text>
    </comment>
  </commentList>
</comments>
</file>

<file path=xl/comments4.xml><?xml version="1.0" encoding="utf-8"?>
<comments xmlns="http://schemas.openxmlformats.org/spreadsheetml/2006/main">
  <authors>
    <author>ogogIV</author>
  </authors>
  <commentList>
    <comment ref="C25" authorId="0" shapeId="0">
      <text>
        <r>
          <rPr>
            <sz val="10"/>
            <color indexed="81"/>
            <rFont val="Arial"/>
            <family val="2"/>
          </rPr>
          <t>Geprüft wird ob gleiche Ausbildungsanforderungen bestehen. Bei ungleicher Ausbildungsanforderung (inkl. alternative Ausbildungserfordernisse gemäss MU) wird kein Wert berechnet und Hinweis ausgegeben.</t>
        </r>
      </text>
    </comment>
    <comment ref="N34" authorId="0" shapeId="0">
      <text>
        <r>
          <rPr>
            <sz val="10"/>
            <color indexed="81"/>
            <rFont val="Arial"/>
            <family val="2"/>
          </rPr>
          <t>Geprüft wird, ob die erforderliche A2-Korrektur vollständig möglich ist. Je nach konkretem Fall (z.B. bei Wechsel bei sehr tiefen Erfahrungswerten C, B oder A) kann die A2-Korrektur nicht vollständig erfolgen.</t>
        </r>
      </text>
    </comment>
  </commentList>
</comments>
</file>

<file path=xl/comments5.xml><?xml version="1.0" encoding="utf-8"?>
<comments xmlns="http://schemas.openxmlformats.org/spreadsheetml/2006/main">
  <authors>
    <author>Weber, Thomas FKD</author>
    <author>Graf, Roland FKD</author>
  </authors>
  <commentList>
    <comment ref="U1" authorId="0" shapeId="0">
      <text>
        <r>
          <rPr>
            <b/>
            <sz val="9"/>
            <color indexed="81"/>
            <rFont val="Segoe UI"/>
            <family val="2"/>
          </rPr>
          <t>Weber, Thomas FKD:</t>
        </r>
        <r>
          <rPr>
            <sz val="9"/>
            <color indexed="81"/>
            <rFont val="Segoe UI"/>
            <family val="2"/>
          </rPr>
          <t xml:space="preserve">
MU für Gültigkeitsüberprüfung manuelle Eingabe MU</t>
        </r>
      </text>
    </comment>
    <comment ref="K274" authorId="1" shapeId="0">
      <text>
        <r>
          <rPr>
            <b/>
            <sz val="9"/>
            <color indexed="81"/>
            <rFont val="Tahoma"/>
            <family val="2"/>
          </rPr>
          <t>Graf, Roland FKD:</t>
        </r>
        <r>
          <rPr>
            <sz val="9"/>
            <color indexed="81"/>
            <rFont val="Tahoma"/>
            <family val="2"/>
          </rPr>
          <t xml:space="preserve">
Angep. 10.2018 auf Anfrage der Gerichte</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<sst xmlns="http://schemas.openxmlformats.org/spreadsheetml/2006/main" count="4878" uniqueCount="2019">
  <si>
    <t>Modellumschreibung</t>
  </si>
  <si>
    <t>Funktion</t>
  </si>
  <si>
    <t>T</t>
  </si>
  <si>
    <t>Mt</t>
  </si>
  <si>
    <t>J</t>
  </si>
  <si>
    <t>Eintritt</t>
  </si>
  <si>
    <t>von</t>
  </si>
  <si>
    <t>bis</t>
  </si>
  <si>
    <t xml:space="preserve">in % </t>
  </si>
  <si>
    <t>./.</t>
  </si>
  <si>
    <t>A2</t>
  </si>
  <si>
    <t>Bemerkungen:</t>
  </si>
  <si>
    <t>Datum / Unterschrift:</t>
  </si>
  <si>
    <t>Fehlende Ausbildung</t>
  </si>
  <si>
    <t>Tätigkeiten und andere Erfahrungen</t>
  </si>
  <si>
    <t>Pflege- und Betreuungsmitarbeit</t>
  </si>
  <si>
    <t>Diplomierte Krankenpflege DN I</t>
  </si>
  <si>
    <t>Diplomierte Krankenpflege</t>
  </si>
  <si>
    <t>303 b</t>
  </si>
  <si>
    <t xml:space="preserve">Operationsfachmann/-frau </t>
  </si>
  <si>
    <t>303 c</t>
  </si>
  <si>
    <t>Rettungssanitäter/in</t>
  </si>
  <si>
    <t>303 a</t>
  </si>
  <si>
    <t>Spezifische Führungsfunktion</t>
  </si>
  <si>
    <t xml:space="preserve">Spezifische Führungsfunktion </t>
  </si>
  <si>
    <t>Medizinisch-Technische Mithilfe</t>
  </si>
  <si>
    <t>Medizinisch-Technische Angestellte</t>
  </si>
  <si>
    <t>Medizinisch-Technische Assistenz</t>
  </si>
  <si>
    <t>Therapiehilfe</t>
  </si>
  <si>
    <t>Therapieangestellte</t>
  </si>
  <si>
    <t xml:space="preserve">Diplomierte Therapieangestellte </t>
  </si>
  <si>
    <t>323 a</t>
  </si>
  <si>
    <t>Diplomierte Therapieangestellte</t>
  </si>
  <si>
    <t>323 b</t>
  </si>
  <si>
    <t>Psychologie und Psychotherapie</t>
  </si>
  <si>
    <t>Assistenzärztin/Assistenzarzt</t>
  </si>
  <si>
    <t>Aerztin/Arzt (mbA)</t>
  </si>
  <si>
    <t>Oberärztin/Oberarzt</t>
  </si>
  <si>
    <t>Stv. Chefarzt *</t>
  </si>
  <si>
    <t>Sozialpädagogik-Kleinkindererziehung</t>
  </si>
  <si>
    <t>341 a</t>
  </si>
  <si>
    <t>Sozialpädagogik</t>
  </si>
  <si>
    <t>341 b</t>
  </si>
  <si>
    <t>Sozialpädagogik-Gefangenenbetreuung</t>
  </si>
  <si>
    <t>Sozialarbeit</t>
  </si>
  <si>
    <t>Administrative Angestellte</t>
  </si>
  <si>
    <t>102 a/b</t>
  </si>
  <si>
    <t>Sachbearbeitung 2 (mbA)</t>
  </si>
  <si>
    <t>103 a/b</t>
  </si>
  <si>
    <t>Sachbearbeitung 1 (wiss.)</t>
  </si>
  <si>
    <t>Betriebsangestellte</t>
  </si>
  <si>
    <t>202 a</t>
  </si>
  <si>
    <t>Hw.-Tech. und Hauswirtschaftliche Ang.</t>
  </si>
  <si>
    <t>202 c</t>
  </si>
  <si>
    <t>Handwerklich-Technische Angestellte</t>
  </si>
  <si>
    <t>202 a/b</t>
  </si>
  <si>
    <t>202 d</t>
  </si>
  <si>
    <t>Technisch-Wissenschaftliche Angestellte</t>
  </si>
  <si>
    <t>Gerichtsschreiber/in 2. Instanz</t>
  </si>
  <si>
    <t>Gerichtspräsident/in 1. Instanz</t>
  </si>
  <si>
    <t>Polizeiaspirant/in</t>
  </si>
  <si>
    <t>Pol. Sachbearbeitungsfunktion</t>
  </si>
  <si>
    <t>Pol. Führungsfunktion/Fachspez.</t>
  </si>
  <si>
    <t>Allgemeine Führungsfunktion 2</t>
  </si>
  <si>
    <t>Allgemeine Führungsfunktion 1</t>
  </si>
  <si>
    <t/>
  </si>
  <si>
    <t>a</t>
  </si>
  <si>
    <t>b</t>
  </si>
  <si>
    <t>F-Kette</t>
  </si>
  <si>
    <t>Variante</t>
  </si>
  <si>
    <t>FKette-Orig</t>
  </si>
  <si>
    <t>Bezeichnung</t>
  </si>
  <si>
    <t>AWP</t>
  </si>
  <si>
    <t>A1</t>
  </si>
  <si>
    <t>000MU</t>
  </si>
  <si>
    <t>Lehrer</t>
  </si>
  <si>
    <t>c</t>
  </si>
  <si>
    <t>d</t>
  </si>
  <si>
    <t>Alt-A1</t>
  </si>
  <si>
    <t>Alt-A2</t>
  </si>
  <si>
    <t>Alt-AWP</t>
  </si>
  <si>
    <t>Alt2-AWP</t>
  </si>
  <si>
    <t>Alt2-A1</t>
  </si>
  <si>
    <t>Alt2-A2</t>
  </si>
  <si>
    <t>A1-Text</t>
  </si>
  <si>
    <t>Oblig. Schulbildung und Einarbeitung (3 Monate)</t>
  </si>
  <si>
    <t>Oblig. Schulbildung und Einarbeitung (6 Monate)</t>
  </si>
  <si>
    <t>Eidg. Fähigkeitszeugnis EFZ (3-4 Jahre)</t>
  </si>
  <si>
    <t>Ohne obligatorische Schulbildung</t>
  </si>
  <si>
    <t>Eidg. Berufsattest EBA, Gymnasiale Maturität, Fachmittelschulabschluss</t>
  </si>
  <si>
    <t>Bachelor und funktionsspezifische Zusatzausbildung</t>
  </si>
  <si>
    <t>zz</t>
  </si>
  <si>
    <t>Fehler</t>
  </si>
  <si>
    <t>Anlehre</t>
  </si>
  <si>
    <t>M101.19</t>
  </si>
  <si>
    <t>M101.20</t>
  </si>
  <si>
    <t>M101.21</t>
  </si>
  <si>
    <t>M101.22</t>
  </si>
  <si>
    <t>M101.23</t>
  </si>
  <si>
    <t>M101.24</t>
  </si>
  <si>
    <t>M101.25</t>
  </si>
  <si>
    <t>M101.26</t>
  </si>
  <si>
    <t>M102.13</t>
  </si>
  <si>
    <t>M102.15</t>
  </si>
  <si>
    <t>M102.17</t>
  </si>
  <si>
    <t>M102.19</t>
  </si>
  <si>
    <t>M103.11</t>
  </si>
  <si>
    <t>M103.13</t>
  </si>
  <si>
    <t>M111.10</t>
  </si>
  <si>
    <t>M111.11</t>
  </si>
  <si>
    <t>M111.12</t>
  </si>
  <si>
    <t>M111.13</t>
  </si>
  <si>
    <t>M111.14</t>
  </si>
  <si>
    <t>M111.15</t>
  </si>
  <si>
    <t>M111.16</t>
  </si>
  <si>
    <t>M111.17</t>
  </si>
  <si>
    <t>M111.18</t>
  </si>
  <si>
    <t>M201.20</t>
  </si>
  <si>
    <t>M201.21</t>
  </si>
  <si>
    <t>M201.22</t>
  </si>
  <si>
    <t>M201.23</t>
  </si>
  <si>
    <t>M201.24</t>
  </si>
  <si>
    <t>M201.25</t>
  </si>
  <si>
    <t>M201.26</t>
  </si>
  <si>
    <t>M201.27</t>
  </si>
  <si>
    <t>M201.28</t>
  </si>
  <si>
    <t>M202.15</t>
  </si>
  <si>
    <t>M202.17</t>
  </si>
  <si>
    <t>M202.19</t>
  </si>
  <si>
    <t>M203.10</t>
  </si>
  <si>
    <t>M203.11</t>
  </si>
  <si>
    <t>M203.12</t>
  </si>
  <si>
    <t>M203.13</t>
  </si>
  <si>
    <t>M211.12</t>
  </si>
  <si>
    <t>M211.13</t>
  </si>
  <si>
    <t>M211.14</t>
  </si>
  <si>
    <t>M211.16</t>
  </si>
  <si>
    <t>M211.17</t>
  </si>
  <si>
    <t>M211.18</t>
  </si>
  <si>
    <t>M301.22</t>
  </si>
  <si>
    <t>M301.23</t>
  </si>
  <si>
    <t>M301.24</t>
  </si>
  <si>
    <t>M301.25</t>
  </si>
  <si>
    <t>M302.19</t>
  </si>
  <si>
    <t>M302.20</t>
  </si>
  <si>
    <t>M303.13</t>
  </si>
  <si>
    <t>M303.14</t>
  </si>
  <si>
    <t>M303.18</t>
  </si>
  <si>
    <t>M304.13</t>
  </si>
  <si>
    <t>M304.14</t>
  </si>
  <si>
    <t>M304.15</t>
  </si>
  <si>
    <t>M305.11</t>
  </si>
  <si>
    <t>M305.12</t>
  </si>
  <si>
    <t>M311.23</t>
  </si>
  <si>
    <t>M311.24</t>
  </si>
  <si>
    <t>M311.25</t>
  </si>
  <si>
    <t>M312.19</t>
  </si>
  <si>
    <t>M312.20</t>
  </si>
  <si>
    <t>M312.21</t>
  </si>
  <si>
    <t>M313.16</t>
  </si>
  <si>
    <t>M314.14</t>
  </si>
  <si>
    <t>M321.23</t>
  </si>
  <si>
    <t>M321.24</t>
  </si>
  <si>
    <t>M321.25</t>
  </si>
  <si>
    <t>M322.18</t>
  </si>
  <si>
    <t>M322.20</t>
  </si>
  <si>
    <t>M323.14</t>
  </si>
  <si>
    <t>M323.16</t>
  </si>
  <si>
    <t>M323.17</t>
  </si>
  <si>
    <t>M324.13</t>
  </si>
  <si>
    <t>M331.10</t>
  </si>
  <si>
    <t>M331.11</t>
  </si>
  <si>
    <t>M332.12</t>
  </si>
  <si>
    <t>M341.16</t>
  </si>
  <si>
    <t>M341.17</t>
  </si>
  <si>
    <t>M341.18</t>
  </si>
  <si>
    <t>M341.19</t>
  </si>
  <si>
    <t>M342.14</t>
  </si>
  <si>
    <t>M342.15</t>
  </si>
  <si>
    <t>M342.16</t>
  </si>
  <si>
    <t>M501.11</t>
  </si>
  <si>
    <t>M505.11</t>
  </si>
  <si>
    <t>M601.19</t>
  </si>
  <si>
    <t>M602.14</t>
  </si>
  <si>
    <t>M602.15</t>
  </si>
  <si>
    <t>M602.16</t>
  </si>
  <si>
    <t>M603.11</t>
  </si>
  <si>
    <t>M603.12</t>
  </si>
  <si>
    <t>M603.13</t>
  </si>
  <si>
    <t>M711.10</t>
  </si>
  <si>
    <t>M711.11</t>
  </si>
  <si>
    <t>M711.12</t>
  </si>
  <si>
    <t>M102.14a</t>
  </si>
  <si>
    <t>M102.14b</t>
  </si>
  <si>
    <t>M102.16a</t>
  </si>
  <si>
    <t>M102.16b</t>
  </si>
  <si>
    <t>M102.18a</t>
  </si>
  <si>
    <t>M102.18b</t>
  </si>
  <si>
    <t>M103.10a</t>
  </si>
  <si>
    <t>M103.10b</t>
  </si>
  <si>
    <t>M103.12a</t>
  </si>
  <si>
    <t>M103.12b</t>
  </si>
  <si>
    <t>M103.14a</t>
  </si>
  <si>
    <t>M103.14b</t>
  </si>
  <si>
    <t>M202.14a</t>
  </si>
  <si>
    <t>M202.14b</t>
  </si>
  <si>
    <t>M202.14c</t>
  </si>
  <si>
    <t>M202.14d</t>
  </si>
  <si>
    <t>M202.16a</t>
  </si>
  <si>
    <t>M202.16b</t>
  </si>
  <si>
    <t>M202.16c</t>
  </si>
  <si>
    <t>M202.16d</t>
  </si>
  <si>
    <t>M202.18a</t>
  </si>
  <si>
    <t>M202.18b</t>
  </si>
  <si>
    <t>M202.18c</t>
  </si>
  <si>
    <t>M202.20a</t>
  </si>
  <si>
    <t>M202.20c</t>
  </si>
  <si>
    <t>M203.14a</t>
  </si>
  <si>
    <t>M203.14b</t>
  </si>
  <si>
    <t>M303.15a</t>
  </si>
  <si>
    <t>M303.15b</t>
  </si>
  <si>
    <t>M303.16a</t>
  </si>
  <si>
    <t>M303.16b</t>
  </si>
  <si>
    <t>M303.16c</t>
  </si>
  <si>
    <t>M303.17a</t>
  </si>
  <si>
    <t>M313.17a</t>
  </si>
  <si>
    <t>M313.17b</t>
  </si>
  <si>
    <t>M323.15a</t>
  </si>
  <si>
    <t>M323.15b</t>
  </si>
  <si>
    <t>M341.15a</t>
  </si>
  <si>
    <t>M341.15b</t>
  </si>
  <si>
    <t>M401A.14</t>
  </si>
  <si>
    <t>M402A.13</t>
  </si>
  <si>
    <t>M402B.14</t>
  </si>
  <si>
    <t>M402C.13</t>
  </si>
  <si>
    <t>M402D.13</t>
  </si>
  <si>
    <t>M403A.12</t>
  </si>
  <si>
    <t>M403B.13</t>
  </si>
  <si>
    <t>M404A.11</t>
  </si>
  <si>
    <t>M404B.13</t>
  </si>
  <si>
    <t>M405A.11</t>
  </si>
  <si>
    <t>M406A.10</t>
  </si>
  <si>
    <t>M406B.13</t>
  </si>
  <si>
    <t>M406C.12</t>
  </si>
  <si>
    <t>M406D.13</t>
  </si>
  <si>
    <t>M407A.10</t>
  </si>
  <si>
    <t>M407B.11</t>
  </si>
  <si>
    <t>M407C.12</t>
  </si>
  <si>
    <t>M407D.13</t>
  </si>
  <si>
    <t>M408C.10</t>
  </si>
  <si>
    <t>M408D.10</t>
  </si>
  <si>
    <t>M408E.10</t>
  </si>
  <si>
    <t>M408F.11</t>
  </si>
  <si>
    <t>M408G.12</t>
  </si>
  <si>
    <t>M409B.10</t>
  </si>
  <si>
    <t>M409D.10</t>
  </si>
  <si>
    <t>M409E.10</t>
  </si>
  <si>
    <t>M409F.10</t>
  </si>
  <si>
    <t>M409G.11</t>
  </si>
  <si>
    <t>M409I.10</t>
  </si>
  <si>
    <t>M411A.12</t>
  </si>
  <si>
    <t>M412A.10</t>
  </si>
  <si>
    <t>M501.12a</t>
  </si>
  <si>
    <t>M501.12b</t>
  </si>
  <si>
    <t>Alt1-A1-Text</t>
  </si>
  <si>
    <t>Alt2-A1-Text</t>
  </si>
  <si>
    <t>M211.15</t>
  </si>
  <si>
    <t>M322.19</t>
  </si>
  <si>
    <t>M408B.10</t>
  </si>
  <si>
    <t>Zus.anrechenbare Ausb.</t>
  </si>
  <si>
    <t>M304.12</t>
  </si>
  <si>
    <t>M409C.10</t>
  </si>
  <si>
    <t>M409H.11</t>
  </si>
  <si>
    <t>M409H.10</t>
  </si>
  <si>
    <t>Technisches Eintrittsdatum (für Dienstjubiläum/Treueprämie)</t>
  </si>
  <si>
    <t>Anrechenbare Arbeitsverhältnisse (für Dienstjubiläum/Treueprämie)</t>
  </si>
  <si>
    <t>Anrechenbar für</t>
  </si>
  <si>
    <t>Dienstjubi.</t>
  </si>
  <si>
    <t>Erforderliche Erfahrung</t>
  </si>
  <si>
    <t>M313.15</t>
  </si>
  <si>
    <t>Betreffende/r Mitarbeiter/in hat nur folgende Ausbildung:</t>
  </si>
  <si>
    <t>A1:</t>
  </si>
  <si>
    <t>Beschreibung</t>
  </si>
  <si>
    <t>Stufe/Jahre</t>
  </si>
  <si>
    <t>Stufe/Jahre-2</t>
  </si>
  <si>
    <t>Erforderliche Ausbildung gemäss Modellumschreibung (ev. manuell überschreiben)</t>
  </si>
  <si>
    <t>M202.13</t>
  </si>
  <si>
    <t>M211.11</t>
  </si>
  <si>
    <t>M301.21</t>
  </si>
  <si>
    <t>M301.26</t>
  </si>
  <si>
    <t>M305.13</t>
  </si>
  <si>
    <t>M311.22</t>
  </si>
  <si>
    <t>M311.26</t>
  </si>
  <si>
    <t>M311.27</t>
  </si>
  <si>
    <t>M312.18</t>
  </si>
  <si>
    <t>M313.18</t>
  </si>
  <si>
    <t>M314.15</t>
  </si>
  <si>
    <t>M314.13</t>
  </si>
  <si>
    <t>M314.12</t>
  </si>
  <si>
    <t>M321.22</t>
  </si>
  <si>
    <t>M322.21</t>
  </si>
  <si>
    <t>M324.11</t>
  </si>
  <si>
    <t>M324.12</t>
  </si>
  <si>
    <t>M324.14</t>
  </si>
  <si>
    <t>M331.12</t>
  </si>
  <si>
    <t>M341.14</t>
  </si>
  <si>
    <t>M332.11</t>
  </si>
  <si>
    <t>M342.13</t>
  </si>
  <si>
    <t>M505.10</t>
  </si>
  <si>
    <t>M712.01</t>
  </si>
  <si>
    <t>M332.02</t>
  </si>
  <si>
    <t>M712.02</t>
  </si>
  <si>
    <t>M506.03</t>
  </si>
  <si>
    <t>M712.03</t>
  </si>
  <si>
    <t>M506.04</t>
  </si>
  <si>
    <t>M712.04</t>
  </si>
  <si>
    <t>M332.05</t>
  </si>
  <si>
    <t>M712.05</t>
  </si>
  <si>
    <t>M332.06</t>
  </si>
  <si>
    <t>M505.06</t>
  </si>
  <si>
    <t>M712.06</t>
  </si>
  <si>
    <t>M103.07</t>
  </si>
  <si>
    <t>M203.07</t>
  </si>
  <si>
    <t>M505.07</t>
  </si>
  <si>
    <t>M711.07</t>
  </si>
  <si>
    <t>M712.07</t>
  </si>
  <si>
    <t>M203.08</t>
  </si>
  <si>
    <t>M331.08</t>
  </si>
  <si>
    <t>M332.08</t>
  </si>
  <si>
    <t>M505.08</t>
  </si>
  <si>
    <t>M711.08</t>
  </si>
  <si>
    <t>M103.09</t>
  </si>
  <si>
    <t>M203.09</t>
  </si>
  <si>
    <t>M331.09</t>
  </si>
  <si>
    <t>M332.09</t>
  </si>
  <si>
    <t>M504.09</t>
  </si>
  <si>
    <t>M505.09</t>
  </si>
  <si>
    <t>M711.09</t>
  </si>
  <si>
    <t>M408A.09</t>
  </si>
  <si>
    <t>M409A.09</t>
  </si>
  <si>
    <t>M409C.09</t>
  </si>
  <si>
    <t>zzzzz</t>
  </si>
  <si>
    <t>zzz</t>
  </si>
  <si>
    <t>Wahl der Ausbildungsvarianten (A1-Wert)</t>
  </si>
  <si>
    <t>Oblig. Schulbildung und 1 Jahr Fachausbildung (intern oder extern)</t>
  </si>
  <si>
    <t>Anlehre+1 Jahr interne Ausbildung oder 3 Jahre Fachausbildung (ohne eidg. Anerkennung)</t>
  </si>
  <si>
    <t>Diplom Höhere Fachschulen (HF)</t>
  </si>
  <si>
    <t>Master (Hochschulabschluss)</t>
  </si>
  <si>
    <t>Master (Hochschulabschluss) und funktionsspezifische Zusatzausbildung</t>
  </si>
  <si>
    <t>Master (Hochschulabschluss) und 2 MAS oder FMH-Abschluss</t>
  </si>
  <si>
    <t>Dissertation oder zwei verschiedene Master (Hochschulabschluss)</t>
  </si>
  <si>
    <t xml:space="preserve">Bachelor und MAS (Nachdiplomstudium) </t>
  </si>
  <si>
    <t>Bachelor (alt Fachhochschulabschluss)</t>
  </si>
  <si>
    <t>Master (Hochschulabschluss) und MAS (Nachdiplomstudium)</t>
  </si>
  <si>
    <t>Oblig. Schulbildung und kurze Einarbeitung (weniger als 3 Monate)</t>
  </si>
  <si>
    <t>M501.13</t>
  </si>
  <si>
    <t>Kindergarten</t>
  </si>
  <si>
    <t>Vorschulheilpädagogischer Dienst</t>
  </si>
  <si>
    <t>M401C.14</t>
  </si>
  <si>
    <t>Primar</t>
  </si>
  <si>
    <t>Textilarbeit/Werken</t>
  </si>
  <si>
    <t>Stützunterricht (Lega oder DfF)</t>
  </si>
  <si>
    <t>Musikalischer Grundkurs</t>
  </si>
  <si>
    <t>M402E.14</t>
  </si>
  <si>
    <t>Primar 4. und 5.Kl.</t>
  </si>
  <si>
    <t>M402F.14</t>
  </si>
  <si>
    <t>Lehrperson an Primarschule</t>
  </si>
  <si>
    <t>Allgemein bildende Fächer</t>
  </si>
  <si>
    <t>Textilarbeit/Werken/Hauswirtschaft</t>
  </si>
  <si>
    <t>M403C.12</t>
  </si>
  <si>
    <t>Lehrer/in Sek.I Niv.A (1.-3.Kl., 3 Fächer)</t>
  </si>
  <si>
    <t>M403C.13</t>
  </si>
  <si>
    <t>Lehrer/in Sek.I Niv.A (1.-3.Kl. &lt;3 Fächer)</t>
  </si>
  <si>
    <t>M403D.13</t>
  </si>
  <si>
    <t>Lehrer/in Sek.I Niv.A (1.-3.Kl., Primarpatent)</t>
  </si>
  <si>
    <t>M403E.14</t>
  </si>
  <si>
    <t>Lehrer/in Sek.I Niv.A (1.-3.Kl., Berufslehre+päd.Ausb,&gt;1 Fach)</t>
  </si>
  <si>
    <t>M403E.15</t>
  </si>
  <si>
    <t>Lehrer/in Sek.I Niv.A (1.-3.Kl., Berufslehre+päd.Ausb,1 Fach)</t>
  </si>
  <si>
    <t>M403F.16</t>
  </si>
  <si>
    <t>Lehrer/in Sek.I Niv.A (1.-3.Kl., Berufslehre)</t>
  </si>
  <si>
    <t>M403G.14</t>
  </si>
  <si>
    <t>Lehrer/in Sek.I Niv.A (1.-3.Kl.) (Student&gt;=3Semester)</t>
  </si>
  <si>
    <t>M403G.16</t>
  </si>
  <si>
    <t>Lehrer/in Sek.I Niv.A (1.-3.Kl.) (Student&lt;3Semester)</t>
  </si>
  <si>
    <t>M403H.13</t>
  </si>
  <si>
    <t>Lehrer/in Sek.I Niv.A (1.-3.Kl., Matur/DMS)</t>
  </si>
  <si>
    <t>M403H.14</t>
  </si>
  <si>
    <t>M404B.12</t>
  </si>
  <si>
    <t>Textilarbeit/Werken/Hauswirtschaft (BWK+Lehrbefähig.SekI)</t>
  </si>
  <si>
    <t>M404C.12</t>
  </si>
  <si>
    <t>Lehrer/in Sek.I Niv.A (4.Kl.)</t>
  </si>
  <si>
    <t>M404D.11</t>
  </si>
  <si>
    <t>Lehrer/in Sek.I Niv.A (4.Kl., &gt;=3Fächer+BWK)</t>
  </si>
  <si>
    <t>M404D.12</t>
  </si>
  <si>
    <t>Lehrer/in Sek.I Niv.A (4.Kl., 2 Fächer)</t>
  </si>
  <si>
    <t>M404D.13</t>
  </si>
  <si>
    <t>Lehrer/in Sek.I Niv.A (4.Kl., 1 Fach)</t>
  </si>
  <si>
    <t>M404E.13</t>
  </si>
  <si>
    <t>Lehrer/in Sek.I Niv.A (4.Kl., nur Primarlehrpatent)</t>
  </si>
  <si>
    <t>M404F.14</t>
  </si>
  <si>
    <t>Lehrer/in Sek.I Niv.A (4.Kl.,Berufslehre+päd.Ausb,&gt;1 Fach)</t>
  </si>
  <si>
    <t>M404F.15</t>
  </si>
  <si>
    <t>Lehrer/in Sek.I Niv.A (4.Kl.,Lehrausweis, 1 Fach)</t>
  </si>
  <si>
    <t>M404G.16</t>
  </si>
  <si>
    <t>Lehrer/in Sek.I Niv.A (4.Kl.,Berufslehre)</t>
  </si>
  <si>
    <t>M404H.14</t>
  </si>
  <si>
    <t>Lehrer/in Sek.I Niv.A (4.Kl.) (Student&gt;=3Semester)</t>
  </si>
  <si>
    <t>M404H.16</t>
  </si>
  <si>
    <t>Lehrer/in Sek.I Niv.A (4.Kl.) (Student&lt;3Semester)</t>
  </si>
  <si>
    <t>M405B.11</t>
  </si>
  <si>
    <t>M405C.12</t>
  </si>
  <si>
    <t>Lehrer/in an Kleinklassen (Sek.I-Niveau-Patent)</t>
  </si>
  <si>
    <t>M405C.13</t>
  </si>
  <si>
    <t>Lehrer/in an Kleinklassen (nur Primarlehrpatent)</t>
  </si>
  <si>
    <t>M405D.11</t>
  </si>
  <si>
    <t>Lehrer/in an Kleinklassen (Oberstufe,Sek.I,Niv.A-Patent)</t>
  </si>
  <si>
    <t>M405D.12</t>
  </si>
  <si>
    <t>Lehrer/in an Kleinklassen (Unterstufe,Primar+Heilpäd.)</t>
  </si>
  <si>
    <t>M405E.12</t>
  </si>
  <si>
    <t>Lehrer/in an Kleinklassen / Fremdsprachenklasse</t>
  </si>
  <si>
    <t>Fachlehrperson (Ausbildung Werkseminar)</t>
  </si>
  <si>
    <t>M406B.14</t>
  </si>
  <si>
    <t>Fachlehrperson (Berufslehre)</t>
  </si>
  <si>
    <t>M406C.11</t>
  </si>
  <si>
    <t>Textilarbeit/Werken/Hausw.(Lehrpatent Sek.IA+BWK)</t>
  </si>
  <si>
    <t>Textilarbeit/Werken/Hausw.(Lehrpatent Sek.IA)</t>
  </si>
  <si>
    <t>M406E.11</t>
  </si>
  <si>
    <t>Lehrer/in am Werkjahr (Primarpatent+Heilpäd)</t>
  </si>
  <si>
    <t>M406F.11</t>
  </si>
  <si>
    <t>Lehrer/in am Werkjahr (Primarpatent+Sek.IA+BWK)</t>
  </si>
  <si>
    <t>M406F.12</t>
  </si>
  <si>
    <t>Lehrer/in am Werkjahr (Primarpatent+ Sek.IA oder BWK)</t>
  </si>
  <si>
    <t>M406F.13</t>
  </si>
  <si>
    <t>Lehrer/in am Werkjahr (Primarpatent)</t>
  </si>
  <si>
    <t>M406G.11</t>
  </si>
  <si>
    <t>Lehrer/in am Werkjahr (Primarpatent+Sek.IA+Heilpäd.)</t>
  </si>
  <si>
    <t>M406G.12</t>
  </si>
  <si>
    <t>Lehrer/in am Werkjahr (Primarpatent+Heilpäd.)</t>
  </si>
  <si>
    <t>M406H.14</t>
  </si>
  <si>
    <t>Lehrer/in am Werkjahr (Ausbildung Werkseminar)</t>
  </si>
  <si>
    <t>M406H.15</t>
  </si>
  <si>
    <t>Lehrer/in am Werkjahr (Berufslehre)</t>
  </si>
  <si>
    <t>Typ A (Lehrberecht.in 3 Fächer, mehrheitl.wiss.Fächer)</t>
  </si>
  <si>
    <t>M407A.11</t>
  </si>
  <si>
    <t>Typ A (Lehrberecht.in 3 Fächer, mehrheitl.nicht-wiss.Fächer)</t>
  </si>
  <si>
    <t>Typ B (Lehrberecht.in 2 Fächer, mehrheitl.wiss.Fächer)</t>
  </si>
  <si>
    <t>M407B.12</t>
  </si>
  <si>
    <t>Typ B (Lehrberecht.in 2 Fächer, mehrheitl.nicht-wiss.Fächer)</t>
  </si>
  <si>
    <t>Typ C (Lehrberecht.in einem wissenschaftl. Fach)</t>
  </si>
  <si>
    <t>M407E.14</t>
  </si>
  <si>
    <t>Lehrer/in Sek.I (Student&gt;=3Semester)</t>
  </si>
  <si>
    <t>M407E.16</t>
  </si>
  <si>
    <t>Lehrer/in Sek.I (Student&lt;3Semester)</t>
  </si>
  <si>
    <t>M407F.10</t>
  </si>
  <si>
    <t>Lehrer/in Sek.I (&gt;=3 Fächer)</t>
  </si>
  <si>
    <t>M407F.11</t>
  </si>
  <si>
    <t>Lehrer/in Sek.I (=2 Fächer)</t>
  </si>
  <si>
    <t>M407F.12</t>
  </si>
  <si>
    <t>Lehrer/in Sek.I (ein wiss. Fach)</t>
  </si>
  <si>
    <t>M407F.13</t>
  </si>
  <si>
    <t>Lehrer/in Sek.I (ein nicht-wiss. Fach)</t>
  </si>
  <si>
    <t>M407G.13</t>
  </si>
  <si>
    <t>Lehrer/in Sek.I (Primarlehrpatent)</t>
  </si>
  <si>
    <t>M407H.12</t>
  </si>
  <si>
    <t>Lehrer/in Sek.I (Liz./Master, &gt;=2 Fächer)</t>
  </si>
  <si>
    <t>M407H.13</t>
  </si>
  <si>
    <t>Lehrer/in Sek.I (Liz./Master, 1 Fach)</t>
  </si>
  <si>
    <t>M407I.14</t>
  </si>
  <si>
    <t>Lehrer/in Sek.I (Berufslehre+päd.Ausb.,&gt;=2 Fächer)</t>
  </si>
  <si>
    <t>M407I.15</t>
  </si>
  <si>
    <t>Lehrer/in Sek.I (Berufslehre+päd.Ausb.,1 Fach)</t>
  </si>
  <si>
    <t>M407J.16</t>
  </si>
  <si>
    <t>Lehrer/in Sek.I (Berufslehre)</t>
  </si>
  <si>
    <t>Wissenschaftliches Fach (inkl. Sporttheorie)</t>
  </si>
  <si>
    <t>M408B.09</t>
  </si>
  <si>
    <t>Sport II mit wissenschaftlichem Fach (Sport II mit wissenschaftl.Fach)</t>
  </si>
  <si>
    <t>Sport mit wissenschaftlichem Fach (Sport II+Sek.I-Patent)</t>
  </si>
  <si>
    <t>Kunst I (Kunststudium+höheres Lehramt/Sek.II)</t>
  </si>
  <si>
    <t>Kunst II (Kunststudium+höheres Lehramt/Sek.II)</t>
  </si>
  <si>
    <t>M408H.11</t>
  </si>
  <si>
    <t>Sport (Turnen, Sport II-Diplom +zus.Fach)</t>
  </si>
  <si>
    <t>M408H.12</t>
  </si>
  <si>
    <t>Sport (Turnen, Sport II-Diplom)</t>
  </si>
  <si>
    <t>M408H.13</t>
  </si>
  <si>
    <t>Sport (Turnen, Sport I-Diplom)</t>
  </si>
  <si>
    <t>M408H.14</t>
  </si>
  <si>
    <t>Sport (Turnen) (Student&gt;=3Semester)</t>
  </si>
  <si>
    <t>M408H.15</t>
  </si>
  <si>
    <t>Sport (Turnen) (Student&lt;3Semester)</t>
  </si>
  <si>
    <t>Lehrberecht.Sek. I E/P, &gt;=3 Fächer</t>
  </si>
  <si>
    <t>M408I.11</t>
  </si>
  <si>
    <t>Lehrberecht.Sek. I E/P, 2 Fächer</t>
  </si>
  <si>
    <t>M408I.12</t>
  </si>
  <si>
    <t>Lehrberecht.Sek. I E/P, 1 wiss.Fach</t>
  </si>
  <si>
    <t>M408I.13</t>
  </si>
  <si>
    <t>Lehrberecht.Sek. I E/P, 1 nicht-wiss.Fach</t>
  </si>
  <si>
    <t>M408K.10</t>
  </si>
  <si>
    <t>Unterricht ohne Lehrdiplom (wissenschaftl. Liz./Master)</t>
  </si>
  <si>
    <t>Unterricht ohne Lehrdiplom (wissenschaftl. Bachelor)</t>
  </si>
  <si>
    <t>M408L.11</t>
  </si>
  <si>
    <t>Unterricht ohne Lehrdiplom (Liz./Master Kunst)</t>
  </si>
  <si>
    <t>M408L.13</t>
  </si>
  <si>
    <t>Unterricht ohne Lehrdiplom (Bachelor Kunst)</t>
  </si>
  <si>
    <t>M408M.12</t>
  </si>
  <si>
    <t>Unterricht ohne Lehrdiplom (Instrumental/Master)</t>
  </si>
  <si>
    <t>M408M.13</t>
  </si>
  <si>
    <t>Unterricht ohne Lehrdiplom (Instrumental/Bachelor)</t>
  </si>
  <si>
    <t>M408N.13</t>
  </si>
  <si>
    <t>Lehrer/inmit Berufslehre+Lehrausweis &gt;=2 Fächer</t>
  </si>
  <si>
    <t>M408N.14</t>
  </si>
  <si>
    <t>Lehrer/inmit Berufslehre+Lehrausweis 1 Fach</t>
  </si>
  <si>
    <t>Wissenschaftliches Fach  (Liz/Master+Oberlehrer/SekII)</t>
  </si>
  <si>
    <t>Wissenschaftliches Fach  (Bachelor+SIBP/Berufsschullehrer)</t>
  </si>
  <si>
    <t>Sport II mit wissenschaftlichem Fach (wiss.Unterricht)</t>
  </si>
  <si>
    <t>Sport II mit wissenschaftlichem Fach (Sportunterricht)</t>
  </si>
  <si>
    <t>Sport mit wissenschaftlichem Fach (Sport II mit wissenschaftlichem Fach auf Sek.-Stu I)</t>
  </si>
  <si>
    <t>Allg.bildende Fächer (Primarlehrpat+SIBP oder Sek.II-Patent)</t>
  </si>
  <si>
    <t>M409E.11</t>
  </si>
  <si>
    <t>Allg.bildende Fächer (Master ohne päd.Ausbildung)</t>
  </si>
  <si>
    <t>Berufskundliche Fächer (Bachelor+SIBP)</t>
  </si>
  <si>
    <t>Berufskundliche Fächer (Meisterprüfung+SIBP)</t>
  </si>
  <si>
    <t>Sport mit allgemein bildendem Fach (Sport II mit wissenschaftl.Fach auf SekStufe I)</t>
  </si>
  <si>
    <t>Sport (Sport II)</t>
  </si>
  <si>
    <t>Allgemein bildende Fächer Vorlehre (Sek.I A+BWK+Heilpäd.)</t>
  </si>
  <si>
    <t>M409K.10</t>
  </si>
  <si>
    <t>Sek. I-Lehrperson (Sek.I A, &gt;=3 Fächer)</t>
  </si>
  <si>
    <t>M409K.11</t>
  </si>
  <si>
    <t>Sek. I-Lehrperson (Sek.I A, 2 Fächer)</t>
  </si>
  <si>
    <t>M409K.12</t>
  </si>
  <si>
    <t>Sek. I-Lehrperson (Sek.I A, 1 wiss. Fach)</t>
  </si>
  <si>
    <t>M409K.13</t>
  </si>
  <si>
    <t>Sek. I-Lehrperson (Sek.I A, 1 nicht.-wiss. Fach)</t>
  </si>
  <si>
    <t>M409L.12</t>
  </si>
  <si>
    <t>Primarlehrperson Berufsschule</t>
  </si>
  <si>
    <t>M409M.11</t>
  </si>
  <si>
    <t>Berufskundliche Fächer (Bachelor/Liz.+SIBP)</t>
  </si>
  <si>
    <t>Berufskundliche Fächer (Bachelor/Liz.ohne SIBP)</t>
  </si>
  <si>
    <t>M409N.12</t>
  </si>
  <si>
    <t>Berufskundliche Fächer (Bachelor/Liz.+SIBP-DIK II-Kurs)</t>
  </si>
  <si>
    <t>M409N.13</t>
  </si>
  <si>
    <t>Berufskundliche Fächer (Bachelor/Liz.+SIBP-DIK I-Kurs)</t>
  </si>
  <si>
    <t>M409N.14</t>
  </si>
  <si>
    <t>M409O.11</t>
  </si>
  <si>
    <t>Unterricht ohne Lehrdiplom (Liz./Master wissenschaftl.)</t>
  </si>
  <si>
    <t>M409O.12</t>
  </si>
  <si>
    <t>Unterricht ohne Lehrdiplom (Bachelor wissenschaftl.)</t>
  </si>
  <si>
    <t>M409P.13</t>
  </si>
  <si>
    <t>Lehrer/in (Berufslehre+päd.Ausb,&gt;=2 Fächer)</t>
  </si>
  <si>
    <t>M409P.14</t>
  </si>
  <si>
    <t>Lehrer/in (Berufslehre+päd.Ausb,1 Fach)</t>
  </si>
  <si>
    <t>M409Q.11</t>
  </si>
  <si>
    <t>Vorlehre (Primarlehrer+Heil.Päd oder Berufberater oder Sek.IA)</t>
  </si>
  <si>
    <t>M409R.10</t>
  </si>
  <si>
    <t>Wissenschaftliches Fach (Primarpatent+SIBP)</t>
  </si>
  <si>
    <t>Musikunterricht (Liz./Master+Lehrpatent AGJM)</t>
  </si>
  <si>
    <t>M411A.13</t>
  </si>
  <si>
    <t>Musikunterricht (Bachelor+Lehrpatent AGJM)</t>
  </si>
  <si>
    <t>M411A.15</t>
  </si>
  <si>
    <t>Musikunterricht (Bachelor ohne Lehrpatent AGJM)</t>
  </si>
  <si>
    <t>KTSI (Bachelor + SIBP)</t>
  </si>
  <si>
    <t>Kindergarten ohne VSH</t>
  </si>
  <si>
    <t>Kindergarten mit VSH</t>
  </si>
  <si>
    <t>Primarschule ohne ISF und KK</t>
  </si>
  <si>
    <t>Primarschule mit ISF und KK</t>
  </si>
  <si>
    <t>Sekundarschule (inkl. Werkjahr)</t>
  </si>
  <si>
    <t>Kindergarten ohne VSH (TZ)</t>
  </si>
  <si>
    <t>Kindergarten mit VSH (TZ)</t>
  </si>
  <si>
    <t>Primarschule ohne ISF und KK (TZ)</t>
  </si>
  <si>
    <t>Primarschule mit ISF und KK (TZ)</t>
  </si>
  <si>
    <t>Sekundarschule (inkl. Werkjahr, TZ)</t>
  </si>
  <si>
    <t>M401S.12</t>
  </si>
  <si>
    <t>M401S.11</t>
  </si>
  <si>
    <t>M402S.11</t>
  </si>
  <si>
    <t>M402S.10</t>
  </si>
  <si>
    <t>M403S.09</t>
  </si>
  <si>
    <t>M401T.12</t>
  </si>
  <si>
    <t>M401T.11</t>
  </si>
  <si>
    <t>M402T.11</t>
  </si>
  <si>
    <t>M402T.10</t>
  </si>
  <si>
    <t>M403T.09</t>
  </si>
  <si>
    <t>Krankenpflege FAGE / FA SRK</t>
  </si>
  <si>
    <t xml:space="preserve">Krankenpflege FAGE / FA SRK </t>
  </si>
  <si>
    <t>M414B.13</t>
  </si>
  <si>
    <t>M414A.13</t>
  </si>
  <si>
    <t>Logopädie</t>
  </si>
  <si>
    <t>Psychomotorik</t>
  </si>
  <si>
    <t>Berechnung des zusätzlichen A2-Abzugs bei Nichterreichen des Ausbildungsniveaus gem. Modellumschreibung</t>
  </si>
  <si>
    <t>C</t>
  </si>
  <si>
    <t>B</t>
  </si>
  <si>
    <t>A</t>
  </si>
  <si>
    <t>G</t>
  </si>
  <si>
    <t>L</t>
  </si>
  <si>
    <t>X</t>
  </si>
  <si>
    <t>MU-Bezeichnung</t>
  </si>
  <si>
    <t>Ausbildungen</t>
  </si>
  <si>
    <t>Handelsschule/KV M-Strang</t>
  </si>
  <si>
    <t>Handelsschule/KV E-Strang Sport und wiss. Fach</t>
  </si>
  <si>
    <t>Handelsschule/KV M-Strang Sport und wiss. Fach</t>
  </si>
  <si>
    <t>Handelsschule/KV E-Strang</t>
  </si>
  <si>
    <t>Handelsschule/KV G-Strang</t>
  </si>
  <si>
    <t>Handelsschule/KV G-Strang Sport und wiss. Fach</t>
  </si>
  <si>
    <t>Handelsschule/KV Kunst</t>
  </si>
  <si>
    <t>Handelsschule/KV Warenkunde</t>
  </si>
  <si>
    <t>Handelsschule/KV Verkaufskunde</t>
  </si>
  <si>
    <t>M410A.09</t>
  </si>
  <si>
    <t>M410D.10</t>
  </si>
  <si>
    <t>M410B.10</t>
  </si>
  <si>
    <t>M410C.09</t>
  </si>
  <si>
    <t>M410D.09</t>
  </si>
  <si>
    <t>M410E.10</t>
  </si>
  <si>
    <t>M410F.12</t>
  </si>
  <si>
    <t>M410G.13</t>
  </si>
  <si>
    <t>M410H.10</t>
  </si>
  <si>
    <t>M410I.11</t>
  </si>
  <si>
    <t>M410J.13</t>
  </si>
  <si>
    <t>M410K.13</t>
  </si>
  <si>
    <t>M410B.09</t>
  </si>
  <si>
    <t>M103.11c</t>
  </si>
  <si>
    <t>Revisionsleitung 1</t>
  </si>
  <si>
    <t>M103.09c</t>
  </si>
  <si>
    <t>Revisionsleitung 2</t>
  </si>
  <si>
    <t>M103.08c</t>
  </si>
  <si>
    <t>103 c</t>
  </si>
  <si>
    <t>Revisionsbereichsleitung</t>
  </si>
  <si>
    <t>Berufskundliche Fächer (Meister ohne SIBP-Kurs)</t>
  </si>
  <si>
    <t>M407L.10</t>
  </si>
  <si>
    <t>M407M.11</t>
  </si>
  <si>
    <t>M407M.12</t>
  </si>
  <si>
    <t>Lehrer/in Sek.I Niveau A, E &amp; P mit mind. 3 Fächer</t>
  </si>
  <si>
    <t>Lehrer/in Sek.I Niveau A, E &amp; P mit 2 Fächer</t>
  </si>
  <si>
    <t>Lehrer/in Sek.I Niveau A, E &amp; P mit nichtwiss.2 Fächer</t>
  </si>
  <si>
    <t>M407L.11</t>
  </si>
  <si>
    <t>Lehrer/in Sek.I Niveau A, E &amp; P mit mind. 3 Fächer nichtwiss.</t>
  </si>
  <si>
    <t>M409H.12</t>
  </si>
  <si>
    <t>Sport (Sport II mit Primarlehrerpatent)</t>
  </si>
  <si>
    <t>M409L.11</t>
  </si>
  <si>
    <t>Primarlehrperson Berufsschule mit Sek I, Niveau A</t>
  </si>
  <si>
    <t>Primarlehrperson Berufsschule mit Sek.I Niv.A &amp; SIBP</t>
  </si>
  <si>
    <t>M409L.13</t>
  </si>
  <si>
    <t>M409M.13</t>
  </si>
  <si>
    <t>Typ K (Monofach Sport Sek. I)</t>
  </si>
  <si>
    <t>Monofach Sport II auf Sek.-Stufe II</t>
  </si>
  <si>
    <t>M408O.10</t>
  </si>
  <si>
    <t>M407K.12</t>
  </si>
  <si>
    <t>M408I.10</t>
  </si>
  <si>
    <t>Typ D (Lehrberecht.in einem nichtwiss.Fach)</t>
  </si>
  <si>
    <t>M410L.12</t>
  </si>
  <si>
    <t>M410M.11</t>
  </si>
  <si>
    <t>M410N.13</t>
  </si>
  <si>
    <t>M410O.12</t>
  </si>
  <si>
    <t>M410O.13</t>
  </si>
  <si>
    <t>M410O.14</t>
  </si>
  <si>
    <t>M410O.15</t>
  </si>
  <si>
    <t>Handelsschule/KV Hausw./Ernähr.</t>
  </si>
  <si>
    <t>Handelsschule/KV Musik</t>
  </si>
  <si>
    <t>Handelsschule/KV Informatik</t>
  </si>
  <si>
    <t>Handelsschule/KV Sport II</t>
  </si>
  <si>
    <t>Handelsschule/KV Sport I</t>
  </si>
  <si>
    <t>Handelsschule/KV Sportstud. &gt;3Sem</t>
  </si>
  <si>
    <t xml:space="preserve">Handelsschule/KV Sportstud. </t>
  </si>
  <si>
    <t>M103.10c</t>
  </si>
  <si>
    <t>M405B.12</t>
  </si>
  <si>
    <t>Kleinklasse/ISF Oberstufe (nur Diplom Sek.I Niveau A)</t>
  </si>
  <si>
    <t>M407K.13</t>
  </si>
  <si>
    <t>Typ K (Monofach Sport Sek. I, mit Bachelor ohne Lehrdiplom)</t>
  </si>
  <si>
    <t>M407N.12</t>
  </si>
  <si>
    <t>M407N.13</t>
  </si>
  <si>
    <t>Lehrer/in Sek.I Niveau A, E &amp; P Monofach wiss.</t>
  </si>
  <si>
    <t>Lehrer/in Sek.I Niveau A, E &amp; P Monofach nicht-wiss.</t>
  </si>
  <si>
    <t>Kleinklasse/ISF Oberstufe (Heilpäd. ohne Diplom Sek.I)</t>
  </si>
  <si>
    <t>Eidg. Berufsprüfung/Eidg. Fachausweis, Handels- und Informatikmittelschulabschluss</t>
  </si>
  <si>
    <t>Eidg. Berufsprüfung/Eidg. Fachausweis B</t>
  </si>
  <si>
    <t>Eidg. Diplom, höhere Fachprüfung oder Diplom HF und NDS HF</t>
  </si>
  <si>
    <t>Eidg. Diplom, höhere Fachprüfung und funktionsspezifische Zusatzausbildung</t>
  </si>
  <si>
    <t>M408K.13</t>
  </si>
  <si>
    <t>M408K.14</t>
  </si>
  <si>
    <t>Unterricht ohne Lehrdiplom (wissenschaftl. &gt;=3 Semester Fachstudium)</t>
  </si>
  <si>
    <t>M103.08a</t>
  </si>
  <si>
    <t>M602.17a</t>
  </si>
  <si>
    <t>M602.17b</t>
  </si>
  <si>
    <t>M602.18a</t>
  </si>
  <si>
    <t>M602.18b</t>
  </si>
  <si>
    <t>602 a</t>
  </si>
  <si>
    <t>602 b</t>
  </si>
  <si>
    <t>313 a</t>
  </si>
  <si>
    <t>313 b</t>
  </si>
  <si>
    <t>203 a/b</t>
  </si>
  <si>
    <t>M410F.10</t>
  </si>
  <si>
    <t>M501.14</t>
  </si>
  <si>
    <t>M501.09</t>
  </si>
  <si>
    <t>Untersuchungsfunktion WK II</t>
  </si>
  <si>
    <t>M501.10</t>
  </si>
  <si>
    <t>Untersuchungsfunktion III</t>
  </si>
  <si>
    <t>Untersuchungsfunktion II</t>
  </si>
  <si>
    <t>Untersuchungsfunktion WK I</t>
  </si>
  <si>
    <t>Untersuchungsfunktion I</t>
  </si>
  <si>
    <t>M504.07a</t>
  </si>
  <si>
    <t>Staatsanwalt/-anwältin III</t>
  </si>
  <si>
    <t>M504.07b</t>
  </si>
  <si>
    <t>Staatsanwalt/-anwältin WK</t>
  </si>
  <si>
    <t>M504.08a</t>
  </si>
  <si>
    <t>Staatsanwalt/-anwältin II</t>
  </si>
  <si>
    <t>M504.08c</t>
  </si>
  <si>
    <t>Staatsanwalt/-anwältin GK/RV/StB</t>
  </si>
  <si>
    <t>Staatsanwalt/-anwältin I</t>
  </si>
  <si>
    <t>Bachelor und eidg. dipl. Wirtschaftsprüfer/in</t>
  </si>
  <si>
    <t>Direktion/Dienststelle</t>
  </si>
  <si>
    <t>M402.PS</t>
  </si>
  <si>
    <t>Lehrperson Primarstufe</t>
  </si>
  <si>
    <t>M402A.PS</t>
  </si>
  <si>
    <t>Lehrperson Primarstufe (Lehrdipl. andere Schulstufe Volkssch.)</t>
  </si>
  <si>
    <t>M402B.PS</t>
  </si>
  <si>
    <t>Lehrperson Primarstufe (Lehrdipl. andere Schulstufe ausserh. Volkssch.)</t>
  </si>
  <si>
    <t>M402C.PS</t>
  </si>
  <si>
    <t>Lehrperson Primarstufe (in Ausb. - min. 3 Sem.)</t>
  </si>
  <si>
    <t>Hälfte des Studiums zum Lehrdipl. Kindergarten/Primarschule abgeschlossen</t>
  </si>
  <si>
    <t>M402D.PS</t>
  </si>
  <si>
    <t>Lehrperson Primarstufe (päd. Ausb. - BA/MA)</t>
  </si>
  <si>
    <t>M402E.PS</t>
  </si>
  <si>
    <t>Lehrperson Primarstufe (Monofach)</t>
  </si>
  <si>
    <t>M402F.PS</t>
  </si>
  <si>
    <t>Lehrperson Primarstufe (k. Lehrdiplom)</t>
  </si>
  <si>
    <t>M402G.PS</t>
  </si>
  <si>
    <t>Lehrperson Primarstufe (Mehrjahrgangsklassen)</t>
  </si>
  <si>
    <t>M407.S1</t>
  </si>
  <si>
    <t>Lehrperson Sek I</t>
  </si>
  <si>
    <t>M407A.S1</t>
  </si>
  <si>
    <t>Lehrperson Sek I (Lehrdipl. 2 Fächer)</t>
  </si>
  <si>
    <t>M407B.S1</t>
  </si>
  <si>
    <t>Lehrperson Sek I (Lehrdipl. 1 Fächer)</t>
  </si>
  <si>
    <t>M407C.S1</t>
  </si>
  <si>
    <t>Lehrperson Sek I (Lehrdipl. Niveau A)</t>
  </si>
  <si>
    <t>M407D.S1</t>
  </si>
  <si>
    <t>Lehrperson Sek I (Lehrdipl. Niveau A m. BWK/CAS)</t>
  </si>
  <si>
    <t>M407E.S1</t>
  </si>
  <si>
    <t>Lehrperson Sek I (Lehrdipl. andere Schulstufe Volkssch.)</t>
  </si>
  <si>
    <t>M408.S2</t>
  </si>
  <si>
    <t>Lehrperson Sek II Gym/FMS</t>
  </si>
  <si>
    <t>M408A.S2</t>
  </si>
  <si>
    <t>Lehrperson Sek II Gym/FMS (ohne Lehrdipl.)</t>
  </si>
  <si>
    <t>M408B.S2</t>
  </si>
  <si>
    <t>Lehrperson Sek II Gym/FMS (Lehrdipl. Sek. I)</t>
  </si>
  <si>
    <t>M408C.S2</t>
  </si>
  <si>
    <t>Lehrperson Sek II Gym/FMS (Lehrdipl. Primarstufe)</t>
  </si>
  <si>
    <t>M408D.S2</t>
  </si>
  <si>
    <t>Lehrperson Sek II Gym/FMS (in Ausb. - min 1/2 der Fachwissenschaftl. Ausb.)</t>
  </si>
  <si>
    <t>Hälfte der fachwissenschaftlichen Ausb. abgeschlossen</t>
  </si>
  <si>
    <t>M408E.S2</t>
  </si>
  <si>
    <t>Lehrperson Sek II Gym/FMS (k. stufengerechte u. pädagogische Ausb.)</t>
  </si>
  <si>
    <t>M103.12c</t>
  </si>
  <si>
    <t>Revisionsleitung</t>
  </si>
  <si>
    <t>M407.14b</t>
  </si>
  <si>
    <t>fehlende Weiterbildung</t>
  </si>
  <si>
    <t>LB</t>
  </si>
  <si>
    <t>EW</t>
  </si>
  <si>
    <t>Strasse / Nummer</t>
  </si>
  <si>
    <t>Name</t>
  </si>
  <si>
    <t>Vorname</t>
  </si>
  <si>
    <t>Postleitzahl</t>
  </si>
  <si>
    <t>Ort</t>
  </si>
  <si>
    <t>Geburtsdatum</t>
  </si>
  <si>
    <t>Techn. Eintrittsdatum</t>
  </si>
  <si>
    <t>Personen-ID</t>
  </si>
  <si>
    <t>Vertragsnummer</t>
  </si>
  <si>
    <t>Lohnband</t>
  </si>
  <si>
    <t>Vertragsart</t>
  </si>
  <si>
    <t>Probezeit</t>
  </si>
  <si>
    <t>Weitere Bemerkungen</t>
  </si>
  <si>
    <t>Nationalität</t>
  </si>
  <si>
    <t>Zivilstand</t>
  </si>
  <si>
    <t>Personaldaten</t>
  </si>
  <si>
    <t>ledig</t>
  </si>
  <si>
    <t>verheiratet</t>
  </si>
  <si>
    <t>geschieden</t>
  </si>
  <si>
    <t>getrennt</t>
  </si>
  <si>
    <t>Eingetragene Partnerschaft</t>
  </si>
  <si>
    <t>Aufgelöste Partnerschaft</t>
  </si>
  <si>
    <t>verwitwet</t>
  </si>
  <si>
    <t>Tod Partnerschaft</t>
  </si>
  <si>
    <t>Gew. Bewilligung</t>
  </si>
  <si>
    <t>Meldeverfahren</t>
  </si>
  <si>
    <t>Kreuz</t>
  </si>
  <si>
    <t>Zeitwirtschaft</t>
  </si>
  <si>
    <t>SAP</t>
  </si>
  <si>
    <t>Ausbildung</t>
  </si>
  <si>
    <t>34 anderes</t>
  </si>
  <si>
    <t>50 Kindergarten</t>
  </si>
  <si>
    <t>52 Primarschule</t>
  </si>
  <si>
    <t>55 Kleinklassen</t>
  </si>
  <si>
    <t>56 Werkjahr</t>
  </si>
  <si>
    <t>57 Sek I Niveau E + P</t>
  </si>
  <si>
    <t>59 Gym Sport II + wiss.</t>
  </si>
  <si>
    <t>60 Gym Kunst I</t>
  </si>
  <si>
    <t>61 Gym Kunst II</t>
  </si>
  <si>
    <t>62 Gym Instrumental</t>
  </si>
  <si>
    <t>64 Gym Sport</t>
  </si>
  <si>
    <t>65 Gym Lehrberechtigung</t>
  </si>
  <si>
    <t>67 Gym Kunst ohne päd.</t>
  </si>
  <si>
    <t>69 Gym mit Berufslehre</t>
  </si>
  <si>
    <t>73 BFS Fachabteilung</t>
  </si>
  <si>
    <t>74 BFS Vorlehre</t>
  </si>
  <si>
    <t>Unbefristet</t>
  </si>
  <si>
    <t>Befristet</t>
  </si>
  <si>
    <t>Ausbildungsvertrag</t>
  </si>
  <si>
    <t>Diverse</t>
  </si>
  <si>
    <t xml:space="preserve"> </t>
  </si>
  <si>
    <t>Index Formular</t>
  </si>
  <si>
    <t>Tabellen wurden benamst und sind mit Namen als DropDown im Stammdatenblatt verlinkt! Durch direkten Bezug verlieren Sie den Bezug beim schliessen und erneuten öffnen des Dokuments (Bug)</t>
  </si>
  <si>
    <t>Erfahrungswert</t>
  </si>
  <si>
    <t>massgebende Jahre für EW</t>
  </si>
  <si>
    <t>gerundet, Jahre für EW-Berechnung</t>
  </si>
  <si>
    <t>Lohnberechnung</t>
  </si>
  <si>
    <t>Musikschule</t>
  </si>
  <si>
    <t>Kindergarten / Primarschule</t>
  </si>
  <si>
    <t>Änderung Rahmenvertrag</t>
  </si>
  <si>
    <t>Anpassung aufgrund Ausbildungsabschluss</t>
  </si>
  <si>
    <t>Anstellung</t>
  </si>
  <si>
    <t>befristet</t>
  </si>
  <si>
    <t>unbefristet</t>
  </si>
  <si>
    <t>infolge Aufgabenstellung</t>
  </si>
  <si>
    <t>Ausbildung ist unvollständig</t>
  </si>
  <si>
    <t>Anstellung ab:</t>
  </si>
  <si>
    <t>Bandbreite von</t>
  </si>
  <si>
    <t>erteilte Wochenlektionen</t>
  </si>
  <si>
    <t>(nur bei unbefristetem Vertrag, max 4 Lektionen)</t>
  </si>
  <si>
    <t>Beilagen:</t>
  </si>
  <si>
    <t>Gemeinde</t>
  </si>
  <si>
    <t>Anzahl Lektionen</t>
  </si>
  <si>
    <t>Total Pensum</t>
  </si>
  <si>
    <t>MU</t>
  </si>
  <si>
    <t>Ja</t>
  </si>
  <si>
    <t>Nein</t>
  </si>
  <si>
    <t>Einsatz als Stellvertretung für</t>
  </si>
  <si>
    <t>Kompetenz der Schulleitung</t>
  </si>
  <si>
    <t>Krankheit</t>
  </si>
  <si>
    <t>Unfall</t>
  </si>
  <si>
    <t>Kompensation</t>
  </si>
  <si>
    <t>Militärdienst</t>
  </si>
  <si>
    <t>Zivilschutzdienst</t>
  </si>
  <si>
    <t>Urlaub bezahlt</t>
  </si>
  <si>
    <t>Urlaub unbezahlt</t>
  </si>
  <si>
    <t>Mentorat (401179) / Fachperson (401175)*</t>
  </si>
  <si>
    <t>Lektionen:</t>
  </si>
  <si>
    <t>Regelung</t>
  </si>
  <si>
    <t>Die geleisteten Lektionen werden ausbezahlt</t>
  </si>
  <si>
    <t>Die geleisteten Lektionen werden der Lektionenbuchhaltung gutgeschrieben:</t>
  </si>
  <si>
    <t>BegründungFürBefristung</t>
  </si>
  <si>
    <t>EntscheidDesAmtesDürVolksschulen</t>
  </si>
  <si>
    <t>ESSprungManuell</t>
  </si>
  <si>
    <t>Anstellungsformular Kindergarten / Primarschule</t>
  </si>
  <si>
    <t>Unterricht:</t>
  </si>
  <si>
    <t>Schul- / Kindergartentyp</t>
  </si>
  <si>
    <t>SchulKindergartenTyp</t>
  </si>
  <si>
    <t>Kreiskindergarten</t>
  </si>
  <si>
    <t>Primarschule</t>
  </si>
  <si>
    <t>Kreisprimarschule</t>
  </si>
  <si>
    <t>Regelunterricht</t>
  </si>
  <si>
    <t>DaZ</t>
  </si>
  <si>
    <t>Vorschulheilpädagogik</t>
  </si>
  <si>
    <t>3. Klasse</t>
  </si>
  <si>
    <t>HW / TW</t>
  </si>
  <si>
    <t>Förderunterricht</t>
  </si>
  <si>
    <t>Kleinklasse</t>
  </si>
  <si>
    <t>Begabungs- und Begabtenförderung</t>
  </si>
  <si>
    <t>Sozialpäd. Unterstützung</t>
  </si>
  <si>
    <t>Anzahl Lektionen Mehrjahrgangsklassenentschädigung:</t>
  </si>
  <si>
    <t>(Grundlage: §15 der Verordnung über die Schulvergütungen / SGS 156.11)</t>
  </si>
  <si>
    <t>SekTyp</t>
  </si>
  <si>
    <t>Sekundarschule</t>
  </si>
  <si>
    <t>Werkjahr</t>
  </si>
  <si>
    <t>Niveau E &amp; P</t>
  </si>
  <si>
    <t>Niveau A</t>
  </si>
  <si>
    <t>Lektionen bisher</t>
  </si>
  <si>
    <t>ab Datum</t>
  </si>
  <si>
    <t>Lektionen neu</t>
  </si>
  <si>
    <t>Neue Planstelle</t>
  </si>
  <si>
    <t>Lektionenrahmen bisher</t>
  </si>
  <si>
    <t>Lektionenrahmen neu</t>
  </si>
  <si>
    <t>1 Universität / HS</t>
  </si>
  <si>
    <t>2 Höhere Fachschule</t>
  </si>
  <si>
    <t>3 Höhere Berufsausbild</t>
  </si>
  <si>
    <t>4 Lehrerpatent</t>
  </si>
  <si>
    <t>5 Matura</t>
  </si>
  <si>
    <t>6 Berufslehre</t>
  </si>
  <si>
    <t>7 Berufsausbild Firma</t>
  </si>
  <si>
    <t>8 ohne Berufslehre</t>
  </si>
  <si>
    <t>9 Anderes</t>
  </si>
  <si>
    <t>31 Lehrdiplom Stufe</t>
  </si>
  <si>
    <t>32 Nur Fachstudium</t>
  </si>
  <si>
    <t>33 Lehrdipl andere Stuf</t>
  </si>
  <si>
    <t>41 Nur Lehrdiplom</t>
  </si>
  <si>
    <t>42 Lehrdipl mit Führung</t>
  </si>
  <si>
    <t>43 Führung ohne Lehrdip</t>
  </si>
  <si>
    <t>44 ohne LPDipl ohne Füh</t>
  </si>
  <si>
    <t>51 Vorschulheilpädagogi</t>
  </si>
  <si>
    <t>53 Sek I Niveau A (1.-2</t>
  </si>
  <si>
    <t>54 Sek I Niveau A (3.-4</t>
  </si>
  <si>
    <t>58 Gym mit päd. Ausbild</t>
  </si>
  <si>
    <t>63 Gym Teilarbeit / Wer</t>
  </si>
  <si>
    <t>66 Gym ohne päd. Ausbil</t>
  </si>
  <si>
    <t>68 Gym Instrumental ohn</t>
  </si>
  <si>
    <t>70 BFS BMS mit päd. Aus</t>
  </si>
  <si>
    <t>71 BFS BMS Sport II + w</t>
  </si>
  <si>
    <t>72 BFS BMS Lehrberechti</t>
  </si>
  <si>
    <t>SchultypSek1</t>
  </si>
  <si>
    <t>Assistenz</t>
  </si>
  <si>
    <t>ISF</t>
  </si>
  <si>
    <t>Regelunterricht 1./2. Klasse</t>
  </si>
  <si>
    <t>4./5./6. Klasse</t>
  </si>
  <si>
    <t>SchultypKGPS</t>
  </si>
  <si>
    <t>Kreuz Folgevertrag</t>
  </si>
  <si>
    <t>Unterrichtsart</t>
  </si>
  <si>
    <t>Allgemeinbildung</t>
  </si>
  <si>
    <t>Berufskunde</t>
  </si>
  <si>
    <t>Gymnasium</t>
  </si>
  <si>
    <t>Progymnasium</t>
  </si>
  <si>
    <t>Berufsmaturität</t>
  </si>
  <si>
    <t>Kontierung</t>
  </si>
  <si>
    <t>Kostenstelle</t>
  </si>
  <si>
    <t>Innenauftrag</t>
  </si>
  <si>
    <t>Kinderzulagen</t>
  </si>
  <si>
    <t>ja</t>
  </si>
  <si>
    <t>nein</t>
  </si>
  <si>
    <t>Unterstützte Schultypen</t>
  </si>
  <si>
    <t>Klassen-Assistenz</t>
  </si>
  <si>
    <t>DaZ, FaZ</t>
  </si>
  <si>
    <t>Kompensation 13. ML</t>
  </si>
  <si>
    <t>in Folge Pensionierung</t>
  </si>
  <si>
    <t>Excel / Sonstiges</t>
  </si>
  <si>
    <t>Rahmenvertrag</t>
  </si>
  <si>
    <t>Elternurlaub</t>
  </si>
  <si>
    <t>Ja/Nein</t>
  </si>
  <si>
    <t>Basisbezüge und Lohnrunde</t>
  </si>
  <si>
    <t>Einsatz als Stellv. für</t>
  </si>
  <si>
    <t>Stellv. infolge von:</t>
  </si>
  <si>
    <t>Daten Anstellung</t>
  </si>
  <si>
    <t>17+18</t>
  </si>
  <si>
    <t>19+20</t>
  </si>
  <si>
    <t>21+22</t>
  </si>
  <si>
    <t>23+24</t>
  </si>
  <si>
    <t>25+26</t>
  </si>
  <si>
    <t>LB-Zuteilung</t>
  </si>
  <si>
    <t>Von</t>
  </si>
  <si>
    <t>Externe Stellvertretungsmeldung 
Kindergarten / Primarschule</t>
  </si>
  <si>
    <t>Bestehende Lohneinstufung übernehmen? (Vertragsnummer angeben)</t>
  </si>
  <si>
    <t>Organisatorische Informationen</t>
  </si>
  <si>
    <t>Vertragsänderung für alle Schulstufen</t>
  </si>
  <si>
    <t>Änderung des Beschäftigungsgrades</t>
  </si>
  <si>
    <t>Befristet bis:</t>
  </si>
  <si>
    <t>Zur Bearbeitung durch Schule</t>
  </si>
  <si>
    <t>Zur Bearbeitung durch Stab Personal</t>
  </si>
  <si>
    <t>Bearbeitet von / Datum</t>
  </si>
  <si>
    <t>Klasse</t>
  </si>
  <si>
    <t>Unterrichtsart 2</t>
  </si>
  <si>
    <t>Vorschulheilpädagogik (VHP)</t>
  </si>
  <si>
    <t>HW/TW</t>
  </si>
  <si>
    <t>ISF (SHP)</t>
  </si>
  <si>
    <t>Förderunterrricht</t>
  </si>
  <si>
    <t>Verlängerung / Umwandlung ab</t>
  </si>
  <si>
    <t>befristet bis</t>
  </si>
  <si>
    <t>Technisches Eintrittsdatum</t>
  </si>
  <si>
    <t>(Datum für Dienstjubiläum)</t>
  </si>
  <si>
    <t>Entscheid des Amtes für Volksschulen*</t>
  </si>
  <si>
    <t>Vertragsverlängerung / Umwandlung in eine unbefristete Anstellung</t>
  </si>
  <si>
    <t>Berufsfachschulen</t>
  </si>
  <si>
    <t>Mit Absenden des Vertragsformulars an das Dienstleistungszentrum Personal bestätigt die sendende Partei, dass die Anstellungsbehörde und HR-Beratung die Inhalte zur Kenntnis genommen haben und mit diesen einverstanden sind. Das Formular hat nur Gültigkeit, wenn der Sender eine HR-relevante Rolle im Kanton Basel Landschaft einnimmt. Ist dies nicht der Fall sind wir veranlasst, das Formular an den Absender zu retournieren.</t>
  </si>
  <si>
    <t>Beschäftigungsgrad in %</t>
  </si>
  <si>
    <t>Elekronisches Visum 1</t>
  </si>
  <si>
    <t>Elekronisches Visum 2</t>
  </si>
  <si>
    <t>(Kürzel MA und Datum)</t>
  </si>
  <si>
    <t>Pers. ID</t>
  </si>
  <si>
    <t>Vertragsnr.</t>
  </si>
  <si>
    <t>Ausbildungscode</t>
  </si>
  <si>
    <t>Anrede</t>
  </si>
  <si>
    <t>Herr</t>
  </si>
  <si>
    <t>Frau</t>
  </si>
  <si>
    <t>andere</t>
  </si>
  <si>
    <t>Planstelle</t>
  </si>
  <si>
    <t>Bemerkungen</t>
  </si>
  <si>
    <t>Zellenhöhe Dynamisch</t>
  </si>
  <si>
    <t>Kurzurlaub §48/49</t>
  </si>
  <si>
    <t>Allgemeine Angaben Stellvertretung</t>
  </si>
  <si>
    <t>TSM Anstellungen</t>
  </si>
  <si>
    <t>TSM</t>
  </si>
  <si>
    <t>Weitere Bestimmungen zum Arbeitsvertrag</t>
  </si>
  <si>
    <t>Mobilo/Presento</t>
  </si>
  <si>
    <t>Auf eine Probezeit wird verzichtet.</t>
  </si>
  <si>
    <t>Bei einer Änderung des Beschäftigungsgrads wird die Wertigkeit der Ferientage über das Zeitkonto korrigiert.</t>
  </si>
  <si>
    <t>Die Anstellung erfolgt vorbehaltlich günstig lautender Auszüge zu Strafregister und Betreibung.</t>
  </si>
  <si>
    <t>Die Anstellung erfolgt vorbehaltlich günstig lautender Strafregister- und Betreibungsauskunft sowie einer günstig ausfallenden polizeilichen Personensicherheitsprüfung.</t>
  </si>
  <si>
    <t>Die Ausübung der Funktion setzt die grundsätzliche Bereitschaft zu Samstags-, Sonntags- und Feiertagsarbeit, unregelmässigem Dienst sowie Pikettdienst voraus.</t>
  </si>
  <si>
    <t>Die Funktion setzt die uneingeschränkte Berechtigung zum Führen eines Personenwagens voraus.</t>
  </si>
  <si>
    <t>Individuelle Arbeitsvertragsbemerkungen</t>
  </si>
  <si>
    <t>Probezeit:</t>
  </si>
  <si>
    <t>Anstellungsart</t>
  </si>
  <si>
    <t>Befristungsgrund</t>
  </si>
  <si>
    <r>
      <rPr>
        <b/>
        <i/>
        <sz val="9"/>
        <rFont val="Arial"/>
        <family val="2"/>
      </rPr>
      <t>falls</t>
    </r>
    <r>
      <rPr>
        <i/>
        <sz val="9"/>
        <rFont val="Arial"/>
        <family val="2"/>
      </rPr>
      <t xml:space="preserve"> befristet: Bis wann:</t>
    </r>
  </si>
  <si>
    <t>Umgerechnet in Stundenlohn (auf Basis 100% BG)</t>
  </si>
  <si>
    <t>Grunddaten Mitarbeiter/in</t>
  </si>
  <si>
    <t>Funktionsbezeichnung</t>
  </si>
  <si>
    <t>Bearbeitet von,  Datum</t>
  </si>
  <si>
    <t>Betrag gemäss Beschäftigungsgrad</t>
  </si>
  <si>
    <t>MU aus Lohnberechnung</t>
  </si>
  <si>
    <t>MU - Eingabe</t>
  </si>
  <si>
    <t>oder</t>
  </si>
  <si>
    <t>Unterrichtendes Personal</t>
  </si>
  <si>
    <t xml:space="preserve">Anstellung </t>
  </si>
  <si>
    <t>Externe Stellvertretung</t>
  </si>
  <si>
    <t>Vertragsänderung</t>
  </si>
  <si>
    <t>Wechsel von maximal einem Lohnband innerhalb gleicher Funktionskette</t>
  </si>
  <si>
    <t>Änderung gültig ab</t>
  </si>
  <si>
    <t>Bisherige Modellumschreibung:</t>
  </si>
  <si>
    <t>*</t>
  </si>
  <si>
    <t>Neue Modellumschreibung:</t>
  </si>
  <si>
    <t>* Eingabe durch Auswahlmenu oder manuelle Eingabe als Text</t>
  </si>
  <si>
    <t>Bisheriger Lohn bei 100%-BG:</t>
  </si>
  <si>
    <t>CHF</t>
  </si>
  <si>
    <t>Entspricht:</t>
  </si>
  <si>
    <t>Erfahrungswert (abgerundet):</t>
  </si>
  <si>
    <t>Erfahrungswert (aufgerundet):</t>
  </si>
  <si>
    <t>Neuer Lohn bei 100% BG</t>
  </si>
  <si>
    <t>Neues Lohnband</t>
  </si>
  <si>
    <t>Erhöhung:</t>
  </si>
  <si>
    <t>Funktionswechsel in eine anspruchsvollere Funktion
 mit besserem Lohnband</t>
  </si>
  <si>
    <t>1. höherer Erfahrungswert:</t>
  </si>
  <si>
    <t>2. höherer Erfahrungswert</t>
  </si>
  <si>
    <t>Erfahrungswert:</t>
  </si>
  <si>
    <t>Grundlage: Richtlinien des Personalamtes zur Lohnbestimmung vom 1.1.2021</t>
  </si>
  <si>
    <t>Grundsätzlich erfolgt bei einem Funktionswechsel die Berechnung des Erfahrungswertes, inklusive die Neubewertung der Erfahrungen, wie bei einer Neuanstellung. In bestimmten Fällen ist eine Vereinfachung der Anfangslohnberechnung möglich. Die untenstehenden Berechnungshilfen können gemäss der Richtlinien des Pesonalamtes zur Lohnbestimmung in den spezifizierten Fällen angewendet werden.</t>
  </si>
  <si>
    <t>Erklärung:</t>
  </si>
  <si>
    <t>Bei einem Wechsel in eine anspruchsvollere Funktion mit besserem Lohnband kann die Lohnbestimmung  im neuen Lohnband so gewählt werden, dass sie zwei Erfahrungswerte über dem bisherigen Lohn liegt. Diese Berechnung ist im Einstufungsprotokoll (Lohnberechnungsformular, Bemerkungsfeld) so auszuweisen.</t>
  </si>
  <si>
    <t>Umsetztabelle</t>
  </si>
  <si>
    <t>EW +1</t>
  </si>
  <si>
    <t>Funktionswechsel bei gleicher Ausbildungsanforderung</t>
  </si>
  <si>
    <t>Neue 
Modellumschreibung:</t>
  </si>
  <si>
    <t>Verlangt die bisherige und die neu zutreffende Modellumschreibung die gleiche Ausbildungsvoraussetzung, dann kann der Anfangslohn vereinfacht mit der Anrechnung der allfälligen Differenz der beiden Erfahrungsvoraussetzungen (A2-Werte) mit dem ausgehend vom aktuellen Lohn ermittelten, nächst höheren Erfahrungswert festgelegt werden.
Liegt der bisherige Lohn genau auf der Referenzkurve des bisherigen Lohnbands, so erfolgt keine Rundung beim Erfahrungswert.</t>
  </si>
  <si>
    <t>Bisheriger Lohn bei 100% BG:</t>
  </si>
  <si>
    <t>A2-Korrektur</t>
  </si>
  <si>
    <t>für c (+2)</t>
  </si>
  <si>
    <t>Zurück zu Grunddaten</t>
  </si>
  <si>
    <t>Bewilligung*</t>
  </si>
  <si>
    <t>*optional</t>
  </si>
  <si>
    <t>Manuelle MU-Eingabe</t>
  </si>
  <si>
    <t>Alle Schulstufen</t>
  </si>
  <si>
    <t>Anstellungsformular Musikschule</t>
  </si>
  <si>
    <t>Fach:</t>
  </si>
  <si>
    <t>Zellen für dynamische Zeilenhöhe</t>
  </si>
  <si>
    <t>Externe Stellvertretungsmeldung Musikschule</t>
  </si>
  <si>
    <t>Anstellung als</t>
  </si>
  <si>
    <t>Heilpädagogin / - pädagoge (MU 405B.10)</t>
  </si>
  <si>
    <t>Vorschulheilpädagogin / - pädagoge (MU 401B.12)</t>
  </si>
  <si>
    <t>Lehrperson (MU 407.S1)</t>
  </si>
  <si>
    <t>Logopädin / - päde (MU 414A.13)</t>
  </si>
  <si>
    <t>Anstellungsformular Berufsfachschule</t>
  </si>
  <si>
    <t>Berufsfachschule</t>
  </si>
  <si>
    <t>Fach</t>
  </si>
  <si>
    <t>Anzahl Pflichtlektionen</t>
  </si>
  <si>
    <t>Andere Änderung (Beschreibung oder Beilage)</t>
  </si>
  <si>
    <t>Druckeinstellungen Mac</t>
  </si>
  <si>
    <t xml:space="preserve">Im Druckdialog sollte unten rechts der Haken bei 'An Seite anpassen' gesetzt sein. </t>
  </si>
  <si>
    <r>
      <t xml:space="preserve">Folgende Einstellung ist korrekt: </t>
    </r>
    <r>
      <rPr>
        <b/>
        <sz val="10"/>
        <rFont val="MS Sans Serif"/>
      </rPr>
      <t>1</t>
    </r>
    <r>
      <rPr>
        <sz val="10"/>
        <rFont val="MS Sans Serif"/>
      </rPr>
      <t xml:space="preserve"> Seiten breit und </t>
    </r>
    <r>
      <rPr>
        <b/>
        <sz val="10"/>
        <rFont val="MS Sans Serif"/>
      </rPr>
      <t>0</t>
    </r>
    <r>
      <rPr>
        <sz val="10"/>
        <rFont val="MS Sans Serif"/>
      </rPr>
      <t xml:space="preserve"> Seiten hoch.</t>
    </r>
  </si>
  <si>
    <t>Im Druckdialog ist zuunterst die Einstellung 'Alle Spalten auf einer Seite darstellen' zu setzen.</t>
  </si>
  <si>
    <t xml:space="preserve"> (Falls die Voreinstellung nicht mehr korrekt sein sollte.)</t>
  </si>
  <si>
    <t>Druckeinstellungen Windows (Excel Version ab 2013, frühere siehe weiter unten)</t>
  </si>
  <si>
    <t>Frühere Versionen von Excel</t>
  </si>
  <si>
    <t>Bei älteren Versionen von Excel sollte im Druckdialog die Möglichkeit bestehen die Seite einzurichten.</t>
  </si>
  <si>
    <t>Hier ist unter 'Skalierung' unter dem Punkt 'Anpassen' 1 für die Seitenbreite und '' für die Seitenhöhe zu wählen.</t>
  </si>
  <si>
    <t>Druckeinstellungen</t>
  </si>
  <si>
    <t>Support</t>
  </si>
  <si>
    <t>Beschäftigungsgrad</t>
  </si>
  <si>
    <t>Monatslohn 100% (Lohnart 0100)</t>
  </si>
  <si>
    <t>Monatslohn BG (Lohnart 1017)</t>
  </si>
  <si>
    <t>Stundenlohn (Lohnart 1018)</t>
  </si>
  <si>
    <t>Verwaltung</t>
  </si>
  <si>
    <t>Lehrpersonen</t>
  </si>
  <si>
    <t>Bemerkungen zum Arbeitsvertrag</t>
  </si>
  <si>
    <t>Im Fall eines Funktionswechsels, bei dem die neue Funktion derselben Funktionskette zugeordnet ist und nur ein Wechsel in das nächste Lohnband vorliegt, wird der dem aktuellen Lohn nächst höhere Erfahrungswert in das neue Lohnband übertragen.
Liegt der bisherige Lohn genau auf der Referenzkurve des bisherigen Lohnbands, so erfolgt keine Rundung beim Erfahrungswert.</t>
  </si>
  <si>
    <t>Lohnrechner</t>
  </si>
  <si>
    <t>StvInFolgeVon</t>
  </si>
  <si>
    <t>Ausbildungstext</t>
  </si>
  <si>
    <t>*Kopie des Entscheides ist beizulegen. Siehe Merkblatt Urlaube unter folgendem Link:</t>
  </si>
  <si>
    <t>Urlaub - baselland.ch</t>
  </si>
  <si>
    <t>&gt; Kopie Diplom(e), Patent(e), Unterrichtsbefähigung(en), Unterrichtsberechtigung(en)</t>
  </si>
  <si>
    <t>&gt; bei ausländischen Diplomen: Kopie Diplomanerkennung</t>
  </si>
  <si>
    <t xml:space="preserve">&gt; chronologischer Lebenslauf (vollständige und auf Monate genaue Angaben)
</t>
  </si>
  <si>
    <t>&gt; Arbeitszeugnisse</t>
  </si>
  <si>
    <t>Anstellung ab</t>
  </si>
  <si>
    <t>Schulstufe &amp; Schulort</t>
  </si>
  <si>
    <t>Schulleitung</t>
  </si>
  <si>
    <t>Konrektorat</t>
  </si>
  <si>
    <t>Rektorat</t>
  </si>
  <si>
    <t>VP Funktionen Schule</t>
  </si>
  <si>
    <t>Zusätzlicher Vertrag</t>
  </si>
  <si>
    <t>LK</t>
  </si>
  <si>
    <t>M711.08a</t>
  </si>
  <si>
    <t>M711.10a</t>
  </si>
  <si>
    <t>Konrektorat Primarstufe</t>
  </si>
  <si>
    <t>M711.10b</t>
  </si>
  <si>
    <t>Schulleitung Primarstufe</t>
  </si>
  <si>
    <t>M407F.S1</t>
  </si>
  <si>
    <t>Lehrperson Sek I (Lehrdipl. Sek II - 2 Fächer)</t>
  </si>
  <si>
    <t>M407G.S1</t>
  </si>
  <si>
    <t>Lehrperson Sek I (Lehrdipl. Sek II - 1 Fach)</t>
  </si>
  <si>
    <t>M407H.S1</t>
  </si>
  <si>
    <t>Lehrperson Sek I (in Ausb. - m. Abschluss BA)</t>
  </si>
  <si>
    <t>M407I.S1</t>
  </si>
  <si>
    <t>Lehrperson Sek I (k. Lehrdiplom)</t>
  </si>
  <si>
    <t>Anstellung Verwaltungspersonal an Schulen</t>
  </si>
  <si>
    <t>Anstellungsart Verwaltungspersonal</t>
  </si>
  <si>
    <t>Auswahl Funktion</t>
  </si>
  <si>
    <t>Vertragsänderung Verwaltungspersonal an Schulen</t>
  </si>
  <si>
    <t>Zusätzlicher Vertrag Verwaltungspersonal an Schulen</t>
  </si>
  <si>
    <t>Betrag (100%) in CHF</t>
  </si>
  <si>
    <t>Manuelle Übersteuerung</t>
  </si>
  <si>
    <t>Berechnete Werte</t>
  </si>
  <si>
    <t>Verwendete Werte</t>
  </si>
  <si>
    <t>+A1-Differenz</t>
  </si>
  <si>
    <t>./. A1-Differenz</t>
  </si>
  <si>
    <t>Andere Änderungen / allfällige Kostenverteilungen / Bemerkungen</t>
  </si>
  <si>
    <t xml:space="preserve"> auf eine neue Probezeit wird verzichtet</t>
  </si>
  <si>
    <t xml:space="preserve"> neu unbefristet</t>
  </si>
  <si>
    <t>Neuer Studienabschluss (gemäss beil. Diplom)</t>
  </si>
  <si>
    <t>Anderes, Begründung:</t>
  </si>
  <si>
    <t>Berufskundlicher Unterricht</t>
  </si>
  <si>
    <t>Allgemeinbildender Unterricht</t>
  </si>
  <si>
    <t>Sportunterricht</t>
  </si>
  <si>
    <t>Berufsmatur Unterricht</t>
  </si>
  <si>
    <t>Unterricht hf ict</t>
  </si>
  <si>
    <t>HW / TW (RU)</t>
  </si>
  <si>
    <t>Begabtenförderung (RU)</t>
  </si>
  <si>
    <t>408C.11</t>
  </si>
  <si>
    <t>M408C.11</t>
  </si>
  <si>
    <t>Lehrperson Sek II Individual- und Gruppenunterricht</t>
  </si>
  <si>
    <t>Musik und Bewegung</t>
  </si>
  <si>
    <t>Musik und Bewegung (RU)</t>
  </si>
  <si>
    <t>Bearbeitet durch Schule / Datum</t>
  </si>
  <si>
    <t>Schulstufe + 
Schulort</t>
  </si>
  <si>
    <t>Klassenassistenz</t>
  </si>
  <si>
    <t>Sozialpädagogin/-pädagoge</t>
  </si>
  <si>
    <t>befristet (Monatslohn)</t>
  </si>
  <si>
    <t>unbefristet (Monatslohn)</t>
  </si>
  <si>
    <t>Stundenlohn</t>
  </si>
  <si>
    <t>Verwaltungspersonal an Schulen
 (Sozialpäd., Assistenz, Schulleitung, etc.)</t>
  </si>
  <si>
    <t>auf eine neue Probezeit wird verzichtet</t>
  </si>
  <si>
    <t>Pensum</t>
  </si>
  <si>
    <t>bisher</t>
  </si>
  <si>
    <t>Alter</t>
  </si>
  <si>
    <t>Arbeitsdauer von</t>
  </si>
  <si>
    <t>Beginn</t>
  </si>
  <si>
    <t>Ende</t>
  </si>
  <si>
    <t>Ferientage</t>
  </si>
  <si>
    <t>Stundenansatz pro Woche</t>
  </si>
  <si>
    <t>Stundenansatz pro Tag</t>
  </si>
  <si>
    <t>Pensenberechnung Sozialpädagogik/Assistenz</t>
  </si>
  <si>
    <t>Pensenberechnung 
Sozialpädagogik / Assistenz</t>
  </si>
  <si>
    <t>Pensum Sozialpädagogik &amp; Klassenassistenz*:</t>
  </si>
  <si>
    <t>*Pensenberechnung gemäss Tabellenblatt Pensenberechnung</t>
  </si>
  <si>
    <t>1. Ferientag</t>
  </si>
  <si>
    <t>1. Arbeitstag</t>
  </si>
  <si>
    <t>Anzahl Tage Schulferien nach Beginn</t>
  </si>
  <si>
    <t>Anzahl Tage Schulferien nach Ende</t>
  </si>
  <si>
    <t>Anzahl anzurechnende Tage Schulferien</t>
  </si>
  <si>
    <t xml:space="preserve">Umrechnungsfaktor </t>
  </si>
  <si>
    <t>Stundenansatz pro Tag ungerundet</t>
  </si>
  <si>
    <t>gerundet</t>
  </si>
  <si>
    <t>21 / 22</t>
  </si>
  <si>
    <t>Schuljahr</t>
  </si>
  <si>
    <t>22 / 23</t>
  </si>
  <si>
    <t>23 / 24</t>
  </si>
  <si>
    <t>24 / 25</t>
  </si>
  <si>
    <t>25 / 26</t>
  </si>
  <si>
    <t>26 / 27</t>
  </si>
  <si>
    <t>Arbeitstage ohne Schulferien</t>
  </si>
  <si>
    <t>Anstellungstage</t>
  </si>
  <si>
    <t>Schulferientage während Arbeitsdauer</t>
  </si>
  <si>
    <t>Anstellungstage abzgl. Ferienanspruch</t>
  </si>
  <si>
    <t>Arbeitsstunden pro Woche</t>
  </si>
  <si>
    <t>Berechnung</t>
  </si>
  <si>
    <t>Pensum in %</t>
  </si>
  <si>
    <t>Pensum in % bisher</t>
  </si>
  <si>
    <t>Pensum in % neu</t>
  </si>
  <si>
    <t>Pensenberechnung</t>
  </si>
  <si>
    <t>Anzahl Stunden Sozialpädagogik &amp; Klassenassistenz:</t>
  </si>
  <si>
    <t>(Innenauftrag / Kostenstelle)</t>
  </si>
  <si>
    <t>Anderes</t>
  </si>
  <si>
    <t>ab (Datum):</t>
  </si>
  <si>
    <t>*Grundlage: §15 der Verordnung über die Schulvergütung / SGS 156.11</t>
  </si>
  <si>
    <t>Stellvertretung</t>
  </si>
  <si>
    <t>Zurück zu VP Anstellung</t>
  </si>
  <si>
    <t>Zurück zu VP Zusätzlicher Vertrag</t>
  </si>
  <si>
    <t>aus Berechnung</t>
  </si>
  <si>
    <t>manuell</t>
  </si>
  <si>
    <r>
      <rPr>
        <b/>
        <sz val="10"/>
        <rFont val="MS Sans Serif"/>
      </rPr>
      <t>Tipp</t>
    </r>
    <r>
      <rPr>
        <sz val="10"/>
        <rFont val="MS Sans Serif"/>
      </rPr>
      <t>: Verwenden Sie die 'Tabulator'-Taste um in das nächste Feld zu springen</t>
    </r>
  </si>
  <si>
    <t>&lt; 49</t>
  </si>
  <si>
    <t>&gt; 59</t>
  </si>
  <si>
    <t>49 - 59</t>
  </si>
  <si>
    <t>Alter für Ferienanspruch</t>
  </si>
  <si>
    <t>Anspruch Ferientage gemäss Alter zu Beginn Kalenderjahr</t>
  </si>
  <si>
    <t xml:space="preserve">Anzahl Stunden </t>
  </si>
  <si>
    <t>Zurück zu VP Vertragsänderung</t>
  </si>
  <si>
    <t>Zum hinterlegten Ferienplan</t>
  </si>
  <si>
    <t>Zurück zur Pensenberechnung</t>
  </si>
  <si>
    <t>Für eine ideale Ansicht und einen idealen Druck bitte die Anzeige auf 100% einstellen</t>
  </si>
  <si>
    <t>E-Mail*</t>
  </si>
  <si>
    <t>Mobiltelefon*</t>
  </si>
  <si>
    <t>INSO-Assistenz Innenauftrag 402578</t>
  </si>
  <si>
    <t>Total Tage Schulferien während Arbeitsdauer</t>
  </si>
  <si>
    <r>
      <t xml:space="preserve">*diese Angaben sind für die Anstellung von neuen Schulleitungsmitgliedern </t>
    </r>
    <r>
      <rPr>
        <b/>
        <sz val="8"/>
        <rFont val="Arial"/>
        <family val="2"/>
      </rPr>
      <t>zwingend</t>
    </r>
    <r>
      <rPr>
        <sz val="8"/>
        <rFont val="Arial"/>
        <family val="2"/>
      </rPr>
      <t>!</t>
    </r>
  </si>
  <si>
    <r>
      <t xml:space="preserve">*diese Angaben sind für die Anstellung von neuen Schulleitungsmitgliedern </t>
    </r>
    <r>
      <rPr>
        <b/>
        <sz val="8"/>
        <rFont val="Arial"/>
        <family val="2"/>
      </rPr>
      <t>zwingend!</t>
    </r>
  </si>
  <si>
    <t>Andere Kostenverteilung:</t>
  </si>
  <si>
    <t>Änderung des Beschäftigungsgrades bei Sozpäd. / Assistenz am Kindergarten / Primarstufe</t>
  </si>
  <si>
    <t>geplante Wochenstunden (während Unterrichtszeit)</t>
  </si>
  <si>
    <t>oder       Manuelle MU-Eingabe</t>
  </si>
  <si>
    <t>Manuelle MU - Eingabe</t>
  </si>
  <si>
    <t>oder     Manuelle MU-Eingabe</t>
  </si>
  <si>
    <t>Anspruch Ferientage Kalenderjahr</t>
  </si>
  <si>
    <t>davon während Anstellungszeitraum</t>
  </si>
  <si>
    <t>Ferientage Wochenende</t>
  </si>
  <si>
    <t>Total Tage in Anstellungszeitraum</t>
  </si>
  <si>
    <t>Anstellungstage ohne Schulferien</t>
  </si>
  <si>
    <t>Stunden volles Pensum</t>
  </si>
  <si>
    <t>Ferientage Jahr</t>
  </si>
  <si>
    <t>Ferientage effektiv</t>
  </si>
  <si>
    <t>Anstellungstage abzgl. Ferientage</t>
  </si>
  <si>
    <t>Anstellungen Sozialpädagogik / Klassenassistenz</t>
  </si>
  <si>
    <t>Diese Angaben betreffen nur Kindergarten und Primarstufe:</t>
  </si>
  <si>
    <t>Bitte zuerst die Pensenberechnung durchführen. Die berechneten Werte werden automatisch übernommen.</t>
  </si>
  <si>
    <r>
      <t xml:space="preserve">Bei </t>
    </r>
    <r>
      <rPr>
        <b/>
        <sz val="9"/>
        <rFont val="Arial"/>
        <family val="2"/>
      </rPr>
      <t>Sozpäd./ Assistenz</t>
    </r>
    <r>
      <rPr>
        <sz val="9"/>
        <rFont val="Arial"/>
        <family val="2"/>
      </rPr>
      <t xml:space="preserve"> (Anstellung befristet/unbefristet </t>
    </r>
    <r>
      <rPr>
        <b/>
        <sz val="9"/>
        <rFont val="Arial"/>
        <family val="2"/>
      </rPr>
      <t>im Monatslohn</t>
    </r>
    <r>
      <rPr>
        <sz val="9"/>
        <rFont val="Arial"/>
        <family val="2"/>
      </rPr>
      <t>) bitte zuerst die Pensenberechnung durchführen. Die Anzahl Stunden werden automatisch in die untenstehenden (grauen) Felder eingefügt . 
Bei Verträgen im Stundenlohn ist keine Pensenberechnung nötig.</t>
    </r>
  </si>
  <si>
    <t>Hilfsmittel Abteilung Personal</t>
  </si>
  <si>
    <t>Pflichtlektionen</t>
  </si>
  <si>
    <t>15.75 - hf ict</t>
  </si>
  <si>
    <t>AnstellungsartBF</t>
  </si>
  <si>
    <t>WB-Kursleitung</t>
  </si>
  <si>
    <t>Abteilungsleitung</t>
  </si>
  <si>
    <t>(Name, Vorname)</t>
  </si>
  <si>
    <t>Zur Bearbeitung durch Abteilung Personal</t>
  </si>
  <si>
    <t>22.00 - Berufsmaturität (BH)</t>
  </si>
  <si>
    <t>23.00 - WB-Kursleitung</t>
  </si>
  <si>
    <t>24.00 - BKU / ABU</t>
  </si>
  <si>
    <t>26.00 - Sport</t>
  </si>
  <si>
    <t>21.00 - hf ict</t>
  </si>
  <si>
    <t>Angegebener Lohn zuzüglich Lohnerhöhung gemäss individueller Lohnentwicklung per 01.01.2023</t>
  </si>
  <si>
    <t>Angegebener Lohn zuzüglich Lohnerhöhung gemäss individueller Lohnentwicklung per 01.01.2023 und allfälliger Teuerung</t>
  </si>
  <si>
    <t>iinaktiv</t>
  </si>
  <si>
    <t>Schulische Heilpädagogik Primarstufe</t>
  </si>
  <si>
    <t>Schulische Heilpädagogik Sekundarstufe I</t>
  </si>
  <si>
    <t>401B.12</t>
  </si>
  <si>
    <t>ab 01.08.2023</t>
  </si>
  <si>
    <t>405A.11</t>
  </si>
  <si>
    <t>Logopädie für den Vorschul- und Schulbereich</t>
  </si>
  <si>
    <t>M341.15c</t>
  </si>
  <si>
    <t>ab 01.01.2024</t>
  </si>
  <si>
    <t>Sozialpädagogik im Schulbereich</t>
  </si>
  <si>
    <t>405B.10</t>
  </si>
  <si>
    <t>M405B.10</t>
  </si>
  <si>
    <t>M415.15</t>
  </si>
  <si>
    <t>Sozialpädagogik für den Vorschul- und Schulbereich</t>
  </si>
  <si>
    <t>Version</t>
  </si>
  <si>
    <t>Jahr</t>
  </si>
  <si>
    <t>MU-Code</t>
  </si>
  <si>
    <t>101</t>
  </si>
  <si>
    <t>102</t>
  </si>
  <si>
    <t>102.13a</t>
  </si>
  <si>
    <t>102.13b</t>
  </si>
  <si>
    <t>102.14a</t>
  </si>
  <si>
    <t>102.14b</t>
  </si>
  <si>
    <t>102.15a</t>
  </si>
  <si>
    <t>102.15b</t>
  </si>
  <si>
    <t>102.16a</t>
  </si>
  <si>
    <t>102.16b</t>
  </si>
  <si>
    <t>102.17a</t>
  </si>
  <si>
    <t>102.17b</t>
  </si>
  <si>
    <t>102.18a</t>
  </si>
  <si>
    <t>102.18b</t>
  </si>
  <si>
    <t>102.19a</t>
  </si>
  <si>
    <t>102.19b</t>
  </si>
  <si>
    <t>103</t>
  </si>
  <si>
    <t>103.07a</t>
  </si>
  <si>
    <t>103.07b</t>
  </si>
  <si>
    <t>103.08a</t>
  </si>
  <si>
    <t>103.08b</t>
  </si>
  <si>
    <t>103.08c</t>
  </si>
  <si>
    <t>103.09a</t>
  </si>
  <si>
    <t>103.09b</t>
  </si>
  <si>
    <t>103.09c</t>
  </si>
  <si>
    <t>103.10a</t>
  </si>
  <si>
    <t>103.10b</t>
  </si>
  <si>
    <t>103.10c</t>
  </si>
  <si>
    <t>103.11a</t>
  </si>
  <si>
    <t>103.11b</t>
  </si>
  <si>
    <t>103.11c</t>
  </si>
  <si>
    <t>103.12a</t>
  </si>
  <si>
    <t>103.12b</t>
  </si>
  <si>
    <t>103.12c</t>
  </si>
  <si>
    <t>103.13a</t>
  </si>
  <si>
    <t>103.13b</t>
  </si>
  <si>
    <t>103.14a</t>
  </si>
  <si>
    <t>103.14b</t>
  </si>
  <si>
    <t>711.09b</t>
  </si>
  <si>
    <t>711b</t>
  </si>
  <si>
    <t>Konrektorat Sekundarstufe I</t>
  </si>
  <si>
    <t>11.09b</t>
  </si>
  <si>
    <t>111</t>
  </si>
  <si>
    <t>201</t>
  </si>
  <si>
    <t>202</t>
  </si>
  <si>
    <t>202 a/b/c</t>
  </si>
  <si>
    <t>202.13a</t>
  </si>
  <si>
    <t>202.13b</t>
  </si>
  <si>
    <t>202.13c</t>
  </si>
  <si>
    <t>202.14a</t>
  </si>
  <si>
    <t>202.14b</t>
  </si>
  <si>
    <t>202.14c</t>
  </si>
  <si>
    <t>202.14d</t>
  </si>
  <si>
    <t>202.15a</t>
  </si>
  <si>
    <t>202.15b</t>
  </si>
  <si>
    <t>202.15c</t>
  </si>
  <si>
    <t>202.15d</t>
  </si>
  <si>
    <t>202.16a</t>
  </si>
  <si>
    <t>202.16b</t>
  </si>
  <si>
    <t>202.16c</t>
  </si>
  <si>
    <t>202.16d</t>
  </si>
  <si>
    <t>202.17a</t>
  </si>
  <si>
    <t>202.17b</t>
  </si>
  <si>
    <t>202.17c</t>
  </si>
  <si>
    <t>202.18a</t>
  </si>
  <si>
    <t>202.18b</t>
  </si>
  <si>
    <t>202.18c</t>
  </si>
  <si>
    <t>202.19a</t>
  </si>
  <si>
    <t>202.19b</t>
  </si>
  <si>
    <t>202.19c</t>
  </si>
  <si>
    <t>202.20a</t>
  </si>
  <si>
    <t>202.20c</t>
  </si>
  <si>
    <t>203</t>
  </si>
  <si>
    <t>203.07a</t>
  </si>
  <si>
    <t>203.07b</t>
  </si>
  <si>
    <t>203.08a</t>
  </si>
  <si>
    <t>203.08b</t>
  </si>
  <si>
    <t>203.09a</t>
  </si>
  <si>
    <t>203.09b</t>
  </si>
  <si>
    <t>203.10a</t>
  </si>
  <si>
    <t>203.10b</t>
  </si>
  <si>
    <t>203.11a</t>
  </si>
  <si>
    <t>203.11b</t>
  </si>
  <si>
    <t>203.13a</t>
  </si>
  <si>
    <t>203.13b</t>
  </si>
  <si>
    <t>203.14a</t>
  </si>
  <si>
    <t>203.14b</t>
  </si>
  <si>
    <t>211</t>
  </si>
  <si>
    <t>301</t>
  </si>
  <si>
    <t>302</t>
  </si>
  <si>
    <t>303</t>
  </si>
  <si>
    <t>303.15a</t>
  </si>
  <si>
    <t>303.15b</t>
  </si>
  <si>
    <t>303.16a</t>
  </si>
  <si>
    <t>303.16b</t>
  </si>
  <si>
    <t>303.16c</t>
  </si>
  <si>
    <t>303.17a</t>
  </si>
  <si>
    <t>304</t>
  </si>
  <si>
    <t>305</t>
  </si>
  <si>
    <t>311</t>
  </si>
  <si>
    <t>312</t>
  </si>
  <si>
    <t>313</t>
  </si>
  <si>
    <t>313.17a</t>
  </si>
  <si>
    <t>313.17b</t>
  </si>
  <si>
    <t>314</t>
  </si>
  <si>
    <t>321</t>
  </si>
  <si>
    <t>322</t>
  </si>
  <si>
    <t>323</t>
  </si>
  <si>
    <t>323.15a</t>
  </si>
  <si>
    <t>323.15b</t>
  </si>
  <si>
    <t>324</t>
  </si>
  <si>
    <t>331</t>
  </si>
  <si>
    <t>332</t>
  </si>
  <si>
    <t>341</t>
  </si>
  <si>
    <t>341.15a</t>
  </si>
  <si>
    <t>341.15b</t>
  </si>
  <si>
    <t>341c</t>
  </si>
  <si>
    <t>341.15c</t>
  </si>
  <si>
    <t>342</t>
  </si>
  <si>
    <t>342.15</t>
  </si>
  <si>
    <t>342.16</t>
  </si>
  <si>
    <t>401</t>
  </si>
  <si>
    <t>401A.14</t>
  </si>
  <si>
    <t>401C.14</t>
  </si>
  <si>
    <t>401S.11</t>
  </si>
  <si>
    <t>401S.12</t>
  </si>
  <si>
    <t>401T.11</t>
  </si>
  <si>
    <t>401T.12</t>
  </si>
  <si>
    <t>M402.13</t>
  </si>
  <si>
    <t>Lehrperson Primarstufe (1. - 8. SJ)</t>
  </si>
  <si>
    <t>402.13</t>
  </si>
  <si>
    <t>402.PS</t>
  </si>
  <si>
    <t>402</t>
  </si>
  <si>
    <t>402A.13</t>
  </si>
  <si>
    <t>402A.PS</t>
  </si>
  <si>
    <t>402B.14</t>
  </si>
  <si>
    <t>402B.PS</t>
  </si>
  <si>
    <t>402C.13</t>
  </si>
  <si>
    <t>402C.PS</t>
  </si>
  <si>
    <t>402D.13</t>
  </si>
  <si>
    <t>402D.PS</t>
  </si>
  <si>
    <t>402E.14</t>
  </si>
  <si>
    <t>402E.PS</t>
  </si>
  <si>
    <t>402F.14</t>
  </si>
  <si>
    <t>402F.PS</t>
  </si>
  <si>
    <t>402G.PS</t>
  </si>
  <si>
    <t>402S.10</t>
  </si>
  <si>
    <t>402S.11</t>
  </si>
  <si>
    <t>402T.10</t>
  </si>
  <si>
    <t>402T.11</t>
  </si>
  <si>
    <t>403</t>
  </si>
  <si>
    <t>403A.12</t>
  </si>
  <si>
    <t>403B.13</t>
  </si>
  <si>
    <t>403C.12</t>
  </si>
  <si>
    <t>403C.13</t>
  </si>
  <si>
    <t>403D.13</t>
  </si>
  <si>
    <t>403E.14</t>
  </si>
  <si>
    <t>403E.15</t>
  </si>
  <si>
    <t>403F.16</t>
  </si>
  <si>
    <t>403G.14</t>
  </si>
  <si>
    <t>403G.16</t>
  </si>
  <si>
    <t>403H.13</t>
  </si>
  <si>
    <t>403H.14</t>
  </si>
  <si>
    <t>403S.09</t>
  </si>
  <si>
    <t>403T.09</t>
  </si>
  <si>
    <t>404</t>
  </si>
  <si>
    <t>404A.11</t>
  </si>
  <si>
    <t>404B.12</t>
  </si>
  <si>
    <t>404B.13</t>
  </si>
  <si>
    <t>404C.12</t>
  </si>
  <si>
    <t>404D.11</t>
  </si>
  <si>
    <t>404D.12</t>
  </si>
  <si>
    <t>404D.13</t>
  </si>
  <si>
    <t>404E.13</t>
  </si>
  <si>
    <t>404F.14</t>
  </si>
  <si>
    <t>404F.15</t>
  </si>
  <si>
    <t>404G.16</t>
  </si>
  <si>
    <t>404H.14</t>
  </si>
  <si>
    <t>404H.16</t>
  </si>
  <si>
    <t>405</t>
  </si>
  <si>
    <t>405B.11</t>
  </si>
  <si>
    <t>405B.12</t>
  </si>
  <si>
    <t>405C.12</t>
  </si>
  <si>
    <t>405C.13</t>
  </si>
  <si>
    <t>405D.11</t>
  </si>
  <si>
    <t>405D.12</t>
  </si>
  <si>
    <t>405E.12</t>
  </si>
  <si>
    <t>406</t>
  </si>
  <si>
    <t>406A.10</t>
  </si>
  <si>
    <t>406B.13</t>
  </si>
  <si>
    <t>406B.14</t>
  </si>
  <si>
    <t>406C.11</t>
  </si>
  <si>
    <t>406C.12</t>
  </si>
  <si>
    <t>406D.13</t>
  </si>
  <si>
    <t>406E.11</t>
  </si>
  <si>
    <t>406F.11</t>
  </si>
  <si>
    <t>406F.12</t>
  </si>
  <si>
    <t>406F.13</t>
  </si>
  <si>
    <t>406G.11</t>
  </si>
  <si>
    <t>406G.12</t>
  </si>
  <si>
    <t>406H.14</t>
  </si>
  <si>
    <t>406H.15</t>
  </si>
  <si>
    <t>M407.10</t>
  </si>
  <si>
    <t>Lehrperson Sek. I (9. - 11. SJ)</t>
  </si>
  <si>
    <t>407.10</t>
  </si>
  <si>
    <t>Schulzozialarbeit Sek. I</t>
  </si>
  <si>
    <t>407.14b</t>
  </si>
  <si>
    <t>407.S1</t>
  </si>
  <si>
    <t>407</t>
  </si>
  <si>
    <t>407A.10</t>
  </si>
  <si>
    <t>407A.11</t>
  </si>
  <si>
    <t>407A.S1</t>
  </si>
  <si>
    <t>407B.11</t>
  </si>
  <si>
    <t>407B.12</t>
  </si>
  <si>
    <t>407B.S1</t>
  </si>
  <si>
    <t>407C.12</t>
  </si>
  <si>
    <t>407C.S1</t>
  </si>
  <si>
    <t>407D.13</t>
  </si>
  <si>
    <t>407D.S1</t>
  </si>
  <si>
    <t>407E.14</t>
  </si>
  <si>
    <t>407E.16</t>
  </si>
  <si>
    <t>407E.S1</t>
  </si>
  <si>
    <t>407F.10</t>
  </si>
  <si>
    <t>407F.11</t>
  </si>
  <si>
    <t>407F.12</t>
  </si>
  <si>
    <t>407F.13</t>
  </si>
  <si>
    <t>407F.S1</t>
  </si>
  <si>
    <t>407G.13</t>
  </si>
  <si>
    <t>407G.S1</t>
  </si>
  <si>
    <t>407H.12</t>
  </si>
  <si>
    <t>407H.13</t>
  </si>
  <si>
    <t>407H.S1</t>
  </si>
  <si>
    <t>407I.14</t>
  </si>
  <si>
    <t>407I.15</t>
  </si>
  <si>
    <t>407I.S1</t>
  </si>
  <si>
    <t>407J.16</t>
  </si>
  <si>
    <t>12</t>
  </si>
  <si>
    <t>407K.12</t>
  </si>
  <si>
    <t>407K.13</t>
  </si>
  <si>
    <t>407L.10</t>
  </si>
  <si>
    <t>407L.11</t>
  </si>
  <si>
    <t>407M.11</t>
  </si>
  <si>
    <t>407M.12</t>
  </si>
  <si>
    <t>407N.12</t>
  </si>
  <si>
    <t>407N.13</t>
  </si>
  <si>
    <t>M408.09b</t>
  </si>
  <si>
    <t>Lehrperson Sek. II Gymnasium/FMS</t>
  </si>
  <si>
    <t>408.09b</t>
  </si>
  <si>
    <t>408.S2</t>
  </si>
  <si>
    <t>408</t>
  </si>
  <si>
    <t>408A.09</t>
  </si>
  <si>
    <t>408A.S2</t>
  </si>
  <si>
    <t>408B.09</t>
  </si>
  <si>
    <t>408B.10</t>
  </si>
  <si>
    <t>408B.S2</t>
  </si>
  <si>
    <t>408C.10</t>
  </si>
  <si>
    <t>408C.S2</t>
  </si>
  <si>
    <t>408D.10</t>
  </si>
  <si>
    <t>408D.S2</t>
  </si>
  <si>
    <t>408E.10</t>
  </si>
  <si>
    <t>408E.S2</t>
  </si>
  <si>
    <t>Gymnasium Instrumental</t>
  </si>
  <si>
    <t>408F.11</t>
  </si>
  <si>
    <t>408G.12</t>
  </si>
  <si>
    <t>408H.11</t>
  </si>
  <si>
    <t>408H.12</t>
  </si>
  <si>
    <t>408H.13</t>
  </si>
  <si>
    <t>408H.14</t>
  </si>
  <si>
    <t>408H.15</t>
  </si>
  <si>
    <t>408I.10</t>
  </si>
  <si>
    <t>408I.11</t>
  </si>
  <si>
    <t>408I.12</t>
  </si>
  <si>
    <t>408I.13</t>
  </si>
  <si>
    <t>408K.10</t>
  </si>
  <si>
    <t>408K.13</t>
  </si>
  <si>
    <t>408K.14</t>
  </si>
  <si>
    <t>408L.11</t>
  </si>
  <si>
    <t>408L.13</t>
  </si>
  <si>
    <t>408M.12</t>
  </si>
  <si>
    <t>408M.13</t>
  </si>
  <si>
    <t>408N.13</t>
  </si>
  <si>
    <t>408N.14</t>
  </si>
  <si>
    <t>10</t>
  </si>
  <si>
    <t>408O.10</t>
  </si>
  <si>
    <t>409</t>
  </si>
  <si>
    <t>409A.09</t>
  </si>
  <si>
    <t>409B.10</t>
  </si>
  <si>
    <t>409C.09</t>
  </si>
  <si>
    <t>409C.10</t>
  </si>
  <si>
    <t>409D.10</t>
  </si>
  <si>
    <t>409E.10</t>
  </si>
  <si>
    <t>409E.11</t>
  </si>
  <si>
    <t>409F.10</t>
  </si>
  <si>
    <t>409G.11</t>
  </si>
  <si>
    <t>409H.10</t>
  </si>
  <si>
    <t>409H.11</t>
  </si>
  <si>
    <t>409H.12</t>
  </si>
  <si>
    <t>409I.10</t>
  </si>
  <si>
    <t>409K.10</t>
  </si>
  <si>
    <t>409K.11</t>
  </si>
  <si>
    <t>409K.12</t>
  </si>
  <si>
    <t>409K.13</t>
  </si>
  <si>
    <t>409L.11</t>
  </si>
  <si>
    <t>409L.12</t>
  </si>
  <si>
    <t>409L.13</t>
  </si>
  <si>
    <t>409M.11</t>
  </si>
  <si>
    <t>M409M.12</t>
  </si>
  <si>
    <t>Berufskundliche Fächer</t>
  </si>
  <si>
    <t>409M.12</t>
  </si>
  <si>
    <t>409M.13</t>
  </si>
  <si>
    <t>409N.12</t>
  </si>
  <si>
    <t>409N.13</t>
  </si>
  <si>
    <t>409N.14</t>
  </si>
  <si>
    <t>409O.11</t>
  </si>
  <si>
    <t>409O.12</t>
  </si>
  <si>
    <t>409P.13</t>
  </si>
  <si>
    <t>409P.14</t>
  </si>
  <si>
    <t>409Q.11</t>
  </si>
  <si>
    <t>409R.10</t>
  </si>
  <si>
    <t>410A.09</t>
  </si>
  <si>
    <t>410B.09</t>
  </si>
  <si>
    <t>410B.10</t>
  </si>
  <si>
    <t>410C.09</t>
  </si>
  <si>
    <t>410D.09</t>
  </si>
  <si>
    <t>410D.10</t>
  </si>
  <si>
    <t>410E.10</t>
  </si>
  <si>
    <t>410F.10</t>
  </si>
  <si>
    <t>410F.12</t>
  </si>
  <si>
    <t>410G.13</t>
  </si>
  <si>
    <t>410H.10</t>
  </si>
  <si>
    <t>410I.11</t>
  </si>
  <si>
    <t>410J.13</t>
  </si>
  <si>
    <t>410K.13</t>
  </si>
  <si>
    <t>410L.12</t>
  </si>
  <si>
    <t>410M.11</t>
  </si>
  <si>
    <t>410N.13</t>
  </si>
  <si>
    <t>410O.12</t>
  </si>
  <si>
    <t>410O.13</t>
  </si>
  <si>
    <t>410O.14</t>
  </si>
  <si>
    <t>410O.15</t>
  </si>
  <si>
    <t>411</t>
  </si>
  <si>
    <t>411A.12</t>
  </si>
  <si>
    <t>411A.13</t>
  </si>
  <si>
    <t>411A.15</t>
  </si>
  <si>
    <t>412</t>
  </si>
  <si>
    <t>412A.10</t>
  </si>
  <si>
    <t>414B.13</t>
  </si>
  <si>
    <t>501.09</t>
  </si>
  <si>
    <t>501.10</t>
  </si>
  <si>
    <t>M501.10a</t>
  </si>
  <si>
    <t>Untersuchungsfunktion 2</t>
  </si>
  <si>
    <t>501.10a</t>
  </si>
  <si>
    <t>501.11</t>
  </si>
  <si>
    <t>501.12a</t>
  </si>
  <si>
    <t>501.12b</t>
  </si>
  <si>
    <t>501.13</t>
  </si>
  <si>
    <t>501.14</t>
  </si>
  <si>
    <t>M504.06</t>
  </si>
  <si>
    <t>Staatsanwalt/-anwältin</t>
  </si>
  <si>
    <t>504.06</t>
  </si>
  <si>
    <t>M504.07</t>
  </si>
  <si>
    <t>504.07</t>
  </si>
  <si>
    <t>504.07a</t>
  </si>
  <si>
    <t>504.07b</t>
  </si>
  <si>
    <t>M504.08</t>
  </si>
  <si>
    <t>504.08</t>
  </si>
  <si>
    <t>504.08a</t>
  </si>
  <si>
    <t>504.08c</t>
  </si>
  <si>
    <t>504.09</t>
  </si>
  <si>
    <t>505</t>
  </si>
  <si>
    <t>505.06</t>
  </si>
  <si>
    <t>505.07</t>
  </si>
  <si>
    <t>505.08</t>
  </si>
  <si>
    <t>505.09</t>
  </si>
  <si>
    <t>505.10</t>
  </si>
  <si>
    <t>505.11</t>
  </si>
  <si>
    <t>506</t>
  </si>
  <si>
    <t>506.03</t>
  </si>
  <si>
    <t>506.04</t>
  </si>
  <si>
    <t>601</t>
  </si>
  <si>
    <t>601.19</t>
  </si>
  <si>
    <t>602</t>
  </si>
  <si>
    <t>602.14</t>
  </si>
  <si>
    <t>602.15</t>
  </si>
  <si>
    <t>602.16</t>
  </si>
  <si>
    <t>602.17a</t>
  </si>
  <si>
    <t>602.17b</t>
  </si>
  <si>
    <t>602.18a</t>
  </si>
  <si>
    <t>602.18b</t>
  </si>
  <si>
    <t>603</t>
  </si>
  <si>
    <t>603.11</t>
  </si>
  <si>
    <t>603.12</t>
  </si>
  <si>
    <t>603.13</t>
  </si>
  <si>
    <t>711</t>
  </si>
  <si>
    <t>711.07</t>
  </si>
  <si>
    <t>711.08</t>
  </si>
  <si>
    <t>711.08a</t>
  </si>
  <si>
    <t>711.09</t>
  </si>
  <si>
    <t>M711.09a</t>
  </si>
  <si>
    <t>711a</t>
  </si>
  <si>
    <t>Schulleitung Sekundarstufe I</t>
  </si>
  <si>
    <t>711.09a</t>
  </si>
  <si>
    <t>M711.09b</t>
  </si>
  <si>
    <t>711.10</t>
  </si>
  <si>
    <t>711.10a</t>
  </si>
  <si>
    <t>711.10b</t>
  </si>
  <si>
    <t>711.11</t>
  </si>
  <si>
    <t>711.12</t>
  </si>
  <si>
    <t>712</t>
  </si>
  <si>
    <t>712.01</t>
  </si>
  <si>
    <t>712.02</t>
  </si>
  <si>
    <t>712.03</t>
  </si>
  <si>
    <t>712.04</t>
  </si>
  <si>
    <t>712.05</t>
  </si>
  <si>
    <t>712.06</t>
  </si>
  <si>
    <t>712.07</t>
  </si>
  <si>
    <t>M901.DKiA</t>
  </si>
  <si>
    <t>Diätkoche und -köchinnen</t>
  </si>
  <si>
    <t>901.DKiA</t>
  </si>
  <si>
    <t>M901.EBA</t>
  </si>
  <si>
    <t>Attestausbildungen/-lehren EBA</t>
  </si>
  <si>
    <t>901.EBA</t>
  </si>
  <si>
    <t>M901.EFZK</t>
  </si>
  <si>
    <t>Verk. Zusatzl. n. Erstausb. EFZ</t>
  </si>
  <si>
    <t>901.EFZK</t>
  </si>
  <si>
    <t>M901.EFZN</t>
  </si>
  <si>
    <t>Berufslehre EFZ</t>
  </si>
  <si>
    <t>901.EFZN</t>
  </si>
  <si>
    <t>M901.PA1J</t>
  </si>
  <si>
    <t>Pflegeassistent/in (nicht EBA, sondern 1-jährig)</t>
  </si>
  <si>
    <t>901.PA1J</t>
  </si>
  <si>
    <t>M901.PBV</t>
  </si>
  <si>
    <t>Praxiseinsatz Berufsvorb. (&lt;1J)</t>
  </si>
  <si>
    <t>901.PBV</t>
  </si>
  <si>
    <t>M901.VRL</t>
  </si>
  <si>
    <t>Vorlehren</t>
  </si>
  <si>
    <t>901.VRL</t>
  </si>
  <si>
    <t>M901.VWB</t>
  </si>
  <si>
    <t>Verkehrswegbauer/in</t>
  </si>
  <si>
    <t>901.VWB</t>
  </si>
  <si>
    <t>M910.FSch</t>
  </si>
  <si>
    <t>Ferienbesch. von Schüler/-innen</t>
  </si>
  <si>
    <t>910.FSch</t>
  </si>
  <si>
    <t>M910.FStT</t>
  </si>
  <si>
    <t>Ferienbesch. von Studierenden</t>
  </si>
  <si>
    <t>910.FStT</t>
  </si>
  <si>
    <t>M911.PKurz</t>
  </si>
  <si>
    <t>SekII_Praktikum_bis_3Monate</t>
  </si>
  <si>
    <t>911.PKurz</t>
  </si>
  <si>
    <t>M911.PVK</t>
  </si>
  <si>
    <t>SekII_Praktikum_mehr_als_12Wo</t>
  </si>
  <si>
    <t>911.PVK</t>
  </si>
  <si>
    <t>M912.PnAusb</t>
  </si>
  <si>
    <t>Berufsprakt. nach Ausbildung</t>
  </si>
  <si>
    <t>912.PnAusb</t>
  </si>
  <si>
    <t>M912.PvATt</t>
  </si>
  <si>
    <t>Prakt.v. Ausb. Teritärbereich</t>
  </si>
  <si>
    <t>912.PvATt</t>
  </si>
  <si>
    <t>M913.Apr</t>
  </si>
  <si>
    <t>Anerkennungspraktika</t>
  </si>
  <si>
    <t>913.Apr</t>
  </si>
  <si>
    <t>M913.Doc</t>
  </si>
  <si>
    <t>Doktor. Dissertation</t>
  </si>
  <si>
    <t>99/99</t>
  </si>
  <si>
    <t>913.Doc</t>
  </si>
  <si>
    <t>M913.GesHF</t>
  </si>
  <si>
    <t>Ausbildungsberufe im Bereich Gesundheit HF</t>
  </si>
  <si>
    <t>913.GesHF</t>
  </si>
  <si>
    <t>M913.PädHF</t>
  </si>
  <si>
    <t>HF Pädagogische Richtung</t>
  </si>
  <si>
    <t>913.PädHF</t>
  </si>
  <si>
    <t>M913.PädHS</t>
  </si>
  <si>
    <t>Ausbildungspraktika der Päd. Hochschule (FHNW)</t>
  </si>
  <si>
    <t>913.PädHS</t>
  </si>
  <si>
    <t>M913.PädZ</t>
  </si>
  <si>
    <t>Zusatzausbildung z. dipl Berufsfachschullehrer/in</t>
  </si>
  <si>
    <t>13/C</t>
  </si>
  <si>
    <t>913.PädZ</t>
  </si>
  <si>
    <t>M913.PDoc</t>
  </si>
  <si>
    <t>Doktor. Habilitation</t>
  </si>
  <si>
    <t>M913.PwBac</t>
  </si>
  <si>
    <t>Praktikum während Bachelor</t>
  </si>
  <si>
    <t>913.PwBac</t>
  </si>
  <si>
    <t>M913.PwMas</t>
  </si>
  <si>
    <t>Praktikum während Masterstudium</t>
  </si>
  <si>
    <t>913.PwMas</t>
  </si>
  <si>
    <t>M914.PnBac</t>
  </si>
  <si>
    <t>Praktika nach Bachelorstudium</t>
  </si>
  <si>
    <t>914.PnBac</t>
  </si>
  <si>
    <t>M914.PnMas</t>
  </si>
  <si>
    <t>Praktika nach Masterstudium</t>
  </si>
  <si>
    <t>914.PnMas</t>
  </si>
  <si>
    <t>M914.PsPG</t>
  </si>
  <si>
    <t>Psychologie Anerkennungspraktikum</t>
  </si>
  <si>
    <t>914.PsPG</t>
  </si>
  <si>
    <t>M920.00</t>
  </si>
  <si>
    <t>Dolmetscher</t>
  </si>
  <si>
    <t>920.00</t>
  </si>
  <si>
    <t>M930.00</t>
  </si>
  <si>
    <t>Kursleiter</t>
  </si>
  <si>
    <t>930.00</t>
  </si>
  <si>
    <t>M930.01</t>
  </si>
  <si>
    <t>Experten</t>
  </si>
  <si>
    <t>930.01</t>
  </si>
  <si>
    <t>M930.03</t>
  </si>
  <si>
    <t>Nebenämter</t>
  </si>
  <si>
    <t>930.03</t>
  </si>
  <si>
    <t>M930.04</t>
  </si>
  <si>
    <t>Künstler</t>
  </si>
  <si>
    <t>930.04</t>
  </si>
  <si>
    <t>M996.00</t>
  </si>
  <si>
    <t>Präsident/-in Kantonsgericht</t>
  </si>
  <si>
    <t>996.00</t>
  </si>
  <si>
    <t>M996.01</t>
  </si>
  <si>
    <t>Vizepräsident/-in Kantonsgericht</t>
  </si>
  <si>
    <t>996.01</t>
  </si>
  <si>
    <t>M996.02</t>
  </si>
  <si>
    <t>Abt.präsident/-in Kantonsgericht</t>
  </si>
  <si>
    <t>996.02</t>
  </si>
  <si>
    <t>M996.03</t>
  </si>
  <si>
    <t>Abt.-Vizepräs. Kantonsgericht</t>
  </si>
  <si>
    <t>996.03</t>
  </si>
  <si>
    <t>M996.04</t>
  </si>
  <si>
    <t>Kantonsrichter</t>
  </si>
  <si>
    <t>996.04</t>
  </si>
  <si>
    <t>M996.05</t>
  </si>
  <si>
    <t>Friedensrichter</t>
  </si>
  <si>
    <t>996.05</t>
  </si>
  <si>
    <t>M996.06</t>
  </si>
  <si>
    <t>Erstinstanzpräsidium</t>
  </si>
  <si>
    <t>996.06</t>
  </si>
  <si>
    <t>M996.07</t>
  </si>
  <si>
    <t>Erstinstanzrichter</t>
  </si>
  <si>
    <t>996.07</t>
  </si>
  <si>
    <t>M997.00</t>
  </si>
  <si>
    <t>Erster Staatsanwalt/-anwältin</t>
  </si>
  <si>
    <t>997.00</t>
  </si>
  <si>
    <t>M997.01</t>
  </si>
  <si>
    <t>Leiternder Staatsanwalt I</t>
  </si>
  <si>
    <t>997.01</t>
  </si>
  <si>
    <t>M998.00</t>
  </si>
  <si>
    <t>Landschreiber</t>
  </si>
  <si>
    <t>998.00</t>
  </si>
  <si>
    <t>M998.01</t>
  </si>
  <si>
    <t>Vorsteher Finanzkontrolle</t>
  </si>
  <si>
    <t>998.01</t>
  </si>
  <si>
    <t>M998.02</t>
  </si>
  <si>
    <t>Vorsteher Datenschutzstelle</t>
  </si>
  <si>
    <t>998.02</t>
  </si>
  <si>
    <t>M998.03</t>
  </si>
  <si>
    <t>Ombudsman</t>
  </si>
  <si>
    <t>998.03</t>
  </si>
  <si>
    <t>M999.00</t>
  </si>
  <si>
    <t>Regierungsrat</t>
  </si>
  <si>
    <t>999.00</t>
  </si>
  <si>
    <t>M999.03</t>
  </si>
  <si>
    <t>Landrat</t>
  </si>
  <si>
    <t>999.03</t>
  </si>
  <si>
    <t>408.11c</t>
  </si>
  <si>
    <t>Lehrperson Sek. II Individual- und Gruppenunterricht</t>
  </si>
  <si>
    <t>Rektorat Volksschule (Primarstufe + Sekundarstufe I)</t>
  </si>
  <si>
    <t>414A.13</t>
  </si>
  <si>
    <t>203.12a</t>
  </si>
  <si>
    <t>z</t>
  </si>
  <si>
    <t>Erforderliche Ausbildung (A1):</t>
  </si>
  <si>
    <r>
      <rPr>
        <b/>
        <i/>
        <u/>
        <sz val="10"/>
        <color theme="0"/>
        <rFont val="Arial"/>
        <family val="2"/>
      </rPr>
      <t xml:space="preserve">ACHTUNG
</t>
    </r>
    <r>
      <rPr>
        <b/>
        <i/>
        <sz val="10"/>
        <color theme="0"/>
        <rFont val="Arial"/>
        <family val="2"/>
      </rPr>
      <t>Sie sind dabei das Lohnband oder den Erfahrungswert einer vordefinierten Modellumschreibung zu übersteuern. Bitte beachten Sie, dass das Lohnband in der Regel fest mit der entsprechenden Modellumschreibung verknüpft ist und der Erfahrungswert einer Berechnungsgrundlage unterliegt. Wenn das Lohnband, bzw. der Erfahrungswert manuell übersteuert wird, liegt die Verantwortung für die Richtigkeit vollumfänglich beim Anwender des Formulars.</t>
    </r>
  </si>
  <si>
    <t>&lt;-- Bei Bedarf können hier durch kopieren weitere Zeilen eingefügt werden</t>
  </si>
  <si>
    <t xml:space="preserve">    (Blattschutz aufheben, Zeile markieren und kopieren, Menuepunkt "Einfügen" - Kopierte Zellen einfügen)</t>
  </si>
  <si>
    <t>101.19</t>
  </si>
  <si>
    <t>101.20</t>
  </si>
  <si>
    <t>101.21</t>
  </si>
  <si>
    <t>101.22</t>
  </si>
  <si>
    <t>101.23</t>
  </si>
  <si>
    <t>101.24</t>
  </si>
  <si>
    <t>101.25</t>
  </si>
  <si>
    <t>101.26</t>
  </si>
  <si>
    <t>102.13</t>
  </si>
  <si>
    <t>102.15</t>
  </si>
  <si>
    <t>102.17</t>
  </si>
  <si>
    <t>102.19</t>
  </si>
  <si>
    <t>103.07</t>
  </si>
  <si>
    <t>103.09</t>
  </si>
  <si>
    <t>103.11</t>
  </si>
  <si>
    <t>103.13</t>
  </si>
  <si>
    <t>111.10</t>
  </si>
  <si>
    <t>111.11</t>
  </si>
  <si>
    <t>111.12</t>
  </si>
  <si>
    <t>111.13</t>
  </si>
  <si>
    <t>111.14</t>
  </si>
  <si>
    <t>111.15</t>
  </si>
  <si>
    <t>111.16</t>
  </si>
  <si>
    <t>111.17</t>
  </si>
  <si>
    <t>111.18</t>
  </si>
  <si>
    <t>201.20</t>
  </si>
  <si>
    <t>201.21</t>
  </si>
  <si>
    <t>201.22</t>
  </si>
  <si>
    <t>201.23</t>
  </si>
  <si>
    <t>201.24</t>
  </si>
  <si>
    <t>201.25</t>
  </si>
  <si>
    <t>201.26</t>
  </si>
  <si>
    <t>201.27</t>
  </si>
  <si>
    <t>201.28</t>
  </si>
  <si>
    <t>202.13</t>
  </si>
  <si>
    <t>202.15</t>
  </si>
  <si>
    <t>202.17</t>
  </si>
  <si>
    <t>202.19</t>
  </si>
  <si>
    <t>203.07</t>
  </si>
  <si>
    <t>203.08</t>
  </si>
  <si>
    <t>203.09</t>
  </si>
  <si>
    <t>203.10</t>
  </si>
  <si>
    <t>203.11</t>
  </si>
  <si>
    <t>203.12</t>
  </si>
  <si>
    <t>203.13</t>
  </si>
  <si>
    <t>211.11</t>
  </si>
  <si>
    <t>211.12</t>
  </si>
  <si>
    <t>211.13</t>
  </si>
  <si>
    <t>211.14</t>
  </si>
  <si>
    <t>211.15</t>
  </si>
  <si>
    <t>211.16</t>
  </si>
  <si>
    <t>211.17</t>
  </si>
  <si>
    <t>211.18</t>
  </si>
  <si>
    <t>301.21</t>
  </si>
  <si>
    <t>301.22</t>
  </si>
  <si>
    <t>301.23</t>
  </si>
  <si>
    <t>301.24</t>
  </si>
  <si>
    <t>301.25</t>
  </si>
  <si>
    <t>301.26</t>
  </si>
  <si>
    <t>302.19</t>
  </si>
  <si>
    <t>302.20</t>
  </si>
  <si>
    <t>303.13</t>
  </si>
  <si>
    <t>303.14</t>
  </si>
  <si>
    <t>303.18</t>
  </si>
  <si>
    <t>304.12</t>
  </si>
  <si>
    <t>304.13</t>
  </si>
  <si>
    <t>304.14</t>
  </si>
  <si>
    <t>304.15</t>
  </si>
  <si>
    <t>305.11</t>
  </si>
  <si>
    <t>305.12</t>
  </si>
  <si>
    <t>305.13</t>
  </si>
  <si>
    <t>311.22</t>
  </si>
  <si>
    <t>311.23</t>
  </si>
  <si>
    <t>311.24</t>
  </si>
  <si>
    <t>311.25</t>
  </si>
  <si>
    <t>311.26</t>
  </si>
  <si>
    <t>311.27</t>
  </si>
  <si>
    <t>312.18</t>
  </si>
  <si>
    <t>312.19</t>
  </si>
  <si>
    <t>312.20</t>
  </si>
  <si>
    <t>312.21</t>
  </si>
  <si>
    <t>313.15</t>
  </si>
  <si>
    <t>313.16</t>
  </si>
  <si>
    <t>313.18</t>
  </si>
  <si>
    <t>314.12</t>
  </si>
  <si>
    <t>314.13</t>
  </si>
  <si>
    <t>314.14</t>
  </si>
  <si>
    <t>314.15</t>
  </si>
  <si>
    <t>321.22</t>
  </si>
  <si>
    <t>321.23</t>
  </si>
  <si>
    <t>321.24</t>
  </si>
  <si>
    <t>321.25</t>
  </si>
  <si>
    <t>322.18</t>
  </si>
  <si>
    <t>322.19</t>
  </si>
  <si>
    <t>322.20</t>
  </si>
  <si>
    <t>322.21</t>
  </si>
  <si>
    <t>323.14</t>
  </si>
  <si>
    <t>323.16</t>
  </si>
  <si>
    <t>323.17</t>
  </si>
  <si>
    <t>324.11</t>
  </si>
  <si>
    <t>324.12</t>
  </si>
  <si>
    <t>324.13</t>
  </si>
  <si>
    <t>324.14</t>
  </si>
  <si>
    <t>331.08</t>
  </si>
  <si>
    <t>331.09</t>
  </si>
  <si>
    <t>331.10</t>
  </si>
  <si>
    <t>331.11</t>
  </si>
  <si>
    <t>331.12</t>
  </si>
  <si>
    <t>332.02</t>
  </si>
  <si>
    <t>332.05</t>
  </si>
  <si>
    <t>332.06</t>
  </si>
  <si>
    <t>332.08</t>
  </si>
  <si>
    <t>332.09</t>
  </si>
  <si>
    <t>332.11</t>
  </si>
  <si>
    <t>332.12</t>
  </si>
  <si>
    <t>341.14</t>
  </si>
  <si>
    <t>341.16</t>
  </si>
  <si>
    <t>341.17</t>
  </si>
  <si>
    <t>341.18</t>
  </si>
  <si>
    <t>341.19</t>
  </si>
  <si>
    <t>342.13</t>
  </si>
  <si>
    <t>342.14</t>
  </si>
  <si>
    <t>415.15</t>
  </si>
  <si>
    <t>????</t>
  </si>
  <si>
    <t>Gerichtsschreiber/in 2</t>
  </si>
  <si>
    <t>Gerichtsschreiber/in 1</t>
  </si>
  <si>
    <t>913.PDoc</t>
  </si>
  <si>
    <t>ddeaktiviert</t>
  </si>
  <si>
    <t>deaktiviert</t>
  </si>
  <si>
    <t>inaktiv</t>
  </si>
  <si>
    <t>zzzz</t>
  </si>
  <si>
    <t>Anstellungsformular KPTF</t>
  </si>
  <si>
    <t>Externe Stellvertretungsmeldung 
KPTF</t>
  </si>
  <si>
    <t>KPTF</t>
  </si>
  <si>
    <t>Kindergarten ISF</t>
  </si>
  <si>
    <t>*zwingend auszufüllen</t>
  </si>
  <si>
    <t>Höchstausbildung LOGIB</t>
  </si>
  <si>
    <t>Prädikat für Vertrag</t>
  </si>
  <si>
    <t>Lohnentwicklung</t>
  </si>
  <si>
    <t>Bitte angeben, ob eine individuelle Lohnentwicklung gewährt werden soll.</t>
  </si>
  <si>
    <r>
      <t xml:space="preserve">In dem Fall ist das Prädikat auf dem Wert </t>
    </r>
    <r>
      <rPr>
        <sz val="10"/>
        <rFont val="Calibri"/>
        <family val="2"/>
      </rPr>
      <t>«</t>
    </r>
    <r>
      <rPr>
        <sz val="10"/>
        <rFont val="MS Sans Serif"/>
      </rPr>
      <t>NA</t>
    </r>
    <r>
      <rPr>
        <sz val="10"/>
        <rFont val="Calibri"/>
        <family val="2"/>
      </rPr>
      <t>»</t>
    </r>
    <r>
      <rPr>
        <sz val="10"/>
        <rFont val="MS Sans Serif"/>
      </rPr>
      <t xml:space="preserve"> (keine Beurteilung) zu belassen.</t>
    </r>
  </si>
  <si>
    <r>
      <t xml:space="preserve">Ist noch keine Beurteilung hinterlegt, so ist das Prädikat auf </t>
    </r>
    <r>
      <rPr>
        <sz val="10"/>
        <rFont val="Calibri"/>
        <family val="2"/>
      </rPr>
      <t>«</t>
    </r>
    <r>
      <rPr>
        <sz val="10"/>
        <rFont val="MS Sans Serif"/>
      </rPr>
      <t>A</t>
    </r>
    <r>
      <rPr>
        <sz val="10"/>
        <rFont val="Calibri"/>
        <family val="2"/>
      </rPr>
      <t>»</t>
    </r>
    <r>
      <rPr>
        <sz val="10"/>
        <rFont val="MS Sans Serif"/>
      </rPr>
      <t xml:space="preserve"> zu belassen.</t>
    </r>
  </si>
  <si>
    <t>Prädikat</t>
  </si>
  <si>
    <t>NA</t>
  </si>
  <si>
    <t>A+</t>
  </si>
  <si>
    <t xml:space="preserve">Falls eine individuelle  Lohnentwicklung gewährt werden soll, ist das entsprechende Prädikat aus der relevanten MAG-Phase im Dropdown-Menu auszuwählen. </t>
  </si>
  <si>
    <t>match LB</t>
  </si>
  <si>
    <t>Bezeichnung bisherige MU</t>
  </si>
  <si>
    <t>Alt 1</t>
  </si>
  <si>
    <t>Alt 2</t>
  </si>
  <si>
    <t>Bezeichnung neue MU</t>
  </si>
  <si>
    <t>Abgleich / Übereinstimmung</t>
  </si>
  <si>
    <t>A2 bisher</t>
  </si>
  <si>
    <t>A2 neu</t>
  </si>
  <si>
    <t>A2 Differenz</t>
  </si>
  <si>
    <t>match</t>
  </si>
  <si>
    <t>Total Übereinstimmungen</t>
  </si>
  <si>
    <t>alte MU</t>
  </si>
  <si>
    <t>neue MU</t>
  </si>
  <si>
    <t>Mas</t>
  </si>
  <si>
    <t>Ermittelter EW Wechsel gleiche Ausbildungsanforderung</t>
  </si>
  <si>
    <t>match LT</t>
  </si>
  <si>
    <t>Gültige weitere Verfahren</t>
  </si>
  <si>
    <t>EW abg</t>
  </si>
  <si>
    <t>EW neu</t>
  </si>
  <si>
    <t>EW (Zahl)</t>
  </si>
  <si>
    <t>Anzahl</t>
  </si>
  <si>
    <t>Durchschnitt / Summe</t>
  </si>
  <si>
    <t>EW aufger</t>
  </si>
  <si>
    <t>EW-Wert</t>
  </si>
  <si>
    <t>A2-Differenz</t>
  </si>
  <si>
    <t>Höchstausbildung LOGIB*</t>
  </si>
  <si>
    <t>01 Universitäre Hochschulen (UNI, ETH)</t>
  </si>
  <si>
    <t>02 Fachchochschule (FH), Pädagogische Hochschule (PH)</t>
  </si>
  <si>
    <t>03 Höhere Berufsausbildung</t>
  </si>
  <si>
    <t>04 Lehrerpatent</t>
  </si>
  <si>
    <t>05 Maturität</t>
  </si>
  <si>
    <t>06 Abgeschlossene Berufslehre (EFZ, EBA)</t>
  </si>
  <si>
    <t>07 Unternehmensinterne Ausbildung</t>
  </si>
  <si>
    <t>08 Ohne Berufsausbildung</t>
  </si>
  <si>
    <r>
      <t xml:space="preserve">* </t>
    </r>
    <r>
      <rPr>
        <b/>
        <u/>
        <sz val="8"/>
        <color theme="1"/>
        <rFont val="Arial"/>
        <family val="2"/>
      </rPr>
      <t>Codierung Höchstausbildung nach LOGIB (höchste Ausbildung des Mitarbeitenden)</t>
    </r>
    <r>
      <rPr>
        <u/>
        <sz val="8"/>
        <color theme="1"/>
        <rFont val="Arial"/>
        <family val="2"/>
      </rPr>
      <t xml:space="preserve">
</t>
    </r>
    <r>
      <rPr>
        <sz val="8"/>
        <color theme="1"/>
        <rFont val="Arial"/>
        <family val="2"/>
      </rPr>
      <t>Teritär: Hochschule (Codes 1 und 2):
1 = Universitäre Hochschule (UNI, ETH)
2 = Fachhochschule (FH), Pädagogische Hochschule (PH) oder gleichwertige Ausbildung
Teritär: Höhere Berufsausbildung (Code 3)
3 = Höhere Berufsausbildung mit eidg. Fachausweis, Diplom oder höherer Fachprüfung/Meisterdiplom, Techniker TS, Höhere Fachschule, HTL, HWV, HFG, IES oder gleichwertige Ausbildung
Sekundarstufe II (Codes 4 bis 6)
4 = Lehrerpatent auf verschiedenen Stufen: Primarlehrerseminar (für den Unterricht auf Stufe Kindergarten, Primarschule, Handarbeit und Werken, Hauswirtschaft) oder gleichwertige Ausbildung
5 = Gymnasiale Maturität, Berufsmaturität, Fachmaturität oder gleichwertige Ausbildung
6 = Abgeschlossene Berufsausbildung, die zum Erwerb eines eidg. Fähigkeitszeugnisses (EFZ) führt, Vollzeit-Berufsschule, Diplom oder Fachmittelschule, berufliche Grundausbildung (eidg. Berufsatest - EBA) oder gleichwertige Ausbildung
Obligatorische Schule (Codes 7 und 8)
7 = Ausschliesslich unternehmensinterne, durch das Bundesamt für Berufsausbildung und Technologie (BBT) nicht annerkante Berufsausbildung
8 = Obligatorische Schule, ohne abgeschlossene Berufsausbildung</t>
    </r>
  </si>
  <si>
    <t>Release Notes ab Version 4</t>
  </si>
  <si>
    <t>Version 4.5</t>
  </si>
  <si>
    <t>Version 4.4</t>
  </si>
  <si>
    <t xml:space="preserve"> Dropdown Schultyp in allen Formularen angepasst</t>
  </si>
  <si>
    <t xml:space="preserve"> Reiter TSM in KPTF unbenannt</t>
  </si>
  <si>
    <t>Version 4.6</t>
  </si>
  <si>
    <t xml:space="preserve"> auf allen Formularen Dropdown mit LOGIB-Codes und Beschreibung eingefügt</t>
  </si>
  <si>
    <t xml:space="preserve"> Beilagen auf allen Formularen in gelb hervorgehoben</t>
  </si>
  <si>
    <t>V4.6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</si>
</sst>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 &quot;CHF&quot;\ * #,##0.00_ ;_ &quot;CHF&quot;\ * \-#,##0.00_ ;_ &quot;CHF&quot;\ * &quot;-&quot;??_ ;_ @_ "/>
    <numFmt numFmtId="164" formatCode="0.0"/>
    <numFmt numFmtId="165" formatCode="#,##0.0_);[Red]\(#,##0.0\)"/>
    <numFmt numFmtId="166" formatCode="0."/>
    <numFmt numFmtId="167" formatCode="0.0;[Red]0.0"/>
    <numFmt numFmtId="168" formatCode="0\ &quot;Mt&quot;"/>
    <numFmt numFmtId="169" formatCode="0\ &quot;J&quot;"/>
    <numFmt numFmtId="170" formatCode="&quot;CHF&quot;\ #,##0.00"/>
    <numFmt numFmtId="171" formatCode="0.0000"/>
  </numFmts>
  <fonts count="78" x14ac:knownFonts="1">
    <font>
      <sz val="10"/>
      <name val="MS Sans Serif"/>
    </font>
    <font>
      <b/>
      <sz val="10"/>
      <name val="MS Sans Serif"/>
    </font>
    <font>
      <sz val="10"/>
      <name val="MS Sans Serif"/>
      <family val="2"/>
    </font>
    <font>
      <b/>
      <sz val="12"/>
      <name val="Arial"/>
      <family val="2"/>
    </font>
    <font>
      <sz val="11"/>
      <name val="Arial"/>
      <family val="2"/>
    </font>
    <font>
      <b/>
      <sz val="11"/>
      <name val="Arial"/>
      <family val="2"/>
    </font>
    <font>
      <b/>
      <sz val="10"/>
      <name val="Arial"/>
      <family val="2"/>
    </font>
    <font>
      <b/>
      <u/>
      <sz val="10"/>
      <name val="Arial"/>
      <family val="2"/>
    </font>
    <font>
      <sz val="12"/>
      <name val="Arial"/>
      <family val="2"/>
    </font>
    <font>
      <sz val="10"/>
      <name val="Arial"/>
      <family val="2"/>
    </font>
    <font>
      <b/>
      <sz val="10"/>
      <name val="Arial"/>
      <family val="2"/>
    </font>
    <font>
      <i/>
      <sz val="8"/>
      <name val="Arial"/>
      <family val="2"/>
    </font>
    <font>
      <sz val="8"/>
      <name val="MS Sans Serif"/>
      <family val="2"/>
    </font>
    <font>
      <sz val="10.5"/>
      <name val="Arial"/>
      <family val="2"/>
    </font>
    <font>
      <sz val="10"/>
      <color indexed="9"/>
      <name val="MS Sans Serif"/>
      <family val="2"/>
    </font>
    <font>
      <sz val="8"/>
      <name val="Arial Narrow"/>
      <family val="2"/>
    </font>
    <font>
      <b/>
      <sz val="8"/>
      <color indexed="81"/>
      <name val="Tahoma"/>
      <family val="2"/>
    </font>
    <font>
      <b/>
      <sz val="13"/>
      <name val="Arial"/>
      <family val="2"/>
    </font>
    <font>
      <sz val="8"/>
      <color indexed="81"/>
      <name val="Tahoma"/>
      <family val="2"/>
    </font>
    <font>
      <sz val="10"/>
      <color indexed="9"/>
      <name val="Arial"/>
      <family val="2"/>
    </font>
    <font>
      <i/>
      <sz val="10"/>
      <color indexed="8"/>
      <name val="Arial"/>
      <family val="2"/>
    </font>
    <font>
      <b/>
      <i/>
      <sz val="10"/>
      <name val="Arial"/>
      <family val="2"/>
    </font>
    <font>
      <i/>
      <sz val="10"/>
      <name val="Arial"/>
      <family val="2"/>
    </font>
    <font>
      <b/>
      <i/>
      <sz val="10"/>
      <color indexed="8"/>
      <name val="Arial"/>
      <family val="2"/>
    </font>
    <font>
      <sz val="8"/>
      <name val="Arial"/>
      <family val="2"/>
    </font>
    <font>
      <i/>
      <sz val="9"/>
      <color indexed="8"/>
      <name val="Arial"/>
      <family val="2"/>
    </font>
    <font>
      <sz val="1"/>
      <color indexed="9"/>
      <name val="Arial"/>
      <family val="2"/>
    </font>
    <font>
      <sz val="8"/>
      <name val="Arial"/>
      <family val="2"/>
    </font>
    <font>
      <sz val="10"/>
      <name val="MS Sans Serif"/>
      <family val="2"/>
    </font>
    <font>
      <i/>
      <sz val="8"/>
      <name val="Arial Narrow"/>
      <family val="2"/>
    </font>
    <font>
      <sz val="9"/>
      <color indexed="81"/>
      <name val="Tahoma"/>
      <family val="2"/>
    </font>
    <font>
      <b/>
      <sz val="9"/>
      <color indexed="81"/>
      <name val="Tahoma"/>
      <family val="2"/>
    </font>
    <font>
      <b/>
      <sz val="11"/>
      <name val="MS Sans Serif"/>
    </font>
    <font>
      <sz val="9"/>
      <name val="MS Sans Serif"/>
    </font>
    <font>
      <b/>
      <sz val="9"/>
      <name val="Arial"/>
      <family val="2"/>
    </font>
    <font>
      <sz val="9"/>
      <name val="Arial"/>
      <family val="2"/>
    </font>
    <font>
      <sz val="1"/>
      <name val="Arial"/>
      <family val="2"/>
    </font>
    <font>
      <sz val="1"/>
      <color theme="0"/>
      <name val="Arial"/>
      <family val="2"/>
    </font>
    <font>
      <sz val="10"/>
      <color theme="0"/>
      <name val="Arial"/>
      <family val="2"/>
    </font>
    <font>
      <sz val="11"/>
      <color rgb="FFFF0000"/>
      <name val="MS Sans Serif"/>
    </font>
    <font>
      <sz val="8.5"/>
      <name val="Arial"/>
      <family val="2"/>
    </font>
    <font>
      <sz val="9"/>
      <color theme="0"/>
      <name val="Arial"/>
      <family val="2"/>
    </font>
    <font>
      <sz val="10"/>
      <color rgb="FFFF0000"/>
      <name val="Arial"/>
      <family val="2"/>
    </font>
    <font>
      <b/>
      <sz val="8"/>
      <name val="Arial"/>
      <family val="2"/>
    </font>
    <font>
      <b/>
      <sz val="14"/>
      <name val="Arial"/>
      <family val="2"/>
    </font>
    <font>
      <i/>
      <sz val="9"/>
      <name val="Arial"/>
      <family val="2"/>
    </font>
    <font>
      <b/>
      <i/>
      <sz val="9"/>
      <name val="Arial"/>
      <family val="2"/>
    </font>
    <font>
      <b/>
      <sz val="8"/>
      <color rgb="FF000000"/>
      <name val="Tahoma"/>
      <family val="2"/>
    </font>
    <font>
      <sz val="10"/>
      <name val="MS Sans Serif"/>
    </font>
    <font>
      <u/>
      <sz val="10"/>
      <color theme="10"/>
      <name val="MS Sans Serif"/>
    </font>
    <font>
      <b/>
      <sz val="10"/>
      <color theme="1"/>
      <name val="MS Sans Serif"/>
    </font>
    <font>
      <sz val="10"/>
      <color indexed="81"/>
      <name val="Arial"/>
      <family val="2"/>
    </font>
    <font>
      <sz val="10"/>
      <color rgb="FF808080"/>
      <name val="Arial"/>
      <family val="2"/>
    </font>
    <font>
      <b/>
      <sz val="9"/>
      <color indexed="81"/>
      <name val="Segoe UI"/>
      <family val="2"/>
    </font>
    <font>
      <sz val="10"/>
      <color rgb="FF000000"/>
      <name val="Arial"/>
      <family val="2"/>
    </font>
    <font>
      <sz val="9"/>
      <color rgb="FFFF0000"/>
      <name val="Arial"/>
      <family val="2"/>
    </font>
    <font>
      <u/>
      <sz val="9"/>
      <color theme="10"/>
      <name val="MS Sans Serif"/>
    </font>
    <font>
      <b/>
      <sz val="9"/>
      <name val="MS Sans Serif"/>
    </font>
    <font>
      <sz val="9"/>
      <color indexed="81"/>
      <name val="Segoe UI"/>
      <family val="2"/>
    </font>
    <font>
      <sz val="10"/>
      <color theme="0"/>
      <name val="MS Sans Serif"/>
    </font>
    <font>
      <b/>
      <sz val="9"/>
      <color theme="1"/>
      <name val="MS Sans Serif"/>
    </font>
    <font>
      <b/>
      <sz val="9.5"/>
      <color theme="1"/>
      <name val="MS Sans Serif"/>
    </font>
    <font>
      <sz val="9.5"/>
      <name val="MS Sans Serif"/>
    </font>
    <font>
      <b/>
      <i/>
      <sz val="10"/>
      <color theme="0"/>
      <name val="Arial"/>
      <family val="2"/>
    </font>
    <font>
      <b/>
      <i/>
      <u/>
      <sz val="10"/>
      <color theme="0"/>
      <name val="Arial"/>
      <family val="2"/>
    </font>
    <font>
      <i/>
      <sz val="1"/>
      <color theme="0"/>
      <name val="Arial"/>
      <family val="2"/>
    </font>
    <font>
      <b/>
      <sz val="1"/>
      <color theme="0"/>
      <name val="Arial"/>
      <family val="2"/>
    </font>
    <font>
      <b/>
      <i/>
      <sz val="8"/>
      <name val="Arial"/>
      <family val="2"/>
    </font>
    <font>
      <sz val="8"/>
      <color theme="1"/>
      <name val="Arial"/>
      <family val="2"/>
    </font>
    <font>
      <b/>
      <u/>
      <sz val="8"/>
      <color theme="1"/>
      <name val="Arial"/>
      <family val="2"/>
    </font>
    <font>
      <u/>
      <sz val="8"/>
      <color theme="1"/>
      <name val="Arial"/>
      <family val="2"/>
    </font>
    <font>
      <sz val="10"/>
      <name val="Calibri"/>
      <family val="2"/>
    </font>
    <font>
      <b/>
      <i/>
      <u/>
      <sz val="9"/>
      <color rgb="FFFF0000"/>
      <name val="Arial"/>
      <family val="2"/>
    </font>
    <font>
      <b/>
      <sz val="10"/>
      <color theme="0"/>
      <name val="MS Sans Serif"/>
    </font>
    <font>
      <sz val="8"/>
      <name val="MS Sans Serif"/>
    </font>
    <font>
      <sz val="10"/>
      <color theme="1" tint="0.499984740745262"/>
      <name val="Arial"/>
      <family val="2"/>
    </font>
    <font>
      <sz val="10"/>
      <color theme="1"/>
      <name val="Arial"/>
      <family val="2"/>
    </font>
    <font>
      <b/>
      <sz val="10"/>
      <color theme="1"/>
      <name val="Arial"/>
      <family val="2"/>
    </font>
  </fonts>
  <fills count="32">
    <fill>
      <patternFill patternType="none"/>
    </fill>
    <fill>
      <patternFill patternType="gray125"/>
    </fill>
    <fill>
      <patternFill patternType="solid">
        <fgColor indexed="9"/>
        <bgColor indexed="64"/>
      </patternFill>
    </fill>
    <fill>
      <patternFill patternType="solid">
        <fgColor indexed="5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bgColor indexed="64"/>
      </patternFill>
    </fill>
    <fill>
      <patternFill patternType="solid">
        <fgColor theme="0" tint="-4.9989318521683403E-2"/>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indexed="22"/>
        <bgColor indexed="64"/>
      </patternFill>
    </fill>
    <fill>
      <patternFill patternType="solid">
        <fgColor rgb="FFFFFFFF"/>
        <bgColor rgb="FF000000"/>
      </patternFill>
    </fill>
    <fill>
      <patternFill patternType="solid">
        <fgColor rgb="FFF2DCDB"/>
        <bgColor rgb="FF000000"/>
      </patternFill>
    </fill>
    <fill>
      <patternFill patternType="solid">
        <fgColor rgb="FFF2F2F2"/>
        <bgColor rgb="FF000000"/>
      </patternFill>
    </fill>
    <fill>
      <patternFill patternType="solid">
        <fgColor rgb="FFD9D9D9"/>
        <bgColor rgb="FF000000"/>
      </patternFill>
    </fill>
    <fill>
      <patternFill patternType="solid">
        <fgColor rgb="FF00B050"/>
        <bgColor rgb="FF000000"/>
      </patternFill>
    </fill>
    <fill>
      <patternFill patternType="solid">
        <fgColor rgb="FFDA9694"/>
        <bgColor rgb="FF000000"/>
      </patternFill>
    </fill>
    <fill>
      <patternFill patternType="solid">
        <fgColor rgb="FFFF0000"/>
        <bgColor rgb="FF000000"/>
      </patternFill>
    </fill>
    <fill>
      <patternFill patternType="solid">
        <fgColor rgb="FFFF000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4.9989318521683403E-2"/>
        <bgColor rgb="FF000000"/>
      </patternFill>
    </fill>
    <fill>
      <patternFill patternType="solid">
        <fgColor theme="0" tint="-0.14999847407452621"/>
        <bgColor rgb="FF000000"/>
      </patternFill>
    </fill>
    <fill>
      <patternFill patternType="solid">
        <fgColor theme="5" tint="0.79998168889431442"/>
        <bgColor rgb="FF000000"/>
      </patternFill>
    </fill>
    <fill>
      <patternFill patternType="solid">
        <fgColor theme="0"/>
        <bgColor rgb="FF000000"/>
      </patternFill>
    </fill>
    <fill>
      <patternFill patternType="solid">
        <fgColor theme="0" tint="-0.249977111117893"/>
        <bgColor rgb="FF000000"/>
      </patternFill>
    </fill>
    <fill>
      <patternFill patternType="solid">
        <fgColor theme="2" tint="-9.9978637043366805E-2"/>
        <bgColor indexed="64"/>
      </patternFill>
    </fill>
    <fill>
      <patternFill patternType="solid">
        <fgColor theme="3" tint="0.79998168889431442"/>
        <bgColor indexed="64"/>
      </patternFill>
    </fill>
  </fills>
  <borders count="40">
    <border>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diagonal/>
    </border>
    <border>
      <left/>
      <right style="hair">
        <color indexed="64"/>
      </right>
      <top/>
      <bottom/>
      <diagonal/>
    </border>
    <border>
      <left/>
      <right style="hair">
        <color indexed="64"/>
      </right>
      <top/>
      <bottom style="hair">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style="hair">
        <color indexed="64"/>
      </bottom>
      <diagonal/>
    </border>
    <border>
      <left/>
      <right/>
      <top style="hair">
        <color indexed="64"/>
      </top>
      <bottom/>
      <diagonal/>
    </border>
    <border>
      <left/>
      <right/>
      <top/>
      <bottom style="hair">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medium">
        <color rgb="FFFF0000"/>
      </left>
      <right style="medium">
        <color rgb="FFFF0000"/>
      </right>
      <top style="medium">
        <color rgb="FFFF0000"/>
      </top>
      <bottom style="medium">
        <color rgb="FFFF0000"/>
      </bottom>
      <diagonal/>
    </border>
    <border>
      <left/>
      <right style="thin">
        <color indexed="64"/>
      </right>
      <top/>
      <bottom/>
      <diagonal/>
    </border>
    <border>
      <left style="thin">
        <color indexed="64"/>
      </left>
      <right/>
      <top style="thin">
        <color indexed="64"/>
      </top>
      <bottom/>
      <diagonal/>
    </border>
    <border>
      <left/>
      <right/>
      <top style="thin">
        <color indexed="64"/>
      </top>
      <bottom style="thin">
        <color indexed="64"/>
      </bottom>
      <diagonal/>
    </border>
    <border>
      <left style="mediumDashed">
        <color theme="0" tint="-0.24994659260841701"/>
      </left>
      <right/>
      <top/>
      <bottom/>
      <diagonal/>
    </border>
    <border>
      <left style="thin">
        <color theme="1"/>
      </left>
      <right/>
      <top/>
      <bottom/>
      <diagonal/>
    </border>
    <border>
      <left/>
      <right style="thin">
        <color theme="1"/>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40" fontId="2" fillId="0" borderId="0" applyFont="0" applyFill="0" applyBorder="0" applyAlignment="0" applyProtection="0"/>
    <xf numFmtId="0" fontId="2" fillId="0" borderId="0"/>
    <xf numFmtId="0" fontId="9" fillId="0" borderId="0"/>
    <xf numFmtId="44" fontId="48" fillId="0" borderId="0" applyFont="0" applyFill="0" applyBorder="0" applyAlignment="0" applyProtection="0"/>
    <xf numFmtId="9" fontId="48" fillId="0" borderId="0" applyFont="0" applyFill="0" applyBorder="0" applyAlignment="0" applyProtection="0"/>
    <xf numFmtId="0" fontId="49" fillId="0" borderId="0" applyNumberFormat="0" applyFill="0" applyBorder="0" applyAlignment="0" applyProtection="0"/>
  </cellStyleXfs>
  <cellXfs count="1265">
    <xf numFmtId="0" fontId="0" fillId="0" borderId="0" xfId="0"/>
    <xf numFmtId="0" fontId="14" fillId="2" borderId="0" xfId="0" applyFont="1" applyFill="1"/>
    <xf numFmtId="0" fontId="21" fillId="2" borderId="0" xfId="0" applyFont="1" applyFill="1" applyProtection="1"/>
    <xf numFmtId="0" fontId="22" fillId="2" borderId="0" xfId="0" applyFont="1" applyFill="1" applyProtection="1"/>
    <xf numFmtId="0" fontId="21" fillId="0" borderId="13" xfId="0" applyFont="1" applyFill="1" applyBorder="1" applyProtection="1"/>
    <xf numFmtId="0" fontId="21" fillId="0" borderId="13" xfId="0" applyFont="1" applyFill="1" applyBorder="1" applyAlignment="1" applyProtection="1">
      <alignment horizontal="center"/>
    </xf>
    <xf numFmtId="0" fontId="22" fillId="2" borderId="0" xfId="0" applyFont="1" applyFill="1" applyAlignment="1" applyProtection="1">
      <alignment horizontal="center"/>
    </xf>
    <xf numFmtId="0" fontId="28" fillId="2" borderId="0" xfId="0" applyFont="1" applyFill="1" applyProtection="1">
      <protection hidden="1"/>
    </xf>
    <xf numFmtId="164" fontId="29" fillId="2" borderId="0" xfId="0" applyNumberFormat="1" applyFont="1" applyFill="1" applyBorder="1" applyAlignment="1" applyProtection="1">
      <alignment horizontal="left"/>
      <protection hidden="1"/>
    </xf>
    <xf numFmtId="0" fontId="9" fillId="2" borderId="0" xfId="0" applyFont="1" applyFill="1" applyProtection="1">
      <protection hidden="1"/>
    </xf>
    <xf numFmtId="0" fontId="28" fillId="2" borderId="0" xfId="0" applyFont="1" applyFill="1"/>
    <xf numFmtId="0" fontId="9" fillId="2" borderId="13" xfId="0" applyFont="1" applyFill="1" applyBorder="1"/>
    <xf numFmtId="0" fontId="10" fillId="2" borderId="13" xfId="0" applyFont="1" applyFill="1" applyBorder="1" applyAlignment="1">
      <alignment horizontal="right"/>
    </xf>
    <xf numFmtId="164" fontId="10" fillId="2" borderId="13" xfId="0" applyNumberFormat="1" applyFont="1" applyFill="1" applyBorder="1" applyAlignment="1">
      <alignment horizontal="right"/>
    </xf>
    <xf numFmtId="164" fontId="9" fillId="2" borderId="13" xfId="0" applyNumberFormat="1" applyFont="1" applyFill="1" applyBorder="1" applyAlignment="1">
      <alignment horizontal="right"/>
    </xf>
    <xf numFmtId="164" fontId="10" fillId="2" borderId="13" xfId="0" applyNumberFormat="1" applyFont="1" applyFill="1" applyBorder="1"/>
    <xf numFmtId="164" fontId="9" fillId="2" borderId="13" xfId="0" applyNumberFormat="1" applyFont="1" applyFill="1" applyBorder="1"/>
    <xf numFmtId="164" fontId="21" fillId="2" borderId="13" xfId="0" applyNumberFormat="1" applyFont="1" applyFill="1" applyBorder="1"/>
    <xf numFmtId="164" fontId="22" fillId="2" borderId="13" xfId="0" applyNumberFormat="1" applyFont="1" applyFill="1" applyBorder="1"/>
    <xf numFmtId="164" fontId="28" fillId="2" borderId="0" xfId="0" applyNumberFormat="1" applyFont="1" applyFill="1"/>
    <xf numFmtId="165" fontId="28" fillId="2" borderId="0" xfId="1" applyNumberFormat="1" applyFont="1" applyFill="1"/>
    <xf numFmtId="0" fontId="28" fillId="0" borderId="0" xfId="0" applyFont="1" applyFill="1" applyProtection="1">
      <protection hidden="1"/>
    </xf>
    <xf numFmtId="0" fontId="2" fillId="0" borderId="0" xfId="2"/>
    <xf numFmtId="0" fontId="0" fillId="0" borderId="0" xfId="0" applyAlignment="1">
      <alignment horizontal="center"/>
    </xf>
    <xf numFmtId="0" fontId="28" fillId="2" borderId="0" xfId="0" applyFont="1" applyFill="1" applyAlignment="1" applyProtection="1">
      <alignment horizontal="center"/>
      <protection hidden="1"/>
    </xf>
    <xf numFmtId="0" fontId="2" fillId="2" borderId="0" xfId="0" applyFont="1" applyFill="1" applyAlignment="1" applyProtection="1">
      <alignment horizontal="left"/>
      <protection hidden="1"/>
    </xf>
    <xf numFmtId="0" fontId="28" fillId="2" borderId="0" xfId="0" applyFont="1" applyFill="1" applyAlignment="1" applyProtection="1">
      <alignment horizontal="left"/>
      <protection hidden="1"/>
    </xf>
    <xf numFmtId="0" fontId="2" fillId="4" borderId="0" xfId="0" applyFont="1" applyFill="1" applyAlignment="1" applyProtection="1">
      <alignment horizontal="left"/>
      <protection hidden="1"/>
    </xf>
    <xf numFmtId="0" fontId="2" fillId="5" borderId="0" xfId="0" applyFont="1" applyFill="1" applyAlignment="1" applyProtection="1">
      <alignment horizontal="left"/>
      <protection hidden="1"/>
    </xf>
    <xf numFmtId="0" fontId="15" fillId="2" borderId="0" xfId="0" applyFont="1" applyFill="1" applyAlignment="1" applyProtection="1">
      <protection hidden="1"/>
    </xf>
    <xf numFmtId="165" fontId="22" fillId="0" borderId="0" xfId="1" applyNumberFormat="1" applyFont="1" applyFill="1" applyAlignment="1" applyProtection="1">
      <alignment horizontal="center"/>
      <protection hidden="1"/>
    </xf>
    <xf numFmtId="0" fontId="22" fillId="2" borderId="0" xfId="0" applyFont="1" applyFill="1" applyAlignment="1" applyProtection="1">
      <alignment horizontal="center"/>
      <protection hidden="1"/>
    </xf>
    <xf numFmtId="165" fontId="22" fillId="2" borderId="0" xfId="1" applyNumberFormat="1" applyFont="1" applyFill="1" applyAlignment="1" applyProtection="1">
      <alignment horizontal="center"/>
      <protection hidden="1"/>
    </xf>
    <xf numFmtId="0" fontId="22" fillId="4" borderId="0" xfId="0" applyFont="1" applyFill="1" applyAlignment="1" applyProtection="1">
      <alignment horizontal="center"/>
      <protection hidden="1"/>
    </xf>
    <xf numFmtId="165" fontId="22" fillId="4" borderId="0" xfId="1" applyNumberFormat="1" applyFont="1" applyFill="1" applyAlignment="1" applyProtection="1">
      <alignment horizontal="center"/>
      <protection hidden="1"/>
    </xf>
    <xf numFmtId="0" fontId="22" fillId="5" borderId="0" xfId="0" applyFont="1" applyFill="1" applyAlignment="1" applyProtection="1">
      <alignment horizontal="center"/>
      <protection hidden="1"/>
    </xf>
    <xf numFmtId="165" fontId="22" fillId="5" borderId="0" xfId="1" applyNumberFormat="1" applyFont="1" applyFill="1" applyAlignment="1" applyProtection="1">
      <alignment horizontal="center"/>
      <protection hidden="1"/>
    </xf>
    <xf numFmtId="0" fontId="0" fillId="5" borderId="13" xfId="0" applyFont="1" applyFill="1" applyBorder="1" applyAlignment="1">
      <alignment horizontal="center"/>
    </xf>
    <xf numFmtId="0" fontId="32" fillId="5" borderId="13" xfId="0" applyFont="1" applyFill="1" applyBorder="1" applyAlignment="1">
      <alignment horizontal="center"/>
    </xf>
    <xf numFmtId="0" fontId="0" fillId="6" borderId="13" xfId="0" applyFill="1" applyBorder="1" applyAlignment="1">
      <alignment horizontal="center"/>
    </xf>
    <xf numFmtId="0" fontId="0" fillId="6" borderId="13" xfId="0" applyFill="1" applyBorder="1" applyAlignment="1">
      <alignment horizontal="left"/>
    </xf>
    <xf numFmtId="0" fontId="0" fillId="5" borderId="18" xfId="0" applyFont="1" applyFill="1" applyBorder="1" applyAlignment="1">
      <alignment horizontal="center"/>
    </xf>
    <xf numFmtId="0" fontId="0" fillId="7" borderId="25" xfId="0" applyFill="1" applyBorder="1" applyAlignment="1">
      <alignment horizontal="center"/>
    </xf>
    <xf numFmtId="0" fontId="0" fillId="6" borderId="13" xfId="0" applyFill="1" applyBorder="1" applyAlignment="1">
      <alignment horizontal="center" wrapText="1"/>
    </xf>
    <xf numFmtId="14" fontId="0" fillId="6" borderId="13" xfId="0" applyNumberFormat="1" applyFill="1" applyBorder="1" applyAlignment="1">
      <alignment horizontal="center"/>
    </xf>
    <xf numFmtId="0" fontId="9" fillId="9" borderId="0" xfId="0" applyFont="1" applyFill="1" applyBorder="1" applyProtection="1"/>
    <xf numFmtId="0" fontId="9" fillId="9" borderId="0" xfId="0" applyFont="1" applyFill="1" applyProtection="1"/>
    <xf numFmtId="0" fontId="9" fillId="9" borderId="27" xfId="0" applyFont="1" applyFill="1" applyBorder="1" applyProtection="1"/>
    <xf numFmtId="0" fontId="9" fillId="9" borderId="23" xfId="0" applyFont="1" applyFill="1" applyBorder="1" applyAlignment="1" applyProtection="1">
      <alignment vertical="center"/>
    </xf>
    <xf numFmtId="0" fontId="9" fillId="9" borderId="23" xfId="0" applyFont="1" applyFill="1" applyBorder="1" applyAlignment="1" applyProtection="1">
      <alignment horizontal="center" vertical="center"/>
    </xf>
    <xf numFmtId="0" fontId="9" fillId="9" borderId="24" xfId="0" applyFont="1" applyFill="1" applyBorder="1" applyProtection="1"/>
    <xf numFmtId="0" fontId="35" fillId="9" borderId="0" xfId="0" applyFont="1" applyFill="1" applyBorder="1" applyAlignment="1" applyProtection="1">
      <alignment vertical="center"/>
    </xf>
    <xf numFmtId="0" fontId="9" fillId="9" borderId="26" xfId="0" applyFont="1" applyFill="1" applyBorder="1" applyProtection="1"/>
    <xf numFmtId="0" fontId="35" fillId="9" borderId="26" xfId="0" applyFont="1" applyFill="1" applyBorder="1" applyAlignment="1" applyProtection="1">
      <alignment vertical="center"/>
    </xf>
    <xf numFmtId="0" fontId="9" fillId="9" borderId="16" xfId="0" applyFont="1" applyFill="1" applyBorder="1" applyProtection="1"/>
    <xf numFmtId="0" fontId="35" fillId="9" borderId="22" xfId="0" applyFont="1" applyFill="1" applyBorder="1" applyAlignment="1" applyProtection="1">
      <alignment vertical="center"/>
    </xf>
    <xf numFmtId="0" fontId="35" fillId="9" borderId="22" xfId="0" applyFont="1" applyFill="1" applyBorder="1" applyAlignment="1" applyProtection="1">
      <alignment horizontal="center" vertical="center"/>
    </xf>
    <xf numFmtId="0" fontId="35" fillId="9" borderId="17" xfId="0" applyFont="1" applyFill="1" applyBorder="1" applyAlignment="1" applyProtection="1">
      <alignment vertical="center"/>
    </xf>
    <xf numFmtId="0" fontId="24" fillId="0" borderId="0" xfId="0" applyFont="1" applyProtection="1"/>
    <xf numFmtId="0" fontId="9" fillId="9" borderId="27" xfId="0" applyFont="1" applyFill="1" applyBorder="1"/>
    <xf numFmtId="0" fontId="9" fillId="9" borderId="15" xfId="0" applyFont="1" applyFill="1" applyBorder="1"/>
    <xf numFmtId="0" fontId="9" fillId="9" borderId="24" xfId="0" applyFont="1" applyFill="1" applyBorder="1"/>
    <xf numFmtId="0" fontId="9" fillId="9" borderId="26" xfId="0" applyFont="1" applyFill="1" applyBorder="1"/>
    <xf numFmtId="0" fontId="9" fillId="9" borderId="16" xfId="0" applyFont="1" applyFill="1" applyBorder="1"/>
    <xf numFmtId="0" fontId="35" fillId="9" borderId="22" xfId="0" applyFont="1" applyFill="1" applyBorder="1" applyAlignment="1">
      <alignment vertical="center"/>
    </xf>
    <xf numFmtId="0" fontId="35" fillId="9" borderId="22" xfId="0" applyFont="1" applyFill="1" applyBorder="1" applyAlignment="1">
      <alignment horizontal="center" vertical="center"/>
    </xf>
    <xf numFmtId="0" fontId="9" fillId="9" borderId="17" xfId="0" applyFont="1" applyFill="1" applyBorder="1"/>
    <xf numFmtId="0" fontId="35" fillId="9" borderId="23" xfId="0" applyFont="1" applyFill="1" applyBorder="1"/>
    <xf numFmtId="0" fontId="35" fillId="9" borderId="23" xfId="0" applyFont="1" applyFill="1" applyBorder="1" applyAlignment="1">
      <alignment horizontal="center"/>
    </xf>
    <xf numFmtId="0" fontId="9" fillId="10" borderId="0" xfId="0" applyFont="1" applyFill="1" applyBorder="1" applyProtection="1"/>
    <xf numFmtId="0" fontId="1" fillId="13" borderId="0" xfId="0" applyFont="1" applyFill="1" applyProtection="1">
      <protection hidden="1"/>
    </xf>
    <xf numFmtId="0" fontId="2" fillId="0" borderId="0" xfId="0" applyFont="1" applyAlignment="1" applyProtection="1">
      <alignment horizontal="left"/>
      <protection hidden="1"/>
    </xf>
    <xf numFmtId="0" fontId="2" fillId="0" borderId="0" xfId="0" applyFont="1" applyAlignment="1" applyProtection="1">
      <alignment horizontal="center"/>
      <protection hidden="1"/>
    </xf>
    <xf numFmtId="0" fontId="22" fillId="0" borderId="0" xfId="0" applyFont="1" applyAlignment="1" applyProtection="1">
      <alignment horizontal="center"/>
      <protection hidden="1"/>
    </xf>
    <xf numFmtId="0" fontId="2" fillId="11" borderId="0" xfId="0" applyFont="1" applyFill="1" applyProtection="1">
      <protection hidden="1"/>
    </xf>
    <xf numFmtId="164" fontId="29" fillId="0" borderId="0" xfId="0" applyNumberFormat="1" applyFont="1" applyAlignment="1" applyProtection="1">
      <alignment horizontal="center"/>
      <protection hidden="1"/>
    </xf>
    <xf numFmtId="0" fontId="2" fillId="2" borderId="0" xfId="0" applyFont="1" applyFill="1" applyAlignment="1" applyProtection="1">
      <alignment horizontal="center"/>
      <protection hidden="1"/>
    </xf>
    <xf numFmtId="0" fontId="2" fillId="2" borderId="0" xfId="0" applyFont="1" applyFill="1" applyProtection="1">
      <protection hidden="1"/>
    </xf>
    <xf numFmtId="0" fontId="2" fillId="4" borderId="0" xfId="0" applyFont="1" applyFill="1" applyAlignment="1" applyProtection="1">
      <alignment horizontal="center"/>
      <protection hidden="1"/>
    </xf>
    <xf numFmtId="0" fontId="2" fillId="5" borderId="0" xfId="0" applyFont="1" applyFill="1" applyAlignment="1" applyProtection="1">
      <alignment horizontal="center"/>
      <protection hidden="1"/>
    </xf>
    <xf numFmtId="0" fontId="2" fillId="5" borderId="0" xfId="0" applyFont="1" applyFill="1" applyProtection="1">
      <protection hidden="1"/>
    </xf>
    <xf numFmtId="2" fontId="6" fillId="0" borderId="0" xfId="3" applyNumberFormat="1" applyFont="1" applyAlignment="1">
      <alignment horizontal="center"/>
    </xf>
    <xf numFmtId="2" fontId="6" fillId="0" borderId="0" xfId="3" applyNumberFormat="1" applyFont="1"/>
    <xf numFmtId="2" fontId="9" fillId="0" borderId="0" xfId="3" applyNumberFormat="1"/>
    <xf numFmtId="1" fontId="6" fillId="0" borderId="0" xfId="3" applyNumberFormat="1" applyFont="1" applyAlignment="1">
      <alignment horizontal="center"/>
    </xf>
    <xf numFmtId="1" fontId="6" fillId="0" borderId="0" xfId="3" applyNumberFormat="1" applyFont="1" applyAlignment="1">
      <alignment horizontal="center" vertical="center"/>
    </xf>
    <xf numFmtId="4" fontId="9" fillId="0" borderId="0" xfId="3" applyNumberFormat="1"/>
    <xf numFmtId="1" fontId="6" fillId="0" borderId="0" xfId="3" applyNumberFormat="1" applyFont="1"/>
    <xf numFmtId="4" fontId="0" fillId="0" borderId="0" xfId="0" applyNumberFormat="1"/>
    <xf numFmtId="0" fontId="3" fillId="9" borderId="23" xfId="0" applyFont="1" applyFill="1" applyBorder="1" applyAlignment="1" applyProtection="1">
      <alignment vertical="center"/>
    </xf>
    <xf numFmtId="0" fontId="9" fillId="9" borderId="15" xfId="0" applyFont="1" applyFill="1" applyBorder="1" applyProtection="1"/>
    <xf numFmtId="0" fontId="0" fillId="9" borderId="0" xfId="0" applyFill="1"/>
    <xf numFmtId="0" fontId="0" fillId="9" borderId="0" xfId="0" applyFill="1" applyBorder="1" applyProtection="1"/>
    <xf numFmtId="0" fontId="0" fillId="9" borderId="0" xfId="0" applyFill="1" applyProtection="1"/>
    <xf numFmtId="0" fontId="6" fillId="9" borderId="0" xfId="0" applyFont="1" applyFill="1" applyAlignment="1" applyProtection="1">
      <alignment vertical="center"/>
    </xf>
    <xf numFmtId="0" fontId="9" fillId="9" borderId="0" xfId="0" applyFont="1" applyFill="1" applyAlignment="1" applyProtection="1">
      <alignment horizontal="center" vertical="center"/>
    </xf>
    <xf numFmtId="0" fontId="9" fillId="9" borderId="0" xfId="0" applyFont="1" applyFill="1" applyAlignment="1" applyProtection="1">
      <alignment vertical="center"/>
    </xf>
    <xf numFmtId="0" fontId="35" fillId="9" borderId="0" xfId="0" applyFont="1" applyFill="1" applyAlignment="1" applyProtection="1">
      <alignment vertical="center"/>
    </xf>
    <xf numFmtId="0" fontId="35" fillId="9" borderId="0" xfId="0" applyFont="1" applyFill="1" applyProtection="1"/>
    <xf numFmtId="0" fontId="35" fillId="9" borderId="0" xfId="0" applyFont="1" applyFill="1" applyAlignment="1" applyProtection="1">
      <alignment horizontal="center"/>
    </xf>
    <xf numFmtId="1" fontId="35" fillId="12" borderId="0" xfId="0" applyNumberFormat="1" applyFont="1" applyFill="1" applyAlignment="1" applyProtection="1">
      <alignment horizontal="center" vertical="center"/>
      <protection locked="0"/>
    </xf>
    <xf numFmtId="0" fontId="9" fillId="0" borderId="0" xfId="0" applyFont="1" applyBorder="1" applyProtection="1"/>
    <xf numFmtId="0" fontId="9" fillId="9" borderId="23" xfId="0" applyFont="1" applyFill="1" applyBorder="1" applyProtection="1"/>
    <xf numFmtId="0" fontId="9" fillId="0" borderId="0" xfId="0" applyFont="1" applyProtection="1"/>
    <xf numFmtId="49" fontId="8" fillId="0" borderId="0" xfId="0" applyNumberFormat="1" applyFont="1" applyBorder="1" applyAlignment="1" applyProtection="1">
      <alignment horizontal="left"/>
    </xf>
    <xf numFmtId="0" fontId="6" fillId="2" borderId="0" xfId="0" applyFont="1" applyFill="1" applyProtection="1"/>
    <xf numFmtId="0" fontId="9" fillId="10" borderId="6" xfId="0" applyFont="1" applyFill="1" applyBorder="1" applyAlignment="1" applyProtection="1">
      <alignment horizontal="right"/>
    </xf>
    <xf numFmtId="0" fontId="3" fillId="0" borderId="0" xfId="0" applyFont="1" applyBorder="1" applyProtection="1"/>
    <xf numFmtId="0" fontId="6" fillId="0" borderId="0" xfId="0" applyFont="1" applyBorder="1" applyProtection="1"/>
    <xf numFmtId="0" fontId="9" fillId="0" borderId="0" xfId="0" applyFont="1" applyBorder="1" applyAlignment="1" applyProtection="1">
      <alignment horizontal="right"/>
    </xf>
    <xf numFmtId="0" fontId="8" fillId="0" borderId="0" xfId="0" applyFont="1" applyBorder="1" applyProtection="1"/>
    <xf numFmtId="0" fontId="7" fillId="0" borderId="0" xfId="0" applyFont="1" applyBorder="1" applyProtection="1"/>
    <xf numFmtId="0" fontId="9" fillId="0" borderId="0" xfId="0" applyFont="1" applyAlignment="1" applyProtection="1">
      <alignment horizontal="left"/>
    </xf>
    <xf numFmtId="0" fontId="9" fillId="0" borderId="0" xfId="0" quotePrefix="1" applyFont="1" applyProtection="1"/>
    <xf numFmtId="0" fontId="17" fillId="0" borderId="0" xfId="0" applyFont="1" applyProtection="1"/>
    <xf numFmtId="0" fontId="21" fillId="0" borderId="18" xfId="0" applyFont="1" applyFill="1" applyBorder="1" applyProtection="1"/>
    <xf numFmtId="0" fontId="5" fillId="0" borderId="0" xfId="0" applyFont="1" applyProtection="1"/>
    <xf numFmtId="0" fontId="4" fillId="0" borderId="0" xfId="0" applyFont="1" applyProtection="1"/>
    <xf numFmtId="0" fontId="4" fillId="0" borderId="0" xfId="0" applyFont="1" applyAlignment="1" applyProtection="1">
      <alignment horizontal="right"/>
    </xf>
    <xf numFmtId="4" fontId="4" fillId="0" borderId="0" xfId="0" applyNumberFormat="1" applyFont="1" applyAlignment="1" applyProtection="1">
      <alignment horizontal="right"/>
    </xf>
    <xf numFmtId="0" fontId="37" fillId="0" borderId="0" xfId="0" applyFont="1" applyFill="1" applyBorder="1" applyProtection="1"/>
    <xf numFmtId="0" fontId="37" fillId="0" borderId="0" xfId="0" applyFont="1" applyProtection="1"/>
    <xf numFmtId="0" fontId="6" fillId="0" borderId="0" xfId="0" applyFont="1" applyProtection="1"/>
    <xf numFmtId="0" fontId="6" fillId="0" borderId="0" xfId="0" applyFont="1" applyAlignment="1" applyProtection="1">
      <alignment horizontal="left"/>
    </xf>
    <xf numFmtId="0" fontId="9" fillId="0" borderId="0" xfId="0" applyFont="1" applyAlignment="1" applyProtection="1">
      <alignment shrinkToFit="1"/>
    </xf>
    <xf numFmtId="0" fontId="11" fillId="0" borderId="0" xfId="0" applyFont="1" applyAlignment="1" applyProtection="1">
      <alignment horizontal="center"/>
    </xf>
    <xf numFmtId="0" fontId="11" fillId="0" borderId="0" xfId="0" applyFont="1" applyAlignment="1" applyProtection="1">
      <alignment horizontal="right"/>
    </xf>
    <xf numFmtId="0" fontId="9" fillId="0" borderId="1" xfId="0" applyFont="1" applyBorder="1" applyProtection="1"/>
    <xf numFmtId="0" fontId="9" fillId="0" borderId="2" xfId="0" applyFont="1" applyBorder="1" applyProtection="1"/>
    <xf numFmtId="0" fontId="9" fillId="0" borderId="9" xfId="0" applyFont="1" applyBorder="1" applyProtection="1"/>
    <xf numFmtId="0" fontId="9" fillId="0" borderId="1" xfId="0" applyFont="1" applyFill="1" applyBorder="1" applyProtection="1"/>
    <xf numFmtId="0" fontId="9" fillId="10" borderId="2" xfId="0" applyFont="1" applyFill="1" applyBorder="1" applyAlignment="1" applyProtection="1">
      <alignment horizontal="right"/>
    </xf>
    <xf numFmtId="0" fontId="9" fillId="10" borderId="9" xfId="0" applyFont="1" applyFill="1" applyBorder="1" applyAlignment="1" applyProtection="1">
      <alignment horizontal="right"/>
    </xf>
    <xf numFmtId="166" fontId="6" fillId="10" borderId="1" xfId="0" applyNumberFormat="1" applyFont="1" applyFill="1" applyBorder="1" applyProtection="1"/>
    <xf numFmtId="166" fontId="6" fillId="10" borderId="2" xfId="0" applyNumberFormat="1" applyFont="1" applyFill="1" applyBorder="1" applyAlignment="1" applyProtection="1">
      <alignment horizontal="right"/>
    </xf>
    <xf numFmtId="0" fontId="6" fillId="10" borderId="9" xfId="0" applyFont="1" applyFill="1" applyBorder="1" applyAlignment="1" applyProtection="1">
      <alignment horizontal="right"/>
    </xf>
    <xf numFmtId="0" fontId="9" fillId="0" borderId="0" xfId="0" applyFont="1" applyAlignment="1" applyProtection="1">
      <alignment horizontal="right"/>
    </xf>
    <xf numFmtId="4" fontId="9" fillId="0" borderId="0" xfId="0" applyNumberFormat="1" applyFont="1" applyAlignment="1" applyProtection="1">
      <alignment horizontal="right"/>
    </xf>
    <xf numFmtId="165" fontId="20" fillId="2" borderId="12" xfId="1" applyNumberFormat="1" applyFont="1" applyFill="1" applyBorder="1" applyProtection="1"/>
    <xf numFmtId="165" fontId="20" fillId="2" borderId="13" xfId="1" applyNumberFormat="1" applyFont="1" applyFill="1" applyBorder="1" applyAlignment="1" applyProtection="1">
      <alignment shrinkToFit="1"/>
    </xf>
    <xf numFmtId="0" fontId="9" fillId="0" borderId="1" xfId="0" applyFont="1" applyBorder="1" applyAlignment="1" applyProtection="1">
      <alignment horizontal="left"/>
    </xf>
    <xf numFmtId="0" fontId="13" fillId="0" borderId="2" xfId="0" applyFont="1" applyBorder="1" applyProtection="1"/>
    <xf numFmtId="0" fontId="13" fillId="0" borderId="9" xfId="0" applyFont="1" applyBorder="1" applyProtection="1"/>
    <xf numFmtId="0" fontId="11" fillId="0" borderId="0" xfId="0" applyFont="1" applyAlignment="1" applyProtection="1"/>
    <xf numFmtId="0" fontId="6" fillId="0" borderId="0" xfId="0" applyFont="1" applyAlignment="1" applyProtection="1">
      <alignment vertical="center"/>
    </xf>
    <xf numFmtId="0" fontId="11" fillId="0" borderId="0" xfId="0" applyFont="1" applyProtection="1"/>
    <xf numFmtId="169" fontId="11" fillId="0" borderId="0" xfId="0" applyNumberFormat="1" applyFont="1" applyAlignment="1" applyProtection="1">
      <alignment horizontal="right"/>
    </xf>
    <xf numFmtId="168" fontId="11" fillId="0" borderId="0" xfId="0" applyNumberFormat="1" applyFont="1" applyAlignment="1" applyProtection="1">
      <alignment horizontal="right"/>
    </xf>
    <xf numFmtId="165" fontId="25" fillId="2" borderId="13" xfId="1" applyNumberFormat="1" applyFont="1" applyFill="1" applyBorder="1" applyAlignment="1" applyProtection="1">
      <alignment shrinkToFit="1"/>
    </xf>
    <xf numFmtId="1" fontId="24" fillId="10" borderId="1" xfId="0" applyNumberFormat="1" applyFont="1" applyFill="1" applyBorder="1" applyProtection="1"/>
    <xf numFmtId="1" fontId="24" fillId="10" borderId="9" xfId="0" applyNumberFormat="1" applyFont="1" applyFill="1" applyBorder="1" applyProtection="1"/>
    <xf numFmtId="0" fontId="37" fillId="2" borderId="0" xfId="0" applyFont="1" applyFill="1" applyBorder="1" applyAlignment="1" applyProtection="1">
      <alignment horizontal="center"/>
    </xf>
    <xf numFmtId="0" fontId="6" fillId="0" borderId="0" xfId="0" applyFont="1" applyAlignment="1" applyProtection="1">
      <alignment horizontal="center"/>
    </xf>
    <xf numFmtId="0" fontId="6" fillId="0" borderId="0" xfId="0" applyFont="1" applyAlignment="1" applyProtection="1">
      <alignment horizontal="right"/>
    </xf>
    <xf numFmtId="0" fontId="43" fillId="0" borderId="0" xfId="0" applyFont="1" applyAlignment="1" applyProtection="1">
      <alignment horizontal="right"/>
    </xf>
    <xf numFmtId="0" fontId="6" fillId="0" borderId="0" xfId="0" applyFont="1" applyAlignment="1" applyProtection="1"/>
    <xf numFmtId="0" fontId="43" fillId="0" borderId="0" xfId="0" applyFont="1" applyAlignment="1" applyProtection="1">
      <alignment horizontal="right" vertical="top"/>
    </xf>
    <xf numFmtId="0" fontId="9" fillId="10" borderId="6" xfId="0" applyFont="1" applyFill="1" applyBorder="1" applyProtection="1"/>
    <xf numFmtId="0" fontId="9" fillId="10" borderId="10" xfId="0" applyFont="1" applyFill="1" applyBorder="1" applyProtection="1"/>
    <xf numFmtId="1" fontId="9" fillId="10" borderId="6" xfId="0" applyNumberFormat="1" applyFont="1" applyFill="1" applyBorder="1" applyAlignment="1" applyProtection="1">
      <alignment horizontal="right"/>
    </xf>
    <xf numFmtId="1" fontId="9" fillId="10" borderId="3" xfId="0" applyNumberFormat="1" applyFont="1" applyFill="1" applyBorder="1" applyAlignment="1" applyProtection="1">
      <alignment horizontal="right"/>
    </xf>
    <xf numFmtId="0" fontId="9" fillId="10" borderId="7" xfId="0" applyFont="1" applyFill="1" applyBorder="1" applyProtection="1"/>
    <xf numFmtId="1" fontId="9" fillId="10" borderId="7" xfId="0" applyNumberFormat="1" applyFont="1" applyFill="1" applyBorder="1" applyAlignment="1" applyProtection="1">
      <alignment horizontal="right"/>
    </xf>
    <xf numFmtId="1" fontId="9" fillId="10" borderId="4" xfId="0" applyNumberFormat="1" applyFont="1" applyFill="1" applyBorder="1" applyAlignment="1" applyProtection="1">
      <alignment horizontal="right"/>
    </xf>
    <xf numFmtId="0" fontId="22" fillId="0" borderId="0" xfId="0" applyFont="1" applyProtection="1"/>
    <xf numFmtId="165" fontId="23" fillId="2" borderId="0" xfId="1" applyNumberFormat="1" applyFont="1" applyFill="1" applyBorder="1" applyProtection="1"/>
    <xf numFmtId="165" fontId="23" fillId="2" borderId="13" xfId="1" applyNumberFormat="1" applyFont="1" applyFill="1" applyBorder="1" applyAlignment="1" applyProtection="1">
      <alignment horizontal="center"/>
    </xf>
    <xf numFmtId="165" fontId="20" fillId="10" borderId="14" xfId="1" applyNumberFormat="1" applyFont="1" applyFill="1" applyBorder="1" applyProtection="1"/>
    <xf numFmtId="0" fontId="22" fillId="10" borderId="14" xfId="0" applyFont="1" applyFill="1" applyBorder="1" applyAlignment="1" applyProtection="1">
      <alignment shrinkToFit="1"/>
    </xf>
    <xf numFmtId="165" fontId="37" fillId="2" borderId="0" xfId="0" applyNumberFormat="1" applyFont="1" applyFill="1" applyBorder="1" applyAlignment="1" applyProtection="1">
      <alignment horizontal="center"/>
    </xf>
    <xf numFmtId="167" fontId="22" fillId="0" borderId="0" xfId="0" applyNumberFormat="1" applyFont="1" applyProtection="1"/>
    <xf numFmtId="0" fontId="9" fillId="10" borderId="8" xfId="0" applyFont="1" applyFill="1" applyBorder="1" applyProtection="1"/>
    <xf numFmtId="0" fontId="9" fillId="10" borderId="11" xfId="0" applyFont="1" applyFill="1" applyBorder="1" applyProtection="1"/>
    <xf numFmtId="1" fontId="9" fillId="10" borderId="8" xfId="0" applyNumberFormat="1" applyFont="1" applyFill="1" applyBorder="1" applyAlignment="1" applyProtection="1">
      <alignment horizontal="right"/>
    </xf>
    <xf numFmtId="1" fontId="9" fillId="10" borderId="5" xfId="0" applyNumberFormat="1" applyFont="1" applyFill="1" applyBorder="1" applyAlignment="1" applyProtection="1">
      <alignment horizontal="right"/>
    </xf>
    <xf numFmtId="0" fontId="19" fillId="0" borderId="0" xfId="0" applyFont="1" applyBorder="1" applyProtection="1"/>
    <xf numFmtId="0" fontId="19" fillId="0" borderId="0" xfId="0" applyFont="1" applyBorder="1" applyAlignment="1" applyProtection="1">
      <alignment horizontal="right"/>
    </xf>
    <xf numFmtId="1" fontId="19" fillId="0" borderId="0" xfId="0" applyNumberFormat="1" applyFont="1" applyBorder="1" applyAlignment="1" applyProtection="1">
      <alignment horizontal="right"/>
    </xf>
    <xf numFmtId="0" fontId="19" fillId="0" borderId="0" xfId="0" applyFont="1" applyBorder="1" applyAlignment="1" applyProtection="1">
      <alignment horizontal="center"/>
    </xf>
    <xf numFmtId="0" fontId="19" fillId="0" borderId="0" xfId="0" applyFont="1" applyAlignment="1" applyProtection="1">
      <alignment horizontal="center"/>
    </xf>
    <xf numFmtId="1" fontId="6" fillId="10" borderId="7" xfId="0" applyNumberFormat="1" applyFont="1" applyFill="1" applyBorder="1" applyAlignment="1" applyProtection="1">
      <alignment horizontal="right"/>
    </xf>
    <xf numFmtId="1" fontId="6" fillId="10" borderId="4" xfId="0" applyNumberFormat="1" applyFont="1" applyFill="1" applyBorder="1" applyAlignment="1" applyProtection="1">
      <alignment horizontal="right"/>
    </xf>
    <xf numFmtId="0" fontId="9" fillId="0" borderId="2" xfId="0" applyFont="1" applyFill="1" applyBorder="1" applyProtection="1"/>
    <xf numFmtId="0" fontId="9" fillId="0" borderId="19" xfId="0" applyFont="1" applyBorder="1" applyAlignment="1" applyProtection="1">
      <alignment horizontal="left" shrinkToFit="1"/>
    </xf>
    <xf numFmtId="0" fontId="9" fillId="0" borderId="1" xfId="0" applyFont="1" applyBorder="1" applyAlignment="1" applyProtection="1">
      <alignment horizontal="right"/>
    </xf>
    <xf numFmtId="0" fontId="9" fillId="0" borderId="2" xfId="0" applyFont="1" applyBorder="1" applyAlignment="1" applyProtection="1">
      <alignment horizontal="left"/>
    </xf>
    <xf numFmtId="0" fontId="9" fillId="0" borderId="2" xfId="0" applyFont="1" applyBorder="1" applyAlignment="1" applyProtection="1">
      <alignment horizontal="right"/>
    </xf>
    <xf numFmtId="0" fontId="26" fillId="0" borderId="0" xfId="0" applyFont="1" applyProtection="1"/>
    <xf numFmtId="0" fontId="6" fillId="10" borderId="8" xfId="0" applyFont="1" applyFill="1" applyBorder="1" applyAlignment="1" applyProtection="1">
      <alignment horizontal="right"/>
    </xf>
    <xf numFmtId="1" fontId="9" fillId="0" borderId="0" xfId="0" applyNumberFormat="1" applyFont="1" applyProtection="1"/>
    <xf numFmtId="0" fontId="6" fillId="0" borderId="0" xfId="0" applyFont="1" applyFill="1" applyAlignment="1" applyProtection="1"/>
    <xf numFmtId="0" fontId="9" fillId="0" borderId="0" xfId="0" applyFont="1" applyFill="1" applyProtection="1"/>
    <xf numFmtId="0" fontId="9" fillId="0" borderId="0" xfId="0" applyFont="1" applyFill="1" applyAlignment="1" applyProtection="1">
      <alignment horizontal="right"/>
    </xf>
    <xf numFmtId="4" fontId="9" fillId="0" borderId="0" xfId="0" applyNumberFormat="1" applyFont="1" applyFill="1" applyAlignment="1" applyProtection="1">
      <alignment horizontal="right"/>
    </xf>
    <xf numFmtId="0" fontId="6" fillId="0" borderId="0" xfId="0" applyFont="1" applyFill="1" applyProtection="1"/>
    <xf numFmtId="0" fontId="9" fillId="0" borderId="0" xfId="0" applyFont="1" applyFill="1" applyBorder="1" applyProtection="1"/>
    <xf numFmtId="0" fontId="9" fillId="9" borderId="0" xfId="0" applyFont="1" applyFill="1" applyAlignment="1" applyProtection="1">
      <alignment horizontal="left"/>
    </xf>
    <xf numFmtId="0" fontId="9" fillId="9" borderId="0" xfId="0" applyFont="1" applyFill="1" applyAlignment="1" applyProtection="1">
      <alignment horizontal="left" vertical="center"/>
    </xf>
    <xf numFmtId="166" fontId="9" fillId="10" borderId="1" xfId="0" applyNumberFormat="1" applyFont="1" applyFill="1" applyBorder="1" applyProtection="1"/>
    <xf numFmtId="166" fontId="9" fillId="10" borderId="2" xfId="0" applyNumberFormat="1" applyFont="1" applyFill="1" applyBorder="1" applyAlignment="1" applyProtection="1">
      <alignment horizontal="right"/>
    </xf>
    <xf numFmtId="0" fontId="9" fillId="10" borderId="9" xfId="0" applyNumberFormat="1" applyFont="1" applyFill="1" applyBorder="1" applyAlignment="1" applyProtection="1">
      <alignment horizontal="right"/>
    </xf>
    <xf numFmtId="0" fontId="9" fillId="10" borderId="0" xfId="0" applyFont="1" applyFill="1" applyAlignment="1" applyProtection="1">
      <alignment shrinkToFit="1"/>
    </xf>
    <xf numFmtId="0" fontId="35" fillId="9" borderId="24" xfId="0" applyFont="1" applyFill="1" applyBorder="1" applyAlignment="1" applyProtection="1">
      <alignment vertical="center"/>
    </xf>
    <xf numFmtId="0" fontId="35" fillId="9" borderId="27" xfId="0" applyFont="1" applyFill="1" applyBorder="1"/>
    <xf numFmtId="0" fontId="35" fillId="9" borderId="15" xfId="0" applyFont="1" applyFill="1" applyBorder="1"/>
    <xf numFmtId="0" fontId="35" fillId="9" borderId="24" xfId="0" applyFont="1" applyFill="1" applyBorder="1"/>
    <xf numFmtId="0" fontId="35" fillId="9" borderId="26" xfId="0" applyFont="1" applyFill="1" applyBorder="1"/>
    <xf numFmtId="0" fontId="35" fillId="9" borderId="16" xfId="0" applyFont="1" applyFill="1" applyBorder="1"/>
    <xf numFmtId="0" fontId="35" fillId="9" borderId="17" xfId="0" applyFont="1" applyFill="1" applyBorder="1"/>
    <xf numFmtId="0" fontId="9" fillId="5" borderId="0" xfId="0" applyFont="1" applyFill="1" applyAlignment="1" applyProtection="1">
      <alignment horizontal="left"/>
    </xf>
    <xf numFmtId="0" fontId="35" fillId="5" borderId="0" xfId="0" applyFont="1" applyFill="1" applyProtection="1"/>
    <xf numFmtId="0" fontId="6" fillId="9" borderId="0" xfId="0" applyFont="1" applyFill="1" applyAlignment="1" applyProtection="1">
      <alignment vertical="center"/>
      <protection hidden="1"/>
    </xf>
    <xf numFmtId="0" fontId="1" fillId="9" borderId="0" xfId="0" applyFont="1" applyFill="1"/>
    <xf numFmtId="0" fontId="0" fillId="9" borderId="0" xfId="0" applyFont="1" applyFill="1"/>
    <xf numFmtId="0" fontId="38" fillId="9" borderId="0" xfId="0" applyFont="1" applyFill="1" applyAlignment="1" applyProtection="1">
      <alignment wrapText="1"/>
    </xf>
    <xf numFmtId="0" fontId="0" fillId="6" borderId="13" xfId="0" applyFill="1" applyBorder="1" applyAlignment="1"/>
    <xf numFmtId="1" fontId="35" fillId="12" borderId="0" xfId="0" applyNumberFormat="1" applyFont="1" applyFill="1" applyAlignment="1" applyProtection="1">
      <alignment horizontal="left" vertical="center"/>
      <protection locked="0"/>
    </xf>
    <xf numFmtId="0" fontId="36" fillId="0" borderId="0" xfId="0" applyFont="1" applyProtection="1"/>
    <xf numFmtId="0" fontId="6" fillId="14" borderId="8" xfId="0" applyFont="1" applyFill="1" applyBorder="1" applyAlignment="1" applyProtection="1">
      <alignment horizontal="right"/>
    </xf>
    <xf numFmtId="0" fontId="4" fillId="0" borderId="0" xfId="0" applyFont="1" applyBorder="1" applyAlignment="1" applyProtection="1">
      <alignment horizontal="right"/>
    </xf>
    <xf numFmtId="14" fontId="35" fillId="12" borderId="0" xfId="0" applyNumberFormat="1" applyFont="1" applyFill="1" applyAlignment="1" applyProtection="1">
      <alignment horizontal="center" vertical="center"/>
      <protection locked="0"/>
    </xf>
    <xf numFmtId="0" fontId="0" fillId="9" borderId="27" xfId="0" applyFill="1" applyBorder="1" applyProtection="1"/>
    <xf numFmtId="0" fontId="0" fillId="9" borderId="23" xfId="0" applyFill="1" applyBorder="1" applyProtection="1"/>
    <xf numFmtId="0" fontId="0" fillId="9" borderId="15" xfId="0" applyFill="1" applyBorder="1" applyProtection="1"/>
    <xf numFmtId="0" fontId="0" fillId="9" borderId="24" xfId="0" applyFill="1" applyBorder="1" applyProtection="1"/>
    <xf numFmtId="0" fontId="0" fillId="9" borderId="26" xfId="0" applyFill="1" applyBorder="1" applyProtection="1"/>
    <xf numFmtId="0" fontId="5" fillId="9" borderId="24" xfId="0" applyFont="1" applyFill="1" applyBorder="1" applyAlignment="1" applyProtection="1">
      <alignment vertical="top" wrapText="1"/>
    </xf>
    <xf numFmtId="0" fontId="5" fillId="9" borderId="26" xfId="0" applyFont="1" applyFill="1" applyBorder="1" applyAlignment="1" applyProtection="1">
      <alignment vertical="top" wrapText="1"/>
    </xf>
    <xf numFmtId="0" fontId="0" fillId="9" borderId="16" xfId="0" applyFill="1" applyBorder="1" applyProtection="1"/>
    <xf numFmtId="0" fontId="0" fillId="9" borderId="22" xfId="0" applyFill="1" applyBorder="1" applyProtection="1"/>
    <xf numFmtId="0" fontId="0" fillId="9" borderId="17" xfId="0" applyFill="1" applyBorder="1" applyProtection="1"/>
    <xf numFmtId="0" fontId="5" fillId="9" borderId="0" xfId="0" applyFont="1" applyFill="1" applyAlignment="1" applyProtection="1">
      <alignment vertical="top" wrapText="1"/>
    </xf>
    <xf numFmtId="0" fontId="35" fillId="9" borderId="0" xfId="0" applyFont="1" applyFill="1" applyAlignment="1" applyProtection="1">
      <alignment horizontal="right" vertical="top" wrapText="1"/>
    </xf>
    <xf numFmtId="0" fontId="0" fillId="9" borderId="0" xfId="0" applyFont="1" applyFill="1" applyAlignment="1" applyProtection="1">
      <alignment horizontal="left" vertical="top" wrapText="1"/>
    </xf>
    <xf numFmtId="0" fontId="35" fillId="12" borderId="0" xfId="0" applyFont="1" applyFill="1" applyAlignment="1" applyProtection="1">
      <alignment horizontal="left" vertical="center"/>
      <protection locked="0"/>
    </xf>
    <xf numFmtId="14" fontId="35" fillId="12" borderId="0" xfId="0" applyNumberFormat="1" applyFont="1" applyFill="1" applyAlignment="1" applyProtection="1">
      <alignment horizontal="left" vertical="center"/>
      <protection locked="0"/>
    </xf>
    <xf numFmtId="0" fontId="35" fillId="12" borderId="0" xfId="0" applyFont="1" applyFill="1" applyAlignment="1" applyProtection="1">
      <alignment horizontal="center" vertical="center"/>
      <protection locked="0"/>
    </xf>
    <xf numFmtId="0" fontId="35" fillId="9" borderId="0" xfId="0" applyFont="1" applyFill="1" applyAlignment="1" applyProtection="1">
      <alignment horizontal="center" vertical="center"/>
    </xf>
    <xf numFmtId="0" fontId="9" fillId="9" borderId="0" xfId="0" applyFont="1" applyFill="1" applyAlignment="1">
      <alignment horizontal="left"/>
    </xf>
    <xf numFmtId="0" fontId="3" fillId="9" borderId="0" xfId="0" applyFont="1" applyFill="1" applyAlignment="1" applyProtection="1">
      <alignment horizontal="left" vertical="center"/>
      <protection hidden="1"/>
    </xf>
    <xf numFmtId="0" fontId="9" fillId="9" borderId="0" xfId="0" applyFont="1" applyFill="1" applyAlignment="1">
      <alignment horizontal="left" vertical="center"/>
    </xf>
    <xf numFmtId="0" fontId="6" fillId="0" borderId="0" xfId="0" applyFont="1" applyAlignment="1">
      <alignment vertical="center"/>
    </xf>
    <xf numFmtId="0" fontId="35" fillId="9" borderId="0" xfId="0" applyFont="1" applyFill="1"/>
    <xf numFmtId="0" fontId="35" fillId="5" borderId="0" xfId="0" applyFont="1" applyFill="1"/>
    <xf numFmtId="0" fontId="6" fillId="5" borderId="0" xfId="0" applyFont="1" applyFill="1" applyAlignment="1">
      <alignment vertical="center"/>
    </xf>
    <xf numFmtId="0" fontId="35" fillId="5" borderId="0" xfId="0" applyFont="1" applyFill="1" applyAlignment="1">
      <alignment vertical="center"/>
    </xf>
    <xf numFmtId="0" fontId="35" fillId="5" borderId="0" xfId="0" applyFont="1" applyFill="1" applyAlignment="1">
      <alignment horizontal="center" vertical="center"/>
    </xf>
    <xf numFmtId="0" fontId="9" fillId="9" borderId="0" xfId="0" applyFont="1" applyFill="1"/>
    <xf numFmtId="0" fontId="35" fillId="9" borderId="0" xfId="0" applyFont="1" applyFill="1" applyAlignment="1">
      <alignment vertical="center"/>
    </xf>
    <xf numFmtId="0" fontId="35" fillId="9" borderId="0" xfId="0" applyFont="1" applyFill="1" applyAlignment="1">
      <alignment horizontal="center" vertical="center"/>
    </xf>
    <xf numFmtId="0" fontId="9" fillId="5" borderId="0" xfId="0" applyFont="1" applyFill="1" applyAlignment="1">
      <alignment horizontal="left"/>
    </xf>
    <xf numFmtId="0" fontId="9" fillId="9" borderId="27" xfId="0" applyFont="1" applyFill="1" applyBorder="1" applyAlignment="1">
      <alignment horizontal="left"/>
    </xf>
    <xf numFmtId="0" fontId="9" fillId="9" borderId="23" xfId="0" applyFont="1" applyFill="1" applyBorder="1" applyAlignment="1">
      <alignment horizontal="left" vertical="center"/>
    </xf>
    <xf numFmtId="0" fontId="17" fillId="9" borderId="23" xfId="0" applyFont="1" applyFill="1" applyBorder="1" applyAlignment="1" applyProtection="1">
      <alignment horizontal="left" vertical="center"/>
      <protection hidden="1"/>
    </xf>
    <xf numFmtId="0" fontId="9" fillId="9" borderId="15" xfId="0" applyFont="1" applyFill="1" applyBorder="1" applyAlignment="1">
      <alignment horizontal="left" vertical="center"/>
    </xf>
    <xf numFmtId="0" fontId="9" fillId="9" borderId="24" xfId="0" applyFont="1" applyFill="1" applyBorder="1" applyAlignment="1">
      <alignment horizontal="left"/>
    </xf>
    <xf numFmtId="0" fontId="6" fillId="9" borderId="0" xfId="0" applyFont="1" applyFill="1" applyAlignment="1" applyProtection="1">
      <alignment horizontal="left" vertical="center"/>
      <protection hidden="1"/>
    </xf>
    <xf numFmtId="0" fontId="9" fillId="9" borderId="26" xfId="0" applyFont="1" applyFill="1" applyBorder="1" applyAlignment="1">
      <alignment horizontal="left" vertical="center"/>
    </xf>
    <xf numFmtId="0" fontId="35" fillId="9" borderId="0" xfId="0" applyFont="1" applyFill="1" applyAlignment="1">
      <alignment horizontal="left" vertical="center"/>
    </xf>
    <xf numFmtId="0" fontId="17" fillId="9" borderId="0" xfId="0" applyFont="1" applyFill="1" applyAlignment="1" applyProtection="1">
      <alignment horizontal="left" vertical="center"/>
      <protection hidden="1"/>
    </xf>
    <xf numFmtId="0" fontId="35" fillId="9" borderId="26" xfId="0" applyFont="1" applyFill="1" applyBorder="1" applyAlignment="1">
      <alignment horizontal="left" vertical="center"/>
    </xf>
    <xf numFmtId="14" fontId="35" fillId="10" borderId="0" xfId="0" applyNumberFormat="1" applyFont="1" applyFill="1" applyAlignment="1">
      <alignment horizontal="left" vertical="center"/>
    </xf>
    <xf numFmtId="0" fontId="9" fillId="9" borderId="16" xfId="0" applyFont="1" applyFill="1" applyBorder="1" applyAlignment="1">
      <alignment horizontal="left"/>
    </xf>
    <xf numFmtId="0" fontId="35" fillId="9" borderId="22" xfId="0" applyFont="1" applyFill="1" applyBorder="1" applyAlignment="1">
      <alignment horizontal="left"/>
    </xf>
    <xf numFmtId="0" fontId="35" fillId="9" borderId="17" xfId="0" applyFont="1" applyFill="1" applyBorder="1" applyAlignment="1">
      <alignment horizontal="left"/>
    </xf>
    <xf numFmtId="0" fontId="35" fillId="9" borderId="0" xfId="0" applyFont="1" applyFill="1" applyAlignment="1">
      <alignment horizontal="left"/>
    </xf>
    <xf numFmtId="0" fontId="35" fillId="9" borderId="23" xfId="0" applyFont="1" applyFill="1" applyBorder="1" applyAlignment="1">
      <alignment horizontal="left"/>
    </xf>
    <xf numFmtId="0" fontId="35" fillId="9" borderId="15" xfId="0" applyFont="1" applyFill="1" applyBorder="1" applyAlignment="1">
      <alignment horizontal="left"/>
    </xf>
    <xf numFmtId="14" fontId="35" fillId="9" borderId="26" xfId="0" applyNumberFormat="1" applyFont="1" applyFill="1" applyBorder="1" applyAlignment="1">
      <alignment horizontal="left" vertical="center"/>
    </xf>
    <xf numFmtId="0" fontId="35" fillId="9" borderId="26" xfId="0" applyFont="1" applyFill="1" applyBorder="1" applyAlignment="1">
      <alignment vertical="center"/>
    </xf>
    <xf numFmtId="0" fontId="35" fillId="9" borderId="22" xfId="0" applyFont="1" applyFill="1" applyBorder="1" applyAlignment="1">
      <alignment horizontal="left" wrapText="1"/>
    </xf>
    <xf numFmtId="0" fontId="35" fillId="9" borderId="0" xfId="0" applyFont="1" applyFill="1" applyAlignment="1">
      <alignment horizontal="left" wrapText="1"/>
    </xf>
    <xf numFmtId="0" fontId="35" fillId="9" borderId="23" xfId="0" applyFont="1" applyFill="1" applyBorder="1" applyAlignment="1">
      <alignment vertical="center"/>
    </xf>
    <xf numFmtId="0" fontId="35" fillId="9" borderId="23" xfId="0" applyFont="1" applyFill="1" applyBorder="1" applyAlignment="1">
      <alignment horizontal="center" vertical="center"/>
    </xf>
    <xf numFmtId="0" fontId="35" fillId="9" borderId="15" xfId="0" applyFont="1" applyFill="1" applyBorder="1" applyAlignment="1">
      <alignment vertical="center"/>
    </xf>
    <xf numFmtId="0" fontId="6" fillId="9" borderId="0" xfId="0" applyFont="1" applyFill="1"/>
    <xf numFmtId="0" fontId="24" fillId="9" borderId="0" xfId="0" applyFont="1" applyFill="1" applyAlignment="1">
      <alignment horizontal="left" vertical="top"/>
    </xf>
    <xf numFmtId="14" fontId="35" fillId="9" borderId="0" xfId="0" applyNumberFormat="1" applyFont="1" applyFill="1" applyAlignment="1">
      <alignment horizontal="left" vertical="center"/>
    </xf>
    <xf numFmtId="0" fontId="35" fillId="0" borderId="0" xfId="0" applyFont="1" applyAlignment="1">
      <alignment vertical="center"/>
    </xf>
    <xf numFmtId="1" fontId="35" fillId="10" borderId="0" xfId="0" applyNumberFormat="1" applyFont="1" applyFill="1" applyAlignment="1">
      <alignment horizontal="center" vertical="center"/>
    </xf>
    <xf numFmtId="0" fontId="35" fillId="10" borderId="0" xfId="0" applyFont="1" applyFill="1" applyAlignment="1">
      <alignment horizontal="center" vertical="center"/>
    </xf>
    <xf numFmtId="170" fontId="35" fillId="9" borderId="0" xfId="0" applyNumberFormat="1" applyFont="1" applyFill="1" applyAlignment="1">
      <alignment horizontal="center" vertical="center"/>
    </xf>
    <xf numFmtId="0" fontId="35" fillId="9" borderId="17" xfId="0" applyFont="1" applyFill="1" applyBorder="1" applyAlignment="1">
      <alignment vertical="center"/>
    </xf>
    <xf numFmtId="0" fontId="35" fillId="9" borderId="0" xfId="0" applyFont="1" applyFill="1" applyAlignment="1">
      <alignment horizontal="center"/>
    </xf>
    <xf numFmtId="0" fontId="35" fillId="10" borderId="0" xfId="0" applyNumberFormat="1" applyFont="1" applyFill="1" applyAlignment="1">
      <alignment horizontal="center" vertical="center"/>
    </xf>
    <xf numFmtId="0" fontId="44" fillId="9" borderId="0" xfId="0" applyFont="1" applyFill="1" applyBorder="1" applyAlignment="1" applyProtection="1">
      <alignment horizontal="center"/>
    </xf>
    <xf numFmtId="0" fontId="5" fillId="9" borderId="0" xfId="0" applyFont="1" applyFill="1" applyBorder="1" applyAlignment="1" applyProtection="1">
      <alignment vertical="top" wrapText="1"/>
    </xf>
    <xf numFmtId="0" fontId="1" fillId="9" borderId="0" xfId="0" applyFont="1" applyFill="1" applyProtection="1"/>
    <xf numFmtId="0" fontId="9" fillId="15" borderId="0" xfId="0" applyFont="1" applyFill="1"/>
    <xf numFmtId="0" fontId="9" fillId="15" borderId="0" xfId="0" applyFont="1" applyFill="1" applyAlignment="1">
      <alignment horizontal="center" vertical="center"/>
    </xf>
    <xf numFmtId="0" fontId="9" fillId="15" borderId="0" xfId="0" applyFont="1" applyFill="1" applyAlignment="1">
      <alignment vertical="center"/>
    </xf>
    <xf numFmtId="0" fontId="9" fillId="15" borderId="27" xfId="0" applyFont="1" applyFill="1" applyBorder="1"/>
    <xf numFmtId="0" fontId="9" fillId="15" borderId="23" xfId="0" applyFont="1" applyFill="1" applyBorder="1" applyAlignment="1">
      <alignment vertical="center"/>
    </xf>
    <xf numFmtId="0" fontId="9" fillId="15" borderId="23" xfId="0" applyFont="1" applyFill="1" applyBorder="1" applyAlignment="1">
      <alignment horizontal="center" vertical="center"/>
    </xf>
    <xf numFmtId="0" fontId="9" fillId="15" borderId="24" xfId="0" applyFont="1" applyFill="1" applyBorder="1"/>
    <xf numFmtId="0" fontId="6" fillId="15" borderId="0" xfId="0" applyFont="1" applyFill="1" applyAlignment="1" applyProtection="1">
      <alignment vertical="center"/>
      <protection hidden="1"/>
    </xf>
    <xf numFmtId="0" fontId="9" fillId="15" borderId="26" xfId="0" applyFont="1" applyFill="1" applyBorder="1" applyAlignment="1">
      <alignment vertical="center"/>
    </xf>
    <xf numFmtId="0" fontId="35" fillId="17" borderId="0" xfId="0" applyFont="1" applyFill="1" applyAlignment="1">
      <alignment vertical="center"/>
    </xf>
    <xf numFmtId="0" fontId="9" fillId="15" borderId="26" xfId="0" applyFont="1" applyFill="1" applyBorder="1"/>
    <xf numFmtId="0" fontId="35" fillId="15" borderId="26" xfId="0" applyFont="1" applyFill="1" applyBorder="1" applyAlignment="1">
      <alignment vertical="center"/>
    </xf>
    <xf numFmtId="0" fontId="35" fillId="15" borderId="26" xfId="0" applyFont="1" applyFill="1" applyBorder="1" applyAlignment="1">
      <alignment horizontal="center" vertical="center"/>
    </xf>
    <xf numFmtId="0" fontId="9" fillId="15" borderId="0" xfId="0" applyFont="1" applyFill="1" applyAlignment="1">
      <alignment horizontal="left"/>
    </xf>
    <xf numFmtId="0" fontId="9" fillId="15" borderId="16" xfId="0" applyFont="1" applyFill="1" applyBorder="1"/>
    <xf numFmtId="0" fontId="35" fillId="15" borderId="22" xfId="0" applyFont="1" applyFill="1" applyBorder="1" applyAlignment="1">
      <alignment vertical="center"/>
    </xf>
    <xf numFmtId="0" fontId="35" fillId="15" borderId="22" xfId="0" applyFont="1" applyFill="1" applyBorder="1" applyAlignment="1">
      <alignment horizontal="center" vertical="center"/>
    </xf>
    <xf numFmtId="0" fontId="35" fillId="15" borderId="17" xfId="0" applyFont="1" applyFill="1" applyBorder="1" applyAlignment="1">
      <alignment vertical="center"/>
    </xf>
    <xf numFmtId="0" fontId="35" fillId="15" borderId="0" xfId="0" applyFont="1" applyFill="1"/>
    <xf numFmtId="0" fontId="35" fillId="15" borderId="0" xfId="0" applyFont="1" applyFill="1" applyAlignment="1">
      <alignment horizontal="center"/>
    </xf>
    <xf numFmtId="0" fontId="35" fillId="15" borderId="23" xfId="0" applyFont="1" applyFill="1" applyBorder="1"/>
    <xf numFmtId="0" fontId="35" fillId="15" borderId="23" xfId="0" applyFont="1" applyFill="1" applyBorder="1" applyAlignment="1">
      <alignment horizontal="center"/>
    </xf>
    <xf numFmtId="0" fontId="35" fillId="15" borderId="15" xfId="0" applyFont="1" applyFill="1" applyBorder="1"/>
    <xf numFmtId="0" fontId="35" fillId="15" borderId="0" xfId="0" applyFont="1" applyFill="1" applyAlignment="1">
      <alignment vertical="center"/>
    </xf>
    <xf numFmtId="0" fontId="35" fillId="15" borderId="0" xfId="0" applyFont="1" applyFill="1" applyAlignment="1">
      <alignment horizontal="center" vertical="center"/>
    </xf>
    <xf numFmtId="9" fontId="35" fillId="15" borderId="0" xfId="0" applyNumberFormat="1" applyFont="1" applyFill="1" applyAlignment="1">
      <alignment vertical="center"/>
    </xf>
    <xf numFmtId="9" fontId="35" fillId="15" borderId="0" xfId="0" applyNumberFormat="1" applyFont="1" applyFill="1" applyAlignment="1">
      <alignment horizontal="center" vertical="center"/>
    </xf>
    <xf numFmtId="0" fontId="35" fillId="15" borderId="22" xfId="0" applyFont="1" applyFill="1" applyBorder="1" applyAlignment="1">
      <alignment horizontal="center"/>
    </xf>
    <xf numFmtId="0" fontId="9" fillId="15" borderId="15" xfId="0" applyFont="1" applyFill="1" applyBorder="1"/>
    <xf numFmtId="0" fontId="35" fillId="15" borderId="0" xfId="0" applyFont="1" applyFill="1" applyAlignment="1">
      <alignment vertical="top" wrapText="1"/>
    </xf>
    <xf numFmtId="0" fontId="9" fillId="15" borderId="17" xfId="0" applyFont="1" applyFill="1" applyBorder="1"/>
    <xf numFmtId="0" fontId="24" fillId="15" borderId="0" xfId="0" applyFont="1" applyFill="1" applyAlignment="1">
      <alignment vertical="center"/>
    </xf>
    <xf numFmtId="0" fontId="35" fillId="17" borderId="0" xfId="0" applyFont="1" applyFill="1" applyAlignment="1">
      <alignment horizontal="center" vertical="center"/>
    </xf>
    <xf numFmtId="0" fontId="9" fillId="9" borderId="23" xfId="0" applyFont="1" applyFill="1" applyBorder="1" applyAlignment="1">
      <alignment vertical="center"/>
    </xf>
    <xf numFmtId="0" fontId="3" fillId="9" borderId="23" xfId="0" applyFont="1" applyFill="1" applyBorder="1" applyAlignment="1">
      <alignment vertical="center"/>
    </xf>
    <xf numFmtId="0" fontId="9" fillId="9" borderId="23" xfId="0" applyFont="1" applyFill="1" applyBorder="1" applyAlignment="1">
      <alignment horizontal="center" vertical="center"/>
    </xf>
    <xf numFmtId="0" fontId="6" fillId="9" borderId="0" xfId="0" applyFont="1" applyFill="1" applyAlignment="1">
      <alignment vertical="center"/>
    </xf>
    <xf numFmtId="0" fontId="9" fillId="9" borderId="0" xfId="0" applyFont="1" applyFill="1" applyAlignment="1">
      <alignment vertical="center"/>
    </xf>
    <xf numFmtId="0" fontId="9" fillId="9" borderId="0" xfId="0" applyFont="1" applyFill="1" applyAlignment="1">
      <alignment horizontal="center" vertical="center"/>
    </xf>
    <xf numFmtId="0" fontId="9" fillId="9" borderId="26" xfId="0" applyFont="1" applyFill="1" applyBorder="1" applyAlignment="1">
      <alignment vertical="center"/>
    </xf>
    <xf numFmtId="14" fontId="35" fillId="10" borderId="0" xfId="0" applyNumberFormat="1" applyFont="1" applyFill="1" applyAlignment="1">
      <alignment horizontal="center" vertical="center"/>
    </xf>
    <xf numFmtId="0" fontId="6" fillId="15" borderId="0" xfId="0" applyFont="1" applyFill="1"/>
    <xf numFmtId="0" fontId="3" fillId="15" borderId="23" xfId="0" applyFont="1" applyFill="1" applyBorder="1" applyAlignment="1">
      <alignment vertical="center"/>
    </xf>
    <xf numFmtId="0" fontId="9" fillId="15" borderId="23" xfId="0" applyFont="1" applyFill="1" applyBorder="1"/>
    <xf numFmtId="0" fontId="6" fillId="15" borderId="0" xfId="0" applyFont="1" applyFill="1" applyAlignment="1">
      <alignment vertical="center"/>
    </xf>
    <xf numFmtId="0" fontId="3" fillId="15" borderId="0" xfId="0" applyFont="1" applyFill="1" applyAlignment="1">
      <alignment vertical="center"/>
    </xf>
    <xf numFmtId="0" fontId="54" fillId="15" borderId="0" xfId="0" applyFont="1" applyFill="1"/>
    <xf numFmtId="0" fontId="35" fillId="15" borderId="0" xfId="0" applyFont="1" applyFill="1" applyAlignment="1">
      <alignment vertical="top"/>
    </xf>
    <xf numFmtId="0" fontId="9" fillId="21" borderId="0" xfId="0" applyFont="1" applyFill="1" applyAlignment="1">
      <alignment vertical="center"/>
    </xf>
    <xf numFmtId="0" fontId="9" fillId="15" borderId="0" xfId="0" applyFont="1" applyFill="1" applyProtection="1">
      <protection hidden="1"/>
    </xf>
    <xf numFmtId="0" fontId="54" fillId="15" borderId="0" xfId="0" applyFont="1" applyFill="1" applyAlignment="1">
      <alignment horizontal="left" vertical="center"/>
    </xf>
    <xf numFmtId="0" fontId="9" fillId="15" borderId="13" xfId="0" applyFont="1" applyFill="1" applyBorder="1" applyAlignment="1">
      <alignment horizontal="center"/>
    </xf>
    <xf numFmtId="0" fontId="9" fillId="18" borderId="13" xfId="0" applyFont="1" applyFill="1" applyBorder="1" applyAlignment="1">
      <alignment horizontal="center"/>
    </xf>
    <xf numFmtId="0" fontId="5" fillId="9" borderId="0" xfId="0" applyFont="1" applyFill="1" applyAlignment="1">
      <alignment vertical="center"/>
    </xf>
    <xf numFmtId="1" fontId="35" fillId="10" borderId="0" xfId="0" applyNumberFormat="1" applyFont="1" applyFill="1" applyAlignment="1">
      <alignment horizontal="left" vertical="center"/>
    </xf>
    <xf numFmtId="0" fontId="45" fillId="9" borderId="0" xfId="0" applyFont="1" applyFill="1" applyAlignment="1">
      <alignment vertical="center"/>
    </xf>
    <xf numFmtId="0" fontId="35" fillId="9" borderId="0" xfId="0" applyFont="1" applyFill="1" applyAlignment="1">
      <alignment horizontal="left" vertical="top"/>
    </xf>
    <xf numFmtId="0" fontId="17" fillId="9" borderId="0" xfId="0" applyFont="1" applyFill="1" applyAlignment="1">
      <alignment vertical="center"/>
    </xf>
    <xf numFmtId="14" fontId="35" fillId="12" borderId="0" xfId="0" applyNumberFormat="1" applyFont="1" applyFill="1" applyAlignment="1" applyProtection="1">
      <alignment vertical="center"/>
      <protection locked="0"/>
    </xf>
    <xf numFmtId="0" fontId="35" fillId="9" borderId="0" xfId="0" applyFont="1" applyFill="1" applyAlignment="1">
      <alignment horizontal="left" vertical="top" wrapText="1"/>
    </xf>
    <xf numFmtId="0" fontId="35" fillId="9" borderId="0" xfId="0" applyFont="1" applyFill="1" applyAlignment="1">
      <alignment horizontal="left" vertical="top" wrapText="1"/>
    </xf>
    <xf numFmtId="0" fontId="35" fillId="9" borderId="0" xfId="0" applyFont="1" applyFill="1" applyAlignment="1">
      <alignment vertical="top" wrapText="1"/>
    </xf>
    <xf numFmtId="0" fontId="0" fillId="0" borderId="0" xfId="0" applyAlignment="1">
      <alignment vertical="center"/>
    </xf>
    <xf numFmtId="0" fontId="40" fillId="9" borderId="0" xfId="0" applyFont="1" applyFill="1" applyAlignment="1">
      <alignment vertical="center"/>
    </xf>
    <xf numFmtId="0" fontId="34" fillId="9" borderId="0" xfId="0" applyFont="1" applyFill="1" applyAlignment="1">
      <alignment vertical="center"/>
    </xf>
    <xf numFmtId="0" fontId="24" fillId="9" borderId="0" xfId="0" applyFont="1" applyFill="1" applyAlignment="1">
      <alignment vertical="center"/>
    </xf>
    <xf numFmtId="0" fontId="24" fillId="9" borderId="0" xfId="0" applyFont="1" applyFill="1"/>
    <xf numFmtId="14" fontId="35" fillId="9" borderId="0" xfId="0" applyNumberFormat="1" applyFont="1" applyFill="1" applyAlignment="1">
      <alignment horizontal="center" vertical="center"/>
    </xf>
    <xf numFmtId="0" fontId="33" fillId="0" borderId="22" xfId="0" applyFont="1" applyBorder="1" applyAlignment="1">
      <alignment vertical="center"/>
    </xf>
    <xf numFmtId="0" fontId="35" fillId="9" borderId="22" xfId="0" applyFont="1" applyFill="1" applyBorder="1"/>
    <xf numFmtId="0" fontId="9" fillId="9" borderId="0" xfId="0" applyFont="1" applyFill="1" applyAlignment="1">
      <alignment wrapText="1"/>
    </xf>
    <xf numFmtId="0" fontId="0" fillId="15" borderId="0" xfId="0" applyFill="1"/>
    <xf numFmtId="0" fontId="3" fillId="15" borderId="0" xfId="0" applyFont="1" applyFill="1" applyAlignment="1" applyProtection="1">
      <alignment horizontal="left" vertical="center"/>
      <protection hidden="1"/>
    </xf>
    <xf numFmtId="0" fontId="9" fillId="15" borderId="0" xfId="0" applyFont="1" applyFill="1" applyAlignment="1">
      <alignment horizontal="left" vertical="center"/>
    </xf>
    <xf numFmtId="0" fontId="35" fillId="18" borderId="0" xfId="0" applyFont="1" applyFill="1"/>
    <xf numFmtId="0" fontId="6" fillId="18" borderId="0" xfId="0" applyFont="1" applyFill="1" applyAlignment="1">
      <alignment vertical="center"/>
    </xf>
    <xf numFmtId="0" fontId="35" fillId="18" borderId="0" xfId="0" applyFont="1" applyFill="1" applyAlignment="1">
      <alignment vertical="center"/>
    </xf>
    <xf numFmtId="0" fontId="35" fillId="18" borderId="0" xfId="0" applyFont="1" applyFill="1" applyAlignment="1">
      <alignment horizontal="center" vertical="center"/>
    </xf>
    <xf numFmtId="0" fontId="35" fillId="15" borderId="27" xfId="0" applyFont="1" applyFill="1" applyBorder="1"/>
    <xf numFmtId="0" fontId="35" fillId="15" borderId="23" xfId="0" applyFont="1" applyFill="1" applyBorder="1" applyAlignment="1">
      <alignment vertical="center"/>
    </xf>
    <xf numFmtId="0" fontId="35" fillId="15" borderId="23" xfId="0" applyFont="1" applyFill="1" applyBorder="1" applyAlignment="1">
      <alignment horizontal="center" vertical="center"/>
    </xf>
    <xf numFmtId="0" fontId="35" fillId="15" borderId="24" xfId="0" applyFont="1" applyFill="1" applyBorder="1"/>
    <xf numFmtId="0" fontId="35" fillId="15" borderId="26" xfId="0" applyFont="1" applyFill="1" applyBorder="1"/>
    <xf numFmtId="0" fontId="35" fillId="15" borderId="16" xfId="0" applyFont="1" applyFill="1" applyBorder="1"/>
    <xf numFmtId="0" fontId="35" fillId="15" borderId="17" xfId="0" applyFont="1" applyFill="1" applyBorder="1"/>
    <xf numFmtId="14" fontId="35" fillId="15" borderId="0" xfId="0" applyNumberFormat="1" applyFont="1" applyFill="1" applyAlignment="1">
      <alignment horizontal="center" vertical="center"/>
    </xf>
    <xf numFmtId="0" fontId="35" fillId="0" borderId="0" xfId="0" applyFont="1"/>
    <xf numFmtId="0" fontId="9" fillId="15" borderId="0" xfId="0" applyFont="1" applyFill="1" applyAlignment="1">
      <alignment wrapText="1"/>
    </xf>
    <xf numFmtId="0" fontId="35" fillId="15" borderId="22" xfId="0" applyFont="1" applyFill="1" applyBorder="1"/>
    <xf numFmtId="0" fontId="35" fillId="15" borderId="15" xfId="0" applyFont="1" applyFill="1" applyBorder="1" applyAlignment="1">
      <alignment vertical="center"/>
    </xf>
    <xf numFmtId="0" fontId="35" fillId="15" borderId="22" xfId="0" applyFont="1" applyFill="1" applyBorder="1" applyAlignment="1">
      <alignment horizontal="left" wrapText="1"/>
    </xf>
    <xf numFmtId="0" fontId="34" fillId="9" borderId="23" xfId="0" applyFont="1" applyFill="1" applyBorder="1" applyAlignment="1">
      <alignment vertical="center"/>
    </xf>
    <xf numFmtId="0" fontId="35" fillId="9" borderId="27" xfId="0" applyFont="1" applyFill="1" applyBorder="1" applyAlignment="1">
      <alignment vertical="center"/>
    </xf>
    <xf numFmtId="0" fontId="35" fillId="9" borderId="24" xfId="0" applyFont="1" applyFill="1" applyBorder="1" applyAlignment="1">
      <alignment vertical="center"/>
    </xf>
    <xf numFmtId="14" fontId="35" fillId="9" borderId="22" xfId="0" applyNumberFormat="1" applyFont="1" applyFill="1" applyBorder="1" applyAlignment="1">
      <alignment horizontal="center" vertical="center"/>
    </xf>
    <xf numFmtId="0" fontId="35" fillId="9" borderId="22" xfId="0" applyFont="1" applyFill="1" applyBorder="1" applyAlignment="1">
      <alignment horizontal="center"/>
    </xf>
    <xf numFmtId="0" fontId="5" fillId="15" borderId="0" xfId="0" applyFont="1" applyFill="1" applyAlignment="1">
      <alignment vertical="center"/>
    </xf>
    <xf numFmtId="0" fontId="5" fillId="15" borderId="27" xfId="0" applyFont="1" applyFill="1" applyBorder="1" applyAlignment="1">
      <alignment vertical="center"/>
    </xf>
    <xf numFmtId="0" fontId="5" fillId="15" borderId="24" xfId="0" applyFont="1" applyFill="1" applyBorder="1" applyAlignment="1">
      <alignment vertical="center"/>
    </xf>
    <xf numFmtId="0" fontId="17" fillId="15" borderId="0" xfId="0" applyFont="1" applyFill="1" applyAlignment="1">
      <alignment vertical="center"/>
    </xf>
    <xf numFmtId="0" fontId="35" fillId="15" borderId="0" xfId="0" applyFont="1" applyFill="1" applyAlignment="1">
      <alignment horizontal="left" vertical="center" indent="1"/>
    </xf>
    <xf numFmtId="0" fontId="35" fillId="15" borderId="0" xfId="0" applyFont="1" applyFill="1" applyAlignment="1">
      <alignment horizontal="left" vertical="center" indent="2"/>
    </xf>
    <xf numFmtId="0" fontId="0" fillId="10" borderId="27" xfId="0" applyFill="1" applyBorder="1" applyProtection="1"/>
    <xf numFmtId="0" fontId="0" fillId="10" borderId="23" xfId="0" applyFill="1" applyBorder="1" applyProtection="1"/>
    <xf numFmtId="0" fontId="0" fillId="10" borderId="15" xfId="0" applyFill="1" applyBorder="1" applyProtection="1"/>
    <xf numFmtId="0" fontId="0" fillId="10" borderId="24" xfId="0" applyFill="1" applyBorder="1" applyProtection="1"/>
    <xf numFmtId="0" fontId="0" fillId="10" borderId="26" xfId="0" applyFill="1" applyBorder="1" applyProtection="1"/>
    <xf numFmtId="0" fontId="0" fillId="10" borderId="0" xfId="0" applyFill="1" applyBorder="1" applyProtection="1"/>
    <xf numFmtId="0" fontId="0" fillId="10" borderId="16" xfId="0" applyFill="1" applyBorder="1" applyProtection="1"/>
    <xf numFmtId="0" fontId="0" fillId="10" borderId="22" xfId="0" applyFill="1" applyBorder="1" applyProtection="1"/>
    <xf numFmtId="0" fontId="0" fillId="10" borderId="17" xfId="0" applyFill="1" applyBorder="1" applyProtection="1"/>
    <xf numFmtId="0" fontId="3" fillId="9" borderId="0" xfId="0" applyFont="1" applyFill="1" applyAlignment="1">
      <alignment vertical="center"/>
    </xf>
    <xf numFmtId="0" fontId="11" fillId="9" borderId="22" xfId="0" applyFont="1" applyFill="1" applyBorder="1" applyAlignment="1">
      <alignment horizontal="right" vertical="top"/>
    </xf>
    <xf numFmtId="0" fontId="40" fillId="9" borderId="0" xfId="0" applyFont="1" applyFill="1" applyAlignment="1">
      <alignment vertical="top" wrapText="1"/>
    </xf>
    <xf numFmtId="1" fontId="35" fillId="9" borderId="0" xfId="0" applyNumberFormat="1" applyFont="1" applyFill="1" applyAlignment="1">
      <alignment horizontal="center" vertical="center"/>
    </xf>
    <xf numFmtId="0" fontId="3" fillId="9" borderId="0" xfId="0" applyFont="1" applyFill="1" applyAlignment="1" applyProtection="1">
      <alignment vertical="center"/>
      <protection hidden="1"/>
    </xf>
    <xf numFmtId="0" fontId="0" fillId="9" borderId="0" xfId="0" applyFill="1" applyAlignment="1">
      <alignment horizontal="center" vertical="center"/>
    </xf>
    <xf numFmtId="0" fontId="0" fillId="9" borderId="0" xfId="0" applyFill="1" applyAlignment="1">
      <alignment vertical="center"/>
    </xf>
    <xf numFmtId="0" fontId="3" fillId="9" borderId="23" xfId="0" applyFont="1" applyFill="1" applyBorder="1" applyAlignment="1" applyProtection="1">
      <alignment vertical="center"/>
      <protection hidden="1"/>
    </xf>
    <xf numFmtId="0" fontId="35" fillId="9" borderId="0" xfId="0" applyFont="1" applyFill="1" applyAlignment="1" applyProtection="1">
      <alignment vertical="center"/>
      <protection hidden="1"/>
    </xf>
    <xf numFmtId="0" fontId="17" fillId="9" borderId="0" xfId="0" applyFont="1" applyFill="1" applyAlignment="1" applyProtection="1">
      <alignment vertical="center"/>
      <protection hidden="1"/>
    </xf>
    <xf numFmtId="0" fontId="24" fillId="9" borderId="22" xfId="0" applyFont="1" applyFill="1" applyBorder="1"/>
    <xf numFmtId="0" fontId="24" fillId="9" borderId="0" xfId="0" applyFont="1" applyFill="1" applyAlignment="1">
      <alignment vertical="top"/>
    </xf>
    <xf numFmtId="2" fontId="35" fillId="12" borderId="0" xfId="0" applyNumberFormat="1" applyFont="1" applyFill="1" applyAlignment="1" applyProtection="1">
      <alignment horizontal="left"/>
      <protection locked="0"/>
    </xf>
    <xf numFmtId="0" fontId="35" fillId="0" borderId="22" xfId="0" applyFont="1" applyBorder="1" applyAlignment="1">
      <alignment vertical="center"/>
    </xf>
    <xf numFmtId="0" fontId="9" fillId="0" borderId="0" xfId="0" applyFont="1"/>
    <xf numFmtId="0" fontId="32" fillId="9" borderId="0" xfId="0" applyFont="1" applyFill="1" applyBorder="1" applyAlignment="1" applyProtection="1">
      <alignment vertical="center"/>
    </xf>
    <xf numFmtId="0" fontId="0" fillId="9" borderId="0" xfId="0" applyFont="1" applyFill="1" applyBorder="1" applyAlignment="1" applyProtection="1">
      <alignment horizontal="left" vertical="top" wrapText="1"/>
    </xf>
    <xf numFmtId="0" fontId="0" fillId="9" borderId="26" xfId="0" applyFont="1" applyFill="1" applyBorder="1" applyAlignment="1" applyProtection="1">
      <alignment horizontal="left" vertical="top" wrapText="1"/>
    </xf>
    <xf numFmtId="0" fontId="0" fillId="9" borderId="24" xfId="0" applyFont="1" applyFill="1" applyBorder="1" applyAlignment="1" applyProtection="1">
      <alignment horizontal="left" vertical="top" wrapText="1"/>
    </xf>
    <xf numFmtId="0" fontId="0" fillId="9" borderId="16" xfId="0" applyFont="1" applyFill="1" applyBorder="1" applyAlignment="1" applyProtection="1">
      <alignment horizontal="left" vertical="top" wrapText="1"/>
    </xf>
    <xf numFmtId="0" fontId="0" fillId="9" borderId="22" xfId="0" applyFont="1" applyFill="1" applyBorder="1" applyAlignment="1" applyProtection="1">
      <alignment horizontal="left" vertical="top" wrapText="1"/>
    </xf>
    <xf numFmtId="0" fontId="5" fillId="9" borderId="0" xfId="0" applyFont="1" applyFill="1" applyAlignment="1" applyProtection="1">
      <alignment vertical="center"/>
    </xf>
    <xf numFmtId="0" fontId="3" fillId="9" borderId="0" xfId="0" applyFont="1" applyFill="1" applyAlignment="1" applyProtection="1">
      <alignment horizontal="left" vertical="center" wrapText="1"/>
    </xf>
    <xf numFmtId="0" fontId="6" fillId="5" borderId="0" xfId="0" applyFont="1" applyFill="1" applyAlignment="1" applyProtection="1">
      <alignment vertical="center"/>
    </xf>
    <xf numFmtId="0" fontId="35" fillId="5" borderId="0" xfId="0" applyFont="1" applyFill="1" applyAlignment="1" applyProtection="1">
      <alignment vertical="center"/>
    </xf>
    <xf numFmtId="0" fontId="35" fillId="5" borderId="0" xfId="0" applyFont="1" applyFill="1" applyAlignment="1" applyProtection="1">
      <alignment horizontal="center" vertical="center"/>
    </xf>
    <xf numFmtId="0" fontId="35" fillId="9" borderId="0" xfId="0" applyFont="1" applyFill="1" applyAlignment="1" applyProtection="1">
      <alignment horizontal="left" vertical="center"/>
    </xf>
    <xf numFmtId="0" fontId="35" fillId="0" borderId="0" xfId="0" applyFont="1" applyAlignment="1" applyProtection="1">
      <alignment vertical="center"/>
    </xf>
    <xf numFmtId="0" fontId="38" fillId="9" borderId="0" xfId="0" applyFont="1" applyFill="1" applyProtection="1"/>
    <xf numFmtId="0" fontId="35" fillId="9" borderId="24" xfId="0" applyFont="1" applyFill="1" applyBorder="1" applyAlignment="1" applyProtection="1">
      <alignment horizontal="center" vertical="center"/>
    </xf>
    <xf numFmtId="170" fontId="35" fillId="9" borderId="24" xfId="0" applyNumberFormat="1" applyFont="1" applyFill="1" applyBorder="1" applyAlignment="1" applyProtection="1">
      <alignment horizontal="center" vertical="center"/>
    </xf>
    <xf numFmtId="170" fontId="35" fillId="9" borderId="16" xfId="0" applyNumberFormat="1" applyFont="1" applyFill="1" applyBorder="1" applyAlignment="1" applyProtection="1">
      <alignment horizontal="center" vertical="center"/>
    </xf>
    <xf numFmtId="0" fontId="35" fillId="9" borderId="16" xfId="0" applyFont="1" applyFill="1" applyBorder="1" applyAlignment="1" applyProtection="1">
      <alignment vertical="center"/>
    </xf>
    <xf numFmtId="0" fontId="4" fillId="9" borderId="0" xfId="0" applyFont="1" applyFill="1" applyAlignment="1" applyProtection="1">
      <alignment horizontal="left" vertical="top" wrapText="1"/>
    </xf>
    <xf numFmtId="0" fontId="35" fillId="12" borderId="0" xfId="0" applyFont="1" applyFill="1" applyAlignment="1" applyProtection="1">
      <alignment horizontal="center" vertical="center"/>
      <protection locked="0"/>
    </xf>
    <xf numFmtId="14" fontId="35" fillId="16" borderId="0" xfId="0" applyNumberFormat="1" applyFont="1" applyFill="1" applyAlignment="1" applyProtection="1">
      <alignment horizontal="center" vertical="center"/>
      <protection locked="0"/>
    </xf>
    <xf numFmtId="0" fontId="35" fillId="9" borderId="0" xfId="0" applyFont="1" applyFill="1" applyAlignment="1">
      <alignment horizontal="left" wrapText="1"/>
    </xf>
    <xf numFmtId="0" fontId="35" fillId="12" borderId="0" xfId="0" applyFont="1" applyFill="1" applyAlignment="1" applyProtection="1">
      <alignment horizontal="left" vertical="center"/>
      <protection locked="0"/>
    </xf>
    <xf numFmtId="14" fontId="35" fillId="12" borderId="0" xfId="0" applyNumberFormat="1" applyFont="1" applyFill="1" applyAlignment="1" applyProtection="1">
      <alignment horizontal="left" vertical="center"/>
      <protection locked="0"/>
    </xf>
    <xf numFmtId="0" fontId="35" fillId="9" borderId="0" xfId="0" applyFont="1" applyFill="1" applyAlignment="1">
      <alignment horizontal="left" vertical="center"/>
    </xf>
    <xf numFmtId="0" fontId="35" fillId="15" borderId="0" xfId="0" applyFont="1" applyFill="1" applyAlignment="1">
      <alignment horizontal="center" vertical="center"/>
    </xf>
    <xf numFmtId="0" fontId="35" fillId="15" borderId="22" xfId="0" applyFont="1" applyFill="1" applyBorder="1" applyAlignment="1">
      <alignment horizontal="center"/>
    </xf>
    <xf numFmtId="0" fontId="35" fillId="16" borderId="0" xfId="0" applyFont="1" applyFill="1" applyAlignment="1" applyProtection="1">
      <alignment horizontal="center" vertical="center"/>
      <protection locked="0"/>
    </xf>
    <xf numFmtId="49" fontId="24" fillId="12" borderId="0" xfId="0" applyNumberFormat="1" applyFont="1" applyFill="1" applyAlignment="1" applyProtection="1">
      <alignment vertical="center"/>
      <protection locked="0"/>
    </xf>
    <xf numFmtId="49" fontId="35" fillId="12" borderId="0" xfId="0" applyNumberFormat="1" applyFont="1" applyFill="1" applyAlignment="1" applyProtection="1">
      <alignment horizontal="center" vertical="center"/>
      <protection locked="0"/>
    </xf>
    <xf numFmtId="0" fontId="35" fillId="10" borderId="0" xfId="0" applyFont="1" applyFill="1" applyAlignment="1" applyProtection="1">
      <alignment vertical="center"/>
    </xf>
    <xf numFmtId="49" fontId="35" fillId="12" borderId="0" xfId="0" applyNumberFormat="1" applyFont="1" applyFill="1" applyAlignment="1" applyProtection="1">
      <alignment vertical="center"/>
      <protection locked="0"/>
    </xf>
    <xf numFmtId="49" fontId="35" fillId="9" borderId="0" xfId="0" applyNumberFormat="1" applyFont="1" applyFill="1" applyAlignment="1">
      <alignment vertical="center"/>
    </xf>
    <xf numFmtId="49" fontId="35" fillId="12" borderId="0" xfId="0" applyNumberFormat="1" applyFont="1" applyFill="1" applyAlignment="1" applyProtection="1">
      <alignment horizontal="left" vertical="center"/>
      <protection locked="0"/>
    </xf>
    <xf numFmtId="0" fontId="41" fillId="9" borderId="0" xfId="0" applyFont="1" applyFill="1" applyAlignment="1">
      <alignment vertical="center"/>
    </xf>
    <xf numFmtId="0" fontId="55" fillId="9" borderId="0" xfId="0" applyFont="1" applyFill="1" applyAlignment="1">
      <alignment horizontal="center" vertical="center"/>
    </xf>
    <xf numFmtId="0" fontId="56" fillId="9" borderId="0" xfId="6" applyFont="1" applyFill="1" applyAlignment="1">
      <alignment vertical="top"/>
    </xf>
    <xf numFmtId="0" fontId="9" fillId="9" borderId="0" xfId="0" applyFont="1" applyFill="1" applyBorder="1"/>
    <xf numFmtId="0" fontId="35" fillId="9" borderId="0" xfId="0" applyFont="1" applyFill="1" applyBorder="1" applyAlignment="1">
      <alignment vertical="center"/>
    </xf>
    <xf numFmtId="0" fontId="35" fillId="9" borderId="0" xfId="0" applyFont="1" applyFill="1" applyBorder="1" applyAlignment="1">
      <alignment horizontal="center" vertical="center"/>
    </xf>
    <xf numFmtId="0" fontId="6" fillId="9" borderId="0" xfId="0" applyFont="1" applyFill="1" applyBorder="1" applyAlignment="1">
      <alignment vertical="center"/>
    </xf>
    <xf numFmtId="0" fontId="35" fillId="10" borderId="0" xfId="0" applyFont="1" applyFill="1" applyBorder="1" applyAlignment="1">
      <alignment vertical="center"/>
    </xf>
    <xf numFmtId="1" fontId="35" fillId="12" borderId="0" xfId="0" applyNumberFormat="1" applyFont="1" applyFill="1" applyBorder="1" applyAlignment="1" applyProtection="1">
      <alignment horizontal="center" vertical="center"/>
      <protection locked="0"/>
    </xf>
    <xf numFmtId="0" fontId="35" fillId="9" borderId="0" xfId="0" applyFont="1" applyFill="1" applyBorder="1" applyAlignment="1">
      <alignment horizontal="left" vertical="top"/>
    </xf>
    <xf numFmtId="0" fontId="6" fillId="9" borderId="0" xfId="0" applyFont="1" applyFill="1" applyBorder="1" applyAlignment="1" applyProtection="1">
      <alignment horizontal="left" vertical="center"/>
      <protection hidden="1"/>
    </xf>
    <xf numFmtId="0" fontId="9" fillId="9" borderId="0" xfId="0" applyFont="1" applyFill="1" applyBorder="1" applyAlignment="1">
      <alignment horizontal="left" vertical="center"/>
    </xf>
    <xf numFmtId="0" fontId="35" fillId="9" borderId="0" xfId="0" applyFont="1" applyFill="1" applyBorder="1" applyAlignment="1">
      <alignment horizontal="left" vertical="center"/>
    </xf>
    <xf numFmtId="0" fontId="9" fillId="9" borderId="0" xfId="0" applyFont="1" applyFill="1" applyBorder="1" applyAlignment="1">
      <alignment vertical="center"/>
    </xf>
    <xf numFmtId="0" fontId="17" fillId="9" borderId="0" xfId="0" applyFont="1" applyFill="1" applyBorder="1" applyAlignment="1">
      <alignment vertical="center"/>
    </xf>
    <xf numFmtId="0" fontId="45" fillId="9" borderId="0" xfId="0" applyFont="1" applyFill="1" applyBorder="1" applyAlignment="1">
      <alignment vertical="center"/>
    </xf>
    <xf numFmtId="14" fontId="35" fillId="12" borderId="0" xfId="0" applyNumberFormat="1" applyFont="1" applyFill="1" applyBorder="1" applyAlignment="1" applyProtection="1">
      <alignment vertical="center"/>
      <protection locked="0"/>
    </xf>
    <xf numFmtId="0" fontId="9" fillId="9" borderId="0" xfId="0" applyFont="1" applyFill="1" applyBorder="1" applyAlignment="1">
      <alignment horizontal="left"/>
    </xf>
    <xf numFmtId="0" fontId="35" fillId="9" borderId="0" xfId="0" applyFont="1" applyFill="1" applyBorder="1" applyAlignment="1">
      <alignment horizontal="left" vertical="center" wrapText="1"/>
    </xf>
    <xf numFmtId="0" fontId="0" fillId="9" borderId="0" xfId="0" applyFill="1" applyBorder="1"/>
    <xf numFmtId="0" fontId="45" fillId="9" borderId="0" xfId="0" applyFont="1" applyFill="1" applyBorder="1" applyAlignment="1">
      <alignment horizontal="left" vertical="top" wrapText="1"/>
    </xf>
    <xf numFmtId="0" fontId="35" fillId="9" borderId="0" xfId="0" applyFont="1" applyFill="1" applyAlignment="1">
      <alignment horizontal="center" vertical="center"/>
    </xf>
    <xf numFmtId="0" fontId="9" fillId="9" borderId="0" xfId="0" applyFont="1" applyFill="1" applyAlignment="1">
      <alignment vertical="top" wrapText="1"/>
    </xf>
    <xf numFmtId="0" fontId="35" fillId="9" borderId="0" xfId="0" applyFont="1" applyFill="1" applyAlignment="1">
      <alignment vertical="top"/>
    </xf>
    <xf numFmtId="0" fontId="9" fillId="9" borderId="13" xfId="0" applyFont="1" applyFill="1" applyBorder="1" applyAlignment="1">
      <alignment horizontal="center"/>
    </xf>
    <xf numFmtId="0" fontId="9" fillId="5" borderId="13" xfId="0" applyFont="1" applyFill="1" applyBorder="1" applyAlignment="1">
      <alignment horizontal="center"/>
    </xf>
    <xf numFmtId="0" fontId="9" fillId="5" borderId="12" xfId="0" applyFont="1" applyFill="1" applyBorder="1" applyProtection="1">
      <protection hidden="1"/>
    </xf>
    <xf numFmtId="0" fontId="9" fillId="5" borderId="28" xfId="0" applyFont="1" applyFill="1" applyBorder="1" applyProtection="1">
      <protection hidden="1"/>
    </xf>
    <xf numFmtId="0" fontId="9" fillId="5" borderId="14" xfId="0" applyFont="1" applyFill="1" applyBorder="1" applyProtection="1">
      <protection hidden="1"/>
    </xf>
    <xf numFmtId="0" fontId="9" fillId="9" borderId="0" xfId="0" applyFont="1" applyFill="1" applyProtection="1">
      <protection hidden="1"/>
    </xf>
    <xf numFmtId="0" fontId="9" fillId="9" borderId="13" xfId="0" applyFont="1" applyFill="1" applyBorder="1" applyAlignment="1" applyProtection="1">
      <alignment horizontal="center"/>
      <protection hidden="1"/>
    </xf>
    <xf numFmtId="0" fontId="9" fillId="5" borderId="13" xfId="0" applyFont="1" applyFill="1" applyBorder="1" applyAlignment="1" applyProtection="1">
      <alignment horizontal="center"/>
      <protection hidden="1"/>
    </xf>
    <xf numFmtId="14" fontId="35" fillId="10" borderId="0" xfId="0" applyNumberFormat="1" applyFont="1" applyFill="1" applyAlignment="1" applyProtection="1">
      <alignment vertical="center"/>
    </xf>
    <xf numFmtId="14" fontId="35" fillId="10" borderId="0" xfId="0" applyNumberFormat="1" applyFont="1" applyFill="1" applyBorder="1" applyAlignment="1" applyProtection="1">
      <alignment vertical="center"/>
    </xf>
    <xf numFmtId="14" fontId="35" fillId="10" borderId="0" xfId="0" applyNumberFormat="1" applyFont="1" applyFill="1" applyAlignment="1" applyProtection="1">
      <alignment horizontal="left" vertical="center"/>
    </xf>
    <xf numFmtId="2" fontId="35" fillId="10" borderId="0" xfId="0" applyNumberFormat="1" applyFont="1" applyFill="1" applyAlignment="1">
      <alignment horizontal="center" vertical="center"/>
    </xf>
    <xf numFmtId="0" fontId="35" fillId="12" borderId="0" xfId="0" applyFont="1" applyFill="1" applyAlignment="1" applyProtection="1">
      <alignment vertical="center"/>
    </xf>
    <xf numFmtId="9" fontId="35" fillId="12" borderId="0" xfId="5" applyFont="1" applyFill="1" applyAlignment="1" applyProtection="1">
      <alignment horizontal="center" vertical="center"/>
    </xf>
    <xf numFmtId="0" fontId="21" fillId="12" borderId="12" xfId="0" applyFont="1" applyFill="1" applyBorder="1" applyAlignment="1" applyProtection="1">
      <alignment horizontal="center"/>
    </xf>
    <xf numFmtId="166" fontId="9" fillId="12" borderId="1" xfId="0" applyNumberFormat="1" applyFont="1" applyFill="1" applyBorder="1" applyProtection="1"/>
    <xf numFmtId="166" fontId="9" fillId="12" borderId="2" xfId="0" applyNumberFormat="1" applyFont="1" applyFill="1" applyBorder="1" applyAlignment="1" applyProtection="1">
      <alignment horizontal="right"/>
    </xf>
    <xf numFmtId="0" fontId="9" fillId="12" borderId="9" xfId="0" applyFont="1" applyFill="1" applyBorder="1" applyAlignment="1" applyProtection="1">
      <alignment horizontal="right"/>
    </xf>
    <xf numFmtId="0" fontId="21" fillId="12" borderId="13" xfId="0" applyFont="1" applyFill="1" applyBorder="1" applyAlignment="1" applyProtection="1">
      <alignment horizontal="center"/>
    </xf>
    <xf numFmtId="0" fontId="9" fillId="12" borderId="6" xfId="0" applyFont="1" applyFill="1" applyBorder="1" applyAlignment="1" applyProtection="1">
      <alignment horizontal="right"/>
    </xf>
    <xf numFmtId="0" fontId="9" fillId="12" borderId="10" xfId="0" applyFont="1" applyFill="1" applyBorder="1" applyAlignment="1" applyProtection="1">
      <alignment horizontal="center"/>
    </xf>
    <xf numFmtId="0" fontId="9" fillId="12" borderId="7" xfId="0" applyFont="1" applyFill="1" applyBorder="1" applyAlignment="1" applyProtection="1">
      <alignment horizontal="right"/>
    </xf>
    <xf numFmtId="0" fontId="9" fillId="12" borderId="0" xfId="0" applyFont="1" applyFill="1" applyBorder="1" applyAlignment="1" applyProtection="1">
      <alignment horizontal="center"/>
    </xf>
    <xf numFmtId="0" fontId="9" fillId="12" borderId="0" xfId="0" applyFont="1" applyFill="1" applyAlignment="1" applyProtection="1">
      <alignment horizontal="center"/>
    </xf>
    <xf numFmtId="0" fontId="9" fillId="12" borderId="8" xfId="0" applyFont="1" applyFill="1" applyBorder="1" applyAlignment="1" applyProtection="1">
      <alignment horizontal="right"/>
    </xf>
    <xf numFmtId="0" fontId="9" fillId="12" borderId="11" xfId="0" applyFont="1" applyFill="1" applyBorder="1" applyAlignment="1" applyProtection="1">
      <alignment horizontal="center"/>
    </xf>
    <xf numFmtId="0" fontId="9" fillId="12" borderId="7" xfId="0" applyFont="1" applyFill="1" applyBorder="1" applyAlignment="1" applyProtection="1">
      <alignment horizontal="left" shrinkToFit="1"/>
    </xf>
    <xf numFmtId="9" fontId="9" fillId="12" borderId="20" xfId="0" applyNumberFormat="1" applyFont="1" applyFill="1" applyBorder="1" applyAlignment="1" applyProtection="1">
      <alignment horizontal="right"/>
    </xf>
    <xf numFmtId="0" fontId="9" fillId="12" borderId="20" xfId="0" applyFont="1" applyFill="1" applyBorder="1" applyAlignment="1" applyProtection="1">
      <alignment horizontal="center"/>
    </xf>
    <xf numFmtId="9" fontId="9" fillId="12" borderId="21" xfId="0" applyNumberFormat="1" applyFont="1" applyFill="1" applyBorder="1" applyAlignment="1" applyProtection="1">
      <alignment horizontal="center"/>
    </xf>
    <xf numFmtId="0" fontId="9" fillId="12" borderId="21" xfId="0" applyFont="1" applyFill="1" applyBorder="1" applyAlignment="1" applyProtection="1">
      <alignment horizontal="center"/>
    </xf>
    <xf numFmtId="0" fontId="9" fillId="12" borderId="19" xfId="0" applyFont="1" applyFill="1" applyBorder="1" applyAlignment="1" applyProtection="1">
      <alignment horizontal="left" shrinkToFit="1"/>
    </xf>
    <xf numFmtId="0" fontId="9" fillId="12" borderId="6" xfId="0" applyFont="1" applyFill="1" applyBorder="1" applyAlignment="1" applyProtection="1">
      <alignment horizontal="right" shrinkToFit="1"/>
    </xf>
    <xf numFmtId="1" fontId="9" fillId="12" borderId="3" xfId="0" applyNumberFormat="1" applyFont="1" applyFill="1" applyBorder="1" applyAlignment="1" applyProtection="1">
      <alignment horizontal="right"/>
    </xf>
    <xf numFmtId="0" fontId="9" fillId="12" borderId="1" xfId="0" applyFont="1" applyFill="1" applyBorder="1" applyAlignment="1" applyProtection="1">
      <alignment horizontal="right" shrinkToFit="1"/>
    </xf>
    <xf numFmtId="1" fontId="9" fillId="12" borderId="9" xfId="0" applyNumberFormat="1" applyFont="1" applyFill="1" applyBorder="1" applyAlignment="1" applyProtection="1">
      <alignment horizontal="right"/>
    </xf>
    <xf numFmtId="14" fontId="9" fillId="12" borderId="0" xfId="0" applyNumberFormat="1" applyFont="1" applyFill="1" applyAlignment="1" applyProtection="1">
      <alignment horizontal="left"/>
    </xf>
    <xf numFmtId="0" fontId="6" fillId="0" borderId="0" xfId="0" applyFont="1" applyAlignment="1" applyProtection="1">
      <alignment vertical="center" wrapText="1"/>
    </xf>
    <xf numFmtId="0" fontId="1" fillId="9" borderId="26" xfId="0" applyFont="1" applyFill="1" applyBorder="1" applyAlignment="1" applyProtection="1"/>
    <xf numFmtId="0" fontId="9" fillId="15" borderId="0" xfId="0" applyFont="1" applyFill="1" applyProtection="1"/>
    <xf numFmtId="0" fontId="3" fillId="15" borderId="0" xfId="0" applyFont="1" applyFill="1" applyProtection="1"/>
    <xf numFmtId="0" fontId="6" fillId="15" borderId="0" xfId="0" applyFont="1" applyFill="1" applyProtection="1"/>
    <xf numFmtId="0" fontId="9" fillId="15" borderId="0" xfId="0" applyFont="1" applyFill="1" applyAlignment="1" applyProtection="1">
      <alignment horizontal="right"/>
    </xf>
    <xf numFmtId="0" fontId="9" fillId="15" borderId="27" xfId="0" applyFont="1" applyFill="1" applyBorder="1" applyProtection="1"/>
    <xf numFmtId="0" fontId="9" fillId="15" borderId="23" xfId="0" applyFont="1" applyFill="1" applyBorder="1" applyAlignment="1" applyProtection="1">
      <alignment vertical="center"/>
    </xf>
    <xf numFmtId="0" fontId="3" fillId="15" borderId="23" xfId="0" applyFont="1" applyFill="1" applyBorder="1" applyAlignment="1" applyProtection="1">
      <alignment vertical="center"/>
    </xf>
    <xf numFmtId="0" fontId="9" fillId="15" borderId="23" xfId="0" applyFont="1" applyFill="1" applyBorder="1" applyAlignment="1" applyProtection="1">
      <alignment horizontal="center" vertical="center"/>
    </xf>
    <xf numFmtId="0" fontId="9" fillId="15" borderId="23" xfId="0" applyFont="1" applyFill="1" applyBorder="1" applyProtection="1"/>
    <xf numFmtId="0" fontId="9" fillId="15" borderId="15" xfId="0" applyFont="1" applyFill="1" applyBorder="1" applyProtection="1"/>
    <xf numFmtId="0" fontId="9" fillId="15" borderId="24" xfId="0" applyFont="1" applyFill="1" applyBorder="1" applyProtection="1"/>
    <xf numFmtId="0" fontId="6" fillId="15" borderId="0" xfId="0" applyFont="1" applyFill="1" applyAlignment="1" applyProtection="1">
      <alignment vertical="center"/>
    </xf>
    <xf numFmtId="0" fontId="9" fillId="15" borderId="0" xfId="0" applyFont="1" applyFill="1" applyAlignment="1" applyProtection="1">
      <alignment vertical="center"/>
    </xf>
    <xf numFmtId="0" fontId="9" fillId="15" borderId="0" xfId="0" applyFont="1" applyFill="1" applyAlignment="1" applyProtection="1">
      <alignment horizontal="center" vertical="center"/>
    </xf>
    <xf numFmtId="0" fontId="9" fillId="15" borderId="26" xfId="0" applyFont="1" applyFill="1" applyBorder="1" applyProtection="1"/>
    <xf numFmtId="0" fontId="35" fillId="15" borderId="0" xfId="0" applyFont="1" applyFill="1" applyAlignment="1" applyProtection="1">
      <alignment vertical="center"/>
    </xf>
    <xf numFmtId="0" fontId="35" fillId="15" borderId="0" xfId="0" applyFont="1" applyFill="1" applyAlignment="1" applyProtection="1">
      <alignment horizontal="center" vertical="center"/>
    </xf>
    <xf numFmtId="0" fontId="9" fillId="15" borderId="16" xfId="0" applyFont="1" applyFill="1" applyBorder="1" applyProtection="1"/>
    <xf numFmtId="0" fontId="35" fillId="15" borderId="22" xfId="0" applyFont="1" applyFill="1" applyBorder="1" applyAlignment="1" applyProtection="1">
      <alignment vertical="center"/>
    </xf>
    <xf numFmtId="0" fontId="35" fillId="15" borderId="22" xfId="0" applyFont="1" applyFill="1" applyBorder="1" applyAlignment="1" applyProtection="1">
      <alignment horizontal="center" vertical="center"/>
    </xf>
    <xf numFmtId="0" fontId="9" fillId="15" borderId="22" xfId="0" applyFont="1" applyFill="1" applyBorder="1" applyProtection="1"/>
    <xf numFmtId="0" fontId="9" fillId="15" borderId="17" xfId="0" applyFont="1" applyFill="1" applyBorder="1" applyProtection="1"/>
    <xf numFmtId="0" fontId="9" fillId="15" borderId="27" xfId="0" applyFont="1" applyFill="1" applyBorder="1" applyAlignment="1" applyProtection="1">
      <alignment vertical="center"/>
    </xf>
    <xf numFmtId="0" fontId="9" fillId="15" borderId="15" xfId="0" applyFont="1" applyFill="1" applyBorder="1" applyAlignment="1" applyProtection="1">
      <alignment vertical="center"/>
    </xf>
    <xf numFmtId="0" fontId="9" fillId="15" borderId="24" xfId="0" applyFont="1" applyFill="1" applyBorder="1" applyAlignment="1" applyProtection="1">
      <alignment vertical="center"/>
    </xf>
    <xf numFmtId="0" fontId="9" fillId="15" borderId="26" xfId="0" applyFont="1" applyFill="1" applyBorder="1" applyAlignment="1" applyProtection="1">
      <alignment vertical="center"/>
    </xf>
    <xf numFmtId="0" fontId="11" fillId="15" borderId="0" xfId="0" applyFont="1" applyFill="1" applyAlignment="1" applyProtection="1">
      <alignment vertical="center"/>
    </xf>
    <xf numFmtId="0" fontId="52" fillId="15" borderId="0" xfId="0" applyFont="1" applyFill="1" applyAlignment="1" applyProtection="1">
      <alignment vertical="center"/>
    </xf>
    <xf numFmtId="0" fontId="9" fillId="15" borderId="16" xfId="0" applyFont="1" applyFill="1" applyBorder="1" applyAlignment="1" applyProtection="1">
      <alignment vertical="center"/>
    </xf>
    <xf numFmtId="0" fontId="9" fillId="15" borderId="22" xfId="0" applyFont="1" applyFill="1" applyBorder="1" applyAlignment="1" applyProtection="1">
      <alignment vertical="center"/>
    </xf>
    <xf numFmtId="0" fontId="9" fillId="15" borderId="17" xfId="0" applyFont="1" applyFill="1" applyBorder="1" applyAlignment="1" applyProtection="1">
      <alignment vertical="center"/>
    </xf>
    <xf numFmtId="0" fontId="9" fillId="9" borderId="27" xfId="0" applyFont="1" applyFill="1" applyBorder="1" applyAlignment="1" applyProtection="1">
      <alignment vertical="center"/>
    </xf>
    <xf numFmtId="0" fontId="9" fillId="9" borderId="15" xfId="0" applyFont="1" applyFill="1" applyBorder="1" applyAlignment="1" applyProtection="1">
      <alignment vertical="center"/>
    </xf>
    <xf numFmtId="0" fontId="9" fillId="9" borderId="24" xfId="0" applyFont="1" applyFill="1" applyBorder="1" applyAlignment="1" applyProtection="1">
      <alignment vertical="center"/>
    </xf>
    <xf numFmtId="0" fontId="9" fillId="9" borderId="26" xfId="0" applyFont="1" applyFill="1" applyBorder="1" applyAlignment="1" applyProtection="1">
      <alignment vertical="center"/>
    </xf>
    <xf numFmtId="0" fontId="9" fillId="9" borderId="16" xfId="0" applyFont="1" applyFill="1" applyBorder="1" applyAlignment="1" applyProtection="1">
      <alignment vertical="center"/>
    </xf>
    <xf numFmtId="0" fontId="9" fillId="9" borderId="22" xfId="0" applyFont="1" applyFill="1" applyBorder="1" applyAlignment="1" applyProtection="1">
      <alignment vertical="center"/>
    </xf>
    <xf numFmtId="0" fontId="9" fillId="9" borderId="17" xfId="0" applyFont="1" applyFill="1" applyBorder="1" applyAlignment="1" applyProtection="1">
      <alignment vertical="center"/>
    </xf>
    <xf numFmtId="0" fontId="9" fillId="22" borderId="0" xfId="0" applyFont="1" applyFill="1" applyAlignment="1" applyProtection="1">
      <alignment vertical="center"/>
    </xf>
    <xf numFmtId="0" fontId="3" fillId="15" borderId="0" xfId="0" applyFont="1" applyFill="1" applyAlignment="1" applyProtection="1">
      <alignment vertical="center"/>
    </xf>
    <xf numFmtId="0" fontId="9" fillId="21" borderId="26" xfId="0" applyFont="1" applyFill="1" applyBorder="1" applyAlignment="1" applyProtection="1">
      <alignment vertical="center"/>
    </xf>
    <xf numFmtId="0" fontId="52" fillId="15" borderId="0" xfId="0" applyFont="1" applyFill="1" applyProtection="1"/>
    <xf numFmtId="0" fontId="17" fillId="15" borderId="0" xfId="0" applyFont="1" applyFill="1" applyProtection="1"/>
    <xf numFmtId="49" fontId="8" fillId="15" borderId="0" xfId="0" applyNumberFormat="1" applyFont="1" applyFill="1" applyAlignment="1" applyProtection="1">
      <alignment horizontal="left"/>
    </xf>
    <xf numFmtId="0" fontId="9" fillId="15" borderId="0" xfId="0" applyFont="1" applyFill="1" applyAlignment="1" applyProtection="1">
      <alignment vertical="center" wrapText="1"/>
    </xf>
    <xf numFmtId="0" fontId="0" fillId="10" borderId="27" xfId="0" applyFont="1" applyFill="1" applyBorder="1" applyProtection="1"/>
    <xf numFmtId="0" fontId="0" fillId="10" borderId="23" xfId="0" applyFont="1" applyFill="1" applyBorder="1" applyProtection="1"/>
    <xf numFmtId="0" fontId="0" fillId="10" borderId="15" xfId="0" applyFont="1" applyFill="1" applyBorder="1" applyProtection="1"/>
    <xf numFmtId="0" fontId="0" fillId="10" borderId="24" xfId="0" applyFont="1" applyFill="1" applyBorder="1" applyProtection="1"/>
    <xf numFmtId="0" fontId="0" fillId="10" borderId="26" xfId="0" applyFont="1" applyFill="1" applyBorder="1" applyProtection="1"/>
    <xf numFmtId="0" fontId="0" fillId="10" borderId="0" xfId="0" applyFont="1" applyFill="1" applyBorder="1" applyProtection="1"/>
    <xf numFmtId="0" fontId="35" fillId="9" borderId="0" xfId="0" applyFont="1" applyFill="1" applyAlignment="1">
      <alignment horizontal="center" vertical="center"/>
    </xf>
    <xf numFmtId="0" fontId="55" fillId="9" borderId="0" xfId="0" applyFont="1" applyFill="1" applyAlignment="1">
      <alignment horizontal="center" vertical="center"/>
    </xf>
    <xf numFmtId="0" fontId="35" fillId="10" borderId="0" xfId="1" applyNumberFormat="1" applyFont="1" applyFill="1" applyBorder="1" applyAlignment="1" applyProtection="1">
      <alignment horizontal="right" vertical="center"/>
    </xf>
    <xf numFmtId="0" fontId="42" fillId="9" borderId="0" xfId="0" applyFont="1" applyFill="1"/>
    <xf numFmtId="0" fontId="55" fillId="9" borderId="0" xfId="0" applyFont="1" applyFill="1" applyAlignment="1">
      <alignment vertical="center"/>
    </xf>
    <xf numFmtId="0" fontId="9" fillId="12" borderId="0" xfId="0" quotePrefix="1" applyFont="1" applyFill="1" applyAlignment="1" applyProtection="1">
      <alignment horizontal="left" shrinkToFit="1"/>
    </xf>
    <xf numFmtId="0" fontId="6" fillId="0" borderId="7" xfId="0" applyFont="1" applyFill="1" applyBorder="1" applyAlignment="1" applyProtection="1">
      <alignment horizontal="center"/>
    </xf>
    <xf numFmtId="1" fontId="9" fillId="10" borderId="0" xfId="0" applyNumberFormat="1" applyFont="1" applyFill="1" applyBorder="1" applyAlignment="1" applyProtection="1">
      <alignment horizontal="right"/>
    </xf>
    <xf numFmtId="1" fontId="9" fillId="10" borderId="11" xfId="0" applyNumberFormat="1" applyFont="1" applyFill="1" applyBorder="1" applyAlignment="1" applyProtection="1">
      <alignment horizontal="right"/>
    </xf>
    <xf numFmtId="0" fontId="6" fillId="0" borderId="0" xfId="0" applyFont="1" applyFill="1" applyBorder="1" applyAlignment="1" applyProtection="1">
      <alignment horizontal="center"/>
    </xf>
    <xf numFmtId="0" fontId="9" fillId="14" borderId="8" xfId="0" applyFont="1" applyFill="1" applyBorder="1" applyAlignment="1" applyProtection="1">
      <alignment horizontal="right"/>
    </xf>
    <xf numFmtId="0" fontId="9" fillId="14" borderId="11" xfId="0" applyFont="1" applyFill="1" applyBorder="1" applyAlignment="1" applyProtection="1">
      <alignment horizontal="right"/>
    </xf>
    <xf numFmtId="0" fontId="35" fillId="12" borderId="0" xfId="0" applyFont="1" applyFill="1" applyBorder="1" applyAlignment="1" applyProtection="1">
      <alignment horizontal="center" vertical="center"/>
      <protection locked="0"/>
    </xf>
    <xf numFmtId="0" fontId="35" fillId="9" borderId="0" xfId="0" applyFont="1" applyFill="1" applyBorder="1" applyAlignment="1">
      <alignment horizontal="left" vertical="top" wrapText="1"/>
    </xf>
    <xf numFmtId="0" fontId="35" fillId="15" borderId="0" xfId="0" applyFont="1" applyFill="1" applyAlignment="1">
      <alignment horizontal="left" vertical="center"/>
    </xf>
    <xf numFmtId="14" fontId="35" fillId="12" borderId="0" xfId="0" applyNumberFormat="1" applyFont="1" applyFill="1" applyBorder="1" applyAlignment="1" applyProtection="1">
      <alignment horizontal="center" vertical="center"/>
      <protection locked="0"/>
    </xf>
    <xf numFmtId="0" fontId="35" fillId="9" borderId="0" xfId="0" applyFont="1" applyFill="1" applyBorder="1"/>
    <xf numFmtId="0" fontId="35" fillId="9" borderId="0" xfId="0" applyFont="1" applyFill="1" applyBorder="1" applyAlignment="1">
      <alignment horizontal="center"/>
    </xf>
    <xf numFmtId="0" fontId="24" fillId="9" borderId="0" xfId="0" applyFont="1" applyFill="1" applyBorder="1"/>
    <xf numFmtId="14" fontId="35" fillId="9" borderId="0" xfId="0" applyNumberFormat="1" applyFont="1" applyFill="1" applyBorder="1" applyAlignment="1">
      <alignment horizontal="center" vertical="center"/>
    </xf>
    <xf numFmtId="0" fontId="9" fillId="9" borderId="0" xfId="0" applyFont="1" applyFill="1" applyBorder="1" applyAlignment="1">
      <alignment horizontal="center" vertical="center"/>
    </xf>
    <xf numFmtId="1" fontId="35" fillId="10" borderId="0" xfId="0" applyNumberFormat="1" applyFont="1" applyFill="1" applyBorder="1" applyAlignment="1">
      <alignment horizontal="left" vertical="center"/>
    </xf>
    <xf numFmtId="1" fontId="35" fillId="12" borderId="0" xfId="0" applyNumberFormat="1" applyFont="1" applyFill="1" applyBorder="1" applyAlignment="1" applyProtection="1">
      <alignment horizontal="left" vertical="center"/>
      <protection locked="0"/>
    </xf>
    <xf numFmtId="14" fontId="35" fillId="10" borderId="0" xfId="0" applyNumberFormat="1" applyFont="1" applyFill="1" applyBorder="1" applyAlignment="1" applyProtection="1">
      <alignment horizontal="left" vertical="center"/>
    </xf>
    <xf numFmtId="0" fontId="35" fillId="9" borderId="0" xfId="0" applyFont="1" applyFill="1" applyBorder="1" applyAlignment="1">
      <alignment vertical="top" wrapText="1"/>
    </xf>
    <xf numFmtId="0" fontId="0" fillId="0" borderId="0" xfId="0" applyBorder="1" applyAlignment="1">
      <alignment vertical="center"/>
    </xf>
    <xf numFmtId="0" fontId="40" fillId="9" borderId="0" xfId="0" applyFont="1" applyFill="1" applyBorder="1" applyAlignment="1">
      <alignment vertical="center"/>
    </xf>
    <xf numFmtId="0" fontId="34" fillId="9" borderId="0" xfId="0" applyFont="1" applyFill="1" applyBorder="1" applyAlignment="1">
      <alignment vertical="center"/>
    </xf>
    <xf numFmtId="0" fontId="24" fillId="9" borderId="0" xfId="0" applyFont="1" applyFill="1" applyBorder="1" applyAlignment="1">
      <alignment vertical="center"/>
    </xf>
    <xf numFmtId="0" fontId="6" fillId="9" borderId="0" xfId="0" applyFont="1" applyFill="1" applyBorder="1"/>
    <xf numFmtId="0" fontId="35" fillId="10" borderId="0" xfId="0" applyFont="1" applyFill="1" applyBorder="1" applyAlignment="1">
      <alignment horizontal="center" vertical="center"/>
    </xf>
    <xf numFmtId="0" fontId="35" fillId="15" borderId="0" xfId="0" applyFont="1" applyFill="1" applyAlignment="1">
      <alignment horizontal="left" vertical="center"/>
    </xf>
    <xf numFmtId="0" fontId="35" fillId="9" borderId="0" xfId="0" applyFont="1" applyFill="1" applyAlignment="1">
      <alignment horizontal="left" vertical="center"/>
    </xf>
    <xf numFmtId="0" fontId="35" fillId="9" borderId="0" xfId="0" applyFont="1" applyFill="1" applyAlignment="1">
      <alignment horizontal="left" vertical="center" indent="2"/>
    </xf>
    <xf numFmtId="0" fontId="35" fillId="9" borderId="0" xfId="0" applyFont="1" applyFill="1" applyAlignment="1">
      <alignment horizontal="left" vertical="center" indent="3"/>
    </xf>
    <xf numFmtId="0" fontId="35" fillId="9" borderId="0" xfId="0" applyFont="1" applyFill="1" applyAlignment="1">
      <alignment horizontal="left" vertical="center" indent="4"/>
    </xf>
    <xf numFmtId="0" fontId="35" fillId="9" borderId="0" xfId="0" applyFont="1" applyFill="1" applyAlignment="1">
      <alignment horizontal="left" vertical="center"/>
    </xf>
    <xf numFmtId="2" fontId="35" fillId="10" borderId="0" xfId="0" applyNumberFormat="1" applyFont="1" applyFill="1" applyBorder="1" applyAlignment="1">
      <alignment horizontal="center" vertical="center"/>
    </xf>
    <xf numFmtId="2" fontId="35" fillId="12" borderId="0" xfId="0" applyNumberFormat="1" applyFont="1" applyFill="1" applyAlignment="1" applyProtection="1">
      <alignment horizontal="center" vertical="center"/>
      <protection locked="0"/>
    </xf>
    <xf numFmtId="0" fontId="35" fillId="9" borderId="0" xfId="0" applyFont="1" applyFill="1" applyAlignment="1" applyProtection="1">
      <alignment horizontal="right" vertical="top" wrapText="1"/>
    </xf>
    <xf numFmtId="0" fontId="55" fillId="9" borderId="0" xfId="0" applyFont="1" applyFill="1" applyAlignment="1">
      <alignment horizontal="center" vertical="center"/>
    </xf>
    <xf numFmtId="0" fontId="6" fillId="9" borderId="0" xfId="0" applyFont="1" applyFill="1" applyBorder="1" applyAlignment="1">
      <alignment horizontal="left" vertical="center"/>
    </xf>
    <xf numFmtId="0" fontId="35" fillId="9" borderId="0" xfId="0" applyFont="1" applyFill="1" applyAlignment="1">
      <alignment horizontal="center" vertical="center"/>
    </xf>
    <xf numFmtId="0" fontId="35" fillId="15" borderId="0" xfId="0" applyFont="1" applyFill="1" applyAlignment="1">
      <alignment horizontal="center" vertical="center"/>
    </xf>
    <xf numFmtId="0" fontId="6" fillId="15" borderId="0" xfId="0" applyFont="1" applyFill="1" applyAlignment="1">
      <alignment horizontal="left" vertical="center"/>
    </xf>
    <xf numFmtId="0" fontId="35" fillId="10" borderId="0" xfId="0" applyFont="1" applyFill="1" applyAlignment="1" applyProtection="1">
      <alignment horizontal="left" vertical="center"/>
    </xf>
    <xf numFmtId="0" fontId="35" fillId="9" borderId="0" xfId="0" applyFont="1" applyFill="1" applyBorder="1" applyAlignment="1" applyProtection="1">
      <alignment horizontal="center" vertical="center"/>
    </xf>
    <xf numFmtId="0" fontId="34" fillId="9" borderId="0" xfId="0" applyFont="1" applyFill="1" applyAlignment="1">
      <alignment horizontal="center" vertical="center"/>
    </xf>
    <xf numFmtId="0" fontId="0" fillId="23" borderId="27" xfId="0" applyFill="1" applyBorder="1" applyProtection="1"/>
    <xf numFmtId="0" fontId="0" fillId="23" borderId="23" xfId="0" applyFill="1" applyBorder="1" applyProtection="1"/>
    <xf numFmtId="0" fontId="0" fillId="23" borderId="15" xfId="0" applyFill="1" applyBorder="1" applyProtection="1"/>
    <xf numFmtId="0" fontId="0" fillId="23" borderId="24" xfId="0" applyFill="1" applyBorder="1" applyProtection="1"/>
    <xf numFmtId="0" fontId="0" fillId="23" borderId="26" xfId="0" applyFill="1" applyBorder="1" applyProtection="1"/>
    <xf numFmtId="0" fontId="0" fillId="23" borderId="0" xfId="0" applyFill="1" applyBorder="1" applyProtection="1"/>
    <xf numFmtId="0" fontId="0" fillId="23" borderId="16" xfId="0" applyFill="1" applyBorder="1" applyProtection="1"/>
    <xf numFmtId="0" fontId="0" fillId="23" borderId="22" xfId="0" applyFill="1" applyBorder="1" applyProtection="1"/>
    <xf numFmtId="0" fontId="0" fillId="23" borderId="17" xfId="0" applyFill="1" applyBorder="1" applyProtection="1"/>
    <xf numFmtId="0" fontId="0" fillId="24" borderId="27" xfId="0" applyFill="1" applyBorder="1" applyProtection="1"/>
    <xf numFmtId="0" fontId="0" fillId="24" borderId="23" xfId="0" applyFill="1" applyBorder="1" applyProtection="1"/>
    <xf numFmtId="0" fontId="0" fillId="24" borderId="15" xfId="0" applyFill="1" applyBorder="1" applyProtection="1"/>
    <xf numFmtId="0" fontId="0" fillId="24" borderId="24" xfId="0" applyFill="1" applyBorder="1" applyProtection="1"/>
    <xf numFmtId="0" fontId="0" fillId="24" borderId="26" xfId="0" applyFill="1" applyBorder="1" applyProtection="1"/>
    <xf numFmtId="0" fontId="0" fillId="24" borderId="0" xfId="0" applyFill="1" applyBorder="1" applyProtection="1"/>
    <xf numFmtId="0" fontId="0" fillId="24" borderId="16" xfId="0" applyFill="1" applyBorder="1" applyProtection="1"/>
    <xf numFmtId="0" fontId="0" fillId="24" borderId="22" xfId="0" applyFill="1" applyBorder="1" applyProtection="1"/>
    <xf numFmtId="0" fontId="0" fillId="24" borderId="17" xfId="0" applyFill="1" applyBorder="1" applyProtection="1"/>
    <xf numFmtId="0" fontId="0" fillId="7" borderId="27" xfId="0" applyFill="1" applyBorder="1" applyProtection="1"/>
    <xf numFmtId="0" fontId="0" fillId="7" borderId="23" xfId="0" applyFill="1" applyBorder="1" applyProtection="1"/>
    <xf numFmtId="0" fontId="0" fillId="7" borderId="15" xfId="0" applyFill="1" applyBorder="1" applyProtection="1"/>
    <xf numFmtId="0" fontId="0" fillId="7" borderId="24" xfId="0" applyFill="1" applyBorder="1" applyProtection="1"/>
    <xf numFmtId="0" fontId="0" fillId="7" borderId="26" xfId="0" applyFill="1" applyBorder="1" applyProtection="1"/>
    <xf numFmtId="0" fontId="0" fillId="7" borderId="0" xfId="0" applyFill="1" applyBorder="1" applyProtection="1"/>
    <xf numFmtId="0" fontId="0" fillId="7" borderId="16" xfId="0" applyFill="1" applyBorder="1" applyProtection="1"/>
    <xf numFmtId="0" fontId="0" fillId="7" borderId="22" xfId="0" applyFill="1" applyBorder="1" applyProtection="1"/>
    <xf numFmtId="0" fontId="0" fillId="7" borderId="17" xfId="0" applyFill="1" applyBorder="1" applyProtection="1"/>
    <xf numFmtId="0" fontId="0" fillId="12" borderId="27" xfId="0" applyFill="1" applyBorder="1" applyProtection="1"/>
    <xf numFmtId="0" fontId="0" fillId="12" borderId="23" xfId="0" applyFill="1" applyBorder="1" applyProtection="1"/>
    <xf numFmtId="0" fontId="0" fillId="12" borderId="15" xfId="0" applyFill="1" applyBorder="1" applyProtection="1"/>
    <xf numFmtId="0" fontId="0" fillId="12" borderId="24" xfId="0" applyFill="1" applyBorder="1" applyProtection="1"/>
    <xf numFmtId="0" fontId="0" fillId="12" borderId="26" xfId="0" applyFill="1" applyBorder="1" applyProtection="1"/>
    <xf numFmtId="0" fontId="0" fillId="12" borderId="0" xfId="0" applyFill="1" applyBorder="1" applyProtection="1"/>
    <xf numFmtId="0" fontId="0" fillId="12" borderId="16" xfId="0" applyFill="1" applyBorder="1" applyProtection="1"/>
    <xf numFmtId="0" fontId="0" fillId="12" borderId="22" xfId="0" applyFill="1" applyBorder="1" applyProtection="1"/>
    <xf numFmtId="0" fontId="0" fillId="12" borderId="17" xfId="0" applyFill="1" applyBorder="1" applyProtection="1"/>
    <xf numFmtId="0" fontId="35" fillId="9" borderId="0" xfId="0" applyFont="1" applyFill="1" applyBorder="1" applyProtection="1"/>
    <xf numFmtId="0" fontId="35" fillId="9" borderId="0" xfId="0" applyFont="1" applyFill="1" applyBorder="1" applyAlignment="1" applyProtection="1">
      <alignment horizontal="center"/>
    </xf>
    <xf numFmtId="0" fontId="4" fillId="9" borderId="0" xfId="0" applyFont="1" applyFill="1" applyBorder="1" applyAlignment="1" applyProtection="1">
      <alignment horizontal="left" vertical="top" wrapText="1"/>
    </xf>
    <xf numFmtId="40" fontId="35" fillId="10" borderId="0" xfId="1" applyFont="1" applyFill="1" applyAlignment="1" applyProtection="1">
      <alignment vertical="center"/>
    </xf>
    <xf numFmtId="14" fontId="35" fillId="12" borderId="0" xfId="0" applyNumberFormat="1" applyFont="1" applyFill="1" applyBorder="1" applyAlignment="1" applyProtection="1">
      <alignment horizontal="left" vertical="center"/>
      <protection locked="0"/>
    </xf>
    <xf numFmtId="0" fontId="45" fillId="9" borderId="0" xfId="0" applyFont="1" applyFill="1" applyBorder="1" applyAlignment="1">
      <alignment horizontal="left" vertical="top" wrapText="1"/>
    </xf>
    <xf numFmtId="1" fontId="35" fillId="10" borderId="0" xfId="0" applyNumberFormat="1" applyFont="1" applyFill="1" applyAlignment="1" applyProtection="1">
      <alignment horizontal="left" vertical="center"/>
    </xf>
    <xf numFmtId="0" fontId="35" fillId="9" borderId="0" xfId="0" applyFont="1" applyFill="1" applyAlignment="1">
      <alignment horizontal="center" vertical="center"/>
    </xf>
    <xf numFmtId="0" fontId="35" fillId="9" borderId="0" xfId="0" applyFont="1" applyFill="1" applyBorder="1" applyAlignment="1">
      <alignment horizontal="left" vertical="center"/>
    </xf>
    <xf numFmtId="0" fontId="35" fillId="10" borderId="0" xfId="0" applyFont="1" applyFill="1" applyAlignment="1">
      <alignment vertical="center"/>
    </xf>
    <xf numFmtId="0" fontId="35" fillId="15" borderId="0" xfId="0" applyFont="1" applyFill="1" applyAlignment="1">
      <alignment horizontal="center" vertical="center"/>
    </xf>
    <xf numFmtId="0" fontId="35" fillId="15" borderId="0" xfId="0" applyFont="1" applyFill="1" applyAlignment="1">
      <alignment horizontal="left" vertical="center"/>
    </xf>
    <xf numFmtId="0" fontId="35" fillId="9" borderId="0" xfId="0" applyFont="1" applyFill="1" applyBorder="1" applyAlignment="1">
      <alignment horizontal="left" vertical="center" wrapText="1"/>
    </xf>
    <xf numFmtId="0" fontId="35" fillId="9" borderId="0" xfId="0" applyFont="1" applyFill="1" applyBorder="1" applyAlignment="1" applyProtection="1">
      <alignment horizontal="left" vertical="center"/>
    </xf>
    <xf numFmtId="38" fontId="35" fillId="10" borderId="0" xfId="1" applyNumberFormat="1" applyFont="1" applyFill="1" applyAlignment="1" applyProtection="1">
      <alignment vertical="center"/>
    </xf>
    <xf numFmtId="38" fontId="35" fillId="9" borderId="0" xfId="0" applyNumberFormat="1" applyFont="1" applyFill="1" applyBorder="1" applyAlignment="1" applyProtection="1">
      <alignment vertical="center"/>
    </xf>
    <xf numFmtId="0" fontId="9" fillId="9" borderId="13" xfId="0" applyFont="1" applyFill="1" applyBorder="1" applyAlignment="1" applyProtection="1">
      <alignment horizontal="center"/>
    </xf>
    <xf numFmtId="0" fontId="6" fillId="9" borderId="12" xfId="0" applyFont="1" applyFill="1" applyBorder="1" applyAlignment="1" applyProtection="1">
      <alignment horizontal="left"/>
    </xf>
    <xf numFmtId="0" fontId="6" fillId="9" borderId="13" xfId="0" applyFont="1" applyFill="1" applyBorder="1" applyAlignment="1" applyProtection="1">
      <alignment horizontal="center"/>
    </xf>
    <xf numFmtId="0" fontId="6" fillId="9" borderId="13" xfId="0" applyFont="1" applyFill="1" applyBorder="1" applyProtection="1"/>
    <xf numFmtId="40" fontId="35" fillId="10" borderId="0" xfId="1" applyNumberFormat="1" applyFont="1" applyFill="1" applyAlignment="1" applyProtection="1">
      <alignment vertical="center"/>
    </xf>
    <xf numFmtId="10" fontId="34" fillId="10" borderId="0" xfId="5" applyNumberFormat="1" applyFont="1" applyFill="1" applyAlignment="1" applyProtection="1">
      <alignment vertical="center"/>
    </xf>
    <xf numFmtId="0" fontId="35" fillId="9" borderId="0" xfId="0" applyFont="1" applyFill="1" applyAlignment="1">
      <alignment horizontal="left" vertical="center" indent="1"/>
    </xf>
    <xf numFmtId="0" fontId="35" fillId="15" borderId="0" xfId="0" applyFont="1" applyFill="1" applyAlignment="1">
      <alignment horizontal="center" vertical="center"/>
    </xf>
    <xf numFmtId="14" fontId="0" fillId="9" borderId="0" xfId="0" applyNumberFormat="1" applyFont="1" applyFill="1"/>
    <xf numFmtId="0" fontId="0" fillId="9" borderId="0" xfId="0" applyFont="1" applyFill="1" applyAlignment="1">
      <alignment horizontal="center"/>
    </xf>
    <xf numFmtId="0" fontId="1" fillId="9" borderId="0" xfId="0" applyFont="1" applyFill="1" applyAlignment="1">
      <alignment horizontal="center" vertical="center" wrapText="1"/>
    </xf>
    <xf numFmtId="0" fontId="1" fillId="9" borderId="0" xfId="0" applyFont="1" applyFill="1" applyAlignment="1">
      <alignment horizontal="right"/>
    </xf>
    <xf numFmtId="0" fontId="0" fillId="9" borderId="16" xfId="0" applyFont="1" applyFill="1" applyBorder="1"/>
    <xf numFmtId="0" fontId="35" fillId="15" borderId="0" xfId="0" applyFont="1" applyFill="1" applyAlignment="1">
      <alignment vertical="center" wrapText="1"/>
    </xf>
    <xf numFmtId="0" fontId="35" fillId="15" borderId="0" xfId="0" applyFont="1" applyFill="1" applyAlignment="1">
      <alignment horizontal="right" vertical="center" wrapText="1"/>
    </xf>
    <xf numFmtId="0" fontId="35" fillId="9" borderId="0" xfId="0" applyFont="1" applyFill="1" applyBorder="1" applyAlignment="1" applyProtection="1">
      <alignment horizontal="left" vertical="center"/>
      <protection hidden="1"/>
    </xf>
    <xf numFmtId="10" fontId="35" fillId="10" borderId="0" xfId="5" applyNumberFormat="1" applyFont="1" applyFill="1" applyBorder="1" applyAlignment="1">
      <alignment horizontal="center" vertical="center"/>
    </xf>
    <xf numFmtId="0" fontId="35" fillId="15" borderId="0" xfId="0" applyFont="1" applyFill="1" applyAlignment="1">
      <alignment horizontal="right" vertical="center"/>
    </xf>
    <xf numFmtId="0" fontId="24" fillId="15" borderId="0" xfId="0" applyFont="1" applyFill="1"/>
    <xf numFmtId="0" fontId="45" fillId="9" borderId="0" xfId="0" applyFont="1" applyFill="1" applyAlignment="1">
      <alignment horizontal="left" vertical="top" indent="1"/>
    </xf>
    <xf numFmtId="0" fontId="6" fillId="9" borderId="0" xfId="0" applyFont="1" applyFill="1" applyBorder="1" applyAlignment="1" applyProtection="1">
      <alignment horizontal="center"/>
    </xf>
    <xf numFmtId="0" fontId="9" fillId="9" borderId="0" xfId="0" applyFont="1" applyFill="1" applyBorder="1" applyAlignment="1" applyProtection="1">
      <alignment horizontal="center"/>
    </xf>
    <xf numFmtId="0" fontId="0" fillId="9" borderId="23" xfId="0" applyFont="1" applyFill="1" applyBorder="1"/>
    <xf numFmtId="0" fontId="0" fillId="9" borderId="0" xfId="0" applyFont="1" applyFill="1" applyBorder="1"/>
    <xf numFmtId="0" fontId="0" fillId="9" borderId="22" xfId="0" applyFont="1" applyFill="1" applyBorder="1"/>
    <xf numFmtId="14" fontId="0" fillId="10" borderId="0" xfId="0" applyNumberFormat="1" applyFont="1" applyFill="1"/>
    <xf numFmtId="0" fontId="0" fillId="10" borderId="0" xfId="0" applyFont="1" applyFill="1" applyAlignment="1">
      <alignment horizontal="center"/>
    </xf>
    <xf numFmtId="0" fontId="0" fillId="10" borderId="0" xfId="0" applyFont="1" applyFill="1"/>
    <xf numFmtId="14" fontId="0" fillId="10" borderId="0" xfId="0" applyNumberFormat="1" applyFont="1" applyFill="1" applyAlignment="1">
      <alignment horizontal="right" vertical="center" wrapText="1"/>
    </xf>
    <xf numFmtId="0" fontId="1" fillId="9" borderId="24" xfId="0" applyFont="1" applyFill="1" applyBorder="1" applyAlignment="1">
      <alignment horizontal="left" vertical="center" indent="1"/>
    </xf>
    <xf numFmtId="0" fontId="0" fillId="9" borderId="24" xfId="0" applyFont="1" applyFill="1" applyBorder="1" applyAlignment="1">
      <alignment horizontal="left" indent="1"/>
    </xf>
    <xf numFmtId="0" fontId="0" fillId="9" borderId="0" xfId="0" applyFont="1" applyFill="1" applyAlignment="1">
      <alignment horizontal="right"/>
    </xf>
    <xf numFmtId="0" fontId="0" fillId="9" borderId="15" xfId="0" applyFont="1" applyFill="1" applyBorder="1" applyAlignment="1">
      <alignment horizontal="right"/>
    </xf>
    <xf numFmtId="0" fontId="0" fillId="9" borderId="26" xfId="0" applyFont="1" applyFill="1" applyBorder="1" applyAlignment="1">
      <alignment horizontal="right"/>
    </xf>
    <xf numFmtId="2" fontId="0" fillId="9" borderId="26" xfId="1" applyNumberFormat="1" applyFont="1" applyFill="1" applyBorder="1" applyAlignment="1">
      <alignment horizontal="right" indent="2"/>
    </xf>
    <xf numFmtId="2" fontId="0" fillId="9" borderId="26" xfId="0" applyNumberFormat="1" applyFont="1" applyFill="1" applyBorder="1" applyAlignment="1">
      <alignment horizontal="right" indent="2"/>
    </xf>
    <xf numFmtId="0" fontId="0" fillId="9" borderId="17" xfId="0" applyFont="1" applyFill="1" applyBorder="1" applyAlignment="1">
      <alignment horizontal="right"/>
    </xf>
    <xf numFmtId="0" fontId="9" fillId="9" borderId="0" xfId="0" applyFont="1" applyFill="1" applyAlignment="1" applyProtection="1">
      <alignment horizontal="right"/>
    </xf>
    <xf numFmtId="0" fontId="35" fillId="9" borderId="0" xfId="0" applyFont="1" applyFill="1" applyAlignment="1">
      <alignment horizontal="left" wrapText="1"/>
    </xf>
    <xf numFmtId="0" fontId="35" fillId="9" borderId="0" xfId="0" applyFont="1" applyFill="1" applyAlignment="1">
      <alignment horizontal="left" vertical="center" indent="2"/>
    </xf>
    <xf numFmtId="0" fontId="35" fillId="9" borderId="0" xfId="0" applyFont="1" applyFill="1" applyAlignment="1">
      <alignment horizontal="center" vertical="center"/>
    </xf>
    <xf numFmtId="0" fontId="35" fillId="9" borderId="0" xfId="0" applyFont="1" applyFill="1" applyAlignment="1">
      <alignment horizontal="left" vertical="center" indent="4"/>
    </xf>
    <xf numFmtId="0" fontId="35" fillId="9" borderId="0" xfId="0" applyFont="1" applyFill="1" applyAlignment="1">
      <alignment horizontal="left" vertical="center" indent="1"/>
    </xf>
    <xf numFmtId="0" fontId="35" fillId="9" borderId="0" xfId="0" applyFont="1" applyFill="1" applyAlignment="1">
      <alignment horizontal="left" vertical="center"/>
    </xf>
    <xf numFmtId="0" fontId="35" fillId="15" borderId="0" xfId="0" applyFont="1" applyFill="1" applyAlignment="1">
      <alignment horizontal="left" vertical="center"/>
    </xf>
    <xf numFmtId="0" fontId="35" fillId="9" borderId="0" xfId="0" applyFont="1" applyFill="1" applyBorder="1" applyAlignment="1">
      <alignment horizontal="left" vertical="center" wrapText="1"/>
    </xf>
    <xf numFmtId="0" fontId="0" fillId="9" borderId="0" xfId="0" applyFill="1" applyBorder="1" applyAlignment="1" applyProtection="1">
      <alignment horizontal="left" indent="1"/>
    </xf>
    <xf numFmtId="0" fontId="0" fillId="9" borderId="27" xfId="0" applyFont="1" applyFill="1" applyBorder="1"/>
    <xf numFmtId="0" fontId="35" fillId="15" borderId="0" xfId="0" applyFont="1" applyFill="1" applyAlignment="1">
      <alignment horizontal="center" vertical="center"/>
    </xf>
    <xf numFmtId="0" fontId="50" fillId="9" borderId="0" xfId="6" applyFont="1" applyFill="1" applyBorder="1" applyAlignment="1" applyProtection="1">
      <alignment vertical="center"/>
    </xf>
    <xf numFmtId="0" fontId="24" fillId="9" borderId="0" xfId="0" applyFont="1" applyFill="1" applyAlignment="1">
      <alignment horizontal="left" vertical="center"/>
    </xf>
    <xf numFmtId="2" fontId="6" fillId="0" borderId="0" xfId="3" applyNumberFormat="1" applyFont="1" applyAlignment="1">
      <alignment horizontal="left"/>
    </xf>
    <xf numFmtId="0" fontId="35" fillId="15" borderId="0" xfId="0" applyFont="1" applyFill="1" applyAlignment="1">
      <alignment horizontal="left"/>
    </xf>
    <xf numFmtId="0" fontId="57" fillId="10" borderId="0" xfId="6" applyFont="1" applyFill="1" applyBorder="1" applyAlignment="1" applyProtection="1">
      <alignment vertical="center" wrapText="1"/>
    </xf>
    <xf numFmtId="0" fontId="35" fillId="0" borderId="0" xfId="0" applyFont="1" applyAlignment="1">
      <alignment horizontal="left" vertical="center" indent="1"/>
    </xf>
    <xf numFmtId="0" fontId="35" fillId="0" borderId="0" xfId="0" applyFont="1" applyAlignment="1">
      <alignment horizontal="left" vertical="center" indent="5"/>
    </xf>
    <xf numFmtId="0" fontId="35" fillId="0" borderId="0" xfId="0" applyFont="1" applyAlignment="1">
      <alignment horizontal="left" vertical="center" indent="6"/>
    </xf>
    <xf numFmtId="0" fontId="35" fillId="9" borderId="0" xfId="0" applyFont="1" applyFill="1" applyAlignment="1">
      <alignment horizontal="left" vertical="center" indent="6"/>
    </xf>
    <xf numFmtId="0" fontId="34" fillId="9" borderId="0" xfId="0" applyFont="1" applyFill="1" applyAlignment="1">
      <alignment horizontal="left" vertical="center" indent="3"/>
    </xf>
    <xf numFmtId="0" fontId="34" fillId="9" borderId="0" xfId="0" applyFont="1" applyFill="1" applyAlignment="1">
      <alignment horizontal="left" vertical="center" indent="5"/>
    </xf>
    <xf numFmtId="0" fontId="41" fillId="9" borderId="0" xfId="0" applyFont="1" applyFill="1" applyAlignment="1">
      <alignment horizontal="left" vertical="center" indent="2"/>
    </xf>
    <xf numFmtId="0" fontId="41" fillId="9" borderId="0" xfId="0" applyFont="1" applyFill="1" applyAlignment="1">
      <alignment horizontal="left" vertical="center" indent="3"/>
    </xf>
    <xf numFmtId="0" fontId="41" fillId="9" borderId="0" xfId="0" applyFont="1" applyFill="1" applyAlignment="1">
      <alignment horizontal="left" vertical="center" indent="5"/>
    </xf>
    <xf numFmtId="0" fontId="35" fillId="9" borderId="0" xfId="0" applyFont="1" applyFill="1" applyAlignment="1">
      <alignment horizontal="left" vertical="center" indent="7"/>
    </xf>
    <xf numFmtId="0" fontId="35" fillId="15" borderId="0" xfId="0" applyFont="1" applyFill="1" applyAlignment="1">
      <alignment horizontal="left" indent="1"/>
    </xf>
    <xf numFmtId="0" fontId="35" fillId="15" borderId="24" xfId="0" applyFont="1" applyFill="1" applyBorder="1" applyAlignment="1">
      <alignment horizontal="left" indent="1"/>
    </xf>
    <xf numFmtId="0" fontId="35" fillId="15" borderId="24" xfId="0" applyFont="1" applyFill="1" applyBorder="1" applyAlignment="1">
      <alignment horizontal="left" vertical="center" indent="1"/>
    </xf>
    <xf numFmtId="0" fontId="11" fillId="9" borderId="0" xfId="0" applyFont="1" applyFill="1" applyAlignment="1">
      <alignment horizontal="left" vertical="top"/>
    </xf>
    <xf numFmtId="0" fontId="35" fillId="9" borderId="0" xfId="0" applyFont="1" applyFill="1" applyBorder="1" applyAlignment="1">
      <alignment horizontal="left" vertical="center" indent="1"/>
    </xf>
    <xf numFmtId="0" fontId="35" fillId="9" borderId="24" xfId="0" applyFont="1" applyFill="1" applyBorder="1" applyAlignment="1">
      <alignment horizontal="left" vertical="center" indent="2"/>
    </xf>
    <xf numFmtId="0" fontId="24" fillId="9" borderId="24" xfId="0" applyFont="1" applyFill="1" applyBorder="1" applyAlignment="1">
      <alignment horizontal="left" vertical="top" indent="2"/>
    </xf>
    <xf numFmtId="0" fontId="24" fillId="9" borderId="0" xfId="0" applyFont="1" applyFill="1" applyBorder="1" applyAlignment="1">
      <alignment horizontal="left" vertical="center" wrapText="1"/>
    </xf>
    <xf numFmtId="0" fontId="35" fillId="9" borderId="24" xfId="0" applyFont="1" applyFill="1" applyBorder="1" applyAlignment="1">
      <alignment horizontal="left" indent="2"/>
    </xf>
    <xf numFmtId="0" fontId="45" fillId="9" borderId="0" xfId="0" applyFont="1" applyFill="1" applyBorder="1" applyAlignment="1">
      <alignment horizontal="left" vertical="center" indent="3"/>
    </xf>
    <xf numFmtId="0" fontId="24" fillId="15" borderId="0" xfId="0" applyFont="1" applyFill="1" applyAlignment="1">
      <alignment horizontal="left" vertical="center" indent="2"/>
    </xf>
    <xf numFmtId="0" fontId="35" fillId="15" borderId="24" xfId="0" applyFont="1" applyFill="1" applyBorder="1" applyAlignment="1">
      <alignment horizontal="left" vertical="center" indent="2"/>
    </xf>
    <xf numFmtId="0" fontId="35" fillId="15" borderId="24" xfId="0" applyFont="1" applyFill="1" applyBorder="1" applyAlignment="1">
      <alignment horizontal="left" vertical="center" wrapText="1" indent="2"/>
    </xf>
    <xf numFmtId="0" fontId="24" fillId="15" borderId="24" xfId="0" applyFont="1" applyFill="1" applyBorder="1" applyAlignment="1">
      <alignment horizontal="left" vertical="center" indent="2"/>
    </xf>
    <xf numFmtId="0" fontId="9" fillId="15" borderId="24" xfId="0" applyFont="1" applyFill="1" applyBorder="1" applyAlignment="1">
      <alignment horizontal="left" indent="2"/>
    </xf>
    <xf numFmtId="0" fontId="45" fillId="9" borderId="0" xfId="0" applyFont="1" applyFill="1" applyBorder="1" applyAlignment="1">
      <alignment horizontal="left" vertical="center" indent="4"/>
    </xf>
    <xf numFmtId="0" fontId="0" fillId="9" borderId="0" xfId="0" applyFill="1" applyAlignment="1">
      <alignment horizontal="left" indent="2"/>
    </xf>
    <xf numFmtId="0" fontId="9" fillId="9" borderId="0" xfId="0" applyFont="1" applyFill="1" applyAlignment="1"/>
    <xf numFmtId="0" fontId="41" fillId="9" borderId="0" xfId="0" applyFont="1" applyFill="1" applyAlignment="1">
      <alignment horizontal="left" vertical="center" indent="6"/>
    </xf>
    <xf numFmtId="0" fontId="35" fillId="9" borderId="0" xfId="0" applyFont="1" applyFill="1" applyAlignment="1" applyProtection="1">
      <alignment horizontal="left" vertical="center" indent="1"/>
    </xf>
    <xf numFmtId="0" fontId="35" fillId="9" borderId="0" xfId="0" applyFont="1" applyFill="1" applyBorder="1" applyAlignment="1" applyProtection="1">
      <alignment horizontal="left" vertical="center" indent="1"/>
    </xf>
    <xf numFmtId="0" fontId="35" fillId="9" borderId="0" xfId="0" applyFont="1" applyFill="1" applyBorder="1" applyAlignment="1" applyProtection="1">
      <alignment horizontal="left" indent="1"/>
    </xf>
    <xf numFmtId="0" fontId="35" fillId="9" borderId="0" xfId="0" applyFont="1" applyFill="1" applyAlignment="1" applyProtection="1">
      <alignment horizontal="left" indent="1"/>
    </xf>
    <xf numFmtId="0" fontId="9" fillId="9" borderId="0" xfId="0" applyFont="1" applyFill="1" applyAlignment="1" applyProtection="1">
      <alignment horizontal="left" indent="1"/>
    </xf>
    <xf numFmtId="0" fontId="34" fillId="9" borderId="0" xfId="0" applyFont="1" applyFill="1" applyBorder="1" applyAlignment="1" applyProtection="1">
      <alignment horizontal="left" vertical="center" indent="1"/>
    </xf>
    <xf numFmtId="0" fontId="35" fillId="0" borderId="0" xfId="0" applyFont="1" applyAlignment="1" applyProtection="1">
      <alignment horizontal="left" vertical="center"/>
    </xf>
    <xf numFmtId="0" fontId="35" fillId="15" borderId="0" xfId="0" applyFont="1" applyFill="1" applyAlignment="1" applyProtection="1">
      <alignment horizontal="left" vertical="center" indent="1"/>
    </xf>
    <xf numFmtId="0" fontId="9" fillId="15" borderId="0" xfId="0" applyFont="1" applyFill="1" applyAlignment="1" applyProtection="1">
      <alignment horizontal="left" indent="1"/>
    </xf>
    <xf numFmtId="0" fontId="35" fillId="9" borderId="24" xfId="0" applyFont="1" applyFill="1" applyBorder="1" applyAlignment="1" applyProtection="1">
      <alignment horizontal="left" vertical="center" indent="2"/>
    </xf>
    <xf numFmtId="0" fontId="35" fillId="15" borderId="24" xfId="0" applyFont="1" applyFill="1" applyBorder="1" applyAlignment="1" applyProtection="1">
      <alignment horizontal="left" vertical="center" indent="2"/>
    </xf>
    <xf numFmtId="0" fontId="52" fillId="15" borderId="0" xfId="0" applyFont="1" applyFill="1" applyAlignment="1" applyProtection="1">
      <alignment horizontal="left" vertical="center" indent="2"/>
    </xf>
    <xf numFmtId="0" fontId="9" fillId="15" borderId="0" xfId="0" applyFont="1" applyFill="1" applyAlignment="1" applyProtection="1">
      <alignment horizontal="left" vertical="center" indent="2"/>
    </xf>
    <xf numFmtId="0" fontId="35" fillId="9" borderId="0" xfId="0" applyFont="1" applyFill="1" applyBorder="1" applyAlignment="1">
      <alignment horizontal="left" vertical="top" indent="6"/>
    </xf>
    <xf numFmtId="0" fontId="62" fillId="10" borderId="0" xfId="0" applyFont="1" applyFill="1" applyBorder="1" applyProtection="1"/>
    <xf numFmtId="0" fontId="9" fillId="9" borderId="24" xfId="0" applyFont="1" applyFill="1" applyBorder="1" applyAlignment="1">
      <alignment horizontal="left" vertical="center" indent="2"/>
    </xf>
    <xf numFmtId="0" fontId="35" fillId="9" borderId="0" xfId="0" applyFont="1" applyFill="1" applyBorder="1" applyAlignment="1" applyProtection="1">
      <alignment horizontal="left" vertical="center" wrapText="1" indent="2"/>
      <protection hidden="1"/>
    </xf>
    <xf numFmtId="0" fontId="35" fillId="9" borderId="26" xfId="0" applyFont="1" applyFill="1" applyBorder="1" applyAlignment="1" applyProtection="1">
      <alignment horizontal="left" vertical="center" wrapText="1" indent="2"/>
      <protection hidden="1"/>
    </xf>
    <xf numFmtId="0" fontId="35" fillId="9" borderId="24" xfId="0" applyFont="1" applyFill="1" applyBorder="1" applyAlignment="1" applyProtection="1">
      <alignment horizontal="left" vertical="center" wrapText="1" indent="2"/>
      <protection hidden="1"/>
    </xf>
    <xf numFmtId="0" fontId="35" fillId="9" borderId="0" xfId="0" applyFont="1" applyFill="1" applyBorder="1" applyAlignment="1">
      <alignment horizontal="left" vertical="center"/>
    </xf>
    <xf numFmtId="0" fontId="9" fillId="0" borderId="0" xfId="0" applyFont="1" applyBorder="1" applyAlignment="1" applyProtection="1">
      <alignment shrinkToFit="1"/>
    </xf>
    <xf numFmtId="10" fontId="35" fillId="12" borderId="0" xfId="5" applyNumberFormat="1" applyFont="1" applyFill="1" applyBorder="1" applyAlignment="1" applyProtection="1">
      <alignment horizontal="left" vertical="center"/>
      <protection locked="0"/>
    </xf>
    <xf numFmtId="0" fontId="35" fillId="9" borderId="0" xfId="0" applyFont="1" applyFill="1" applyAlignment="1">
      <alignment horizontal="left" vertical="center" indent="2"/>
    </xf>
    <xf numFmtId="0" fontId="35" fillId="9" borderId="0" xfId="0" applyFont="1" applyFill="1" applyBorder="1" applyAlignment="1">
      <alignment horizontal="center" vertical="center"/>
    </xf>
    <xf numFmtId="0" fontId="35" fillId="9" borderId="0" xfId="0" applyFont="1" applyFill="1" applyAlignment="1">
      <alignment horizontal="center" vertical="center"/>
    </xf>
    <xf numFmtId="49" fontId="35" fillId="12" borderId="0" xfId="0" applyNumberFormat="1" applyFont="1" applyFill="1" applyAlignment="1" applyProtection="1">
      <alignment horizontal="left" vertical="center"/>
      <protection locked="0"/>
    </xf>
    <xf numFmtId="0" fontId="35" fillId="9" borderId="0" xfId="0" applyFont="1" applyFill="1" applyAlignment="1">
      <alignment horizontal="left" vertical="center" indent="1"/>
    </xf>
    <xf numFmtId="0" fontId="35" fillId="15" borderId="0" xfId="0" applyFont="1" applyFill="1" applyAlignment="1">
      <alignment horizontal="left" vertical="center"/>
    </xf>
    <xf numFmtId="0" fontId="24" fillId="9" borderId="0" xfId="0" applyFont="1" applyFill="1" applyBorder="1" applyAlignment="1" applyProtection="1">
      <alignment horizontal="left" vertical="top"/>
    </xf>
    <xf numFmtId="0" fontId="35" fillId="0" borderId="0" xfId="0" applyFont="1" applyAlignment="1">
      <alignment horizontal="left" vertical="center"/>
    </xf>
    <xf numFmtId="0" fontId="35" fillId="15" borderId="0" xfId="0" applyFont="1" applyFill="1" applyAlignment="1">
      <alignment horizontal="left" vertical="center" indent="6"/>
    </xf>
    <xf numFmtId="0" fontId="35" fillId="9" borderId="0" xfId="0" applyFont="1" applyFill="1" applyAlignment="1">
      <alignment horizontal="right" vertical="center"/>
    </xf>
    <xf numFmtId="0" fontId="41" fillId="9" borderId="0" xfId="0" applyFont="1" applyFill="1" applyAlignment="1">
      <alignment horizontal="left" vertical="center" indent="7"/>
    </xf>
    <xf numFmtId="0" fontId="35" fillId="10" borderId="0" xfId="1" applyNumberFormat="1" applyFont="1" applyFill="1" applyAlignment="1">
      <alignment vertical="center"/>
    </xf>
    <xf numFmtId="0" fontId="35" fillId="9" borderId="0" xfId="0" applyFont="1" applyFill="1" applyBorder="1" applyAlignment="1">
      <alignment horizontal="left" vertical="center" indent="2"/>
    </xf>
    <xf numFmtId="0" fontId="9" fillId="9" borderId="0" xfId="0" applyFont="1" applyFill="1" applyBorder="1" applyAlignment="1">
      <alignment horizontal="center"/>
    </xf>
    <xf numFmtId="0" fontId="35" fillId="9" borderId="24" xfId="0" applyFont="1" applyFill="1" applyBorder="1" applyAlignment="1">
      <alignment horizontal="left" vertical="center" indent="1"/>
    </xf>
    <xf numFmtId="0" fontId="24" fillId="9" borderId="24" xfId="0" applyFont="1" applyFill="1" applyBorder="1" applyAlignment="1">
      <alignment horizontal="left" vertical="top" indent="1"/>
    </xf>
    <xf numFmtId="0" fontId="35" fillId="9" borderId="24" xfId="0" applyFont="1" applyFill="1" applyBorder="1" applyAlignment="1">
      <alignment horizontal="left" indent="1"/>
    </xf>
    <xf numFmtId="0" fontId="2" fillId="9" borderId="24" xfId="2" applyFill="1" applyBorder="1" applyAlignment="1">
      <alignment horizontal="left" indent="2"/>
    </xf>
    <xf numFmtId="0" fontId="2" fillId="9" borderId="24" xfId="2" applyFill="1" applyBorder="1" applyAlignment="1">
      <alignment horizontal="left" indent="1"/>
    </xf>
    <xf numFmtId="0" fontId="1" fillId="9" borderId="24" xfId="2" applyFont="1" applyFill="1" applyBorder="1" applyAlignment="1">
      <alignment horizontal="left" indent="2"/>
    </xf>
    <xf numFmtId="0" fontId="2" fillId="9" borderId="24" xfId="2" applyFill="1" applyBorder="1"/>
    <xf numFmtId="10" fontId="1" fillId="9" borderId="26" xfId="5" applyNumberFormat="1" applyFont="1" applyFill="1" applyBorder="1" applyAlignment="1">
      <alignment horizontal="right" indent="2"/>
    </xf>
    <xf numFmtId="2" fontId="1" fillId="9" borderId="26" xfId="0" applyNumberFormat="1" applyFont="1" applyFill="1" applyBorder="1" applyAlignment="1">
      <alignment horizontal="right" indent="2"/>
    </xf>
    <xf numFmtId="171" fontId="1" fillId="9" borderId="26" xfId="0" applyNumberFormat="1" applyFont="1" applyFill="1" applyBorder="1" applyAlignment="1">
      <alignment horizontal="right" indent="2"/>
    </xf>
    <xf numFmtId="49" fontId="35" fillId="12" borderId="0" xfId="0" applyNumberFormat="1" applyFont="1" applyFill="1" applyAlignment="1" applyProtection="1">
      <alignment horizontal="left" vertical="center"/>
      <protection locked="0"/>
    </xf>
    <xf numFmtId="14" fontId="35" fillId="12" borderId="0" xfId="0" applyNumberFormat="1" applyFont="1" applyFill="1" applyAlignment="1" applyProtection="1">
      <alignment horizontal="left" vertical="center"/>
      <protection locked="0"/>
    </xf>
    <xf numFmtId="0" fontId="35" fillId="12" borderId="0" xfId="0" applyFont="1" applyFill="1" applyAlignment="1" applyProtection="1">
      <alignment horizontal="left" vertical="center"/>
      <protection locked="0"/>
    </xf>
    <xf numFmtId="0" fontId="35" fillId="12" borderId="0" xfId="0" applyFont="1" applyFill="1" applyBorder="1" applyAlignment="1" applyProtection="1">
      <alignment horizontal="left" vertical="center"/>
      <protection locked="0"/>
    </xf>
    <xf numFmtId="0" fontId="35" fillId="10" borderId="0" xfId="0" applyFont="1" applyFill="1" applyAlignment="1">
      <alignment horizontal="left" vertical="center"/>
    </xf>
    <xf numFmtId="14" fontId="35" fillId="16" borderId="0" xfId="0" applyNumberFormat="1" applyFont="1" applyFill="1" applyAlignment="1" applyProtection="1">
      <alignment horizontal="left" vertical="center"/>
      <protection locked="0"/>
    </xf>
    <xf numFmtId="0" fontId="35" fillId="16" borderId="0" xfId="0" applyFont="1" applyFill="1" applyAlignment="1" applyProtection="1">
      <alignment horizontal="left" vertical="center"/>
      <protection locked="0"/>
    </xf>
    <xf numFmtId="0" fontId="35" fillId="17" borderId="0" xfId="0" applyFont="1" applyFill="1" applyAlignment="1">
      <alignment horizontal="left" vertical="center"/>
    </xf>
    <xf numFmtId="0" fontId="55" fillId="9" borderId="0" xfId="0" applyFont="1" applyFill="1" applyAlignment="1">
      <alignment horizontal="center" vertical="center"/>
    </xf>
    <xf numFmtId="0" fontId="35" fillId="9" borderId="0" xfId="0" applyFont="1" applyFill="1" applyAlignment="1">
      <alignment horizontal="center" vertical="center"/>
    </xf>
    <xf numFmtId="0" fontId="35" fillId="12" borderId="0" xfId="0" applyFont="1" applyFill="1" applyAlignment="1" applyProtection="1">
      <alignment horizontal="center" vertical="center"/>
      <protection locked="0"/>
    </xf>
    <xf numFmtId="0" fontId="35" fillId="9" borderId="0" xfId="0" applyFont="1" applyFill="1" applyBorder="1" applyAlignment="1">
      <alignment horizontal="left" wrapText="1"/>
    </xf>
    <xf numFmtId="2" fontId="35" fillId="12" borderId="0" xfId="0" applyNumberFormat="1" applyFont="1" applyFill="1" applyBorder="1" applyAlignment="1" applyProtection="1">
      <alignment horizontal="left" vertical="center"/>
      <protection locked="0"/>
    </xf>
    <xf numFmtId="49" fontId="24" fillId="12" borderId="0" xfId="0" applyNumberFormat="1" applyFont="1" applyFill="1" applyBorder="1" applyAlignment="1" applyProtection="1">
      <alignment horizontal="left" vertical="center"/>
      <protection locked="0"/>
    </xf>
    <xf numFmtId="49" fontId="35" fillId="12" borderId="0" xfId="0" applyNumberFormat="1" applyFont="1" applyFill="1" applyBorder="1" applyAlignment="1" applyProtection="1">
      <alignment horizontal="left" vertical="center"/>
      <protection locked="0"/>
    </xf>
    <xf numFmtId="10" fontId="35" fillId="16" borderId="0" xfId="5" applyNumberFormat="1" applyFont="1" applyFill="1" applyAlignment="1" applyProtection="1">
      <alignment horizontal="left" vertical="center"/>
      <protection locked="0"/>
    </xf>
    <xf numFmtId="2" fontId="35" fillId="16" borderId="0" xfId="1" applyNumberFormat="1" applyFont="1" applyFill="1" applyAlignment="1" applyProtection="1">
      <alignment horizontal="left" vertical="center"/>
      <protection locked="0"/>
    </xf>
    <xf numFmtId="40" fontId="35" fillId="25" borderId="0" xfId="1" applyFont="1" applyFill="1" applyAlignment="1" applyProtection="1">
      <alignment horizontal="left" vertical="center"/>
    </xf>
    <xf numFmtId="10" fontId="35" fillId="25" borderId="0" xfId="5" applyNumberFormat="1" applyFont="1" applyFill="1" applyAlignment="1" applyProtection="1">
      <alignment horizontal="left" vertical="center"/>
    </xf>
    <xf numFmtId="40" fontId="35" fillId="16" borderId="0" xfId="1" applyFont="1" applyFill="1" applyAlignment="1" applyProtection="1">
      <alignment horizontal="left" vertical="center"/>
      <protection locked="0"/>
    </xf>
    <xf numFmtId="2" fontId="35" fillId="16" borderId="0" xfId="0" applyNumberFormat="1" applyFont="1" applyFill="1" applyAlignment="1" applyProtection="1">
      <alignment horizontal="left" vertical="center"/>
      <protection locked="0"/>
    </xf>
    <xf numFmtId="49" fontId="35" fillId="16" borderId="0" xfId="1" applyNumberFormat="1" applyFont="1" applyFill="1" applyBorder="1" applyAlignment="1" applyProtection="1">
      <alignment horizontal="left" vertical="center"/>
      <protection locked="0"/>
    </xf>
    <xf numFmtId="49" fontId="35" fillId="16" borderId="0" xfId="0" applyNumberFormat="1" applyFont="1" applyFill="1" applyAlignment="1" applyProtection="1">
      <alignment horizontal="left" vertical="center"/>
      <protection locked="0"/>
    </xf>
    <xf numFmtId="0" fontId="0" fillId="6" borderId="0" xfId="0" applyFill="1" applyBorder="1" applyAlignment="1">
      <alignment horizontal="center"/>
    </xf>
    <xf numFmtId="0" fontId="45" fillId="9" borderId="0" xfId="0" applyFont="1" applyFill="1"/>
    <xf numFmtId="4" fontId="35" fillId="10" borderId="0" xfId="1" applyNumberFormat="1" applyFont="1" applyFill="1" applyAlignment="1">
      <alignment vertical="center"/>
    </xf>
    <xf numFmtId="4" fontId="35" fillId="12" borderId="0" xfId="0" applyNumberFormat="1" applyFont="1" applyFill="1" applyAlignment="1" applyProtection="1">
      <alignment horizontal="center" vertical="center"/>
      <protection locked="0"/>
    </xf>
    <xf numFmtId="0" fontId="24" fillId="9" borderId="0" xfId="0" applyFont="1" applyFill="1" applyAlignment="1" applyProtection="1">
      <alignment horizontal="left" vertical="center"/>
      <protection hidden="1"/>
    </xf>
    <xf numFmtId="0" fontId="2" fillId="22" borderId="0" xfId="0" applyFont="1" applyFill="1" applyProtection="1">
      <protection hidden="1"/>
    </xf>
    <xf numFmtId="0" fontId="6" fillId="8" borderId="0" xfId="3" applyNumberFormat="1" applyFont="1" applyFill="1"/>
    <xf numFmtId="164" fontId="45" fillId="0" borderId="0" xfId="0" applyNumberFormat="1" applyFont="1" applyProtection="1">
      <protection hidden="1"/>
    </xf>
    <xf numFmtId="164" fontId="45" fillId="0" borderId="0" xfId="0" applyNumberFormat="1" applyFont="1" applyAlignment="1" applyProtection="1">
      <alignment horizontal="left"/>
      <protection hidden="1"/>
    </xf>
    <xf numFmtId="2" fontId="2" fillId="6" borderId="0" xfId="0" applyNumberFormat="1" applyFont="1" applyFill="1" applyAlignment="1" applyProtection="1">
      <alignment horizontal="right" vertical="center"/>
      <protection hidden="1"/>
    </xf>
    <xf numFmtId="0" fontId="2" fillId="0" borderId="0" xfId="0" applyFont="1" applyFill="1" applyProtection="1">
      <protection hidden="1"/>
    </xf>
    <xf numFmtId="0" fontId="2" fillId="6" borderId="0" xfId="0" applyFont="1" applyFill="1" applyAlignment="1" applyProtection="1">
      <alignment horizontal="left"/>
      <protection hidden="1"/>
    </xf>
    <xf numFmtId="0" fontId="2" fillId="24" borderId="0" xfId="0" applyFont="1" applyFill="1" applyProtection="1">
      <protection hidden="1"/>
    </xf>
    <xf numFmtId="0" fontId="2" fillId="24" borderId="0" xfId="0" applyFont="1" applyFill="1" applyAlignment="1" applyProtection="1">
      <alignment horizontal="left"/>
      <protection hidden="1"/>
    </xf>
    <xf numFmtId="0" fontId="2" fillId="24" borderId="0" xfId="0" applyFont="1" applyFill="1" applyAlignment="1" applyProtection="1">
      <alignment horizontal="center"/>
      <protection hidden="1"/>
    </xf>
    <xf numFmtId="164" fontId="45" fillId="24" borderId="0" xfId="0" applyNumberFormat="1" applyFont="1" applyFill="1" applyProtection="1">
      <protection hidden="1"/>
    </xf>
    <xf numFmtId="0" fontId="22" fillId="24" borderId="0" xfId="0" applyFont="1" applyFill="1" applyAlignment="1" applyProtection="1">
      <alignment horizontal="center"/>
      <protection hidden="1"/>
    </xf>
    <xf numFmtId="165" fontId="22" fillId="24" borderId="0" xfId="1" applyNumberFormat="1" applyFont="1" applyFill="1" applyAlignment="1" applyProtection="1">
      <alignment horizontal="center"/>
      <protection hidden="1"/>
    </xf>
    <xf numFmtId="164" fontId="45" fillId="24" borderId="0" xfId="0" applyNumberFormat="1" applyFont="1" applyFill="1" applyAlignment="1" applyProtection="1">
      <alignment horizontal="left"/>
      <protection hidden="1"/>
    </xf>
    <xf numFmtId="0" fontId="45" fillId="5" borderId="0" xfId="0" applyFont="1" applyFill="1" applyProtection="1">
      <protection hidden="1"/>
    </xf>
    <xf numFmtId="164" fontId="45" fillId="5" borderId="0" xfId="0" applyNumberFormat="1" applyFont="1" applyFill="1" applyAlignment="1" applyProtection="1">
      <alignment horizontal="left"/>
      <protection hidden="1"/>
    </xf>
    <xf numFmtId="0" fontId="2" fillId="0" borderId="0" xfId="0" applyFont="1" applyFill="1" applyAlignment="1" applyProtection="1">
      <alignment horizontal="left"/>
      <protection hidden="1"/>
    </xf>
    <xf numFmtId="0" fontId="2" fillId="0" borderId="0" xfId="0" applyFont="1" applyFill="1" applyAlignment="1" applyProtection="1">
      <alignment horizontal="center"/>
      <protection hidden="1"/>
    </xf>
    <xf numFmtId="164" fontId="45" fillId="0" borderId="0" xfId="0" applyNumberFormat="1" applyFont="1" applyFill="1" applyProtection="1">
      <protection hidden="1"/>
    </xf>
    <xf numFmtId="0" fontId="22" fillId="0" borderId="0" xfId="0" applyFont="1" applyFill="1" applyAlignment="1" applyProtection="1">
      <alignment horizontal="center"/>
      <protection hidden="1"/>
    </xf>
    <xf numFmtId="164" fontId="45" fillId="0" borderId="0" xfId="0" applyNumberFormat="1" applyFont="1" applyFill="1" applyAlignment="1" applyProtection="1">
      <alignment horizontal="left"/>
      <protection hidden="1"/>
    </xf>
    <xf numFmtId="0" fontId="2" fillId="22" borderId="0" xfId="0" applyFont="1" applyFill="1" applyAlignment="1" applyProtection="1">
      <alignment horizontal="left"/>
      <protection hidden="1"/>
    </xf>
    <xf numFmtId="0" fontId="2" fillId="22" borderId="0" xfId="0" applyFont="1" applyFill="1" applyAlignment="1" applyProtection="1">
      <alignment horizontal="center"/>
      <protection hidden="1"/>
    </xf>
    <xf numFmtId="164" fontId="45" fillId="22" borderId="0" xfId="0" applyNumberFormat="1" applyFont="1" applyFill="1" applyProtection="1">
      <protection hidden="1"/>
    </xf>
    <xf numFmtId="0" fontId="22" fillId="22" borderId="0" xfId="0" applyFont="1" applyFill="1" applyAlignment="1" applyProtection="1">
      <alignment horizontal="center"/>
      <protection hidden="1"/>
    </xf>
    <xf numFmtId="165" fontId="22" fillId="22" borderId="0" xfId="1" applyNumberFormat="1" applyFont="1" applyFill="1" applyAlignment="1" applyProtection="1">
      <alignment horizontal="center"/>
      <protection hidden="1"/>
    </xf>
    <xf numFmtId="164" fontId="45" fillId="22" borderId="0" xfId="0" applyNumberFormat="1" applyFont="1" applyFill="1" applyAlignment="1" applyProtection="1">
      <alignment horizontal="left"/>
      <protection hidden="1"/>
    </xf>
    <xf numFmtId="0" fontId="45" fillId="2" borderId="0" xfId="0" applyFont="1" applyFill="1" applyProtection="1">
      <protection hidden="1"/>
    </xf>
    <xf numFmtId="164" fontId="45" fillId="2" borderId="0" xfId="0" applyNumberFormat="1" applyFont="1" applyFill="1" applyAlignment="1" applyProtection="1">
      <alignment horizontal="left"/>
      <protection hidden="1"/>
    </xf>
    <xf numFmtId="0" fontId="45" fillId="4" borderId="0" xfId="0" applyFont="1" applyFill="1" applyProtection="1">
      <protection hidden="1"/>
    </xf>
    <xf numFmtId="164" fontId="45" fillId="4" borderId="0" xfId="0" applyNumberFormat="1" applyFont="1" applyFill="1" applyAlignment="1" applyProtection="1">
      <alignment horizontal="left"/>
      <protection hidden="1"/>
    </xf>
    <xf numFmtId="0" fontId="45" fillId="22" borderId="0" xfId="0" applyFont="1" applyFill="1" applyProtection="1">
      <protection hidden="1"/>
    </xf>
    <xf numFmtId="0" fontId="2" fillId="11" borderId="0" xfId="0" applyFont="1" applyFill="1" applyAlignment="1" applyProtection="1">
      <alignment horizontal="left"/>
      <protection hidden="1"/>
    </xf>
    <xf numFmtId="0" fontId="37" fillId="0" borderId="0" xfId="0" applyFont="1" applyAlignment="1" applyProtection="1">
      <alignment horizontal="right"/>
    </xf>
    <xf numFmtId="0" fontId="37" fillId="0" borderId="0" xfId="0" applyFont="1" applyAlignment="1" applyProtection="1">
      <alignment horizontal="center"/>
    </xf>
    <xf numFmtId="0" fontId="37" fillId="0" borderId="0" xfId="0" applyFont="1" applyAlignment="1" applyProtection="1">
      <alignment horizontal="center"/>
      <protection hidden="1"/>
    </xf>
    <xf numFmtId="1" fontId="37" fillId="0" borderId="0" xfId="0" applyNumberFormat="1" applyFont="1" applyAlignment="1" applyProtection="1">
      <alignment horizontal="center"/>
    </xf>
    <xf numFmtId="0" fontId="37" fillId="0" borderId="0" xfId="0" quotePrefix="1" applyFont="1" applyAlignment="1" applyProtection="1">
      <alignment horizontal="center"/>
    </xf>
    <xf numFmtId="0" fontId="37" fillId="2" borderId="0" xfId="0" applyNumberFormat="1" applyFont="1" applyFill="1" applyBorder="1" applyAlignment="1" applyProtection="1">
      <alignment horizontal="center"/>
    </xf>
    <xf numFmtId="0" fontId="37" fillId="0" borderId="0" xfId="0" applyFont="1" applyBorder="1" applyProtection="1"/>
    <xf numFmtId="0" fontId="37" fillId="2" borderId="0" xfId="0" applyNumberFormat="1" applyFont="1" applyFill="1" applyAlignment="1" applyProtection="1">
      <alignment horizontal="center"/>
    </xf>
    <xf numFmtId="49" fontId="37" fillId="0" borderId="24" xfId="0" applyNumberFormat="1" applyFont="1" applyBorder="1" applyAlignment="1" applyProtection="1">
      <alignment horizontal="center"/>
    </xf>
    <xf numFmtId="49" fontId="37" fillId="0" borderId="26" xfId="0" applyNumberFormat="1" applyFont="1" applyBorder="1" applyAlignment="1" applyProtection="1">
      <alignment horizontal="center"/>
    </xf>
    <xf numFmtId="49" fontId="37" fillId="0" borderId="16" xfId="0" applyNumberFormat="1" applyFont="1" applyBorder="1" applyAlignment="1" applyProtection="1">
      <alignment horizontal="center"/>
    </xf>
    <xf numFmtId="49" fontId="37" fillId="0" borderId="17" xfId="0" applyNumberFormat="1" applyFont="1" applyBorder="1" applyAlignment="1" applyProtection="1">
      <alignment horizontal="center"/>
    </xf>
    <xf numFmtId="0" fontId="21" fillId="0" borderId="0" xfId="0" applyFont="1" applyFill="1" applyBorder="1" applyProtection="1"/>
    <xf numFmtId="0" fontId="21" fillId="3" borderId="12" xfId="0" applyFont="1" applyFill="1" applyBorder="1" applyProtection="1"/>
    <xf numFmtId="0" fontId="21" fillId="3" borderId="14" xfId="0" applyFont="1" applyFill="1" applyBorder="1" applyProtection="1"/>
    <xf numFmtId="49" fontId="37" fillId="0" borderId="0" xfId="0" applyNumberFormat="1" applyFont="1" applyBorder="1" applyAlignment="1" applyProtection="1">
      <alignment horizontal="center"/>
    </xf>
    <xf numFmtId="0" fontId="9" fillId="0" borderId="0" xfId="0" quotePrefix="1" applyFont="1" applyProtection="1">
      <protection hidden="1"/>
    </xf>
    <xf numFmtId="0" fontId="9" fillId="12" borderId="19" xfId="0" applyFont="1" applyFill="1" applyBorder="1" applyAlignment="1" applyProtection="1">
      <alignment horizontal="right" shrinkToFit="1"/>
    </xf>
    <xf numFmtId="0" fontId="6" fillId="0" borderId="8" xfId="0" applyFont="1" applyFill="1" applyBorder="1" applyAlignment="1" applyProtection="1">
      <alignment horizontal="center"/>
    </xf>
    <xf numFmtId="0" fontId="6" fillId="0" borderId="11" xfId="0" applyFont="1" applyFill="1" applyBorder="1" applyAlignment="1" applyProtection="1">
      <alignment horizontal="center"/>
    </xf>
    <xf numFmtId="1" fontId="9" fillId="12" borderId="2" xfId="0" applyNumberFormat="1" applyFont="1" applyFill="1" applyBorder="1" applyAlignment="1" applyProtection="1">
      <alignment horizontal="right"/>
    </xf>
    <xf numFmtId="0" fontId="37" fillId="0" borderId="29" xfId="0" applyFont="1" applyBorder="1" applyAlignment="1" applyProtection="1">
      <alignment horizontal="right"/>
    </xf>
    <xf numFmtId="165" fontId="65" fillId="2" borderId="29" xfId="1" applyNumberFormat="1" applyFont="1" applyFill="1" applyBorder="1" applyAlignment="1" applyProtection="1">
      <alignment shrinkToFit="1"/>
    </xf>
    <xf numFmtId="0" fontId="37" fillId="0" borderId="29" xfId="0" applyFont="1" applyBorder="1" applyProtection="1"/>
    <xf numFmtId="0" fontId="35" fillId="9" borderId="26" xfId="0" applyFont="1" applyFill="1" applyBorder="1" applyAlignment="1">
      <alignment vertical="top" wrapText="1"/>
    </xf>
    <xf numFmtId="1" fontId="35" fillId="9" borderId="0" xfId="0" applyNumberFormat="1" applyFont="1" applyFill="1" applyAlignment="1" applyProtection="1">
      <alignment horizontal="center" vertical="center"/>
    </xf>
    <xf numFmtId="0" fontId="35" fillId="9" borderId="0" xfId="0" applyFont="1" applyFill="1" applyAlignment="1" applyProtection="1">
      <alignment horizontal="left" vertical="center" indent="2"/>
    </xf>
    <xf numFmtId="0" fontId="9" fillId="9" borderId="30" xfId="0" applyFont="1" applyFill="1" applyBorder="1"/>
    <xf numFmtId="0" fontId="35" fillId="9" borderId="31" xfId="0" applyFont="1" applyFill="1" applyBorder="1" applyAlignment="1">
      <alignment vertical="center"/>
    </xf>
    <xf numFmtId="14" fontId="35" fillId="12" borderId="0" xfId="0" applyNumberFormat="1" applyFont="1" applyFill="1" applyAlignment="1" applyProtection="1">
      <alignment horizontal="left" vertical="center"/>
      <protection locked="0"/>
    </xf>
    <xf numFmtId="0" fontId="35" fillId="9" borderId="0" xfId="0" applyFont="1" applyFill="1" applyAlignment="1">
      <alignment horizontal="left" vertical="center" indent="2"/>
    </xf>
    <xf numFmtId="0" fontId="35" fillId="9" borderId="0" xfId="0" applyFont="1" applyFill="1" applyAlignment="1">
      <alignment horizontal="left" vertical="center"/>
    </xf>
    <xf numFmtId="0" fontId="35" fillId="9" borderId="0" xfId="0" applyFont="1" applyFill="1" applyBorder="1" applyAlignment="1">
      <alignment horizontal="center" vertical="center"/>
    </xf>
    <xf numFmtId="0" fontId="35" fillId="9" borderId="0" xfId="0" applyFont="1" applyFill="1" applyAlignment="1">
      <alignment horizontal="center" vertical="center"/>
    </xf>
    <xf numFmtId="0" fontId="35" fillId="12" borderId="0" xfId="0" applyFont="1" applyFill="1" applyAlignment="1" applyProtection="1">
      <alignment horizontal="left" vertical="center"/>
      <protection locked="0"/>
    </xf>
    <xf numFmtId="0" fontId="35" fillId="9" borderId="0" xfId="0" applyFont="1" applyFill="1" applyAlignment="1">
      <alignment horizontal="left" vertical="center" indent="2"/>
    </xf>
    <xf numFmtId="0" fontId="35" fillId="15" borderId="0" xfId="0" applyFont="1" applyFill="1" applyAlignment="1">
      <alignment horizontal="center" vertical="center"/>
    </xf>
    <xf numFmtId="0" fontId="35" fillId="9" borderId="0" xfId="0" applyFont="1" applyFill="1" applyAlignment="1">
      <alignment horizontal="left" vertical="center"/>
    </xf>
    <xf numFmtId="1" fontId="35" fillId="9" borderId="0" xfId="0" applyNumberFormat="1" applyFont="1" applyFill="1" applyAlignment="1" applyProtection="1">
      <alignment vertical="center"/>
    </xf>
    <xf numFmtId="0" fontId="67" fillId="9" borderId="0" xfId="0" applyFont="1" applyFill="1" applyAlignment="1">
      <alignment vertical="center"/>
    </xf>
    <xf numFmtId="0" fontId="0" fillId="6" borderId="0" xfId="0" applyFill="1"/>
    <xf numFmtId="0" fontId="68" fillId="9" borderId="0" xfId="0" applyFont="1" applyFill="1" applyAlignment="1" applyProtection="1">
      <alignment vertical="top" wrapText="1"/>
    </xf>
    <xf numFmtId="0" fontId="35" fillId="9" borderId="0" xfId="0" applyFont="1" applyFill="1" applyAlignment="1">
      <alignment horizontal="right" indent="1"/>
    </xf>
    <xf numFmtId="0" fontId="0" fillId="0" borderId="0" xfId="0" applyAlignment="1">
      <alignment horizontal="left"/>
    </xf>
    <xf numFmtId="0" fontId="71" fillId="0" borderId="0" xfId="0" applyFont="1" applyAlignment="1">
      <alignment horizontal="center"/>
    </xf>
    <xf numFmtId="0" fontId="71" fillId="0" borderId="0" xfId="0" applyFont="1"/>
    <xf numFmtId="0" fontId="55" fillId="9" borderId="0" xfId="0" applyFont="1" applyFill="1" applyAlignment="1" applyProtection="1">
      <alignment vertical="top" wrapText="1"/>
    </xf>
    <xf numFmtId="0" fontId="55" fillId="9" borderId="0" xfId="0" applyFont="1" applyFill="1"/>
    <xf numFmtId="1" fontId="35" fillId="9" borderId="0" xfId="0" applyNumberFormat="1" applyFont="1" applyFill="1" applyAlignment="1" applyProtection="1">
      <alignment horizontal="left" vertical="center"/>
    </xf>
    <xf numFmtId="0" fontId="41" fillId="9" borderId="26" xfId="0" applyFont="1" applyFill="1" applyBorder="1" applyAlignment="1">
      <alignment vertical="center"/>
    </xf>
    <xf numFmtId="0" fontId="35" fillId="9" borderId="0" xfId="0" applyFont="1" applyFill="1" applyAlignment="1">
      <alignment horizontal="right" vertical="center" indent="1"/>
    </xf>
    <xf numFmtId="0" fontId="59" fillId="9" borderId="0" xfId="0" applyFont="1" applyFill="1"/>
    <xf numFmtId="0" fontId="35" fillId="9" borderId="0" xfId="1" applyNumberFormat="1" applyFont="1" applyFill="1" applyAlignment="1">
      <alignment horizontal="right" vertical="center"/>
    </xf>
    <xf numFmtId="0" fontId="35" fillId="9" borderId="0" xfId="1" applyNumberFormat="1" applyFont="1" applyFill="1" applyAlignment="1">
      <alignment horizontal="right" vertical="center" indent="1"/>
    </xf>
    <xf numFmtId="0" fontId="73" fillId="9" borderId="0" xfId="6" applyFont="1" applyFill="1" applyBorder="1" applyAlignment="1" applyProtection="1">
      <alignment vertical="center"/>
    </xf>
    <xf numFmtId="0" fontId="35" fillId="9" borderId="0" xfId="1" applyNumberFormat="1" applyFont="1" applyFill="1" applyBorder="1" applyAlignment="1" applyProtection="1">
      <alignment horizontal="right" vertical="center"/>
    </xf>
    <xf numFmtId="0" fontId="67" fillId="9" borderId="24" xfId="0" applyFont="1" applyFill="1" applyBorder="1" applyAlignment="1">
      <alignment horizontal="left" vertical="center" indent="1"/>
    </xf>
    <xf numFmtId="0" fontId="55" fillId="15" borderId="0" xfId="0" applyFont="1" applyFill="1"/>
    <xf numFmtId="0" fontId="55" fillId="15" borderId="0" xfId="0" applyFont="1" applyFill="1" applyAlignment="1">
      <alignment horizontal="left" vertical="top"/>
    </xf>
    <xf numFmtId="0" fontId="38" fillId="9" borderId="0" xfId="0" applyFont="1" applyFill="1"/>
    <xf numFmtId="14" fontId="35" fillId="12" borderId="0" xfId="0" applyNumberFormat="1" applyFont="1" applyFill="1" applyAlignment="1" applyProtection="1">
      <alignment horizontal="center" vertical="center"/>
      <protection locked="0" hidden="1"/>
    </xf>
    <xf numFmtId="0" fontId="35" fillId="12" borderId="0" xfId="0" applyFont="1" applyFill="1" applyAlignment="1" applyProtection="1">
      <alignment vertical="center"/>
      <protection locked="0"/>
    </xf>
    <xf numFmtId="0" fontId="35" fillId="12" borderId="0" xfId="0" applyFont="1" applyFill="1" applyAlignment="1" applyProtection="1">
      <alignment horizontal="center" vertical="center"/>
      <protection locked="0" hidden="1"/>
    </xf>
    <xf numFmtId="0" fontId="9" fillId="12" borderId="0" xfId="0" applyFont="1" applyFill="1" applyProtection="1">
      <protection locked="0"/>
    </xf>
    <xf numFmtId="0" fontId="35" fillId="12" borderId="0" xfId="1" applyNumberFormat="1" applyFont="1" applyFill="1" applyAlignment="1" applyProtection="1">
      <alignment horizontal="center" vertical="center"/>
      <protection locked="0" hidden="1"/>
    </xf>
    <xf numFmtId="0" fontId="35" fillId="12" borderId="0" xfId="0" applyFont="1" applyFill="1" applyProtection="1">
      <protection locked="0"/>
    </xf>
    <xf numFmtId="0" fontId="35" fillId="12" borderId="0" xfId="0" applyFont="1" applyFill="1" applyAlignment="1" applyProtection="1">
      <alignment horizontal="center"/>
      <protection locked="0" hidden="1"/>
    </xf>
    <xf numFmtId="0" fontId="35" fillId="12" borderId="0" xfId="0" applyFont="1" applyFill="1" applyAlignment="1" applyProtection="1">
      <alignment horizontal="left" vertical="center" indent="3"/>
      <protection locked="0"/>
    </xf>
    <xf numFmtId="0" fontId="35" fillId="12" borderId="0" xfId="1" applyNumberFormat="1" applyFont="1" applyFill="1" applyBorder="1" applyAlignment="1" applyProtection="1">
      <alignment horizontal="right" vertical="center"/>
      <protection locked="0" hidden="1"/>
    </xf>
    <xf numFmtId="0" fontId="35" fillId="12" borderId="0" xfId="0" applyFont="1" applyFill="1" applyAlignment="1" applyProtection="1">
      <alignment horizontal="left" vertical="center" indent="6"/>
      <protection locked="0"/>
    </xf>
    <xf numFmtId="0" fontId="24" fillId="9" borderId="0" xfId="0" applyFont="1" applyFill="1" applyAlignment="1">
      <alignment horizontal="left"/>
    </xf>
    <xf numFmtId="0" fontId="43" fillId="9" borderId="0" xfId="0" applyFont="1" applyFill="1" applyAlignment="1" applyProtection="1">
      <alignment horizontal="left" vertical="center"/>
      <protection hidden="1"/>
    </xf>
    <xf numFmtId="0" fontId="74" fillId="9" borderId="0" xfId="0" applyFont="1" applyFill="1"/>
    <xf numFmtId="0" fontId="9" fillId="30" borderId="32" xfId="0" applyFont="1" applyFill="1" applyBorder="1" applyProtection="1"/>
    <xf numFmtId="0" fontId="6" fillId="30" borderId="33" xfId="0" applyFont="1" applyFill="1" applyBorder="1" applyProtection="1"/>
    <xf numFmtId="0" fontId="9" fillId="30" borderId="33" xfId="0" applyFont="1" applyFill="1" applyBorder="1" applyAlignment="1" applyProtection="1">
      <alignment horizontal="center"/>
    </xf>
    <xf numFmtId="0" fontId="6" fillId="30" borderId="33" xfId="0" applyFont="1" applyFill="1" applyBorder="1" applyAlignment="1" applyProtection="1">
      <alignment horizontal="center"/>
    </xf>
    <xf numFmtId="0" fontId="9" fillId="30" borderId="34" xfId="0" applyFont="1" applyFill="1" applyBorder="1" applyAlignment="1" applyProtection="1">
      <alignment horizontal="center"/>
    </xf>
    <xf numFmtId="0" fontId="9" fillId="30" borderId="35" xfId="0" applyFont="1" applyFill="1" applyBorder="1" applyProtection="1"/>
    <xf numFmtId="0" fontId="9" fillId="30" borderId="0" xfId="0" applyFont="1" applyFill="1" applyBorder="1" applyProtection="1"/>
    <xf numFmtId="0" fontId="9" fillId="30" borderId="0" xfId="0" applyFont="1" applyFill="1" applyBorder="1" applyAlignment="1" applyProtection="1">
      <alignment horizontal="center"/>
    </xf>
    <xf numFmtId="0" fontId="9" fillId="30" borderId="36" xfId="0" applyFont="1" applyFill="1" applyBorder="1" applyAlignment="1" applyProtection="1">
      <alignment horizontal="center"/>
    </xf>
    <xf numFmtId="0" fontId="9" fillId="30" borderId="35" xfId="0" applyFont="1" applyFill="1" applyBorder="1" applyAlignment="1" applyProtection="1"/>
    <xf numFmtId="0" fontId="9" fillId="30" borderId="0" xfId="0" applyFont="1" applyFill="1" applyBorder="1" applyAlignment="1" applyProtection="1"/>
    <xf numFmtId="0" fontId="76" fillId="30" borderId="35" xfId="0" applyFont="1" applyFill="1" applyBorder="1" applyProtection="1"/>
    <xf numFmtId="0" fontId="76" fillId="30" borderId="0" xfId="0" applyFont="1" applyFill="1" applyBorder="1" applyProtection="1"/>
    <xf numFmtId="0" fontId="76" fillId="30" borderId="0" xfId="0" applyFont="1" applyFill="1" applyBorder="1" applyAlignment="1" applyProtection="1">
      <alignment horizontal="center"/>
    </xf>
    <xf numFmtId="0" fontId="76" fillId="30" borderId="36" xfId="0" applyFont="1" applyFill="1" applyBorder="1" applyAlignment="1" applyProtection="1">
      <alignment horizontal="center"/>
    </xf>
    <xf numFmtId="0" fontId="76" fillId="9" borderId="35" xfId="0" applyFont="1" applyFill="1" applyBorder="1" applyProtection="1"/>
    <xf numFmtId="0" fontId="76" fillId="9" borderId="0" xfId="0" applyFont="1" applyFill="1" applyBorder="1" applyProtection="1"/>
    <xf numFmtId="0" fontId="76" fillId="9" borderId="0" xfId="0" applyFont="1" applyFill="1" applyBorder="1" applyAlignment="1" applyProtection="1">
      <alignment horizontal="center"/>
    </xf>
    <xf numFmtId="0" fontId="76" fillId="9" borderId="36" xfId="0" applyFont="1" applyFill="1" applyBorder="1" applyAlignment="1" applyProtection="1">
      <alignment horizontal="center"/>
    </xf>
    <xf numFmtId="0" fontId="35" fillId="9" borderId="35" xfId="0" applyFont="1" applyFill="1" applyBorder="1" applyAlignment="1" applyProtection="1">
      <alignment vertical="top" wrapText="1"/>
    </xf>
    <xf numFmtId="0" fontId="35" fillId="9" borderId="0" xfId="0" applyFont="1" applyFill="1" applyBorder="1" applyAlignment="1" applyProtection="1">
      <alignment vertical="top" wrapText="1"/>
    </xf>
    <xf numFmtId="0" fontId="76" fillId="9" borderId="0" xfId="0" applyFont="1" applyFill="1" applyProtection="1"/>
    <xf numFmtId="0" fontId="35" fillId="9" borderId="0" xfId="0" applyFont="1" applyFill="1" applyBorder="1" applyAlignment="1" applyProtection="1">
      <alignment horizontal="center" vertical="top" wrapText="1"/>
    </xf>
    <xf numFmtId="0" fontId="35" fillId="9" borderId="36" xfId="0" applyFont="1" applyFill="1" applyBorder="1" applyAlignment="1" applyProtection="1">
      <alignment horizontal="center" vertical="top" wrapText="1"/>
    </xf>
    <xf numFmtId="1" fontId="35" fillId="9" borderId="0" xfId="0" applyNumberFormat="1" applyFont="1" applyFill="1" applyBorder="1" applyAlignment="1" applyProtection="1">
      <alignment horizontal="center" vertical="top" wrapText="1"/>
    </xf>
    <xf numFmtId="0" fontId="35" fillId="31" borderId="35" xfId="0" applyFont="1" applyFill="1" applyBorder="1" applyAlignment="1" applyProtection="1">
      <alignment vertical="top" wrapText="1"/>
    </xf>
    <xf numFmtId="0" fontId="34" fillId="31" borderId="0" xfId="0" applyFont="1" applyFill="1" applyBorder="1" applyAlignment="1" applyProtection="1">
      <alignment vertical="top" wrapText="1"/>
    </xf>
    <xf numFmtId="0" fontId="76" fillId="31" borderId="0" xfId="0" applyFont="1" applyFill="1" applyBorder="1" applyAlignment="1" applyProtection="1">
      <alignment horizontal="center"/>
    </xf>
    <xf numFmtId="0" fontId="34" fillId="31" borderId="0" xfId="0" applyFont="1" applyFill="1" applyBorder="1" applyAlignment="1" applyProtection="1">
      <alignment horizontal="center" vertical="top" wrapText="1"/>
    </xf>
    <xf numFmtId="0" fontId="35" fillId="31" borderId="0" xfId="0" applyFont="1" applyFill="1" applyBorder="1" applyAlignment="1" applyProtection="1">
      <alignment horizontal="center" vertical="top" wrapText="1"/>
    </xf>
    <xf numFmtId="0" fontId="35" fillId="31" borderId="36" xfId="0" applyFont="1" applyFill="1" applyBorder="1" applyAlignment="1" applyProtection="1">
      <alignment horizontal="center" vertical="top" wrapText="1"/>
    </xf>
    <xf numFmtId="0" fontId="35" fillId="31" borderId="0" xfId="0" applyFont="1" applyFill="1" applyBorder="1" applyAlignment="1" applyProtection="1">
      <alignment vertical="top" wrapText="1"/>
    </xf>
    <xf numFmtId="0" fontId="76" fillId="31" borderId="35" xfId="0" applyFont="1" applyFill="1" applyBorder="1" applyProtection="1"/>
    <xf numFmtId="0" fontId="76" fillId="31" borderId="36" xfId="0" applyFont="1" applyFill="1" applyBorder="1" applyAlignment="1" applyProtection="1">
      <alignment horizontal="center"/>
    </xf>
    <xf numFmtId="0" fontId="76" fillId="23" borderId="35" xfId="0" applyFont="1" applyFill="1" applyBorder="1" applyProtection="1"/>
    <xf numFmtId="0" fontId="77" fillId="23" borderId="0" xfId="0" applyFont="1" applyFill="1" applyBorder="1" applyProtection="1"/>
    <xf numFmtId="0" fontId="77" fillId="23" borderId="0" xfId="0" applyFont="1" applyFill="1" applyBorder="1" applyAlignment="1" applyProtection="1">
      <alignment horizontal="center"/>
    </xf>
    <xf numFmtId="0" fontId="77" fillId="23" borderId="36" xfId="0" applyFont="1" applyFill="1" applyBorder="1" applyAlignment="1" applyProtection="1">
      <alignment horizontal="center"/>
    </xf>
    <xf numFmtId="0" fontId="76" fillId="23" borderId="0" xfId="0" applyFont="1" applyFill="1" applyBorder="1" applyProtection="1"/>
    <xf numFmtId="0" fontId="76" fillId="23" borderId="0" xfId="0" applyFont="1" applyFill="1" applyBorder="1" applyAlignment="1" applyProtection="1">
      <alignment horizontal="center"/>
    </xf>
    <xf numFmtId="0" fontId="76" fillId="23" borderId="36" xfId="0" applyFont="1" applyFill="1" applyBorder="1" applyAlignment="1" applyProtection="1">
      <alignment horizontal="center"/>
    </xf>
    <xf numFmtId="0" fontId="76" fillId="23" borderId="36" xfId="0" applyFont="1" applyFill="1" applyBorder="1" applyProtection="1"/>
    <xf numFmtId="0" fontId="9" fillId="23" borderId="35" xfId="0" applyFont="1" applyFill="1" applyBorder="1" applyProtection="1"/>
    <xf numFmtId="0" fontId="9" fillId="23" borderId="0" xfId="0" applyFont="1" applyFill="1" applyBorder="1" applyProtection="1"/>
    <xf numFmtId="0" fontId="9" fillId="23" borderId="36" xfId="0" applyFont="1" applyFill="1" applyBorder="1" applyProtection="1"/>
    <xf numFmtId="0" fontId="9" fillId="23" borderId="37" xfId="0" applyFont="1" applyFill="1" applyBorder="1" applyProtection="1"/>
    <xf numFmtId="0" fontId="9" fillId="23" borderId="38" xfId="0" applyFont="1" applyFill="1" applyBorder="1" applyProtection="1"/>
    <xf numFmtId="0" fontId="9" fillId="23" borderId="39" xfId="0" applyFont="1" applyFill="1" applyBorder="1" applyAlignment="1" applyProtection="1">
      <alignment horizontal="center"/>
    </xf>
    <xf numFmtId="0" fontId="35" fillId="9" borderId="0" xfId="0" applyFont="1" applyFill="1" applyBorder="1" applyAlignment="1" applyProtection="1">
      <alignment horizontal="left" vertical="top" wrapText="1"/>
    </xf>
    <xf numFmtId="0" fontId="9" fillId="15" borderId="0" xfId="0" applyFont="1" applyFill="1" applyAlignment="1">
      <alignment horizontal="center"/>
    </xf>
    <xf numFmtId="0" fontId="6" fillId="15" borderId="0" xfId="0" applyFont="1" applyFill="1" applyAlignment="1">
      <alignment horizontal="center"/>
    </xf>
    <xf numFmtId="1" fontId="9" fillId="15" borderId="0" xfId="0" applyNumberFormat="1" applyFont="1" applyFill="1"/>
    <xf numFmtId="0" fontId="8" fillId="9" borderId="0" xfId="0" applyFont="1" applyFill="1"/>
    <xf numFmtId="0" fontId="9" fillId="9" borderId="0" xfId="0" quotePrefix="1" applyFont="1" applyFill="1"/>
    <xf numFmtId="0" fontId="35" fillId="0" borderId="0" xfId="0" applyFont="1" applyFill="1" applyAlignment="1">
      <alignment vertical="top" wrapText="1"/>
    </xf>
    <xf numFmtId="0" fontId="57" fillId="9" borderId="27" xfId="6" applyFont="1" applyFill="1" applyBorder="1" applyAlignment="1" applyProtection="1">
      <alignment horizontal="center" vertical="center" wrapText="1"/>
    </xf>
    <xf numFmtId="0" fontId="57" fillId="9" borderId="23" xfId="6" applyFont="1" applyFill="1" applyBorder="1" applyAlignment="1" applyProtection="1">
      <alignment horizontal="center" vertical="center" wrapText="1"/>
    </xf>
    <xf numFmtId="0" fontId="57" fillId="9" borderId="15" xfId="6" applyFont="1" applyFill="1" applyBorder="1" applyAlignment="1" applyProtection="1">
      <alignment horizontal="center" vertical="center" wrapText="1"/>
    </xf>
    <xf numFmtId="0" fontId="57" fillId="9" borderId="24" xfId="6" applyFont="1" applyFill="1" applyBorder="1" applyAlignment="1" applyProtection="1">
      <alignment horizontal="center" vertical="center" wrapText="1"/>
    </xf>
    <xf numFmtId="0" fontId="57" fillId="9" borderId="0" xfId="6" applyFont="1" applyFill="1" applyBorder="1" applyAlignment="1" applyProtection="1">
      <alignment horizontal="center" vertical="center" wrapText="1"/>
    </xf>
    <xf numFmtId="0" fontId="57" fillId="9" borderId="26" xfId="6" applyFont="1" applyFill="1" applyBorder="1" applyAlignment="1" applyProtection="1">
      <alignment horizontal="center" vertical="center" wrapText="1"/>
    </xf>
    <xf numFmtId="0" fontId="57" fillId="9" borderId="16" xfId="6" applyFont="1" applyFill="1" applyBorder="1" applyAlignment="1" applyProtection="1">
      <alignment horizontal="center" vertical="center" wrapText="1"/>
    </xf>
    <xf numFmtId="0" fontId="57" fillId="9" borderId="22" xfId="6" applyFont="1" applyFill="1" applyBorder="1" applyAlignment="1" applyProtection="1">
      <alignment horizontal="center" vertical="center" wrapText="1"/>
    </xf>
    <xf numFmtId="0" fontId="57" fillId="9" borderId="17" xfId="6" applyFont="1" applyFill="1" applyBorder="1" applyAlignment="1" applyProtection="1">
      <alignment horizontal="center" vertical="center" wrapText="1"/>
    </xf>
    <xf numFmtId="0" fontId="60" fillId="9" borderId="27" xfId="6" applyFont="1" applyFill="1" applyBorder="1" applyAlignment="1" applyProtection="1">
      <alignment horizontal="center" vertical="center" wrapText="1"/>
    </xf>
    <xf numFmtId="0" fontId="60" fillId="9" borderId="23" xfId="6" applyFont="1" applyFill="1" applyBorder="1" applyAlignment="1" applyProtection="1">
      <alignment horizontal="center" vertical="center" wrapText="1"/>
    </xf>
    <xf numFmtId="0" fontId="60" fillId="9" borderId="15" xfId="6" applyFont="1" applyFill="1" applyBorder="1" applyAlignment="1" applyProtection="1">
      <alignment horizontal="center" vertical="center" wrapText="1"/>
    </xf>
    <xf numFmtId="0" fontId="60" fillId="9" borderId="16" xfId="6" applyFont="1" applyFill="1" applyBorder="1" applyAlignment="1" applyProtection="1">
      <alignment horizontal="center" vertical="center" wrapText="1"/>
    </xf>
    <xf numFmtId="0" fontId="60" fillId="9" borderId="22" xfId="6" applyFont="1" applyFill="1" applyBorder="1" applyAlignment="1" applyProtection="1">
      <alignment horizontal="center" vertical="center" wrapText="1"/>
    </xf>
    <xf numFmtId="0" fontId="60" fillId="9" borderId="17" xfId="6" applyFont="1" applyFill="1" applyBorder="1" applyAlignment="1" applyProtection="1">
      <alignment horizontal="center" vertical="center" wrapText="1"/>
    </xf>
    <xf numFmtId="0" fontId="35" fillId="9" borderId="0" xfId="0" applyFont="1" applyFill="1" applyAlignment="1" applyProtection="1">
      <alignment horizontal="left" vertical="top" wrapText="1"/>
    </xf>
    <xf numFmtId="0" fontId="61" fillId="9" borderId="27" xfId="6" applyFont="1" applyFill="1" applyBorder="1" applyAlignment="1" applyProtection="1">
      <alignment horizontal="center" vertical="center" wrapText="1"/>
    </xf>
    <xf numFmtId="0" fontId="61" fillId="9" borderId="23" xfId="6" applyFont="1" applyFill="1" applyBorder="1" applyAlignment="1" applyProtection="1">
      <alignment horizontal="center" vertical="center" wrapText="1"/>
    </xf>
    <xf numFmtId="0" fontId="61" fillId="9" borderId="15" xfId="6" applyFont="1" applyFill="1" applyBorder="1" applyAlignment="1" applyProtection="1">
      <alignment horizontal="center" vertical="center" wrapText="1"/>
    </xf>
    <xf numFmtId="0" fontId="61" fillId="9" borderId="16" xfId="6" applyFont="1" applyFill="1" applyBorder="1" applyAlignment="1" applyProtection="1">
      <alignment horizontal="center" vertical="center" wrapText="1"/>
    </xf>
    <xf numFmtId="0" fontId="61" fillId="9" borderId="22" xfId="6" applyFont="1" applyFill="1" applyBorder="1" applyAlignment="1" applyProtection="1">
      <alignment horizontal="center" vertical="center" wrapText="1"/>
    </xf>
    <xf numFmtId="0" fontId="61" fillId="9" borderId="17" xfId="6" applyFont="1" applyFill="1" applyBorder="1" applyAlignment="1" applyProtection="1">
      <alignment horizontal="center" vertical="center" wrapText="1"/>
    </xf>
    <xf numFmtId="0" fontId="50" fillId="10" borderId="27" xfId="6" applyFont="1" applyFill="1" applyBorder="1" applyAlignment="1" applyProtection="1">
      <alignment horizontal="center" vertical="center" wrapText="1"/>
    </xf>
    <xf numFmtId="0" fontId="50" fillId="10" borderId="23" xfId="6" applyFont="1" applyFill="1" applyBorder="1" applyAlignment="1" applyProtection="1">
      <alignment horizontal="center" vertical="center" wrapText="1"/>
    </xf>
    <xf numFmtId="0" fontId="50" fillId="10" borderId="15" xfId="6" applyFont="1" applyFill="1" applyBorder="1" applyAlignment="1" applyProtection="1">
      <alignment horizontal="center" vertical="center" wrapText="1"/>
    </xf>
    <xf numFmtId="0" fontId="50" fillId="10" borderId="16" xfId="6" applyFont="1" applyFill="1" applyBorder="1" applyAlignment="1" applyProtection="1">
      <alignment horizontal="center" vertical="center" wrapText="1"/>
    </xf>
    <xf numFmtId="0" fontId="50" fillId="10" borderId="22" xfId="6" applyFont="1" applyFill="1" applyBorder="1" applyAlignment="1" applyProtection="1">
      <alignment horizontal="center" vertical="center" wrapText="1"/>
    </xf>
    <xf numFmtId="0" fontId="50" fillId="10" borderId="17" xfId="6" applyFont="1" applyFill="1" applyBorder="1" applyAlignment="1" applyProtection="1">
      <alignment horizontal="center" vertical="center" wrapText="1"/>
    </xf>
    <xf numFmtId="0" fontId="1" fillId="9" borderId="0" xfId="0" applyFont="1" applyFill="1" applyBorder="1" applyAlignment="1" applyProtection="1">
      <alignment horizontal="center"/>
    </xf>
    <xf numFmtId="0" fontId="1" fillId="9" borderId="27" xfId="0" applyFont="1" applyFill="1" applyBorder="1" applyAlignment="1" applyProtection="1">
      <alignment horizontal="center" vertical="center" wrapText="1"/>
    </xf>
    <xf numFmtId="0" fontId="1" fillId="9" borderId="15" xfId="0" applyFont="1" applyFill="1" applyBorder="1" applyAlignment="1" applyProtection="1">
      <alignment horizontal="center" vertical="center" wrapText="1"/>
    </xf>
    <xf numFmtId="0" fontId="1" fillId="9" borderId="16" xfId="0" applyFont="1" applyFill="1" applyBorder="1" applyAlignment="1" applyProtection="1">
      <alignment horizontal="center" vertical="center" wrapText="1"/>
    </xf>
    <xf numFmtId="0" fontId="1" fillId="9" borderId="17" xfId="0" applyFont="1" applyFill="1" applyBorder="1" applyAlignment="1" applyProtection="1">
      <alignment horizontal="center" vertical="center" wrapText="1"/>
    </xf>
    <xf numFmtId="0" fontId="32" fillId="10" borderId="0" xfId="0" applyFont="1" applyFill="1" applyBorder="1" applyAlignment="1" applyProtection="1">
      <alignment horizontal="center" vertical="center"/>
    </xf>
    <xf numFmtId="0" fontId="50" fillId="9" borderId="27" xfId="6" applyFont="1" applyFill="1" applyBorder="1" applyAlignment="1" applyProtection="1">
      <alignment horizontal="center" vertical="center" wrapText="1"/>
    </xf>
    <xf numFmtId="0" fontId="50" fillId="9" borderId="23" xfId="6" applyFont="1" applyFill="1" applyBorder="1" applyAlignment="1" applyProtection="1">
      <alignment horizontal="center" vertical="center" wrapText="1"/>
    </xf>
    <xf numFmtId="0" fontId="50" fillId="9" borderId="15" xfId="6" applyFont="1" applyFill="1" applyBorder="1" applyAlignment="1" applyProtection="1">
      <alignment horizontal="center" vertical="center" wrapText="1"/>
    </xf>
    <xf numFmtId="0" fontId="50" fillId="9" borderId="16" xfId="6" applyFont="1" applyFill="1" applyBorder="1" applyAlignment="1" applyProtection="1">
      <alignment horizontal="center" vertical="center" wrapText="1"/>
    </xf>
    <xf numFmtId="0" fontId="50" fillId="9" borderId="22" xfId="6" applyFont="1" applyFill="1" applyBorder="1" applyAlignment="1" applyProtection="1">
      <alignment horizontal="center" vertical="center" wrapText="1"/>
    </xf>
    <xf numFmtId="0" fontId="50" fillId="9" borderId="17" xfId="6" applyFont="1" applyFill="1" applyBorder="1" applyAlignment="1" applyProtection="1">
      <alignment horizontal="center" vertical="center" wrapText="1"/>
    </xf>
    <xf numFmtId="0" fontId="44" fillId="9" borderId="24" xfId="0" applyFont="1" applyFill="1" applyBorder="1" applyAlignment="1" applyProtection="1">
      <alignment horizontal="center" vertical="center"/>
    </xf>
    <xf numFmtId="0" fontId="44" fillId="9" borderId="0" xfId="0" applyFont="1" applyFill="1" applyBorder="1" applyAlignment="1" applyProtection="1">
      <alignment horizontal="center" vertical="center"/>
    </xf>
    <xf numFmtId="0" fontId="44" fillId="9" borderId="26" xfId="0" applyFont="1" applyFill="1" applyBorder="1" applyAlignment="1" applyProtection="1">
      <alignment horizontal="center" vertical="center"/>
    </xf>
    <xf numFmtId="49" fontId="0" fillId="12" borderId="0" xfId="0" applyNumberFormat="1" applyFill="1" applyBorder="1" applyAlignment="1" applyProtection="1">
      <alignment horizontal="left" vertical="top"/>
      <protection locked="0"/>
    </xf>
    <xf numFmtId="0" fontId="0" fillId="12" borderId="0" xfId="0" applyFill="1" applyBorder="1" applyAlignment="1" applyProtection="1">
      <alignment horizontal="left" vertical="top"/>
      <protection locked="0"/>
    </xf>
    <xf numFmtId="0" fontId="0" fillId="12" borderId="0" xfId="0" applyFill="1" applyAlignment="1" applyProtection="1">
      <alignment horizontal="left"/>
      <protection locked="0"/>
    </xf>
    <xf numFmtId="0" fontId="1" fillId="10" borderId="24" xfId="0" applyFont="1" applyFill="1" applyBorder="1" applyAlignment="1" applyProtection="1">
      <alignment horizontal="center" vertical="center" wrapText="1"/>
    </xf>
    <xf numFmtId="0" fontId="1" fillId="10" borderId="0" xfId="0" applyFont="1" applyFill="1" applyBorder="1" applyAlignment="1" applyProtection="1">
      <alignment horizontal="center" vertical="center" wrapText="1"/>
    </xf>
    <xf numFmtId="0" fontId="1" fillId="10" borderId="26" xfId="0" applyFont="1" applyFill="1" applyBorder="1" applyAlignment="1" applyProtection="1">
      <alignment horizontal="center" vertical="center" wrapText="1"/>
    </xf>
    <xf numFmtId="0" fontId="1" fillId="7" borderId="0" xfId="0" applyFont="1" applyFill="1" applyBorder="1" applyAlignment="1" applyProtection="1">
      <alignment horizontal="center"/>
    </xf>
    <xf numFmtId="0" fontId="1" fillId="12" borderId="0" xfId="0" applyFont="1" applyFill="1" applyBorder="1" applyAlignment="1" applyProtection="1">
      <alignment horizontal="center"/>
    </xf>
    <xf numFmtId="0" fontId="0" fillId="9" borderId="27" xfId="0" applyFill="1" applyBorder="1" applyAlignment="1" applyProtection="1">
      <alignment horizontal="left" vertical="center" wrapText="1" indent="3"/>
    </xf>
    <xf numFmtId="0" fontId="0" fillId="9" borderId="23" xfId="0" applyFill="1" applyBorder="1" applyAlignment="1" applyProtection="1">
      <alignment horizontal="left" vertical="center" wrapText="1" indent="3"/>
    </xf>
    <xf numFmtId="0" fontId="0" fillId="9" borderId="15" xfId="0" applyFill="1" applyBorder="1" applyAlignment="1" applyProtection="1">
      <alignment horizontal="left" vertical="center" wrapText="1" indent="3"/>
    </xf>
    <xf numFmtId="0" fontId="0" fillId="9" borderId="24" xfId="0" applyFill="1" applyBorder="1" applyAlignment="1" applyProtection="1">
      <alignment horizontal="left" vertical="center" wrapText="1" indent="3"/>
    </xf>
    <xf numFmtId="0" fontId="0" fillId="9" borderId="0" xfId="0" applyFill="1" applyBorder="1" applyAlignment="1" applyProtection="1">
      <alignment horizontal="left" vertical="center" wrapText="1" indent="3"/>
    </xf>
    <xf numFmtId="0" fontId="0" fillId="9" borderId="26" xfId="0" applyFill="1" applyBorder="1" applyAlignment="1" applyProtection="1">
      <alignment horizontal="left" vertical="center" wrapText="1" indent="3"/>
    </xf>
    <xf numFmtId="0" fontId="0" fillId="9" borderId="16" xfId="0" applyFill="1" applyBorder="1" applyAlignment="1" applyProtection="1">
      <alignment horizontal="left" vertical="center" wrapText="1" indent="3"/>
    </xf>
    <xf numFmtId="0" fontId="0" fillId="9" borderId="22" xfId="0" applyFill="1" applyBorder="1" applyAlignment="1" applyProtection="1">
      <alignment horizontal="left" vertical="center" wrapText="1" indent="3"/>
    </xf>
    <xf numFmtId="0" fontId="0" fillId="9" borderId="17" xfId="0" applyFill="1" applyBorder="1" applyAlignment="1" applyProtection="1">
      <alignment horizontal="left" vertical="center" wrapText="1" indent="3"/>
    </xf>
    <xf numFmtId="0" fontId="0" fillId="9" borderId="27" xfId="0" applyFont="1" applyFill="1" applyBorder="1" applyAlignment="1" applyProtection="1">
      <alignment horizontal="center" vertical="center" wrapText="1"/>
    </xf>
    <xf numFmtId="0" fontId="0" fillId="9" borderId="23" xfId="0" applyFont="1" applyFill="1" applyBorder="1" applyAlignment="1" applyProtection="1">
      <alignment horizontal="center" vertical="center" wrapText="1"/>
    </xf>
    <xf numFmtId="0" fontId="0" fillId="9" borderId="15" xfId="0" applyFont="1" applyFill="1" applyBorder="1" applyAlignment="1" applyProtection="1">
      <alignment horizontal="center" vertical="center" wrapText="1"/>
    </xf>
    <xf numFmtId="0" fontId="0" fillId="9" borderId="24" xfId="0" applyFont="1" applyFill="1" applyBorder="1" applyAlignment="1" applyProtection="1">
      <alignment horizontal="center" vertical="center" wrapText="1"/>
    </xf>
    <xf numFmtId="0" fontId="0" fillId="9" borderId="0" xfId="0" applyFont="1" applyFill="1" applyBorder="1" applyAlignment="1" applyProtection="1">
      <alignment horizontal="center" vertical="center" wrapText="1"/>
    </xf>
    <xf numFmtId="0" fontId="0" fillId="9" borderId="26" xfId="0" applyFont="1" applyFill="1" applyBorder="1" applyAlignment="1" applyProtection="1">
      <alignment horizontal="center" vertical="center" wrapText="1"/>
    </xf>
    <xf numFmtId="0" fontId="0" fillId="9" borderId="16" xfId="0" applyFont="1" applyFill="1" applyBorder="1" applyAlignment="1" applyProtection="1">
      <alignment horizontal="center" vertical="center" wrapText="1"/>
    </xf>
    <xf numFmtId="0" fontId="0" fillId="9" borderId="22" xfId="0" applyFont="1" applyFill="1" applyBorder="1" applyAlignment="1" applyProtection="1">
      <alignment horizontal="center" vertical="center" wrapText="1"/>
    </xf>
    <xf numFmtId="0" fontId="0" fillId="9" borderId="17" xfId="0" applyFont="1" applyFill="1" applyBorder="1" applyAlignment="1" applyProtection="1">
      <alignment horizontal="center" vertical="center" wrapText="1"/>
    </xf>
    <xf numFmtId="14" fontId="0" fillId="12" borderId="0" xfId="0" applyNumberFormat="1" applyFill="1" applyBorder="1" applyAlignment="1" applyProtection="1">
      <alignment horizontal="left"/>
      <protection locked="0"/>
    </xf>
    <xf numFmtId="0" fontId="32" fillId="9" borderId="0" xfId="0" applyFont="1" applyFill="1" applyBorder="1" applyAlignment="1" applyProtection="1">
      <alignment horizontal="center" vertical="center"/>
    </xf>
    <xf numFmtId="0" fontId="1" fillId="24" borderId="0" xfId="0" applyFont="1" applyFill="1" applyBorder="1" applyAlignment="1" applyProtection="1">
      <alignment horizontal="center"/>
    </xf>
    <xf numFmtId="0" fontId="1" fillId="23" borderId="0" xfId="0" applyFont="1" applyFill="1" applyBorder="1" applyAlignment="1" applyProtection="1">
      <alignment horizontal="center"/>
    </xf>
    <xf numFmtId="0" fontId="55" fillId="9" borderId="0" xfId="0" applyFont="1" applyFill="1" applyAlignment="1" applyProtection="1">
      <alignment horizontal="left" vertical="top"/>
    </xf>
    <xf numFmtId="0" fontId="35" fillId="8" borderId="0" xfId="0" applyFont="1" applyFill="1" applyBorder="1" applyAlignment="1">
      <alignment horizontal="left" vertical="top" wrapText="1"/>
    </xf>
    <xf numFmtId="0" fontId="35" fillId="12" borderId="0" xfId="0" applyFont="1" applyFill="1" applyAlignment="1" applyProtection="1">
      <alignment horizontal="left"/>
      <protection locked="0"/>
    </xf>
    <xf numFmtId="0" fontId="35" fillId="12" borderId="0" xfId="0" applyFont="1" applyFill="1" applyAlignment="1" applyProtection="1">
      <alignment horizontal="left" vertical="center" wrapText="1"/>
      <protection locked="0"/>
    </xf>
    <xf numFmtId="0" fontId="35" fillId="12" borderId="0" xfId="0" applyFont="1" applyFill="1" applyBorder="1" applyAlignment="1" applyProtection="1">
      <alignment horizontal="left" vertical="center"/>
      <protection locked="0"/>
    </xf>
    <xf numFmtId="14" fontId="35" fillId="12" borderId="0" xfId="0" applyNumberFormat="1" applyFont="1" applyFill="1" applyBorder="1" applyAlignment="1" applyProtection="1">
      <alignment horizontal="left" vertical="center"/>
      <protection locked="0"/>
    </xf>
    <xf numFmtId="0" fontId="6" fillId="9" borderId="0" xfId="0" applyFont="1" applyFill="1" applyBorder="1" applyAlignment="1">
      <alignment horizontal="left" vertical="center"/>
    </xf>
    <xf numFmtId="1" fontId="35" fillId="10" borderId="0" xfId="0" applyNumberFormat="1" applyFont="1" applyFill="1" applyAlignment="1" applyProtection="1">
      <alignment vertical="center"/>
    </xf>
    <xf numFmtId="0" fontId="35" fillId="9" borderId="0" xfId="0" applyFont="1" applyFill="1" applyAlignment="1">
      <alignment horizontal="center" vertical="center"/>
    </xf>
    <xf numFmtId="0" fontId="35" fillId="12" borderId="0" xfId="0" applyFont="1" applyFill="1" applyBorder="1" applyAlignment="1" applyProtection="1">
      <alignment horizontal="left"/>
      <protection locked="0"/>
    </xf>
    <xf numFmtId="0" fontId="4" fillId="0" borderId="0" xfId="0" applyFont="1" applyAlignment="1">
      <alignment horizontal="left" vertical="top" wrapText="1"/>
    </xf>
    <xf numFmtId="0" fontId="3" fillId="0" borderId="0" xfId="0" applyFont="1" applyAlignment="1">
      <alignment horizontal="left" vertical="center" wrapText="1"/>
    </xf>
    <xf numFmtId="0" fontId="35" fillId="10" borderId="0" xfId="0" applyFont="1" applyFill="1" applyBorder="1" applyAlignment="1">
      <alignment vertical="center"/>
    </xf>
    <xf numFmtId="0" fontId="35" fillId="10" borderId="0" xfId="0" applyFont="1" applyFill="1" applyBorder="1" applyAlignment="1">
      <alignment horizontal="left" vertical="center"/>
    </xf>
    <xf numFmtId="0" fontId="35" fillId="12" borderId="0" xfId="0" applyFont="1" applyFill="1" applyBorder="1" applyAlignment="1" applyProtection="1">
      <alignment horizontal="left" vertical="center" wrapText="1"/>
      <protection locked="0"/>
    </xf>
    <xf numFmtId="0" fontId="1" fillId="10" borderId="27" xfId="6" applyFont="1" applyFill="1" applyBorder="1" applyAlignment="1" applyProtection="1">
      <alignment horizontal="center" vertical="center"/>
    </xf>
    <xf numFmtId="0" fontId="1" fillId="10" borderId="15" xfId="6" applyFont="1" applyFill="1" applyBorder="1" applyAlignment="1" applyProtection="1">
      <alignment horizontal="center" vertical="center"/>
    </xf>
    <xf numFmtId="0" fontId="1" fillId="10" borderId="16" xfId="6" applyFont="1" applyFill="1" applyBorder="1" applyAlignment="1" applyProtection="1">
      <alignment horizontal="center" vertical="center"/>
    </xf>
    <xf numFmtId="0" fontId="1" fillId="10" borderId="17" xfId="6" applyFont="1" applyFill="1" applyBorder="1" applyAlignment="1" applyProtection="1">
      <alignment horizontal="center" vertical="center"/>
    </xf>
    <xf numFmtId="0" fontId="45" fillId="12" borderId="0" xfId="0" applyFont="1" applyFill="1" applyBorder="1" applyAlignment="1" applyProtection="1">
      <alignment horizontal="left" vertical="top"/>
      <protection locked="0"/>
    </xf>
    <xf numFmtId="0" fontId="35" fillId="9" borderId="0" xfId="0" applyFont="1" applyFill="1" applyBorder="1" applyAlignment="1">
      <alignment horizontal="left" vertical="center"/>
    </xf>
    <xf numFmtId="0" fontId="45" fillId="9" borderId="0" xfId="0" applyFont="1" applyFill="1" applyBorder="1" applyAlignment="1">
      <alignment horizontal="left" vertical="top" wrapText="1"/>
    </xf>
    <xf numFmtId="0" fontId="35" fillId="9" borderId="0" xfId="0" applyFont="1" applyFill="1" applyBorder="1" applyAlignment="1">
      <alignment horizontal="left" vertical="top" wrapText="1"/>
    </xf>
    <xf numFmtId="0" fontId="35" fillId="9" borderId="0" xfId="0" applyFont="1" applyFill="1" applyBorder="1" applyAlignment="1">
      <alignment horizontal="center" vertical="center"/>
    </xf>
    <xf numFmtId="0" fontId="35" fillId="9" borderId="26" xfId="0" applyFont="1" applyFill="1" applyBorder="1" applyAlignment="1">
      <alignment horizontal="center" vertical="center"/>
    </xf>
    <xf numFmtId="0" fontId="68" fillId="9" borderId="0" xfId="0" applyFont="1" applyFill="1" applyAlignment="1" applyProtection="1">
      <alignment horizontal="left" vertical="top" wrapText="1"/>
    </xf>
    <xf numFmtId="0" fontId="35" fillId="9" borderId="0" xfId="1" applyNumberFormat="1" applyFont="1" applyFill="1" applyAlignment="1">
      <alignment horizontal="center" vertical="center"/>
    </xf>
    <xf numFmtId="0" fontId="35" fillId="10" borderId="0" xfId="1" applyNumberFormat="1" applyFont="1" applyFill="1" applyAlignment="1">
      <alignment horizontal="left" vertical="center"/>
    </xf>
    <xf numFmtId="0" fontId="35" fillId="9" borderId="0" xfId="0" applyFont="1" applyFill="1" applyAlignment="1">
      <alignment horizontal="left" wrapText="1"/>
    </xf>
    <xf numFmtId="0" fontId="6" fillId="9" borderId="0" xfId="0" applyFont="1" applyFill="1" applyAlignment="1">
      <alignment horizontal="left" vertical="center"/>
    </xf>
    <xf numFmtId="49" fontId="35" fillId="12" borderId="0" xfId="0" applyNumberFormat="1" applyFont="1" applyFill="1" applyAlignment="1" applyProtection="1">
      <alignment horizontal="left" vertical="center"/>
      <protection locked="0"/>
    </xf>
    <xf numFmtId="0" fontId="72" fillId="9" borderId="0" xfId="0" applyFont="1" applyFill="1" applyAlignment="1" applyProtection="1">
      <alignment horizontal="left" vertical="top" wrapText="1"/>
    </xf>
    <xf numFmtId="0" fontId="55" fillId="9" borderId="0" xfId="0" applyFont="1" applyFill="1" applyAlignment="1" applyProtection="1">
      <alignment horizontal="left" vertical="top" wrapText="1"/>
    </xf>
    <xf numFmtId="0" fontId="3" fillId="9" borderId="0" xfId="0" applyFont="1" applyFill="1" applyAlignment="1">
      <alignment vertical="center" wrapText="1"/>
    </xf>
    <xf numFmtId="0" fontId="35" fillId="12" borderId="0" xfId="0" applyFont="1" applyFill="1" applyBorder="1" applyAlignment="1" applyProtection="1">
      <alignment horizontal="center" vertical="center"/>
      <protection locked="0"/>
    </xf>
    <xf numFmtId="0" fontId="35" fillId="12" borderId="0" xfId="0" applyFont="1" applyFill="1" applyAlignment="1" applyProtection="1">
      <alignment horizontal="left" vertical="center"/>
      <protection locked="0"/>
    </xf>
    <xf numFmtId="0" fontId="35" fillId="12" borderId="0" xfId="0" applyFont="1" applyFill="1" applyAlignment="1" applyProtection="1">
      <alignment horizontal="left" vertical="top"/>
      <protection locked="0"/>
    </xf>
    <xf numFmtId="14" fontId="35" fillId="12" borderId="0" xfId="0" applyNumberFormat="1" applyFont="1" applyFill="1" applyAlignment="1" applyProtection="1">
      <alignment horizontal="left" vertical="center"/>
      <protection locked="0"/>
    </xf>
    <xf numFmtId="0" fontId="24" fillId="9" borderId="0" xfId="0" applyFont="1" applyFill="1" applyAlignment="1">
      <alignment horizontal="right" vertical="top" wrapText="1"/>
    </xf>
    <xf numFmtId="0" fontId="55" fillId="9" borderId="0" xfId="0" applyFont="1" applyFill="1" applyAlignment="1">
      <alignment horizontal="center" vertical="center"/>
    </xf>
    <xf numFmtId="0" fontId="35" fillId="10" borderId="0" xfId="1" applyNumberFormat="1" applyFont="1" applyFill="1" applyAlignment="1">
      <alignment horizontal="right" vertical="center"/>
    </xf>
    <xf numFmtId="0" fontId="35" fillId="12" borderId="0" xfId="0" applyFont="1" applyFill="1" applyAlignment="1" applyProtection="1">
      <alignment horizontal="center"/>
      <protection locked="0"/>
    </xf>
    <xf numFmtId="1" fontId="35" fillId="10" borderId="0" xfId="0" applyNumberFormat="1" applyFont="1" applyFill="1" applyAlignment="1" applyProtection="1">
      <alignment horizontal="left" vertical="center"/>
    </xf>
    <xf numFmtId="0" fontId="55" fillId="9" borderId="0" xfId="0" applyFont="1" applyFill="1" applyAlignment="1">
      <alignment horizontal="left" vertical="top" wrapText="1"/>
    </xf>
    <xf numFmtId="0" fontId="55" fillId="9" borderId="0" xfId="0" applyFont="1" applyFill="1" applyAlignment="1">
      <alignment horizontal="left"/>
    </xf>
    <xf numFmtId="0" fontId="72" fillId="9" borderId="0" xfId="0" applyFont="1" applyFill="1" applyAlignment="1">
      <alignment horizontal="left" vertical="top"/>
    </xf>
    <xf numFmtId="0" fontId="35" fillId="9" borderId="0" xfId="0" applyFont="1" applyFill="1" applyAlignment="1">
      <alignment horizontal="left" vertical="top" wrapText="1"/>
    </xf>
    <xf numFmtId="0" fontId="35" fillId="10" borderId="0" xfId="0" applyFont="1" applyFill="1" applyAlignment="1">
      <alignment horizontal="left" vertical="center"/>
    </xf>
    <xf numFmtId="0" fontId="45" fillId="9" borderId="0" xfId="0" applyFont="1" applyFill="1" applyAlignment="1">
      <alignment horizontal="left" vertical="top" wrapText="1"/>
    </xf>
    <xf numFmtId="0" fontId="45" fillId="12" borderId="0" xfId="0" applyFont="1" applyFill="1" applyAlignment="1" applyProtection="1">
      <alignment horizontal="left" vertical="top" wrapText="1"/>
      <protection locked="0"/>
    </xf>
    <xf numFmtId="0" fontId="35" fillId="9" borderId="0" xfId="0" applyFont="1" applyFill="1" applyAlignment="1">
      <alignment horizontal="left" vertical="center" indent="1"/>
    </xf>
    <xf numFmtId="0" fontId="35" fillId="9" borderId="0" xfId="0" applyFont="1" applyFill="1" applyAlignment="1">
      <alignment horizontal="left" vertical="top" wrapText="1" indent="1"/>
    </xf>
    <xf numFmtId="0" fontId="55" fillId="9" borderId="0" xfId="0" applyFont="1" applyFill="1" applyAlignment="1">
      <alignment horizontal="left" vertical="top"/>
    </xf>
    <xf numFmtId="0" fontId="35" fillId="9" borderId="0" xfId="0" applyFont="1" applyFill="1" applyAlignment="1">
      <alignment horizontal="left" vertical="center" indent="2"/>
    </xf>
    <xf numFmtId="49" fontId="35" fillId="10" borderId="0" xfId="0" applyNumberFormat="1" applyFont="1" applyFill="1" applyBorder="1" applyAlignment="1">
      <alignment vertical="center"/>
    </xf>
    <xf numFmtId="14" fontId="35" fillId="12" borderId="0" xfId="0" applyNumberFormat="1" applyFont="1" applyFill="1" applyAlignment="1" applyProtection="1">
      <alignment horizontal="center" vertical="center"/>
      <protection locked="0"/>
    </xf>
    <xf numFmtId="0" fontId="9" fillId="12" borderId="0" xfId="0" applyFont="1" applyFill="1" applyAlignment="1" applyProtection="1">
      <alignment horizontal="left"/>
      <protection locked="0"/>
    </xf>
    <xf numFmtId="0" fontId="35" fillId="16" borderId="0" xfId="0" applyFont="1" applyFill="1" applyAlignment="1" applyProtection="1">
      <alignment horizontal="left" vertical="top" wrapText="1"/>
      <protection locked="0"/>
    </xf>
    <xf numFmtId="14" fontId="35" fillId="16" borderId="0" xfId="0" applyNumberFormat="1" applyFont="1" applyFill="1" applyAlignment="1" applyProtection="1">
      <alignment horizontal="left" vertical="center"/>
      <protection locked="0"/>
    </xf>
    <xf numFmtId="0" fontId="35" fillId="15" borderId="0" xfId="0" applyFont="1" applyFill="1" applyAlignment="1">
      <alignment horizontal="left" vertical="center"/>
    </xf>
    <xf numFmtId="0" fontId="35" fillId="15" borderId="0" xfId="0" applyFont="1" applyFill="1" applyAlignment="1">
      <alignment horizontal="center" vertical="center"/>
    </xf>
    <xf numFmtId="0" fontId="35" fillId="16" borderId="0" xfId="0" applyFont="1" applyFill="1" applyAlignment="1" applyProtection="1">
      <alignment horizontal="left" vertical="center" wrapText="1"/>
      <protection locked="0"/>
    </xf>
    <xf numFmtId="0" fontId="6" fillId="15" borderId="0" xfId="0" applyFont="1" applyFill="1" applyAlignment="1">
      <alignment horizontal="left" vertical="center"/>
    </xf>
    <xf numFmtId="0" fontId="35" fillId="15" borderId="0" xfId="0" applyFont="1" applyFill="1" applyAlignment="1">
      <alignment horizontal="left" vertical="center" wrapText="1"/>
    </xf>
    <xf numFmtId="9" fontId="35" fillId="15" borderId="0" xfId="0" applyNumberFormat="1" applyFont="1" applyFill="1" applyAlignment="1">
      <alignment horizontal="center" vertical="center"/>
    </xf>
    <xf numFmtId="0" fontId="35" fillId="16" borderId="0" xfId="0" applyFont="1" applyFill="1" applyAlignment="1" applyProtection="1">
      <alignment horizontal="left" vertical="center"/>
      <protection locked="0"/>
    </xf>
    <xf numFmtId="0" fontId="35" fillId="15" borderId="0" xfId="0" applyFont="1" applyFill="1" applyAlignment="1">
      <alignment horizontal="left" wrapText="1"/>
    </xf>
    <xf numFmtId="0" fontId="35" fillId="16" borderId="0" xfId="0" applyFont="1" applyFill="1" applyAlignment="1" applyProtection="1">
      <alignment horizontal="left"/>
      <protection locked="0"/>
    </xf>
    <xf numFmtId="0" fontId="55" fillId="15" borderId="0" xfId="0" applyFont="1" applyFill="1" applyAlignment="1">
      <alignment horizontal="left" vertical="top" wrapText="1"/>
    </xf>
    <xf numFmtId="0" fontId="55" fillId="15" borderId="0" xfId="0" applyFont="1" applyFill="1" applyAlignment="1">
      <alignment horizontal="left" vertical="top"/>
    </xf>
    <xf numFmtId="0" fontId="35" fillId="27" borderId="0" xfId="0" applyFont="1" applyFill="1" applyAlignment="1" applyProtection="1">
      <alignment horizontal="left" vertical="center"/>
      <protection locked="0"/>
    </xf>
    <xf numFmtId="0" fontId="72" fillId="15" borderId="0" xfId="0" applyFont="1" applyFill="1" applyAlignment="1">
      <alignment horizontal="left" vertical="top"/>
    </xf>
    <xf numFmtId="0" fontId="35" fillId="8" borderId="0" xfId="0" applyFont="1" applyFill="1" applyAlignment="1">
      <alignment horizontal="left" vertical="top" wrapText="1"/>
    </xf>
    <xf numFmtId="0" fontId="35" fillId="12" borderId="0" xfId="0" applyNumberFormat="1" applyFont="1" applyFill="1" applyAlignment="1" applyProtection="1">
      <alignment horizontal="left" vertical="center"/>
      <protection locked="0"/>
    </xf>
    <xf numFmtId="0" fontId="35" fillId="12" borderId="0" xfId="0" applyFont="1" applyFill="1" applyAlignment="1" applyProtection="1">
      <alignment horizontal="center" vertical="center"/>
      <protection locked="0"/>
    </xf>
    <xf numFmtId="49" fontId="35" fillId="12" borderId="0" xfId="0" applyNumberFormat="1" applyFont="1" applyFill="1" applyAlignment="1" applyProtection="1">
      <alignment horizontal="center" vertical="center"/>
      <protection locked="0"/>
    </xf>
    <xf numFmtId="2" fontId="35" fillId="12" borderId="0" xfId="0" applyNumberFormat="1" applyFont="1" applyFill="1" applyAlignment="1" applyProtection="1">
      <alignment horizontal="left" vertical="center"/>
      <protection locked="0"/>
    </xf>
    <xf numFmtId="0" fontId="35" fillId="10" borderId="0" xfId="0" applyFont="1" applyFill="1" applyAlignment="1">
      <alignment vertical="center"/>
    </xf>
    <xf numFmtId="0" fontId="55" fillId="9" borderId="0" xfId="0" applyFont="1" applyFill="1" applyAlignment="1">
      <alignment horizontal="left" wrapText="1"/>
    </xf>
    <xf numFmtId="2" fontId="35" fillId="12" borderId="0" xfId="0" applyNumberFormat="1" applyFont="1" applyFill="1" applyAlignment="1" applyProtection="1">
      <alignment horizontal="left"/>
      <protection locked="0"/>
    </xf>
    <xf numFmtId="0" fontId="35" fillId="9" borderId="0" xfId="0" applyFont="1" applyFill="1" applyBorder="1" applyAlignment="1">
      <alignment horizontal="left" wrapText="1"/>
    </xf>
    <xf numFmtId="0" fontId="35" fillId="12" borderId="0" xfId="0" applyFont="1" applyFill="1" applyBorder="1" applyAlignment="1" applyProtection="1">
      <alignment horizontal="center"/>
      <protection locked="0"/>
    </xf>
    <xf numFmtId="0" fontId="35" fillId="9" borderId="0" xfId="0" applyFont="1" applyFill="1" applyAlignment="1">
      <alignment horizontal="left" vertical="center"/>
    </xf>
    <xf numFmtId="0" fontId="35" fillId="9" borderId="0" xfId="0" applyFont="1" applyFill="1" applyBorder="1" applyAlignment="1">
      <alignment horizontal="left" vertical="center" wrapText="1"/>
    </xf>
    <xf numFmtId="0" fontId="24" fillId="9" borderId="0" xfId="0" applyFont="1" applyFill="1" applyAlignment="1">
      <alignment horizontal="left" vertical="top" wrapText="1"/>
    </xf>
    <xf numFmtId="1" fontId="35" fillId="12" borderId="0" xfId="1" applyNumberFormat="1" applyFont="1" applyFill="1" applyAlignment="1" applyProtection="1">
      <alignment horizontal="left" vertical="center"/>
      <protection locked="0"/>
    </xf>
    <xf numFmtId="0" fontId="24" fillId="9" borderId="22" xfId="0" applyFont="1" applyFill="1" applyBorder="1" applyAlignment="1">
      <alignment horizontal="left" vertical="top"/>
    </xf>
    <xf numFmtId="0" fontId="35" fillId="9" borderId="0" xfId="0" applyFont="1" applyFill="1" applyBorder="1" applyAlignment="1">
      <alignment horizontal="left" vertical="center" wrapText="1" indent="4"/>
    </xf>
    <xf numFmtId="0" fontId="1" fillId="10" borderId="13" xfId="6" applyFont="1" applyFill="1" applyBorder="1" applyAlignment="1" applyProtection="1">
      <alignment horizontal="center" vertical="center"/>
    </xf>
    <xf numFmtId="0" fontId="1" fillId="10" borderId="24" xfId="6" applyFont="1" applyFill="1" applyBorder="1" applyAlignment="1" applyProtection="1">
      <alignment horizontal="center" vertical="center"/>
    </xf>
    <xf numFmtId="0" fontId="1" fillId="10" borderId="26" xfId="6" applyFont="1" applyFill="1" applyBorder="1" applyAlignment="1" applyProtection="1">
      <alignment horizontal="center" vertical="center"/>
    </xf>
    <xf numFmtId="0" fontId="35" fillId="9" borderId="0" xfId="0" applyFont="1" applyFill="1" applyBorder="1" applyAlignment="1">
      <alignment horizontal="left" vertical="top" indent="5"/>
    </xf>
    <xf numFmtId="0" fontId="35" fillId="9" borderId="26" xfId="0" applyFont="1" applyFill="1" applyBorder="1" applyAlignment="1">
      <alignment horizontal="left" vertical="top" indent="5"/>
    </xf>
    <xf numFmtId="0" fontId="35" fillId="9" borderId="24" xfId="0" applyFont="1" applyFill="1" applyBorder="1" applyAlignment="1" applyProtection="1">
      <alignment horizontal="left" vertical="center" wrapText="1" indent="2"/>
      <protection hidden="1"/>
    </xf>
    <xf numFmtId="0" fontId="35" fillId="9" borderId="0" xfId="0" applyFont="1" applyFill="1" applyBorder="1" applyAlignment="1" applyProtection="1">
      <alignment horizontal="left" vertical="center" wrapText="1" indent="2"/>
      <protection hidden="1"/>
    </xf>
    <xf numFmtId="0" fontId="35" fillId="9" borderId="26" xfId="0" applyFont="1" applyFill="1" applyBorder="1" applyAlignment="1" applyProtection="1">
      <alignment horizontal="left" vertical="center" wrapText="1" indent="2"/>
      <protection hidden="1"/>
    </xf>
    <xf numFmtId="14" fontId="35" fillId="12" borderId="0" xfId="0" applyNumberFormat="1" applyFont="1" applyFill="1" applyBorder="1" applyAlignment="1" applyProtection="1">
      <alignment horizontal="center" vertical="center"/>
      <protection locked="0"/>
    </xf>
    <xf numFmtId="0" fontId="35" fillId="17" borderId="0" xfId="0" applyFont="1" applyFill="1" applyAlignment="1">
      <alignment horizontal="left" vertical="center"/>
    </xf>
    <xf numFmtId="0" fontId="35" fillId="15" borderId="0" xfId="0" applyFont="1" applyFill="1" applyAlignment="1">
      <alignment horizontal="center" vertical="center" wrapText="1"/>
    </xf>
    <xf numFmtId="0" fontId="35" fillId="15" borderId="24" xfId="0" applyFont="1" applyFill="1" applyBorder="1" applyAlignment="1">
      <alignment horizontal="left" indent="1"/>
    </xf>
    <xf numFmtId="0" fontId="35" fillId="15" borderId="0" xfId="0" applyFont="1" applyFill="1" applyBorder="1" applyAlignment="1">
      <alignment horizontal="left" indent="1"/>
    </xf>
    <xf numFmtId="14" fontId="35" fillId="25" borderId="0" xfId="0" applyNumberFormat="1" applyFont="1" applyFill="1" applyAlignment="1" applyProtection="1">
      <alignment vertical="center"/>
    </xf>
    <xf numFmtId="0" fontId="50" fillId="10" borderId="27" xfId="6" applyFont="1" applyFill="1" applyBorder="1" applyAlignment="1" applyProtection="1">
      <alignment horizontal="center" vertical="center"/>
    </xf>
    <xf numFmtId="0" fontId="50" fillId="10" borderId="15" xfId="6" applyFont="1" applyFill="1" applyBorder="1" applyAlignment="1" applyProtection="1">
      <alignment horizontal="center" vertical="center"/>
    </xf>
    <xf numFmtId="0" fontId="50" fillId="10" borderId="16" xfId="6" applyFont="1" applyFill="1" applyBorder="1" applyAlignment="1" applyProtection="1">
      <alignment horizontal="center" vertical="center"/>
    </xf>
    <xf numFmtId="0" fontId="50" fillId="10" borderId="17" xfId="6" applyFont="1" applyFill="1" applyBorder="1" applyAlignment="1" applyProtection="1">
      <alignment horizontal="center" vertical="center"/>
    </xf>
    <xf numFmtId="49" fontId="35" fillId="16" borderId="0" xfId="0" applyNumberFormat="1" applyFont="1" applyFill="1" applyAlignment="1" applyProtection="1">
      <alignment horizontal="left" vertical="center"/>
      <protection locked="0"/>
    </xf>
    <xf numFmtId="1" fontId="35" fillId="10" borderId="0" xfId="0" applyNumberFormat="1" applyFont="1" applyFill="1" applyAlignment="1">
      <alignment horizontal="left" vertical="center"/>
    </xf>
    <xf numFmtId="0" fontId="50" fillId="10" borderId="24" xfId="6" applyFont="1" applyFill="1" applyBorder="1" applyAlignment="1" applyProtection="1">
      <alignment horizontal="center" vertical="center"/>
    </xf>
    <xf numFmtId="0" fontId="50" fillId="10" borderId="26" xfId="6" applyFont="1" applyFill="1" applyBorder="1" applyAlignment="1" applyProtection="1">
      <alignment horizontal="center" vertical="center"/>
    </xf>
    <xf numFmtId="0" fontId="50" fillId="10" borderId="23" xfId="6" applyFont="1" applyFill="1" applyBorder="1" applyAlignment="1" applyProtection="1">
      <alignment horizontal="center" vertical="center"/>
    </xf>
    <xf numFmtId="0" fontId="50" fillId="10" borderId="22" xfId="6" applyFont="1" applyFill="1" applyBorder="1" applyAlignment="1" applyProtection="1">
      <alignment horizontal="center" vertical="center"/>
    </xf>
    <xf numFmtId="0" fontId="59" fillId="9" borderId="0" xfId="0" applyFont="1" applyFill="1" applyBorder="1" applyAlignment="1">
      <alignment horizontal="center"/>
    </xf>
    <xf numFmtId="2" fontId="35" fillId="12" borderId="0" xfId="0" applyNumberFormat="1" applyFont="1" applyFill="1" applyBorder="1" applyAlignment="1" applyProtection="1">
      <alignment horizontal="center" vertical="center"/>
      <protection locked="0"/>
    </xf>
    <xf numFmtId="0" fontId="3" fillId="9" borderId="0" xfId="0" applyFont="1" applyFill="1" applyAlignment="1" applyProtection="1">
      <alignment horizontal="left" vertical="center" wrapText="1"/>
    </xf>
    <xf numFmtId="0" fontId="35" fillId="10" borderId="0" xfId="0" applyFont="1" applyFill="1" applyAlignment="1" applyProtection="1">
      <alignment horizontal="left" vertical="center"/>
    </xf>
    <xf numFmtId="0" fontId="1" fillId="9" borderId="0" xfId="0" applyFont="1" applyFill="1" applyAlignment="1">
      <alignment horizontal="center" vertical="center"/>
    </xf>
    <xf numFmtId="0" fontId="59" fillId="9" borderId="26" xfId="0" applyFont="1" applyFill="1" applyBorder="1" applyAlignment="1">
      <alignment horizontal="center"/>
    </xf>
    <xf numFmtId="0" fontId="4" fillId="9" borderId="0" xfId="0" applyFont="1" applyFill="1" applyAlignment="1" applyProtection="1">
      <alignment horizontal="left" vertical="top" wrapText="1"/>
    </xf>
    <xf numFmtId="44" fontId="35" fillId="10" borderId="0" xfId="4" applyFont="1" applyFill="1" applyBorder="1" applyAlignment="1" applyProtection="1">
      <alignment horizontal="center" vertical="center"/>
    </xf>
    <xf numFmtId="0" fontId="6" fillId="9" borderId="24" xfId="0" applyFont="1" applyFill="1" applyBorder="1" applyAlignment="1" applyProtection="1">
      <alignment horizontal="center"/>
    </xf>
    <xf numFmtId="0" fontId="6" fillId="9" borderId="0" xfId="0" applyFont="1" applyFill="1" applyBorder="1" applyAlignment="1" applyProtection="1">
      <alignment horizontal="center"/>
    </xf>
    <xf numFmtId="0" fontId="6" fillId="9" borderId="26" xfId="0" applyFont="1" applyFill="1" applyBorder="1" applyAlignment="1" applyProtection="1">
      <alignment horizontal="center"/>
    </xf>
    <xf numFmtId="0" fontId="35" fillId="9" borderId="24" xfId="0" applyFont="1" applyFill="1" applyBorder="1" applyAlignment="1" applyProtection="1">
      <alignment horizontal="center" vertical="center"/>
    </xf>
    <xf numFmtId="0" fontId="35" fillId="9" borderId="0" xfId="0" applyFont="1" applyFill="1" applyBorder="1" applyAlignment="1" applyProtection="1">
      <alignment horizontal="center" vertical="center"/>
    </xf>
    <xf numFmtId="0" fontId="9" fillId="0" borderId="1" xfId="0" applyFont="1" applyBorder="1" applyAlignment="1" applyProtection="1">
      <alignment horizontal="right" shrinkToFit="1"/>
    </xf>
    <xf numFmtId="0" fontId="9" fillId="0" borderId="2" xfId="0" applyFont="1" applyBorder="1" applyAlignment="1" applyProtection="1">
      <alignment horizontal="right" shrinkToFit="1"/>
    </xf>
    <xf numFmtId="0" fontId="9" fillId="0" borderId="9" xfId="0" applyFont="1" applyBorder="1" applyAlignment="1" applyProtection="1">
      <alignment horizontal="right" shrinkToFit="1"/>
    </xf>
    <xf numFmtId="1" fontId="9" fillId="12" borderId="1" xfId="0" applyNumberFormat="1" applyFont="1" applyFill="1" applyBorder="1" applyAlignment="1" applyProtection="1">
      <alignment horizontal="center"/>
    </xf>
    <xf numFmtId="1" fontId="9" fillId="12" borderId="9" xfId="0" applyNumberFormat="1" applyFont="1" applyFill="1" applyBorder="1" applyAlignment="1" applyProtection="1">
      <alignment horizontal="center"/>
    </xf>
    <xf numFmtId="4" fontId="6" fillId="10" borderId="1" xfId="1" applyNumberFormat="1" applyFont="1" applyFill="1" applyBorder="1" applyAlignment="1" applyProtection="1">
      <alignment horizontal="center"/>
    </xf>
    <xf numFmtId="4" fontId="6" fillId="10" borderId="9" xfId="1" applyNumberFormat="1" applyFont="1" applyFill="1" applyBorder="1" applyAlignment="1" applyProtection="1">
      <alignment horizontal="center"/>
    </xf>
    <xf numFmtId="0" fontId="9" fillId="12" borderId="8" xfId="0" applyFont="1" applyFill="1" applyBorder="1" applyAlignment="1" applyProtection="1">
      <alignment horizontal="left" wrapText="1" shrinkToFit="1"/>
    </xf>
    <xf numFmtId="0" fontId="9" fillId="12" borderId="11" xfId="0" applyFont="1" applyFill="1" applyBorder="1" applyAlignment="1" applyProtection="1">
      <alignment horizontal="left" shrinkToFit="1"/>
    </xf>
    <xf numFmtId="0" fontId="9" fillId="12" borderId="5" xfId="0" applyFont="1" applyFill="1" applyBorder="1" applyAlignment="1" applyProtection="1">
      <alignment horizontal="left" shrinkToFit="1"/>
    </xf>
    <xf numFmtId="0" fontId="9" fillId="10" borderId="6" xfId="0" applyFont="1" applyFill="1" applyBorder="1" applyAlignment="1" applyProtection="1">
      <alignment horizontal="left" shrinkToFit="1"/>
    </xf>
    <xf numFmtId="0" fontId="9" fillId="10" borderId="10" xfId="0" applyFont="1" applyFill="1" applyBorder="1" applyAlignment="1" applyProtection="1">
      <alignment horizontal="left" shrinkToFit="1"/>
    </xf>
    <xf numFmtId="0" fontId="9" fillId="10" borderId="3" xfId="0" applyFont="1" applyFill="1" applyBorder="1" applyAlignment="1" applyProtection="1">
      <alignment horizontal="left" shrinkToFit="1"/>
    </xf>
    <xf numFmtId="0" fontId="9" fillId="10" borderId="1" xfId="0" applyFont="1" applyFill="1" applyBorder="1" applyAlignment="1" applyProtection="1">
      <alignment horizontal="left" shrinkToFit="1"/>
      <protection hidden="1"/>
    </xf>
    <xf numFmtId="0" fontId="9" fillId="10" borderId="2" xfId="0" applyFont="1" applyFill="1" applyBorder="1" applyAlignment="1" applyProtection="1">
      <alignment horizontal="left" shrinkToFit="1"/>
      <protection hidden="1"/>
    </xf>
    <xf numFmtId="0" fontId="9" fillId="10" borderId="9" xfId="0" applyFont="1" applyFill="1" applyBorder="1" applyAlignment="1" applyProtection="1">
      <alignment horizontal="left" shrinkToFit="1"/>
      <protection hidden="1"/>
    </xf>
    <xf numFmtId="0" fontId="22" fillId="0" borderId="1" xfId="0" applyFont="1" applyBorder="1" applyAlignment="1" applyProtection="1">
      <alignment horizontal="right" shrinkToFit="1"/>
    </xf>
    <xf numFmtId="0" fontId="22" fillId="0" borderId="2" xfId="0" applyFont="1" applyBorder="1" applyAlignment="1" applyProtection="1">
      <alignment horizontal="right" shrinkToFit="1"/>
    </xf>
    <xf numFmtId="0" fontId="22" fillId="0" borderId="9" xfId="0" applyFont="1" applyBorder="1" applyAlignment="1" applyProtection="1">
      <alignment horizontal="right" shrinkToFit="1"/>
    </xf>
    <xf numFmtId="2" fontId="21" fillId="10" borderId="1" xfId="0" applyNumberFormat="1" applyFont="1" applyFill="1" applyBorder="1" applyAlignment="1" applyProtection="1">
      <alignment horizontal="center"/>
    </xf>
    <xf numFmtId="2" fontId="21" fillId="10" borderId="9" xfId="0" applyNumberFormat="1" applyFont="1" applyFill="1" applyBorder="1" applyAlignment="1" applyProtection="1">
      <alignment horizontal="center"/>
    </xf>
    <xf numFmtId="0" fontId="63" fillId="0" borderId="0" xfId="0" applyFont="1" applyBorder="1" applyAlignment="1" applyProtection="1">
      <alignment horizontal="left" vertical="top" wrapText="1"/>
    </xf>
    <xf numFmtId="49" fontId="66" fillId="0" borderId="27" xfId="0" applyNumberFormat="1" applyFont="1" applyBorder="1" applyAlignment="1" applyProtection="1">
      <alignment horizontal="center"/>
    </xf>
    <xf numFmtId="49" fontId="66" fillId="0" borderId="15" xfId="0" applyNumberFormat="1" applyFont="1" applyBorder="1" applyAlignment="1" applyProtection="1">
      <alignment horizontal="center"/>
    </xf>
    <xf numFmtId="165" fontId="25" fillId="10" borderId="12" xfId="1" applyNumberFormat="1" applyFont="1" applyFill="1" applyBorder="1" applyAlignment="1" applyProtection="1">
      <alignment horizontal="left" shrinkToFit="1"/>
    </xf>
    <xf numFmtId="165" fontId="25" fillId="10" borderId="14" xfId="1" applyNumberFormat="1" applyFont="1" applyFill="1" applyBorder="1" applyAlignment="1" applyProtection="1">
      <alignment horizontal="left" shrinkToFit="1"/>
    </xf>
    <xf numFmtId="49" fontId="9" fillId="12" borderId="0" xfId="0" applyNumberFormat="1" applyFont="1" applyFill="1" applyAlignment="1" applyProtection="1"/>
    <xf numFmtId="0" fontId="9" fillId="0" borderId="0" xfId="0" applyFont="1" applyAlignment="1" applyProtection="1">
      <alignment horizontal="right"/>
    </xf>
    <xf numFmtId="0" fontId="9" fillId="0" borderId="4" xfId="0" applyFont="1" applyBorder="1" applyAlignment="1" applyProtection="1">
      <alignment horizontal="right"/>
    </xf>
    <xf numFmtId="0" fontId="9" fillId="12" borderId="6" xfId="0" applyFont="1" applyFill="1" applyBorder="1" applyAlignment="1" applyProtection="1">
      <alignment horizontal="left" shrinkToFit="1"/>
    </xf>
    <xf numFmtId="0" fontId="9" fillId="12" borderId="10" xfId="0" applyFont="1" applyFill="1" applyBorder="1" applyAlignment="1" applyProtection="1">
      <alignment horizontal="left" shrinkToFit="1"/>
    </xf>
    <xf numFmtId="0" fontId="9" fillId="12" borderId="3" xfId="0" applyFont="1" applyFill="1" applyBorder="1" applyAlignment="1" applyProtection="1">
      <alignment horizontal="left" shrinkToFit="1"/>
    </xf>
    <xf numFmtId="0" fontId="9" fillId="12" borderId="7" xfId="0" applyFont="1" applyFill="1" applyBorder="1" applyAlignment="1" applyProtection="1">
      <alignment horizontal="left" shrinkToFit="1"/>
    </xf>
    <xf numFmtId="0" fontId="9" fillId="12" borderId="0" xfId="0" applyFont="1" applyFill="1" applyAlignment="1" applyProtection="1">
      <alignment horizontal="left" shrinkToFit="1"/>
    </xf>
    <xf numFmtId="0" fontId="9" fillId="12" borderId="4" xfId="0" applyFont="1" applyFill="1" applyBorder="1" applyAlignment="1" applyProtection="1">
      <alignment horizontal="left" shrinkToFit="1"/>
    </xf>
    <xf numFmtId="0" fontId="9" fillId="12" borderId="8" xfId="0" applyFont="1" applyFill="1" applyBorder="1" applyAlignment="1" applyProtection="1">
      <alignment horizontal="left" shrinkToFit="1"/>
    </xf>
    <xf numFmtId="2" fontId="9" fillId="0" borderId="6" xfId="0" applyNumberFormat="1" applyFont="1" applyBorder="1" applyAlignment="1" applyProtection="1">
      <alignment horizontal="center" vertical="center" wrapText="1"/>
    </xf>
    <xf numFmtId="2" fontId="9" fillId="0" borderId="10" xfId="0" applyNumberFormat="1" applyFont="1" applyBorder="1" applyAlignment="1" applyProtection="1">
      <alignment horizontal="center" vertical="center" wrapText="1"/>
    </xf>
    <xf numFmtId="2" fontId="9" fillId="0" borderId="7" xfId="0" applyNumberFormat="1" applyFont="1" applyBorder="1" applyAlignment="1" applyProtection="1">
      <alignment horizontal="center" vertical="center" wrapText="1"/>
    </xf>
    <xf numFmtId="2" fontId="9" fillId="0" borderId="0" xfId="0" applyNumberFormat="1" applyFont="1" applyBorder="1" applyAlignment="1" applyProtection="1">
      <alignment horizontal="center" vertical="center" wrapText="1"/>
    </xf>
    <xf numFmtId="0" fontId="9" fillId="0" borderId="1" xfId="0" quotePrefix="1" applyFont="1" applyBorder="1" applyAlignment="1" applyProtection="1">
      <alignment horizontal="right"/>
    </xf>
    <xf numFmtId="0" fontId="9" fillId="0" borderId="2" xfId="0" quotePrefix="1" applyFont="1" applyBorder="1" applyAlignment="1" applyProtection="1">
      <alignment horizontal="right"/>
    </xf>
    <xf numFmtId="0" fontId="9" fillId="0" borderId="9" xfId="0" quotePrefix="1" applyFont="1" applyBorder="1" applyAlignment="1" applyProtection="1">
      <alignment horizontal="right"/>
    </xf>
    <xf numFmtId="0" fontId="13" fillId="0" borderId="1" xfId="0" applyFont="1" applyBorder="1" applyAlignment="1" applyProtection="1">
      <alignment horizontal="left" shrinkToFit="1"/>
    </xf>
    <xf numFmtId="0" fontId="13" fillId="0" borderId="2" xfId="0" applyFont="1" applyBorder="1" applyAlignment="1" applyProtection="1">
      <alignment horizontal="left" shrinkToFit="1"/>
    </xf>
    <xf numFmtId="0" fontId="13" fillId="0" borderId="9" xfId="0" applyFont="1" applyBorder="1" applyAlignment="1" applyProtection="1">
      <alignment horizontal="left" shrinkToFit="1"/>
    </xf>
    <xf numFmtId="0" fontId="35" fillId="0" borderId="0" xfId="0" applyFont="1" applyAlignment="1" applyProtection="1">
      <alignment horizontal="left" shrinkToFit="1"/>
    </xf>
    <xf numFmtId="0" fontId="35" fillId="12" borderId="0" xfId="0" applyFont="1" applyFill="1" applyAlignment="1" applyProtection="1">
      <alignment horizontal="left" vertical="top" wrapText="1"/>
    </xf>
    <xf numFmtId="0" fontId="9" fillId="16" borderId="0" xfId="0" quotePrefix="1" applyFont="1" applyFill="1" applyAlignment="1" applyProtection="1">
      <alignment horizontal="center" vertical="center"/>
    </xf>
    <xf numFmtId="0" fontId="9" fillId="16" borderId="0" xfId="0" applyFont="1" applyFill="1" applyAlignment="1" applyProtection="1">
      <alignment horizontal="center" vertical="center"/>
    </xf>
    <xf numFmtId="0" fontId="9" fillId="18" borderId="0" xfId="0" applyFont="1" applyFill="1" applyAlignment="1" applyProtection="1">
      <alignment horizontal="center" vertical="center"/>
    </xf>
    <xf numFmtId="0" fontId="3" fillId="15" borderId="0" xfId="0" applyFont="1" applyFill="1" applyAlignment="1" applyProtection="1">
      <alignment horizontal="left" vertical="top" wrapText="1"/>
    </xf>
    <xf numFmtId="0" fontId="35" fillId="17" borderId="0" xfId="0" applyFont="1" applyFill="1" applyAlignment="1" applyProtection="1">
      <alignment horizontal="left" vertical="center"/>
    </xf>
    <xf numFmtId="14" fontId="35" fillId="12" borderId="0" xfId="0" applyNumberFormat="1" applyFont="1" applyFill="1" applyAlignment="1" applyProtection="1">
      <alignment horizontal="left" vertical="center"/>
    </xf>
    <xf numFmtId="1" fontId="6" fillId="17" borderId="0" xfId="3" applyNumberFormat="1" applyFont="1" applyFill="1" applyAlignment="1" applyProtection="1">
      <alignment horizontal="center" vertical="center"/>
    </xf>
    <xf numFmtId="4" fontId="6" fillId="17" borderId="0" xfId="1" applyNumberFormat="1" applyFont="1" applyFill="1" applyBorder="1" applyAlignment="1" applyProtection="1">
      <alignment horizontal="center" vertical="center"/>
    </xf>
    <xf numFmtId="10" fontId="6" fillId="17" borderId="0" xfId="5" applyNumberFormat="1" applyFont="1" applyFill="1" applyBorder="1" applyAlignment="1" applyProtection="1">
      <alignment horizontal="center" vertical="center"/>
    </xf>
    <xf numFmtId="1" fontId="6" fillId="18" borderId="0" xfId="3" applyNumberFormat="1" applyFont="1" applyFill="1" applyAlignment="1" applyProtection="1">
      <alignment horizontal="center" vertical="center"/>
    </xf>
    <xf numFmtId="4" fontId="6" fillId="18" borderId="0" xfId="1" applyNumberFormat="1" applyFont="1" applyFill="1" applyBorder="1" applyAlignment="1" applyProtection="1">
      <alignment horizontal="center" vertical="center"/>
    </xf>
    <xf numFmtId="14" fontId="35" fillId="17" borderId="0" xfId="0" applyNumberFormat="1" applyFont="1" applyFill="1" applyAlignment="1" applyProtection="1">
      <alignment horizontal="center" vertical="center"/>
    </xf>
    <xf numFmtId="14" fontId="35" fillId="16" borderId="0" xfId="0" applyNumberFormat="1" applyFont="1" applyFill="1" applyAlignment="1" applyProtection="1">
      <alignment horizontal="center" vertical="center"/>
    </xf>
    <xf numFmtId="0" fontId="9" fillId="19" borderId="0" xfId="0" applyFont="1" applyFill="1" applyAlignment="1" applyProtection="1">
      <alignment horizontal="left" vertical="center"/>
    </xf>
    <xf numFmtId="4" fontId="9" fillId="16" borderId="0" xfId="1" applyNumberFormat="1" applyFont="1" applyFill="1" applyBorder="1" applyAlignment="1" applyProtection="1">
      <alignment horizontal="center" vertical="center"/>
    </xf>
    <xf numFmtId="0" fontId="9" fillId="20" borderId="0" xfId="0" applyFont="1" applyFill="1" applyAlignment="1" applyProtection="1">
      <alignment horizontal="left" vertical="center"/>
    </xf>
    <xf numFmtId="1" fontId="52" fillId="17" borderId="0" xfId="3" applyNumberFormat="1" applyFont="1" applyFill="1" applyAlignment="1" applyProtection="1">
      <alignment horizontal="center" vertical="center"/>
    </xf>
    <xf numFmtId="4" fontId="52" fillId="17" borderId="0" xfId="1" applyNumberFormat="1" applyFont="1" applyFill="1" applyBorder="1" applyAlignment="1" applyProtection="1">
      <alignment horizontal="center" vertical="center"/>
    </xf>
    <xf numFmtId="0" fontId="35" fillId="12" borderId="0" xfId="0" applyFont="1" applyFill="1" applyAlignment="1" applyProtection="1">
      <alignment horizontal="left" vertical="top"/>
    </xf>
    <xf numFmtId="2" fontId="9" fillId="16" borderId="0" xfId="0" quotePrefix="1" applyNumberFormat="1" applyFont="1" applyFill="1" applyAlignment="1" applyProtection="1">
      <alignment horizontal="center" vertical="center"/>
    </xf>
    <xf numFmtId="0" fontId="9" fillId="17" borderId="0" xfId="0" applyFont="1" applyFill="1" applyAlignment="1" applyProtection="1">
      <alignment horizontal="center" vertical="center"/>
    </xf>
    <xf numFmtId="0" fontId="35" fillId="15" borderId="0" xfId="0" applyFont="1" applyFill="1" applyAlignment="1" applyProtection="1">
      <alignment horizontal="left" vertical="center"/>
    </xf>
    <xf numFmtId="0" fontId="35" fillId="15" borderId="0" xfId="0" applyFont="1" applyFill="1" applyAlignment="1">
      <alignment horizontal="left" vertical="top" wrapText="1"/>
    </xf>
    <xf numFmtId="0" fontId="9" fillId="17" borderId="0" xfId="0" applyFont="1" applyFill="1" applyAlignment="1" applyProtection="1">
      <alignment horizontal="left" vertical="center"/>
    </xf>
    <xf numFmtId="0" fontId="9" fillId="21" borderId="0" xfId="0" applyFont="1" applyFill="1" applyAlignment="1" applyProtection="1">
      <alignment horizontal="center" vertical="center"/>
    </xf>
    <xf numFmtId="0" fontId="52" fillId="26" borderId="0" xfId="3" applyFont="1" applyFill="1" applyAlignment="1" applyProtection="1">
      <alignment horizontal="center" vertical="center"/>
    </xf>
    <xf numFmtId="40" fontId="75" fillId="28" borderId="0" xfId="1" applyFont="1" applyFill="1" applyBorder="1" applyAlignment="1" applyProtection="1">
      <alignment horizontal="center"/>
    </xf>
    <xf numFmtId="0" fontId="52" fillId="29" borderId="0" xfId="3" applyFont="1" applyFill="1" applyAlignment="1" applyProtection="1">
      <alignment horizontal="center" vertical="center"/>
    </xf>
    <xf numFmtId="0" fontId="9" fillId="15" borderId="0" xfId="0" applyFont="1" applyFill="1" applyAlignment="1" applyProtection="1">
      <alignment horizontal="left" vertical="top" wrapText="1"/>
    </xf>
    <xf numFmtId="0" fontId="9" fillId="17" borderId="0" xfId="0" applyFont="1" applyFill="1" applyAlignment="1" applyProtection="1">
      <alignment horizontal="center" vertical="top" wrapText="1"/>
    </xf>
    <xf numFmtId="0" fontId="9" fillId="17" borderId="0" xfId="0" applyFont="1" applyFill="1" applyAlignment="1" applyProtection="1">
      <alignment horizontal="center" vertical="center" wrapText="1"/>
    </xf>
    <xf numFmtId="0" fontId="9" fillId="21" borderId="26" xfId="0" applyFont="1" applyFill="1" applyBorder="1" applyAlignment="1" applyProtection="1">
      <alignment horizontal="center" vertical="center"/>
    </xf>
    <xf numFmtId="4" fontId="9" fillId="18" borderId="0" xfId="1" applyNumberFormat="1" applyFont="1" applyFill="1" applyBorder="1" applyAlignment="1" applyProtection="1">
      <alignment horizontal="center" vertical="center"/>
    </xf>
    <xf numFmtId="1" fontId="9" fillId="17" borderId="0" xfId="3" applyNumberFormat="1" applyFill="1" applyAlignment="1" applyProtection="1">
      <alignment horizontal="center" vertical="center"/>
    </xf>
    <xf numFmtId="49" fontId="9" fillId="16" borderId="0" xfId="0" quotePrefix="1" applyNumberFormat="1" applyFont="1" applyFill="1" applyAlignment="1" applyProtection="1">
      <alignment horizontal="center" vertical="center"/>
    </xf>
    <xf numFmtId="0" fontId="0" fillId="5" borderId="12" xfId="0" applyFont="1" applyFill="1" applyBorder="1" applyAlignment="1">
      <alignment horizontal="left"/>
    </xf>
    <xf numFmtId="0" fontId="0" fillId="5" borderId="28" xfId="0" applyFont="1" applyFill="1" applyBorder="1" applyAlignment="1">
      <alignment horizontal="left"/>
    </xf>
    <xf numFmtId="0" fontId="0" fillId="5" borderId="14" xfId="0" applyFont="1" applyFill="1" applyBorder="1" applyAlignment="1">
      <alignment horizontal="left"/>
    </xf>
    <xf numFmtId="0" fontId="39" fillId="8" borderId="0" xfId="0" applyFont="1" applyFill="1" applyAlignment="1">
      <alignment horizontal="center" vertical="center" wrapText="1"/>
    </xf>
  </cellXfs>
  <cellStyles count="7">
    <cellStyle name="Komma" xfId="1" builtinId="3"/>
    <cellStyle name="Link" xfId="6" builtinId="8"/>
    <cellStyle name="Prozent" xfId="5" builtinId="5"/>
    <cellStyle name="Standard" xfId="0" builtinId="0"/>
    <cellStyle name="Standard 2" xfId="2"/>
    <cellStyle name="Standard_Lohntabellenrechner_BL_2010 2" xfId="3"/>
    <cellStyle name="Währung" xfId="4" builtinId="4"/>
  </cellStyles>
  <dxfs count="187">
    <dxf>
      <font>
        <color rgb="FF9C0006"/>
      </font>
      <fill>
        <patternFill>
          <bgColor rgb="FFFFC7CE"/>
        </patternFill>
      </fill>
    </dxf>
    <dxf>
      <fill>
        <patternFill>
          <bgColor theme="0"/>
        </patternFill>
      </fill>
    </dxf>
    <dxf>
      <fill>
        <patternFill>
          <bgColor rgb="FF00B050"/>
        </patternFill>
      </fill>
    </dxf>
    <dxf>
      <fill>
        <patternFill>
          <bgColor theme="0"/>
        </patternFill>
      </fill>
    </dxf>
    <dxf>
      <fill>
        <patternFill>
          <bgColor rgb="FF00B050"/>
        </patternFill>
      </fill>
    </dxf>
    <dxf>
      <fill>
        <patternFill>
          <bgColor rgb="FFFFFFFF"/>
        </patternFill>
      </fill>
    </dxf>
    <dxf>
      <fill>
        <patternFill>
          <bgColor rgb="FF00B050"/>
        </patternFill>
      </fill>
    </dxf>
    <dxf>
      <fill>
        <patternFill>
          <bgColor rgb="FFFF0000"/>
        </patternFill>
      </fill>
    </dxf>
    <dxf>
      <font>
        <color theme="0"/>
      </font>
      <fill>
        <patternFill>
          <bgColor theme="0"/>
        </patternFill>
      </fill>
    </dxf>
    <dxf>
      <fill>
        <patternFill>
          <bgColor theme="0"/>
        </patternFill>
      </fill>
    </dxf>
    <dxf>
      <fill>
        <patternFill>
          <bgColor rgb="FF00B050"/>
        </patternFill>
      </fill>
    </dxf>
    <dxf>
      <fill>
        <patternFill>
          <bgColor theme="0"/>
        </patternFill>
      </fill>
    </dxf>
    <dxf>
      <fill>
        <patternFill>
          <bgColor rgb="FF00B050"/>
        </patternFill>
      </fill>
    </dxf>
    <dxf>
      <fill>
        <patternFill>
          <bgColor rgb="FFDA9694"/>
        </patternFill>
      </fill>
    </dxf>
    <dxf>
      <fill>
        <patternFill>
          <bgColor rgb="FFFFFFFF"/>
        </patternFill>
      </fill>
    </dxf>
    <dxf>
      <fill>
        <patternFill>
          <bgColor rgb="FF00B050"/>
        </patternFill>
      </fill>
    </dxf>
    <dxf>
      <fill>
        <patternFill>
          <bgColor rgb="FFFFFFFF"/>
        </patternFill>
      </fill>
    </dxf>
    <dxf>
      <fill>
        <patternFill>
          <bgColor rgb="FF00B050"/>
        </patternFill>
      </fill>
    </dxf>
    <dxf>
      <fill>
        <patternFill>
          <bgColor theme="0"/>
        </patternFill>
      </fill>
    </dxf>
    <dxf>
      <fill>
        <patternFill>
          <bgColor rgb="FF00B050"/>
        </patternFill>
      </fill>
    </dxf>
    <dxf>
      <fill>
        <patternFill>
          <bgColor theme="0"/>
        </patternFill>
      </fill>
    </dxf>
    <dxf>
      <fill>
        <patternFill>
          <bgColor rgb="FF00B050"/>
        </patternFill>
      </fill>
    </dxf>
    <dxf>
      <fill>
        <patternFill>
          <bgColor rgb="FFFFFFFF"/>
        </patternFill>
      </fill>
    </dxf>
    <dxf>
      <fill>
        <patternFill>
          <bgColor rgb="FF00B050"/>
        </patternFill>
      </fill>
    </dxf>
    <dxf>
      <fill>
        <patternFill>
          <bgColor rgb="FFFF0000"/>
        </patternFill>
      </fill>
    </dxf>
    <dxf>
      <fill>
        <patternFill>
          <bgColor rgb="FFFF0000"/>
        </patternFill>
      </fill>
    </dxf>
    <dxf>
      <fill>
        <patternFill>
          <bgColor rgb="FFBFBFBF"/>
        </patternFill>
      </fill>
    </dxf>
    <dxf>
      <font>
        <color rgb="FFFF0000"/>
      </font>
    </dxf>
    <dxf>
      <font>
        <color theme="0" tint="-4.9989318521683403E-2"/>
      </font>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ont>
        <color theme="0"/>
      </font>
    </dxf>
    <dxf>
      <font>
        <color theme="0"/>
      </font>
    </dxf>
    <dxf>
      <font>
        <color theme="0" tint="-4.9989318521683403E-2"/>
      </font>
    </dxf>
    <dxf>
      <font>
        <color theme="0"/>
      </font>
    </dxf>
    <dxf>
      <font>
        <color theme="0" tint="-4.9989318521683403E-2"/>
      </font>
    </dxf>
    <dxf>
      <font>
        <color theme="0" tint="-4.9989318521683403E-2"/>
      </font>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indexed="13"/>
        </patternFill>
      </fill>
    </dxf>
    <dxf>
      <fill>
        <patternFill>
          <bgColor indexed="22"/>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indexed="10"/>
        </patternFill>
      </fill>
    </dxf>
    <dxf>
      <fill>
        <patternFill>
          <bgColor indexed="10"/>
        </patternFill>
      </fill>
    </dxf>
    <dxf>
      <fill>
        <patternFill>
          <bgColor indexed="10"/>
        </patternFill>
      </fill>
    </dxf>
    <dxf>
      <fill>
        <patternFill>
          <bgColor indexed="13"/>
        </patternFill>
      </fill>
    </dxf>
    <dxf>
      <fill>
        <patternFill>
          <bgColor indexed="13"/>
        </patternFill>
      </fill>
    </dxf>
    <dxf>
      <font>
        <condense val="0"/>
        <extend val="0"/>
        <color indexed="8"/>
      </font>
      <fill>
        <patternFill>
          <bgColor indexed="22"/>
        </patternFill>
      </fill>
    </dxf>
    <dxf>
      <fill>
        <patternFill>
          <bgColor indexed="10"/>
        </patternFill>
      </fill>
    </dxf>
    <dxf>
      <fill>
        <patternFill>
          <bgColor indexed="10"/>
        </patternFill>
      </fill>
    </dxf>
    <dxf>
      <font>
        <condense val="0"/>
        <extend val="0"/>
        <color indexed="9"/>
      </font>
      <fill>
        <patternFill>
          <bgColor indexed="9"/>
        </patternFill>
      </fill>
    </dxf>
    <dxf>
      <fill>
        <patternFill>
          <bgColor indexed="22"/>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ill>
        <patternFill>
          <bgColor rgb="FFFF0000"/>
        </patternFill>
      </fill>
    </dxf>
    <dxf>
      <font>
        <color theme="0"/>
      </font>
      <fill>
        <patternFill>
          <bgColor rgb="FFFF0000"/>
        </patternFill>
      </fill>
      <border>
        <left/>
        <right/>
        <top/>
        <bottom/>
      </border>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ill>
        <patternFill>
          <bgColor rgb="FFFF0000"/>
        </patternFill>
      </fill>
    </dxf>
    <dxf>
      <font>
        <color theme="0"/>
      </font>
    </dxf>
    <dxf>
      <font>
        <color theme="0"/>
      </font>
    </dxf>
    <dxf>
      <fill>
        <patternFill patternType="solid">
          <bgColor theme="0"/>
        </patternFill>
      </fill>
    </dxf>
    <dxf>
      <fill>
        <patternFill patternType="solid">
          <bgColor theme="0"/>
        </patternFill>
      </fill>
    </dxf>
    <dxf>
      <fill>
        <patternFill patternType="solid">
          <bgColor theme="0"/>
        </patternFill>
      </fill>
    </dxf>
    <dxf>
      <fill>
        <patternFill>
          <bgColor rgb="FFFF0000"/>
        </patternFill>
      </fill>
    </dxf>
    <dxf>
      <font>
        <color theme="0"/>
      </font>
      <fill>
        <patternFill>
          <bgColor theme="0"/>
        </patternFill>
      </fill>
    </dxf>
    <dxf>
      <fill>
        <patternFill>
          <bgColor rgb="FFFF0000"/>
        </patternFill>
      </fill>
    </dxf>
    <dxf>
      <font>
        <color theme="0"/>
      </font>
      <fill>
        <patternFill>
          <bgColor theme="0"/>
        </patternFill>
      </fill>
    </dxf>
    <dxf>
      <fill>
        <patternFill>
          <bgColor rgb="FFFF000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 Id="rId35"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6.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23</xdr:col>
      <xdr:colOff>160020</xdr:colOff>
      <xdr:row>1</xdr:row>
      <xdr:rowOff>83820</xdr:rowOff>
    </xdr:from>
    <xdr:to>
      <xdr:col>28</xdr:col>
      <xdr:colOff>262890</xdr:colOff>
      <xdr:row>3</xdr:row>
      <xdr:rowOff>148590</xdr:rowOff>
    </xdr:to>
    <xdr:pic>
      <xdr:nvPicPr>
        <xdr:cNvPr id="2" name="Grafik 3">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71960" y="243840"/>
          <a:ext cx="1826895" cy="384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8</xdr:col>
      <xdr:colOff>876300</xdr:colOff>
      <xdr:row>1</xdr:row>
      <xdr:rowOff>106680</xdr:rowOff>
    </xdr:from>
    <xdr:to>
      <xdr:col>12</xdr:col>
      <xdr:colOff>27940</xdr:colOff>
      <xdr:row>3</xdr:row>
      <xdr:rowOff>125730</xdr:rowOff>
    </xdr:to>
    <xdr:pic>
      <xdr:nvPicPr>
        <xdr:cNvPr id="7" name="Grafik 3">
          <a:extLst>
            <a:ext uri="{FF2B5EF4-FFF2-40B4-BE49-F238E27FC236}">
              <a16:creationId xmlns:a16="http://schemas.microsoft.com/office/drawing/2014/main" id="{00000000-0008-0000-0A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33900" y="271780"/>
          <a:ext cx="183134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absolute">
        <xdr:from>
          <xdr:col>8</xdr:col>
          <xdr:colOff>295275</xdr:colOff>
          <xdr:row>52</xdr:row>
          <xdr:rowOff>142875</xdr:rowOff>
        </xdr:from>
        <xdr:to>
          <xdr:col>12</xdr:col>
          <xdr:colOff>0</xdr:colOff>
          <xdr:row>54</xdr:row>
          <xdr:rowOff>66675</xdr:rowOff>
        </xdr:to>
        <xdr:sp macro="" textlink="">
          <xdr:nvSpPr>
            <xdr:cNvPr id="366596" name="Check Box 4" hidden="1">
              <a:extLst>
                <a:ext uri="{63B3BB69-23CF-44E3-9099-C40C66FF867C}">
                  <a14:compatExt spid="_x0000_s366596"/>
                </a:ext>
                <a:ext uri="{FF2B5EF4-FFF2-40B4-BE49-F238E27FC236}">
                  <a16:creationId xmlns:a16="http://schemas.microsoft.com/office/drawing/2014/main" id="{00000000-0008-0000-0A00-0000049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4</xdr:col>
          <xdr:colOff>47625</xdr:colOff>
          <xdr:row>61</xdr:row>
          <xdr:rowOff>0</xdr:rowOff>
        </xdr:from>
        <xdr:to>
          <xdr:col>7</xdr:col>
          <xdr:colOff>257175</xdr:colOff>
          <xdr:row>62</xdr:row>
          <xdr:rowOff>66675</xdr:rowOff>
        </xdr:to>
        <xdr:sp macro="" textlink="">
          <xdr:nvSpPr>
            <xdr:cNvPr id="366597" name="Check Box 5" hidden="1">
              <a:extLst>
                <a:ext uri="{63B3BB69-23CF-44E3-9099-C40C66FF867C}">
                  <a14:compatExt spid="_x0000_s366597"/>
                </a:ext>
                <a:ext uri="{FF2B5EF4-FFF2-40B4-BE49-F238E27FC236}">
                  <a16:creationId xmlns:a16="http://schemas.microsoft.com/office/drawing/2014/main" id="{00000000-0008-0000-0A00-0000059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47625</xdr:colOff>
          <xdr:row>60</xdr:row>
          <xdr:rowOff>104775</xdr:rowOff>
        </xdr:from>
        <xdr:to>
          <xdr:col>7</xdr:col>
          <xdr:colOff>219075</xdr:colOff>
          <xdr:row>62</xdr:row>
          <xdr:rowOff>19050</xdr:rowOff>
        </xdr:to>
        <xdr:sp macro="" textlink="">
          <xdr:nvSpPr>
            <xdr:cNvPr id="402433" name="Check Box 1" hidden="1">
              <a:extLst>
                <a:ext uri="{63B3BB69-23CF-44E3-9099-C40C66FF867C}">
                  <a14:compatExt spid="_x0000_s402433"/>
                </a:ext>
                <a:ext uri="{FF2B5EF4-FFF2-40B4-BE49-F238E27FC236}">
                  <a16:creationId xmlns:a16="http://schemas.microsoft.com/office/drawing/2014/main" id="{00000000-0008-0000-0B00-000001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895350</xdr:colOff>
          <xdr:row>30</xdr:row>
          <xdr:rowOff>152400</xdr:rowOff>
        </xdr:from>
        <xdr:to>
          <xdr:col>11</xdr:col>
          <xdr:colOff>514350</xdr:colOff>
          <xdr:row>32</xdr:row>
          <xdr:rowOff>19050</xdr:rowOff>
        </xdr:to>
        <xdr:sp macro="" textlink="">
          <xdr:nvSpPr>
            <xdr:cNvPr id="402435" name="Check Box 3" hidden="1">
              <a:extLst>
                <a:ext uri="{63B3BB69-23CF-44E3-9099-C40C66FF867C}">
                  <a14:compatExt spid="_x0000_s402435"/>
                </a:ext>
                <a:ext uri="{FF2B5EF4-FFF2-40B4-BE49-F238E27FC236}">
                  <a16:creationId xmlns:a16="http://schemas.microsoft.com/office/drawing/2014/main" id="{00000000-0008-0000-0B00-000003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55</xdr:row>
          <xdr:rowOff>66675</xdr:rowOff>
        </xdr:from>
        <xdr:to>
          <xdr:col>7</xdr:col>
          <xdr:colOff>466725</xdr:colOff>
          <xdr:row>58</xdr:row>
          <xdr:rowOff>66675</xdr:rowOff>
        </xdr:to>
        <xdr:sp macro="" textlink="">
          <xdr:nvSpPr>
            <xdr:cNvPr id="402436" name="Check Box 4" hidden="1">
              <a:extLst>
                <a:ext uri="{63B3BB69-23CF-44E3-9099-C40C66FF867C}">
                  <a14:compatExt spid="_x0000_s402436"/>
                </a:ext>
                <a:ext uri="{FF2B5EF4-FFF2-40B4-BE49-F238E27FC236}">
                  <a16:creationId xmlns:a16="http://schemas.microsoft.com/office/drawing/2014/main" id="{00000000-0008-0000-0B00-000004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66</xdr:row>
          <xdr:rowOff>66675</xdr:rowOff>
        </xdr:from>
        <xdr:to>
          <xdr:col>9</xdr:col>
          <xdr:colOff>752475</xdr:colOff>
          <xdr:row>68</xdr:row>
          <xdr:rowOff>47625</xdr:rowOff>
        </xdr:to>
        <xdr:sp macro="" textlink="">
          <xdr:nvSpPr>
            <xdr:cNvPr id="402437" name="Check Box 5" hidden="1">
              <a:extLst>
                <a:ext uri="{63B3BB69-23CF-44E3-9099-C40C66FF867C}">
                  <a14:compatExt spid="_x0000_s402437"/>
                </a:ext>
                <a:ext uri="{FF2B5EF4-FFF2-40B4-BE49-F238E27FC236}">
                  <a16:creationId xmlns:a16="http://schemas.microsoft.com/office/drawing/2014/main" id="{00000000-0008-0000-0B00-000005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46</xdr:row>
          <xdr:rowOff>19050</xdr:rowOff>
        </xdr:from>
        <xdr:to>
          <xdr:col>9</xdr:col>
          <xdr:colOff>866775</xdr:colOff>
          <xdr:row>48</xdr:row>
          <xdr:rowOff>47625</xdr:rowOff>
        </xdr:to>
        <xdr:sp macro="" textlink="">
          <xdr:nvSpPr>
            <xdr:cNvPr id="402438" name="Check Box 6" hidden="1">
              <a:extLst>
                <a:ext uri="{63B3BB69-23CF-44E3-9099-C40C66FF867C}">
                  <a14:compatExt spid="_x0000_s402438"/>
                </a:ext>
                <a:ext uri="{FF2B5EF4-FFF2-40B4-BE49-F238E27FC236}">
                  <a16:creationId xmlns:a16="http://schemas.microsoft.com/office/drawing/2014/main" id="{00000000-0008-0000-0B00-000006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952500</xdr:colOff>
          <xdr:row>50</xdr:row>
          <xdr:rowOff>142875</xdr:rowOff>
        </xdr:from>
        <xdr:to>
          <xdr:col>11</xdr:col>
          <xdr:colOff>666750</xdr:colOff>
          <xdr:row>52</xdr:row>
          <xdr:rowOff>19050</xdr:rowOff>
        </xdr:to>
        <xdr:sp macro="" textlink="">
          <xdr:nvSpPr>
            <xdr:cNvPr id="402440" name="Check Box 8" hidden="1">
              <a:extLst>
                <a:ext uri="{63B3BB69-23CF-44E3-9099-C40C66FF867C}">
                  <a14:compatExt spid="_x0000_s402440"/>
                </a:ext>
                <a:ext uri="{FF2B5EF4-FFF2-40B4-BE49-F238E27FC236}">
                  <a16:creationId xmlns:a16="http://schemas.microsoft.com/office/drawing/2014/main" id="{00000000-0008-0000-0B00-000008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628650</xdr:colOff>
          <xdr:row>50</xdr:row>
          <xdr:rowOff>142875</xdr:rowOff>
        </xdr:from>
        <xdr:to>
          <xdr:col>7</xdr:col>
          <xdr:colOff>628650</xdr:colOff>
          <xdr:row>52</xdr:row>
          <xdr:rowOff>19050</xdr:rowOff>
        </xdr:to>
        <xdr:sp macro="" textlink="">
          <xdr:nvSpPr>
            <xdr:cNvPr id="402441" name="Check Box 9" hidden="1">
              <a:extLst>
                <a:ext uri="{63B3BB69-23CF-44E3-9099-C40C66FF867C}">
                  <a14:compatExt spid="_x0000_s402441"/>
                </a:ext>
                <a:ext uri="{FF2B5EF4-FFF2-40B4-BE49-F238E27FC236}">
                  <a16:creationId xmlns:a16="http://schemas.microsoft.com/office/drawing/2014/main" id="{00000000-0008-0000-0B00-000009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18</xdr:row>
          <xdr:rowOff>28575</xdr:rowOff>
        </xdr:from>
        <xdr:to>
          <xdr:col>9</xdr:col>
          <xdr:colOff>695325</xdr:colOff>
          <xdr:row>20</xdr:row>
          <xdr:rowOff>47625</xdr:rowOff>
        </xdr:to>
        <xdr:sp macro="" textlink="">
          <xdr:nvSpPr>
            <xdr:cNvPr id="402443" name="Check Box 11" hidden="1">
              <a:extLst>
                <a:ext uri="{63B3BB69-23CF-44E3-9099-C40C66FF867C}">
                  <a14:compatExt spid="_x0000_s402443"/>
                </a:ext>
                <a:ext uri="{FF2B5EF4-FFF2-40B4-BE49-F238E27FC236}">
                  <a16:creationId xmlns:a16="http://schemas.microsoft.com/office/drawing/2014/main" id="{00000000-0008-0000-0B00-00000B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9</xdr:col>
      <xdr:colOff>969010</xdr:colOff>
      <xdr:row>0</xdr:row>
      <xdr:rowOff>102870</xdr:rowOff>
    </xdr:from>
    <xdr:to>
      <xdr:col>13</xdr:col>
      <xdr:colOff>3810</xdr:colOff>
      <xdr:row>2</xdr:row>
      <xdr:rowOff>137160</xdr:rowOff>
    </xdr:to>
    <xdr:pic>
      <xdr:nvPicPr>
        <xdr:cNvPr id="13" name="Grafik 3">
          <a:extLst>
            <a:ext uri="{FF2B5EF4-FFF2-40B4-BE49-F238E27FC236}">
              <a16:creationId xmlns:a16="http://schemas.microsoft.com/office/drawing/2014/main" id="{00000000-0008-0000-0B00-00000D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18710" y="102870"/>
          <a:ext cx="1873250" cy="3771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3</xdr:col>
          <xdr:colOff>47625</xdr:colOff>
          <xdr:row>62</xdr:row>
          <xdr:rowOff>114300</xdr:rowOff>
        </xdr:from>
        <xdr:to>
          <xdr:col>5</xdr:col>
          <xdr:colOff>457200</xdr:colOff>
          <xdr:row>64</xdr:row>
          <xdr:rowOff>57150</xdr:rowOff>
        </xdr:to>
        <xdr:sp macro="" textlink="">
          <xdr:nvSpPr>
            <xdr:cNvPr id="402445" name="Check Box 13" hidden="1">
              <a:extLst>
                <a:ext uri="{63B3BB69-23CF-44E3-9099-C40C66FF867C}">
                  <a14:compatExt spid="_x0000_s402445"/>
                </a:ext>
                <a:ext uri="{FF2B5EF4-FFF2-40B4-BE49-F238E27FC236}">
                  <a16:creationId xmlns:a16="http://schemas.microsoft.com/office/drawing/2014/main" id="{00000000-0008-0000-0B00-00000D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952500</xdr:colOff>
          <xdr:row>43</xdr:row>
          <xdr:rowOff>0</xdr:rowOff>
        </xdr:from>
        <xdr:to>
          <xdr:col>11</xdr:col>
          <xdr:colOff>571500</xdr:colOff>
          <xdr:row>44</xdr:row>
          <xdr:rowOff>28575</xdr:rowOff>
        </xdr:to>
        <xdr:sp macro="" textlink="">
          <xdr:nvSpPr>
            <xdr:cNvPr id="402446" name="Check Box 14" hidden="1">
              <a:extLst>
                <a:ext uri="{63B3BB69-23CF-44E3-9099-C40C66FF867C}">
                  <a14:compatExt spid="_x0000_s402446"/>
                </a:ext>
                <a:ext uri="{FF2B5EF4-FFF2-40B4-BE49-F238E27FC236}">
                  <a16:creationId xmlns:a16="http://schemas.microsoft.com/office/drawing/2014/main" id="{00000000-0008-0000-0B00-00000E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34</xdr:row>
          <xdr:rowOff>57150</xdr:rowOff>
        </xdr:from>
        <xdr:to>
          <xdr:col>11</xdr:col>
          <xdr:colOff>714375</xdr:colOff>
          <xdr:row>36</xdr:row>
          <xdr:rowOff>57150</xdr:rowOff>
        </xdr:to>
        <xdr:sp macro="" textlink="">
          <xdr:nvSpPr>
            <xdr:cNvPr id="402447" name="Check Box 15" hidden="1">
              <a:extLst>
                <a:ext uri="{63B3BB69-23CF-44E3-9099-C40C66FF867C}">
                  <a14:compatExt spid="_x0000_s402447"/>
                </a:ext>
                <a:ext uri="{FF2B5EF4-FFF2-40B4-BE49-F238E27FC236}">
                  <a16:creationId xmlns:a16="http://schemas.microsoft.com/office/drawing/2014/main" id="{00000000-0008-0000-0B00-00000F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editAs="oneCell">
    <xdr:from>
      <xdr:col>8</xdr:col>
      <xdr:colOff>1130300</xdr:colOff>
      <xdr:row>0</xdr:row>
      <xdr:rowOff>116205</xdr:rowOff>
    </xdr:from>
    <xdr:to>
      <xdr:col>11</xdr:col>
      <xdr:colOff>165100</xdr:colOff>
      <xdr:row>2</xdr:row>
      <xdr:rowOff>74930</xdr:rowOff>
    </xdr:to>
    <xdr:pic>
      <xdr:nvPicPr>
        <xdr:cNvPr id="3" name="Grafik 3">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02175" y="116205"/>
          <a:ext cx="1749425" cy="368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absolute">
        <xdr:from>
          <xdr:col>8</xdr:col>
          <xdr:colOff>285750</xdr:colOff>
          <xdr:row>45</xdr:row>
          <xdr:rowOff>104775</xdr:rowOff>
        </xdr:from>
        <xdr:to>
          <xdr:col>10</xdr:col>
          <xdr:colOff>762000</xdr:colOff>
          <xdr:row>47</xdr:row>
          <xdr:rowOff>19050</xdr:rowOff>
        </xdr:to>
        <xdr:sp macro="" textlink="">
          <xdr:nvSpPr>
            <xdr:cNvPr id="403458" name="Check Box 2" hidden="1">
              <a:extLst>
                <a:ext uri="{63B3BB69-23CF-44E3-9099-C40C66FF867C}">
                  <a14:compatExt spid="_x0000_s403458"/>
                </a:ext>
                <a:ext uri="{FF2B5EF4-FFF2-40B4-BE49-F238E27FC236}">
                  <a16:creationId xmlns:a16="http://schemas.microsoft.com/office/drawing/2014/main" id="{00000000-0008-0000-0C00-000002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4</xdr:col>
          <xdr:colOff>76200</xdr:colOff>
          <xdr:row>53</xdr:row>
          <xdr:rowOff>123825</xdr:rowOff>
        </xdr:from>
        <xdr:to>
          <xdr:col>7</xdr:col>
          <xdr:colOff>85725</xdr:colOff>
          <xdr:row>55</xdr:row>
          <xdr:rowOff>38100</xdr:rowOff>
        </xdr:to>
        <xdr:sp macro="" textlink="">
          <xdr:nvSpPr>
            <xdr:cNvPr id="403460" name="Check Box 4" hidden="1">
              <a:extLst>
                <a:ext uri="{63B3BB69-23CF-44E3-9099-C40C66FF867C}">
                  <a14:compatExt spid="_x0000_s403460"/>
                </a:ext>
                <a:ext uri="{FF2B5EF4-FFF2-40B4-BE49-F238E27FC236}">
                  <a16:creationId xmlns:a16="http://schemas.microsoft.com/office/drawing/2014/main" id="{00000000-0008-0000-0C00-000004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editAs="oneCell">
    <xdr:from>
      <xdr:col>12</xdr:col>
      <xdr:colOff>533400</xdr:colOff>
      <xdr:row>1</xdr:row>
      <xdr:rowOff>38100</xdr:rowOff>
    </xdr:from>
    <xdr:to>
      <xdr:col>15</xdr:col>
      <xdr:colOff>91440</xdr:colOff>
      <xdr:row>1</xdr:row>
      <xdr:rowOff>419100</xdr:rowOff>
    </xdr:to>
    <xdr:pic>
      <xdr:nvPicPr>
        <xdr:cNvPr id="2" name="Grafik 3">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81600" y="99060"/>
          <a:ext cx="1828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12</xdr:col>
      <xdr:colOff>533400</xdr:colOff>
      <xdr:row>1</xdr:row>
      <xdr:rowOff>38100</xdr:rowOff>
    </xdr:from>
    <xdr:to>
      <xdr:col>16</xdr:col>
      <xdr:colOff>198120</xdr:colOff>
      <xdr:row>1</xdr:row>
      <xdr:rowOff>419100</xdr:rowOff>
    </xdr:to>
    <xdr:pic>
      <xdr:nvPicPr>
        <xdr:cNvPr id="2" name="Grafik 3">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87240" y="99060"/>
          <a:ext cx="1828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7</xdr:col>
      <xdr:colOff>107577</xdr:colOff>
      <xdr:row>0</xdr:row>
      <xdr:rowOff>85612</xdr:rowOff>
    </xdr:from>
    <xdr:to>
      <xdr:col>10</xdr:col>
      <xdr:colOff>518347</xdr:colOff>
      <xdr:row>2</xdr:row>
      <xdr:rowOff>127746</xdr:rowOff>
    </xdr:to>
    <xdr:pic>
      <xdr:nvPicPr>
        <xdr:cNvPr id="2588" name="Grafik 3">
          <a:extLst>
            <a:ext uri="{FF2B5EF4-FFF2-40B4-BE49-F238E27FC236}">
              <a16:creationId xmlns:a16="http://schemas.microsoft.com/office/drawing/2014/main" id="{00000000-0008-0000-1000-00001C0A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74659" y="85612"/>
          <a:ext cx="1873512" cy="400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128091</xdr:colOff>
      <xdr:row>10</xdr:row>
      <xdr:rowOff>79658</xdr:rowOff>
    </xdr:from>
    <xdr:to>
      <xdr:col>1</xdr:col>
      <xdr:colOff>415306</xdr:colOff>
      <xdr:row>14</xdr:row>
      <xdr:rowOff>17993</xdr:rowOff>
    </xdr:to>
    <xdr:pic>
      <xdr:nvPicPr>
        <xdr:cNvPr id="5" name="Grafik 4" descr="C:\Users\u216135\AppData\Local\Microsoft\Windows\INetCache\Content.Word\21b55bd9118074c49868e4764049f12c.png"/>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5055" t="4578" r="4224" b="4918"/>
        <a:stretch/>
      </xdr:blipFill>
      <xdr:spPr bwMode="auto">
        <a:xfrm rot="20622425">
          <a:off x="128091" y="1775108"/>
          <a:ext cx="487240" cy="547935"/>
        </a:xfrm>
        <a:prstGeom prst="rect">
          <a:avLst/>
        </a:prstGeom>
        <a:noFill/>
        <a:ln>
          <a:noFill/>
        </a:ln>
        <a:extLst>
          <a:ext uri="{53640926-AAD7-44D8-BBD7-CCE9431645EC}">
            <a14:shadowObscured xmlns:a14="http://schemas.microsoft.com/office/drawing/2010/main"/>
          </a:ext>
        </a:extLst>
      </xdr:spPr>
    </xdr:pic>
    <xdr:clientData/>
  </xdr:twoCellAnchor>
  <xdr:twoCellAnchor>
    <xdr:from>
      <xdr:col>1</xdr:col>
      <xdr:colOff>396096</xdr:colOff>
      <xdr:row>9</xdr:row>
      <xdr:rowOff>13141</xdr:rowOff>
    </xdr:from>
    <xdr:to>
      <xdr:col>3</xdr:col>
      <xdr:colOff>748319</xdr:colOff>
      <xdr:row>12</xdr:row>
      <xdr:rowOff>119725</xdr:rowOff>
    </xdr:to>
    <xdr:sp macro="" textlink="">
      <xdr:nvSpPr>
        <xdr:cNvPr id="6" name="Textfeld 2"/>
        <xdr:cNvSpPr txBox="1">
          <a:spLocks noChangeArrowheads="1"/>
        </xdr:cNvSpPr>
      </xdr:nvSpPr>
      <xdr:spPr bwMode="auto">
        <a:xfrm rot="20593061">
          <a:off x="596121" y="1556191"/>
          <a:ext cx="990398" cy="563784"/>
        </a:xfrm>
        <a:prstGeom prst="rect">
          <a:avLst/>
        </a:prstGeom>
        <a:solidFill>
          <a:srgbClr val="FFFF00"/>
        </a:solidFill>
        <a:ln w="9525">
          <a:noFill/>
          <a:miter lim="800000"/>
          <a:headEnd/>
          <a:tailEnd/>
        </a:ln>
      </xdr:spPr>
      <xdr:txBody>
        <a:bodyPr rot="0" vert="horz" wrap="square" lIns="36000" tIns="36000" rIns="36000" bIns="0" anchor="ctr" anchorCtr="0">
          <a:noAutofit/>
        </a:bodyPr>
        <a:lstStyle/>
        <a:p>
          <a:pPr algn="l">
            <a:spcAft>
              <a:spcPts val="0"/>
            </a:spcAft>
          </a:pPr>
          <a:r>
            <a:rPr lang="de-CH" sz="900">
              <a:solidFill>
                <a:sysClr val="windowText" lastClr="000000"/>
              </a:solidFill>
              <a:effectLst/>
              <a:latin typeface="Calibri" panose="020F0502020204030204" pitchFamily="34" charset="0"/>
              <a:ea typeface="Calibri" panose="020F0502020204030204" pitchFamily="34" charset="0"/>
            </a:rPr>
            <a:t>Hier finden Sie die Erklärung zur Lohnberechnung!</a:t>
          </a: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13</xdr:col>
      <xdr:colOff>167640</xdr:colOff>
      <xdr:row>1</xdr:row>
      <xdr:rowOff>15240</xdr:rowOff>
    </xdr:from>
    <xdr:to>
      <xdr:col>19</xdr:col>
      <xdr:colOff>129540</xdr:colOff>
      <xdr:row>1</xdr:row>
      <xdr:rowOff>396240</xdr:rowOff>
    </xdr:to>
    <xdr:pic>
      <xdr:nvPicPr>
        <xdr:cNvPr id="4" name="Grafik 3">
          <a:extLst>
            <a:ext uri="{FF2B5EF4-FFF2-40B4-BE49-F238E27FC236}">
              <a16:creationId xmlns:a16="http://schemas.microsoft.com/office/drawing/2014/main" id="{00000000-0008-0000-11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54780" y="213360"/>
          <a:ext cx="1828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13</xdr:col>
      <xdr:colOff>274320</xdr:colOff>
      <xdr:row>1</xdr:row>
      <xdr:rowOff>15240</xdr:rowOff>
    </xdr:from>
    <xdr:to>
      <xdr:col>19</xdr:col>
      <xdr:colOff>1905</xdr:colOff>
      <xdr:row>1</xdr:row>
      <xdr:rowOff>396240</xdr:rowOff>
    </xdr:to>
    <xdr:pic>
      <xdr:nvPicPr>
        <xdr:cNvPr id="7" name="Grafik 3">
          <a:extLst>
            <a:ext uri="{FF2B5EF4-FFF2-40B4-BE49-F238E27FC236}">
              <a16:creationId xmlns:a16="http://schemas.microsoft.com/office/drawing/2014/main" id="{00000000-0008-0000-12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83380" y="190500"/>
          <a:ext cx="1828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13</xdr:col>
      <xdr:colOff>281940</xdr:colOff>
      <xdr:row>1</xdr:row>
      <xdr:rowOff>7620</xdr:rowOff>
    </xdr:from>
    <xdr:to>
      <xdr:col>18</xdr:col>
      <xdr:colOff>228600</xdr:colOff>
      <xdr:row>1</xdr:row>
      <xdr:rowOff>388620</xdr:rowOff>
    </xdr:to>
    <xdr:pic>
      <xdr:nvPicPr>
        <xdr:cNvPr id="6" name="Grafik 3">
          <a:extLst>
            <a:ext uri="{FF2B5EF4-FFF2-40B4-BE49-F238E27FC236}">
              <a16:creationId xmlns:a16="http://schemas.microsoft.com/office/drawing/2014/main" id="{00000000-0008-0000-1300-00000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06240" y="182880"/>
          <a:ext cx="1828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6</xdr:col>
      <xdr:colOff>1303020</xdr:colOff>
      <xdr:row>7</xdr:row>
      <xdr:rowOff>28588</xdr:rowOff>
    </xdr:from>
    <xdr:to>
      <xdr:col>12</xdr:col>
      <xdr:colOff>716280</xdr:colOff>
      <xdr:row>28</xdr:row>
      <xdr:rowOff>79795</xdr:rowOff>
    </xdr:to>
    <xdr:pic>
      <xdr:nvPicPr>
        <xdr:cNvPr id="3" name="Grafik 2">
          <a:extLst>
            <a:ext uri="{FF2B5EF4-FFF2-40B4-BE49-F238E27FC236}">
              <a16:creationId xmlns:a16="http://schemas.microsoft.com/office/drawing/2014/main" id="{00000000-0008-0000-15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57900" y="1148728"/>
          <a:ext cx="4686300" cy="3411627"/>
        </a:xfrm>
        <a:prstGeom prst="rect">
          <a:avLst/>
        </a:prstGeom>
      </xdr:spPr>
    </xdr:pic>
    <xdr:clientData/>
  </xdr:twoCellAnchor>
  <xdr:twoCellAnchor editAs="oneCell">
    <xdr:from>
      <xdr:col>1</xdr:col>
      <xdr:colOff>121920</xdr:colOff>
      <xdr:row>7</xdr:row>
      <xdr:rowOff>15240</xdr:rowOff>
    </xdr:from>
    <xdr:to>
      <xdr:col>6</xdr:col>
      <xdr:colOff>373745</xdr:colOff>
      <xdr:row>52</xdr:row>
      <xdr:rowOff>15864</xdr:rowOff>
    </xdr:to>
    <xdr:pic>
      <xdr:nvPicPr>
        <xdr:cNvPr id="4" name="Grafik 3">
          <a:extLst>
            <a:ext uri="{FF2B5EF4-FFF2-40B4-BE49-F238E27FC236}">
              <a16:creationId xmlns:a16="http://schemas.microsoft.com/office/drawing/2014/main" id="{00000000-0008-0000-1500-000004000000}"/>
            </a:ext>
          </a:extLst>
        </xdr:cNvPr>
        <xdr:cNvPicPr>
          <a:picLocks noChangeAspect="1"/>
        </xdr:cNvPicPr>
      </xdr:nvPicPr>
      <xdr:blipFill>
        <a:blip xmlns:r="http://schemas.openxmlformats.org/officeDocument/2006/relationships" r:embed="rId2"/>
        <a:stretch>
          <a:fillRect/>
        </a:stretch>
      </xdr:blipFill>
      <xdr:spPr>
        <a:xfrm>
          <a:off x="914400" y="1135380"/>
          <a:ext cx="4214225" cy="7201524"/>
        </a:xfrm>
        <a:prstGeom prst="rect">
          <a:avLst/>
        </a:prstGeom>
      </xdr:spPr>
    </xdr:pic>
    <xdr:clientData/>
  </xdr:twoCellAnchor>
  <xdr:twoCellAnchor editAs="oneCell">
    <xdr:from>
      <xdr:col>0</xdr:col>
      <xdr:colOff>754380</xdr:colOff>
      <xdr:row>57</xdr:row>
      <xdr:rowOff>144780</xdr:rowOff>
    </xdr:from>
    <xdr:to>
      <xdr:col>6</xdr:col>
      <xdr:colOff>922447</xdr:colOff>
      <xdr:row>80</xdr:row>
      <xdr:rowOff>53651</xdr:rowOff>
    </xdr:to>
    <xdr:pic>
      <xdr:nvPicPr>
        <xdr:cNvPr id="5" name="Grafik 4">
          <a:extLst>
            <a:ext uri="{FF2B5EF4-FFF2-40B4-BE49-F238E27FC236}">
              <a16:creationId xmlns:a16="http://schemas.microsoft.com/office/drawing/2014/main" id="{00000000-0008-0000-1500-000005000000}"/>
            </a:ext>
          </a:extLst>
        </xdr:cNvPr>
        <xdr:cNvPicPr>
          <a:picLocks noChangeAspect="1"/>
        </xdr:cNvPicPr>
      </xdr:nvPicPr>
      <xdr:blipFill>
        <a:blip xmlns:r="http://schemas.openxmlformats.org/officeDocument/2006/relationships" r:embed="rId3"/>
        <a:stretch>
          <a:fillRect/>
        </a:stretch>
      </xdr:blipFill>
      <xdr:spPr>
        <a:xfrm>
          <a:off x="754380" y="9265920"/>
          <a:ext cx="4922947" cy="358933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563880</xdr:colOff>
      <xdr:row>1</xdr:row>
      <xdr:rowOff>175260</xdr:rowOff>
    </xdr:from>
    <xdr:to>
      <xdr:col>12</xdr:col>
      <xdr:colOff>28823</xdr:colOff>
      <xdr:row>1</xdr:row>
      <xdr:rowOff>556260</xdr:rowOff>
    </xdr:to>
    <xdr:pic>
      <xdr:nvPicPr>
        <xdr:cNvPr id="2" name="Grafik 3">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11040" y="236220"/>
          <a:ext cx="1828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absolute">
        <xdr:from>
          <xdr:col>8</xdr:col>
          <xdr:colOff>19050</xdr:colOff>
          <xdr:row>30</xdr:row>
          <xdr:rowOff>171450</xdr:rowOff>
        </xdr:from>
        <xdr:to>
          <xdr:col>11</xdr:col>
          <xdr:colOff>676275</xdr:colOff>
          <xdr:row>32</xdr:row>
          <xdr:rowOff>47625</xdr:rowOff>
        </xdr:to>
        <xdr:sp macro="" textlink="">
          <xdr:nvSpPr>
            <xdr:cNvPr id="377861" name="Check Box 5" hidden="1">
              <a:extLst>
                <a:ext uri="{63B3BB69-23CF-44E3-9099-C40C66FF867C}">
                  <a14:compatExt spid="_x0000_s377861"/>
                </a:ext>
                <a:ext uri="{FF2B5EF4-FFF2-40B4-BE49-F238E27FC236}">
                  <a16:creationId xmlns:a16="http://schemas.microsoft.com/office/drawing/2014/main" id="{00000000-0008-0000-0200-000005C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8</xdr:col>
      <xdr:colOff>708660</xdr:colOff>
      <xdr:row>1</xdr:row>
      <xdr:rowOff>251460</xdr:rowOff>
    </xdr:from>
    <xdr:to>
      <xdr:col>11</xdr:col>
      <xdr:colOff>99060</xdr:colOff>
      <xdr:row>2</xdr:row>
      <xdr:rowOff>60960</xdr:rowOff>
    </xdr:to>
    <xdr:pic>
      <xdr:nvPicPr>
        <xdr:cNvPr id="5" name="Grafik 3">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5340" y="411480"/>
          <a:ext cx="1828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525780</xdr:colOff>
      <xdr:row>1</xdr:row>
      <xdr:rowOff>91440</xdr:rowOff>
    </xdr:from>
    <xdr:to>
      <xdr:col>11</xdr:col>
      <xdr:colOff>963930</xdr:colOff>
      <xdr:row>1</xdr:row>
      <xdr:rowOff>472440</xdr:rowOff>
    </xdr:to>
    <xdr:pic>
      <xdr:nvPicPr>
        <xdr:cNvPr id="2" name="Grafik 3">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2940" y="152400"/>
          <a:ext cx="183642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absolute">
        <xdr:from>
          <xdr:col>8</xdr:col>
          <xdr:colOff>342900</xdr:colOff>
          <xdr:row>30</xdr:row>
          <xdr:rowOff>133350</xdr:rowOff>
        </xdr:from>
        <xdr:to>
          <xdr:col>11</xdr:col>
          <xdr:colOff>809625</xdr:colOff>
          <xdr:row>32</xdr:row>
          <xdr:rowOff>57150</xdr:rowOff>
        </xdr:to>
        <xdr:sp macro="" textlink="">
          <xdr:nvSpPr>
            <xdr:cNvPr id="382983" name="Check Box 7" hidden="1">
              <a:extLst>
                <a:ext uri="{63B3BB69-23CF-44E3-9099-C40C66FF867C}">
                  <a14:compatExt spid="_x0000_s382983"/>
                </a:ext>
                <a:ext uri="{FF2B5EF4-FFF2-40B4-BE49-F238E27FC236}">
                  <a16:creationId xmlns:a16="http://schemas.microsoft.com/office/drawing/2014/main" id="{00000000-0008-0000-0400-000007D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8</xdr:col>
      <xdr:colOff>693420</xdr:colOff>
      <xdr:row>1</xdr:row>
      <xdr:rowOff>205740</xdr:rowOff>
    </xdr:from>
    <xdr:to>
      <xdr:col>11</xdr:col>
      <xdr:colOff>9974</xdr:colOff>
      <xdr:row>2</xdr:row>
      <xdr:rowOff>15240</xdr:rowOff>
    </xdr:to>
    <xdr:pic>
      <xdr:nvPicPr>
        <xdr:cNvPr id="2" name="Grafik 3">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51960" y="266700"/>
          <a:ext cx="1829249"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200025</xdr:colOff>
          <xdr:row>53</xdr:row>
          <xdr:rowOff>133350</xdr:rowOff>
        </xdr:from>
        <xdr:to>
          <xdr:col>6</xdr:col>
          <xdr:colOff>933450</xdr:colOff>
          <xdr:row>55</xdr:row>
          <xdr:rowOff>47625</xdr:rowOff>
        </xdr:to>
        <xdr:sp macro="" textlink="">
          <xdr:nvSpPr>
            <xdr:cNvPr id="381953" name="Check Box 1" hidden="1">
              <a:extLst>
                <a:ext uri="{63B3BB69-23CF-44E3-9099-C40C66FF867C}">
                  <a14:compatExt spid="_x0000_s381953"/>
                </a:ext>
                <a:ext uri="{FF2B5EF4-FFF2-40B4-BE49-F238E27FC236}">
                  <a16:creationId xmlns:a16="http://schemas.microsoft.com/office/drawing/2014/main" id="{00000000-0008-0000-0600-000001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55</xdr:row>
          <xdr:rowOff>133350</xdr:rowOff>
        </xdr:from>
        <xdr:to>
          <xdr:col>5</xdr:col>
          <xdr:colOff>571500</xdr:colOff>
          <xdr:row>57</xdr:row>
          <xdr:rowOff>47625</xdr:rowOff>
        </xdr:to>
        <xdr:sp macro="" textlink="">
          <xdr:nvSpPr>
            <xdr:cNvPr id="381954" name="Check Box 2" hidden="1">
              <a:extLst>
                <a:ext uri="{63B3BB69-23CF-44E3-9099-C40C66FF867C}">
                  <a14:compatExt spid="_x0000_s381954"/>
                </a:ext>
                <a:ext uri="{FF2B5EF4-FFF2-40B4-BE49-F238E27FC236}">
                  <a16:creationId xmlns:a16="http://schemas.microsoft.com/office/drawing/2014/main" id="{00000000-0008-0000-0600-000002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847725</xdr:colOff>
          <xdr:row>28</xdr:row>
          <xdr:rowOff>0</xdr:rowOff>
        </xdr:from>
        <xdr:to>
          <xdr:col>9</xdr:col>
          <xdr:colOff>704850</xdr:colOff>
          <xdr:row>29</xdr:row>
          <xdr:rowOff>19050</xdr:rowOff>
        </xdr:to>
        <xdr:sp macro="" textlink="">
          <xdr:nvSpPr>
            <xdr:cNvPr id="381958" name="Check Box 6" hidden="1">
              <a:extLst>
                <a:ext uri="{63B3BB69-23CF-44E3-9099-C40C66FF867C}">
                  <a14:compatExt spid="_x0000_s381958"/>
                </a:ext>
                <a:ext uri="{FF2B5EF4-FFF2-40B4-BE49-F238E27FC236}">
                  <a16:creationId xmlns:a16="http://schemas.microsoft.com/office/drawing/2014/main" id="{00000000-0008-0000-0600-000006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49</xdr:row>
          <xdr:rowOff>9525</xdr:rowOff>
        </xdr:from>
        <xdr:to>
          <xdr:col>6</xdr:col>
          <xdr:colOff>1085850</xdr:colOff>
          <xdr:row>51</xdr:row>
          <xdr:rowOff>47625</xdr:rowOff>
        </xdr:to>
        <xdr:sp macro="" textlink="">
          <xdr:nvSpPr>
            <xdr:cNvPr id="381959" name="Check Box 7" hidden="1">
              <a:extLst>
                <a:ext uri="{63B3BB69-23CF-44E3-9099-C40C66FF867C}">
                  <a14:compatExt spid="_x0000_s381959"/>
                </a:ext>
                <a:ext uri="{FF2B5EF4-FFF2-40B4-BE49-F238E27FC236}">
                  <a16:creationId xmlns:a16="http://schemas.microsoft.com/office/drawing/2014/main" id="{00000000-0008-0000-0600-000007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59</xdr:row>
          <xdr:rowOff>85725</xdr:rowOff>
        </xdr:from>
        <xdr:to>
          <xdr:col>7</xdr:col>
          <xdr:colOff>171450</xdr:colOff>
          <xdr:row>61</xdr:row>
          <xdr:rowOff>28575</xdr:rowOff>
        </xdr:to>
        <xdr:sp macro="" textlink="">
          <xdr:nvSpPr>
            <xdr:cNvPr id="381960" name="Check Box 8" hidden="1">
              <a:extLst>
                <a:ext uri="{63B3BB69-23CF-44E3-9099-C40C66FF867C}">
                  <a14:compatExt spid="_x0000_s381960"/>
                </a:ext>
                <a:ext uri="{FF2B5EF4-FFF2-40B4-BE49-F238E27FC236}">
                  <a16:creationId xmlns:a16="http://schemas.microsoft.com/office/drawing/2014/main" id="{00000000-0008-0000-0600-000008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31</xdr:row>
          <xdr:rowOff>57150</xdr:rowOff>
        </xdr:from>
        <xdr:to>
          <xdr:col>6</xdr:col>
          <xdr:colOff>104775</xdr:colOff>
          <xdr:row>33</xdr:row>
          <xdr:rowOff>19050</xdr:rowOff>
        </xdr:to>
        <xdr:sp macro="" textlink="">
          <xdr:nvSpPr>
            <xdr:cNvPr id="381961" name="Check Box 9" hidden="1">
              <a:extLst>
                <a:ext uri="{63B3BB69-23CF-44E3-9099-C40C66FF867C}">
                  <a14:compatExt spid="_x0000_s381961"/>
                </a:ext>
                <a:ext uri="{FF2B5EF4-FFF2-40B4-BE49-F238E27FC236}">
                  <a16:creationId xmlns:a16="http://schemas.microsoft.com/office/drawing/2014/main" id="{00000000-0008-0000-0600-000009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39</xdr:row>
          <xdr:rowOff>19050</xdr:rowOff>
        </xdr:from>
        <xdr:to>
          <xdr:col>8</xdr:col>
          <xdr:colOff>1114425</xdr:colOff>
          <xdr:row>41</xdr:row>
          <xdr:rowOff>57150</xdr:rowOff>
        </xdr:to>
        <xdr:sp macro="" textlink="">
          <xdr:nvSpPr>
            <xdr:cNvPr id="381962" name="Check Box 10" hidden="1">
              <a:extLst>
                <a:ext uri="{63B3BB69-23CF-44E3-9099-C40C66FF867C}">
                  <a14:compatExt spid="_x0000_s381962"/>
                </a:ext>
                <a:ext uri="{FF2B5EF4-FFF2-40B4-BE49-F238E27FC236}">
                  <a16:creationId xmlns:a16="http://schemas.microsoft.com/office/drawing/2014/main" id="{00000000-0008-0000-0600-00000A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466725</xdr:colOff>
          <xdr:row>43</xdr:row>
          <xdr:rowOff>142875</xdr:rowOff>
        </xdr:from>
        <xdr:to>
          <xdr:col>10</xdr:col>
          <xdr:colOff>1190625</xdr:colOff>
          <xdr:row>45</xdr:row>
          <xdr:rowOff>19050</xdr:rowOff>
        </xdr:to>
        <xdr:sp macro="" textlink="">
          <xdr:nvSpPr>
            <xdr:cNvPr id="381963" name="Check Box 11" hidden="1">
              <a:extLst>
                <a:ext uri="{63B3BB69-23CF-44E3-9099-C40C66FF867C}">
                  <a14:compatExt spid="_x0000_s381963"/>
                </a:ext>
                <a:ext uri="{FF2B5EF4-FFF2-40B4-BE49-F238E27FC236}">
                  <a16:creationId xmlns:a16="http://schemas.microsoft.com/office/drawing/2014/main" id="{00000000-0008-0000-0600-00000B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590550</xdr:colOff>
          <xdr:row>43</xdr:row>
          <xdr:rowOff>133350</xdr:rowOff>
        </xdr:from>
        <xdr:to>
          <xdr:col>7</xdr:col>
          <xdr:colOff>38100</xdr:colOff>
          <xdr:row>45</xdr:row>
          <xdr:rowOff>19050</xdr:rowOff>
        </xdr:to>
        <xdr:sp macro="" textlink="">
          <xdr:nvSpPr>
            <xdr:cNvPr id="381964" name="Check Box 12" hidden="1">
              <a:extLst>
                <a:ext uri="{63B3BB69-23CF-44E3-9099-C40C66FF867C}">
                  <a14:compatExt spid="_x0000_s381964"/>
                </a:ext>
                <a:ext uri="{FF2B5EF4-FFF2-40B4-BE49-F238E27FC236}">
                  <a16:creationId xmlns:a16="http://schemas.microsoft.com/office/drawing/2014/main" id="{00000000-0008-0000-0600-00000C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17</xdr:row>
          <xdr:rowOff>76200</xdr:rowOff>
        </xdr:from>
        <xdr:to>
          <xdr:col>6</xdr:col>
          <xdr:colOff>771525</xdr:colOff>
          <xdr:row>19</xdr:row>
          <xdr:rowOff>28575</xdr:rowOff>
        </xdr:to>
        <xdr:sp macro="" textlink="">
          <xdr:nvSpPr>
            <xdr:cNvPr id="381966" name="Check Box 14" hidden="1">
              <a:extLst>
                <a:ext uri="{63B3BB69-23CF-44E3-9099-C40C66FF867C}">
                  <a14:compatExt spid="_x0000_s381966"/>
                </a:ext>
                <a:ext uri="{FF2B5EF4-FFF2-40B4-BE49-F238E27FC236}">
                  <a16:creationId xmlns:a16="http://schemas.microsoft.com/office/drawing/2014/main" id="{00000000-0008-0000-0600-00000E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9</xdr:col>
      <xdr:colOff>213360</xdr:colOff>
      <xdr:row>1</xdr:row>
      <xdr:rowOff>190500</xdr:rowOff>
    </xdr:from>
    <xdr:to>
      <xdr:col>11</xdr:col>
      <xdr:colOff>121920</xdr:colOff>
      <xdr:row>2</xdr:row>
      <xdr:rowOff>91440</xdr:rowOff>
    </xdr:to>
    <xdr:pic>
      <xdr:nvPicPr>
        <xdr:cNvPr id="17" name="Grafik 3">
          <a:extLst>
            <a:ext uri="{FF2B5EF4-FFF2-40B4-BE49-F238E27FC236}">
              <a16:creationId xmlns:a16="http://schemas.microsoft.com/office/drawing/2014/main" id="{00000000-0008-0000-0600-000011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53940" y="251460"/>
          <a:ext cx="1828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579120</xdr:colOff>
      <xdr:row>1</xdr:row>
      <xdr:rowOff>228600</xdr:rowOff>
    </xdr:from>
    <xdr:to>
      <xdr:col>12</xdr:col>
      <xdr:colOff>114300</xdr:colOff>
      <xdr:row>2</xdr:row>
      <xdr:rowOff>38100</xdr:rowOff>
    </xdr:to>
    <xdr:pic>
      <xdr:nvPicPr>
        <xdr:cNvPr id="2" name="Grafik 3">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32960" y="289560"/>
          <a:ext cx="1828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absolute">
        <xdr:from>
          <xdr:col>7</xdr:col>
          <xdr:colOff>742950</xdr:colOff>
          <xdr:row>32</xdr:row>
          <xdr:rowOff>133350</xdr:rowOff>
        </xdr:from>
        <xdr:to>
          <xdr:col>11</xdr:col>
          <xdr:colOff>581025</xdr:colOff>
          <xdr:row>34</xdr:row>
          <xdr:rowOff>47625</xdr:rowOff>
        </xdr:to>
        <xdr:sp macro="" textlink="">
          <xdr:nvSpPr>
            <xdr:cNvPr id="385028" name="Check Box 4" hidden="1">
              <a:extLst>
                <a:ext uri="{63B3BB69-23CF-44E3-9099-C40C66FF867C}">
                  <a14:compatExt spid="_x0000_s385028"/>
                </a:ext>
                <a:ext uri="{FF2B5EF4-FFF2-40B4-BE49-F238E27FC236}">
                  <a16:creationId xmlns:a16="http://schemas.microsoft.com/office/drawing/2014/main" id="{00000000-0008-0000-0700-000004E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8</xdr:col>
      <xdr:colOff>571500</xdr:colOff>
      <xdr:row>1</xdr:row>
      <xdr:rowOff>198120</xdr:rowOff>
    </xdr:from>
    <xdr:to>
      <xdr:col>11</xdr:col>
      <xdr:colOff>53340</xdr:colOff>
      <xdr:row>2</xdr:row>
      <xdr:rowOff>7620</xdr:rowOff>
    </xdr:to>
    <xdr:pic>
      <xdr:nvPicPr>
        <xdr:cNvPr id="5" name="Grafik 3">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88180" y="358140"/>
          <a:ext cx="1828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8</xdr:col>
      <xdr:colOff>830580</xdr:colOff>
      <xdr:row>1</xdr:row>
      <xdr:rowOff>163830</xdr:rowOff>
    </xdr:from>
    <xdr:to>
      <xdr:col>12</xdr:col>
      <xdr:colOff>28350</xdr:colOff>
      <xdr:row>1</xdr:row>
      <xdr:rowOff>544830</xdr:rowOff>
    </xdr:to>
    <xdr:pic>
      <xdr:nvPicPr>
        <xdr:cNvPr id="2" name="Grafik 3">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97705" y="220980"/>
          <a:ext cx="176952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4</xdr:col>
          <xdr:colOff>28575</xdr:colOff>
          <xdr:row>36</xdr:row>
          <xdr:rowOff>123825</xdr:rowOff>
        </xdr:from>
        <xdr:to>
          <xdr:col>6</xdr:col>
          <xdr:colOff>219075</xdr:colOff>
          <xdr:row>38</xdr:row>
          <xdr:rowOff>38100</xdr:rowOff>
        </xdr:to>
        <xdr:sp macro="" textlink="">
          <xdr:nvSpPr>
            <xdr:cNvPr id="387077" name="Check Box 5" hidden="1">
              <a:extLst>
                <a:ext uri="{63B3BB69-23CF-44E3-9099-C40C66FF867C}">
                  <a14:compatExt spid="_x0000_s387077"/>
                </a:ext>
                <a:ext uri="{FF2B5EF4-FFF2-40B4-BE49-F238E27FC236}">
                  <a16:creationId xmlns:a16="http://schemas.microsoft.com/office/drawing/2014/main" id="{00000000-0008-0000-0900-000005E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638175</xdr:colOff>
          <xdr:row>38</xdr:row>
          <xdr:rowOff>95250</xdr:rowOff>
        </xdr:from>
        <xdr:to>
          <xdr:col>8</xdr:col>
          <xdr:colOff>304800</xdr:colOff>
          <xdr:row>40</xdr:row>
          <xdr:rowOff>57150</xdr:rowOff>
        </xdr:to>
        <xdr:sp macro="" textlink="">
          <xdr:nvSpPr>
            <xdr:cNvPr id="387078" name="Check Box 6" hidden="1">
              <a:extLst>
                <a:ext uri="{63B3BB69-23CF-44E3-9099-C40C66FF867C}">
                  <a14:compatExt spid="_x0000_s387078"/>
                </a:ext>
                <a:ext uri="{FF2B5EF4-FFF2-40B4-BE49-F238E27FC236}">
                  <a16:creationId xmlns:a16="http://schemas.microsoft.com/office/drawing/2014/main" id="{00000000-0008-0000-0900-000006E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638175</xdr:colOff>
          <xdr:row>36</xdr:row>
          <xdr:rowOff>123825</xdr:rowOff>
        </xdr:from>
        <xdr:to>
          <xdr:col>8</xdr:col>
          <xdr:colOff>723900</xdr:colOff>
          <xdr:row>38</xdr:row>
          <xdr:rowOff>38100</xdr:rowOff>
        </xdr:to>
        <xdr:sp macro="" textlink="">
          <xdr:nvSpPr>
            <xdr:cNvPr id="387079" name="Check Box 7" hidden="1">
              <a:extLst>
                <a:ext uri="{63B3BB69-23CF-44E3-9099-C40C66FF867C}">
                  <a14:compatExt spid="_x0000_s387079"/>
                </a:ext>
                <a:ext uri="{FF2B5EF4-FFF2-40B4-BE49-F238E27FC236}">
                  <a16:creationId xmlns:a16="http://schemas.microsoft.com/office/drawing/2014/main" id="{00000000-0008-0000-0900-000007E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38</xdr:row>
          <xdr:rowOff>95250</xdr:rowOff>
        </xdr:from>
        <xdr:to>
          <xdr:col>6</xdr:col>
          <xdr:colOff>114300</xdr:colOff>
          <xdr:row>40</xdr:row>
          <xdr:rowOff>57150</xdr:rowOff>
        </xdr:to>
        <xdr:sp macro="" textlink="">
          <xdr:nvSpPr>
            <xdr:cNvPr id="387080" name="Check Box 8" hidden="1">
              <a:extLst>
                <a:ext uri="{63B3BB69-23CF-44E3-9099-C40C66FF867C}">
                  <a14:compatExt spid="_x0000_s387080"/>
                </a:ext>
                <a:ext uri="{FF2B5EF4-FFF2-40B4-BE49-F238E27FC236}">
                  <a16:creationId xmlns:a16="http://schemas.microsoft.com/office/drawing/2014/main" id="{00000000-0008-0000-0900-000008E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409575</xdr:colOff>
          <xdr:row>36</xdr:row>
          <xdr:rowOff>123825</xdr:rowOff>
        </xdr:from>
        <xdr:to>
          <xdr:col>12</xdr:col>
          <xdr:colOff>19050</xdr:colOff>
          <xdr:row>38</xdr:row>
          <xdr:rowOff>38100</xdr:rowOff>
        </xdr:to>
        <xdr:sp macro="" textlink="">
          <xdr:nvSpPr>
            <xdr:cNvPr id="387081" name="Check Box 9" hidden="1">
              <a:extLst>
                <a:ext uri="{63B3BB69-23CF-44E3-9099-C40C66FF867C}">
                  <a14:compatExt spid="_x0000_s387081"/>
                </a:ext>
                <a:ext uri="{FF2B5EF4-FFF2-40B4-BE49-F238E27FC236}">
                  <a16:creationId xmlns:a16="http://schemas.microsoft.com/office/drawing/2014/main" id="{00000000-0008-0000-0900-000009E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409575</xdr:colOff>
          <xdr:row>38</xdr:row>
          <xdr:rowOff>114300</xdr:rowOff>
        </xdr:from>
        <xdr:to>
          <xdr:col>12</xdr:col>
          <xdr:colOff>66675</xdr:colOff>
          <xdr:row>40</xdr:row>
          <xdr:rowOff>76200</xdr:rowOff>
        </xdr:to>
        <xdr:sp macro="" textlink="">
          <xdr:nvSpPr>
            <xdr:cNvPr id="387096" name="Check Box 24" hidden="1">
              <a:extLst>
                <a:ext uri="{63B3BB69-23CF-44E3-9099-C40C66FF867C}">
                  <a14:compatExt spid="_x0000_s38709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18.xml"/><Relationship Id="rId3" Type="http://schemas.openxmlformats.org/officeDocument/2006/relationships/vmlDrawing" Target="../drawings/vmlDrawing5.vml"/><Relationship Id="rId7" Type="http://schemas.openxmlformats.org/officeDocument/2006/relationships/ctrlProp" Target="../ctrlProps/ctrlProp17.xml"/><Relationship Id="rId2" Type="http://schemas.openxmlformats.org/officeDocument/2006/relationships/drawing" Target="../drawings/drawing9.xml"/><Relationship Id="rId1" Type="http://schemas.openxmlformats.org/officeDocument/2006/relationships/printerSettings" Target="../printerSettings/printerSettings10.bin"/><Relationship Id="rId6" Type="http://schemas.openxmlformats.org/officeDocument/2006/relationships/ctrlProp" Target="../ctrlProps/ctrlProp16.xml"/><Relationship Id="rId5" Type="http://schemas.openxmlformats.org/officeDocument/2006/relationships/ctrlProp" Target="../ctrlProps/ctrlProp15.xml"/><Relationship Id="rId4" Type="http://schemas.openxmlformats.org/officeDocument/2006/relationships/ctrlProp" Target="../ctrlProps/ctrlProp14.xml"/><Relationship Id="rId9" Type="http://schemas.openxmlformats.org/officeDocument/2006/relationships/ctrlProp" Target="../ctrlProps/ctrlProp19.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0.xml"/><Relationship Id="rId1" Type="http://schemas.openxmlformats.org/officeDocument/2006/relationships/printerSettings" Target="../printerSettings/printerSettings11.bin"/><Relationship Id="rId5" Type="http://schemas.openxmlformats.org/officeDocument/2006/relationships/ctrlProp" Target="../ctrlProps/ctrlProp21.xml"/><Relationship Id="rId4" Type="http://schemas.openxmlformats.org/officeDocument/2006/relationships/ctrlProp" Target="../ctrlProps/ctrlProp20.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26.xml"/><Relationship Id="rId13" Type="http://schemas.openxmlformats.org/officeDocument/2006/relationships/ctrlProp" Target="../ctrlProps/ctrlProp31.xml"/><Relationship Id="rId3" Type="http://schemas.openxmlformats.org/officeDocument/2006/relationships/vmlDrawing" Target="../drawings/vmlDrawing7.vml"/><Relationship Id="rId7" Type="http://schemas.openxmlformats.org/officeDocument/2006/relationships/ctrlProp" Target="../ctrlProps/ctrlProp25.xml"/><Relationship Id="rId12" Type="http://schemas.openxmlformats.org/officeDocument/2006/relationships/ctrlProp" Target="../ctrlProps/ctrlProp30.xml"/><Relationship Id="rId2" Type="http://schemas.openxmlformats.org/officeDocument/2006/relationships/drawing" Target="../drawings/drawing11.xml"/><Relationship Id="rId1" Type="http://schemas.openxmlformats.org/officeDocument/2006/relationships/printerSettings" Target="../printerSettings/printerSettings12.bin"/><Relationship Id="rId6" Type="http://schemas.openxmlformats.org/officeDocument/2006/relationships/ctrlProp" Target="../ctrlProps/ctrlProp24.xml"/><Relationship Id="rId11" Type="http://schemas.openxmlformats.org/officeDocument/2006/relationships/ctrlProp" Target="../ctrlProps/ctrlProp29.xml"/><Relationship Id="rId5" Type="http://schemas.openxmlformats.org/officeDocument/2006/relationships/ctrlProp" Target="../ctrlProps/ctrlProp23.xml"/><Relationship Id="rId10" Type="http://schemas.openxmlformats.org/officeDocument/2006/relationships/ctrlProp" Target="../ctrlProps/ctrlProp28.xml"/><Relationship Id="rId4" Type="http://schemas.openxmlformats.org/officeDocument/2006/relationships/ctrlProp" Target="../ctrlProps/ctrlProp22.xml"/><Relationship Id="rId9" Type="http://schemas.openxmlformats.org/officeDocument/2006/relationships/ctrlProp" Target="../ctrlProps/ctrlProp27.xml"/><Relationship Id="rId14" Type="http://schemas.openxmlformats.org/officeDocument/2006/relationships/ctrlProp" Target="../ctrlProps/ctrlProp3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2.xml"/><Relationship Id="rId1" Type="http://schemas.openxmlformats.org/officeDocument/2006/relationships/printerSettings" Target="../printerSettings/printerSettings13.bin"/><Relationship Id="rId5" Type="http://schemas.openxmlformats.org/officeDocument/2006/relationships/ctrlProp" Target="../ctrlProps/ctrlProp34.xml"/><Relationship Id="rId4" Type="http://schemas.openxmlformats.org/officeDocument/2006/relationships/ctrlProp" Target="../ctrlProps/ctrlProp3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5.xml"/><Relationship Id="rId1" Type="http://schemas.openxmlformats.org/officeDocument/2006/relationships/printerSettings" Target="../printerSettings/printerSettings17.bin"/><Relationship Id="rId4" Type="http://schemas.openxmlformats.org/officeDocument/2006/relationships/comments" Target="../comments1.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6.xml"/><Relationship Id="rId1" Type="http://schemas.openxmlformats.org/officeDocument/2006/relationships/printerSettings" Target="../printerSettings/printerSettings18.bin"/><Relationship Id="rId4" Type="http://schemas.openxmlformats.org/officeDocument/2006/relationships/comments" Target="../comments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7.xml"/><Relationship Id="rId1" Type="http://schemas.openxmlformats.org/officeDocument/2006/relationships/printerSettings" Target="../printerSettings/printerSettings19.bin"/><Relationship Id="rId4" Type="http://schemas.openxmlformats.org/officeDocument/2006/relationships/comments" Target="../comments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8.xml"/><Relationship Id="rId1" Type="http://schemas.openxmlformats.org/officeDocument/2006/relationships/printerSettings" Target="../printerSettings/printerSettings20.bin"/><Relationship Id="rId4" Type="http://schemas.openxmlformats.org/officeDocument/2006/relationships/comments" Target="../comments4.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13.v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https://www.baselland.ch/politik-und-behorden/direktionen/bildungs-kultur-und-sportdirektion/bildung/handbuch/organisation-schulbetrieb/personal/copy_of_urlaube" TargetMode="Externa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trlProp" Target="../ctrlProps/ctrlProp2.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6.bin"/><Relationship Id="rId1" Type="http://schemas.openxmlformats.org/officeDocument/2006/relationships/hyperlink" Target="https://www.baselland.ch/politik-und-behorden/direktionen/bildungs-kultur-und-sportdirektion/bildung/handbuch/organisation-schulbetrieb/personal/copy_of_urlaube" TargetMode="Externa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7.xml"/><Relationship Id="rId13" Type="http://schemas.openxmlformats.org/officeDocument/2006/relationships/ctrlProp" Target="../ctrlProps/ctrlProp12.xml"/><Relationship Id="rId3" Type="http://schemas.openxmlformats.org/officeDocument/2006/relationships/vmlDrawing" Target="../drawings/vmlDrawing3.vml"/><Relationship Id="rId7" Type="http://schemas.openxmlformats.org/officeDocument/2006/relationships/ctrlProp" Target="../ctrlProps/ctrlProp6.xml"/><Relationship Id="rId12" Type="http://schemas.openxmlformats.org/officeDocument/2006/relationships/ctrlProp" Target="../ctrlProps/ctrlProp11.xml"/><Relationship Id="rId2" Type="http://schemas.openxmlformats.org/officeDocument/2006/relationships/drawing" Target="../drawings/drawing6.xml"/><Relationship Id="rId1" Type="http://schemas.openxmlformats.org/officeDocument/2006/relationships/printerSettings" Target="../printerSettings/printerSettings7.bin"/><Relationship Id="rId6" Type="http://schemas.openxmlformats.org/officeDocument/2006/relationships/ctrlProp" Target="../ctrlProps/ctrlProp5.xml"/><Relationship Id="rId11" Type="http://schemas.openxmlformats.org/officeDocument/2006/relationships/ctrlProp" Target="../ctrlProps/ctrlProp10.xml"/><Relationship Id="rId5" Type="http://schemas.openxmlformats.org/officeDocument/2006/relationships/ctrlProp" Target="../ctrlProps/ctrlProp4.xml"/><Relationship Id="rId10" Type="http://schemas.openxmlformats.org/officeDocument/2006/relationships/ctrlProp" Target="../ctrlProps/ctrlProp9.xml"/><Relationship Id="rId4" Type="http://schemas.openxmlformats.org/officeDocument/2006/relationships/ctrlProp" Target="../ctrlProps/ctrlProp3.xml"/><Relationship Id="rId9" Type="http://schemas.openxmlformats.org/officeDocument/2006/relationships/ctrlProp" Target="../ctrlProps/ctrlProp8.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trlProp" Target="../ctrlProps/ctrlProp13.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9.bin"/><Relationship Id="rId1" Type="http://schemas.openxmlformats.org/officeDocument/2006/relationships/hyperlink" Target="https://www.baselland.ch/politik-und-behorden/direktionen/bildungs-kultur-und-sportdirektion/bildung/handbuch/organisation-schulbetrieb/personal/copy_of_urlaub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B1:AC46"/>
  <sheetViews>
    <sheetView tabSelected="1" zoomScaleNormal="100" workbookViewId="0"/>
  </sheetViews>
  <sheetFormatPr baseColWidth="10" defaultColWidth="11.5703125" defaultRowHeight="12.75" x14ac:dyDescent="0.2"/>
  <cols>
    <col min="1" max="1" width="5" style="93" customWidth="1"/>
    <col min="2" max="2" width="4.7109375" style="93" customWidth="1"/>
    <col min="3" max="3" width="11.5703125" style="93"/>
    <col min="4" max="4" width="7.85546875" style="93" customWidth="1"/>
    <col min="5" max="5" width="4.85546875" style="93" customWidth="1"/>
    <col min="6" max="7" width="11.7109375" style="93" customWidth="1"/>
    <col min="8" max="8" width="4.5703125" style="93" customWidth="1"/>
    <col min="9" max="9" width="5" style="93" customWidth="1"/>
    <col min="10" max="10" width="4.7109375" style="93" customWidth="1"/>
    <col min="11" max="14" width="9" style="93" customWidth="1"/>
    <col min="15" max="15" width="5.5703125" style="93" customWidth="1"/>
    <col min="16" max="16" width="5" style="93" customWidth="1"/>
    <col min="17" max="17" width="5.28515625" style="93" customWidth="1"/>
    <col min="18" max="21" width="9" style="93" customWidth="1"/>
    <col min="22" max="22" width="5.85546875" style="93" customWidth="1"/>
    <col min="23" max="23" width="5" style="93" customWidth="1"/>
    <col min="24" max="27" width="4.85546875" style="93" customWidth="1"/>
    <col min="28" max="28" width="5.5703125" style="93" customWidth="1"/>
    <col min="29" max="29" width="4.85546875" style="93" customWidth="1"/>
    <col min="30" max="16384" width="11.5703125" style="93"/>
  </cols>
  <sheetData>
    <row r="1" spans="2:29" ht="12.6" customHeight="1" x14ac:dyDescent="0.2"/>
    <row r="2" spans="2:29" ht="12.6" customHeight="1" x14ac:dyDescent="0.2"/>
    <row r="3" spans="2:29" ht="12.6" customHeight="1" x14ac:dyDescent="0.2"/>
    <row r="4" spans="2:29" ht="12.6" customHeight="1" x14ac:dyDescent="0.2">
      <c r="J4" s="1050" t="s">
        <v>1006</v>
      </c>
      <c r="K4" s="1050"/>
      <c r="L4" s="1050"/>
      <c r="M4" s="1050"/>
      <c r="N4" s="1050"/>
      <c r="O4" s="1050"/>
      <c r="P4" s="414"/>
      <c r="Q4" s="414"/>
      <c r="R4" s="414"/>
      <c r="S4" s="414"/>
      <c r="T4" s="414"/>
      <c r="U4" s="414"/>
      <c r="V4" s="414"/>
    </row>
    <row r="5" spans="2:29" ht="12.6" customHeight="1" x14ac:dyDescent="0.2">
      <c r="Q5" s="92"/>
      <c r="V5" s="92"/>
    </row>
    <row r="6" spans="2:29" ht="12.6" customHeight="1" x14ac:dyDescent="0.2">
      <c r="B6" s="221"/>
      <c r="C6" s="222"/>
      <c r="D6" s="222"/>
      <c r="E6" s="222"/>
      <c r="F6" s="222"/>
      <c r="G6" s="222"/>
      <c r="H6" s="223"/>
      <c r="J6" s="610"/>
      <c r="K6" s="611"/>
      <c r="L6" s="611"/>
      <c r="M6" s="611"/>
      <c r="N6" s="611"/>
      <c r="O6" s="612"/>
      <c r="Q6" s="628"/>
      <c r="R6" s="629"/>
      <c r="S6" s="629"/>
      <c r="T6" s="629"/>
      <c r="U6" s="629"/>
      <c r="V6" s="630"/>
      <c r="X6" s="221"/>
      <c r="Y6" s="222"/>
      <c r="Z6" s="222"/>
      <c r="AA6" s="222"/>
      <c r="AB6" s="222"/>
      <c r="AC6" s="223"/>
    </row>
    <row r="7" spans="2:29" ht="12.6" customHeight="1" x14ac:dyDescent="0.2">
      <c r="B7" s="1020" t="s">
        <v>999</v>
      </c>
      <c r="C7" s="1021"/>
      <c r="D7" s="1021"/>
      <c r="E7" s="1021"/>
      <c r="F7" s="1021"/>
      <c r="G7" s="1021"/>
      <c r="H7" s="1022"/>
      <c r="J7" s="613"/>
      <c r="K7" s="1052" t="s">
        <v>814</v>
      </c>
      <c r="L7" s="1052"/>
      <c r="M7" s="1052"/>
      <c r="N7" s="1052"/>
      <c r="O7" s="614"/>
      <c r="Q7" s="631"/>
      <c r="R7" s="1029" t="s">
        <v>1962</v>
      </c>
      <c r="S7" s="1029"/>
      <c r="T7" s="1029"/>
      <c r="U7" s="1029"/>
      <c r="V7" s="632"/>
      <c r="X7" s="224"/>
      <c r="Y7" s="1008" t="s">
        <v>1069</v>
      </c>
      <c r="Z7" s="1008"/>
      <c r="AA7" s="1008"/>
      <c r="AB7" s="1008"/>
      <c r="AC7" s="510"/>
    </row>
    <row r="8" spans="2:29" ht="12.6" customHeight="1" x14ac:dyDescent="0.25">
      <c r="B8" s="224"/>
      <c r="C8" s="285"/>
      <c r="D8" s="285"/>
      <c r="E8" s="285"/>
      <c r="F8" s="285"/>
      <c r="G8" s="285"/>
      <c r="H8" s="225"/>
      <c r="J8" s="613"/>
      <c r="K8" s="615"/>
      <c r="L8" s="615"/>
      <c r="M8" s="615"/>
      <c r="N8" s="615"/>
      <c r="O8" s="614"/>
      <c r="Q8" s="631"/>
      <c r="R8" s="633"/>
      <c r="S8" s="633"/>
      <c r="T8" s="633"/>
      <c r="U8" s="633"/>
      <c r="V8" s="632"/>
      <c r="X8" s="224"/>
      <c r="Y8" s="415"/>
      <c r="Z8" s="415"/>
      <c r="AA8" s="415"/>
      <c r="AB8" s="415"/>
      <c r="AC8" s="416"/>
    </row>
    <row r="9" spans="2:29" ht="12.6" customHeight="1" x14ac:dyDescent="0.2">
      <c r="B9" s="224"/>
      <c r="C9" s="92" t="s">
        <v>972</v>
      </c>
      <c r="D9" s="92"/>
      <c r="E9" s="1023"/>
      <c r="F9" s="1023"/>
      <c r="G9" s="1023"/>
      <c r="H9" s="225"/>
      <c r="J9" s="613"/>
      <c r="K9" s="1014" t="s">
        <v>817</v>
      </c>
      <c r="L9" s="1015"/>
      <c r="M9" s="1015"/>
      <c r="N9" s="1016"/>
      <c r="O9" s="614"/>
      <c r="Q9" s="631"/>
      <c r="R9" s="1014" t="s">
        <v>1007</v>
      </c>
      <c r="S9" s="1015"/>
      <c r="T9" s="1015"/>
      <c r="U9" s="1016"/>
      <c r="V9" s="632"/>
      <c r="X9" s="417"/>
      <c r="Y9" s="1002" t="s">
        <v>1068</v>
      </c>
      <c r="Z9" s="1003"/>
      <c r="AA9" s="1003"/>
      <c r="AB9" s="1004"/>
      <c r="AC9" s="416"/>
    </row>
    <row r="10" spans="2:29" ht="12.6" customHeight="1" x14ac:dyDescent="0.25">
      <c r="B10" s="224"/>
      <c r="C10" s="285"/>
      <c r="D10" s="285"/>
      <c r="E10" s="285"/>
      <c r="F10" s="285"/>
      <c r="G10" s="285"/>
      <c r="H10" s="225"/>
      <c r="J10" s="613"/>
      <c r="K10" s="1017"/>
      <c r="L10" s="1018"/>
      <c r="M10" s="1018"/>
      <c r="N10" s="1019"/>
      <c r="O10" s="614"/>
      <c r="Q10" s="631"/>
      <c r="R10" s="1017"/>
      <c r="S10" s="1018"/>
      <c r="T10" s="1018"/>
      <c r="U10" s="1019"/>
      <c r="V10" s="632"/>
      <c r="X10" s="417"/>
      <c r="Y10" s="1005"/>
      <c r="Z10" s="1006"/>
      <c r="AA10" s="1006"/>
      <c r="AB10" s="1007"/>
      <c r="AC10" s="225"/>
    </row>
    <row r="11" spans="2:29" ht="12.6" customHeight="1" x14ac:dyDescent="0.2">
      <c r="B11" s="224"/>
      <c r="C11" s="92" t="s">
        <v>971</v>
      </c>
      <c r="D11" s="92"/>
      <c r="E11" s="1023"/>
      <c r="F11" s="1023"/>
      <c r="G11" s="1023"/>
      <c r="H11" s="225"/>
      <c r="I11" s="92"/>
      <c r="J11" s="613"/>
      <c r="K11" s="615"/>
      <c r="L11" s="615"/>
      <c r="M11" s="615"/>
      <c r="N11" s="615"/>
      <c r="O11" s="614"/>
      <c r="Q11" s="631"/>
      <c r="R11" s="633"/>
      <c r="S11" s="633"/>
      <c r="T11" s="633"/>
      <c r="U11" s="633"/>
      <c r="V11" s="632"/>
      <c r="X11" s="418"/>
      <c r="Y11" s="419"/>
      <c r="Z11" s="419"/>
      <c r="AA11" s="419"/>
      <c r="AB11" s="229"/>
      <c r="AC11" s="230"/>
    </row>
    <row r="12" spans="2:29" ht="12.6" customHeight="1" x14ac:dyDescent="0.25">
      <c r="B12" s="224"/>
      <c r="C12" s="92"/>
      <c r="D12" s="92"/>
      <c r="E12" s="92"/>
      <c r="F12" s="92"/>
      <c r="G12" s="92"/>
      <c r="H12" s="225"/>
      <c r="I12" s="285"/>
      <c r="J12" s="613"/>
      <c r="K12" s="1014" t="s">
        <v>1008</v>
      </c>
      <c r="L12" s="1015"/>
      <c r="M12" s="1015"/>
      <c r="N12" s="1016"/>
      <c r="O12" s="614"/>
      <c r="Q12" s="631"/>
      <c r="R12" s="1014" t="s">
        <v>1008</v>
      </c>
      <c r="S12" s="1015"/>
      <c r="T12" s="1015"/>
      <c r="U12" s="1016"/>
      <c r="V12" s="632"/>
    </row>
    <row r="13" spans="2:29" ht="12.6" customHeight="1" x14ac:dyDescent="0.2">
      <c r="B13" s="224"/>
      <c r="C13" s="92" t="s">
        <v>974</v>
      </c>
      <c r="D13" s="92"/>
      <c r="E13" s="1024"/>
      <c r="F13" s="1024"/>
      <c r="G13" s="92"/>
      <c r="H13" s="225"/>
      <c r="I13" s="92"/>
      <c r="J13" s="613"/>
      <c r="K13" s="1017"/>
      <c r="L13" s="1018"/>
      <c r="M13" s="1018"/>
      <c r="N13" s="1019"/>
      <c r="O13" s="614"/>
      <c r="Q13" s="631"/>
      <c r="R13" s="1017"/>
      <c r="S13" s="1018"/>
      <c r="T13" s="1018"/>
      <c r="U13" s="1019"/>
      <c r="V13" s="632"/>
      <c r="W13" s="92"/>
      <c r="X13" s="1031" t="s">
        <v>1193</v>
      </c>
      <c r="Y13" s="1032"/>
      <c r="Z13" s="1032"/>
      <c r="AA13" s="1032"/>
      <c r="AB13" s="1032"/>
      <c r="AC13" s="1033"/>
    </row>
    <row r="14" spans="2:29" ht="12.6" customHeight="1" x14ac:dyDescent="0.2">
      <c r="B14" s="224"/>
      <c r="C14" s="92"/>
      <c r="D14" s="92"/>
      <c r="E14" s="92"/>
      <c r="F14" s="92"/>
      <c r="G14" s="92"/>
      <c r="H14" s="225"/>
      <c r="I14" s="92"/>
      <c r="J14" s="613"/>
      <c r="K14" s="615"/>
      <c r="L14" s="615"/>
      <c r="M14" s="615"/>
      <c r="N14" s="615"/>
      <c r="O14" s="614"/>
      <c r="Q14" s="631"/>
      <c r="R14" s="633"/>
      <c r="S14" s="633"/>
      <c r="T14" s="633"/>
      <c r="U14" s="633"/>
      <c r="V14" s="632"/>
      <c r="W14" s="92"/>
      <c r="X14" s="1034"/>
      <c r="Y14" s="1035"/>
      <c r="Z14" s="1035"/>
      <c r="AA14" s="1035"/>
      <c r="AB14" s="1035"/>
      <c r="AC14" s="1036"/>
    </row>
    <row r="15" spans="2:29" ht="12.6" customHeight="1" x14ac:dyDescent="0.2">
      <c r="B15" s="224"/>
      <c r="C15" s="92" t="s">
        <v>757</v>
      </c>
      <c r="D15" s="92"/>
      <c r="E15" s="1025"/>
      <c r="F15" s="1025"/>
      <c r="G15" s="1025"/>
      <c r="H15" s="225"/>
      <c r="I15" s="92"/>
      <c r="J15" s="616"/>
      <c r="K15" s="617"/>
      <c r="L15" s="617"/>
      <c r="M15" s="617"/>
      <c r="N15" s="617"/>
      <c r="O15" s="618"/>
      <c r="Q15" s="634"/>
      <c r="R15" s="635"/>
      <c r="S15" s="635"/>
      <c r="T15" s="635"/>
      <c r="U15" s="635"/>
      <c r="V15" s="636"/>
      <c r="W15" s="92"/>
      <c r="X15" s="1034"/>
      <c r="Y15" s="1035"/>
      <c r="Z15" s="1035"/>
      <c r="AA15" s="1035"/>
      <c r="AB15" s="1035"/>
      <c r="AC15" s="1036"/>
    </row>
    <row r="16" spans="2:29" ht="12.6" customHeight="1" x14ac:dyDescent="0.2">
      <c r="B16" s="226"/>
      <c r="C16" s="92"/>
      <c r="D16" s="92"/>
      <c r="E16" s="92"/>
      <c r="F16" s="92"/>
      <c r="G16" s="92"/>
      <c r="H16" s="227"/>
      <c r="I16" s="92"/>
      <c r="J16" s="92"/>
      <c r="K16" s="92"/>
      <c r="L16" s="92"/>
      <c r="M16" s="92"/>
      <c r="N16" s="92"/>
      <c r="O16" s="92"/>
      <c r="X16" s="1034"/>
      <c r="Y16" s="1035"/>
      <c r="Z16" s="1035"/>
      <c r="AA16" s="1035"/>
      <c r="AB16" s="1035"/>
      <c r="AC16" s="1036"/>
    </row>
    <row r="17" spans="2:29" ht="12.6" customHeight="1" x14ac:dyDescent="0.2">
      <c r="B17" s="226"/>
      <c r="C17" s="92" t="s">
        <v>758</v>
      </c>
      <c r="D17" s="92"/>
      <c r="E17" s="1024"/>
      <c r="F17" s="1024"/>
      <c r="G17" s="1024"/>
      <c r="H17" s="227"/>
      <c r="I17" s="92"/>
      <c r="J17" s="619"/>
      <c r="K17" s="620"/>
      <c r="L17" s="620"/>
      <c r="M17" s="620"/>
      <c r="N17" s="620"/>
      <c r="O17" s="621"/>
      <c r="Q17" s="637"/>
      <c r="R17" s="638"/>
      <c r="S17" s="638"/>
      <c r="T17" s="638"/>
      <c r="U17" s="638"/>
      <c r="V17" s="639"/>
      <c r="X17" s="1034"/>
      <c r="Y17" s="1035"/>
      <c r="Z17" s="1035"/>
      <c r="AA17" s="1035"/>
      <c r="AB17" s="1035"/>
      <c r="AC17" s="1036"/>
    </row>
    <row r="18" spans="2:29" ht="12.6" customHeight="1" x14ac:dyDescent="0.2">
      <c r="B18" s="226"/>
      <c r="C18" s="92"/>
      <c r="D18" s="92"/>
      <c r="E18" s="92"/>
      <c r="F18" s="92"/>
      <c r="G18" s="92"/>
      <c r="H18" s="227"/>
      <c r="I18" s="92"/>
      <c r="J18" s="622"/>
      <c r="K18" s="1051" t="s">
        <v>813</v>
      </c>
      <c r="L18" s="1051"/>
      <c r="M18" s="1051"/>
      <c r="N18" s="1051"/>
      <c r="O18" s="623"/>
      <c r="Q18" s="640"/>
      <c r="R18" s="1030" t="s">
        <v>965</v>
      </c>
      <c r="S18" s="1030"/>
      <c r="T18" s="1030"/>
      <c r="U18" s="1030"/>
      <c r="V18" s="641"/>
      <c r="X18" s="1037"/>
      <c r="Y18" s="1038"/>
      <c r="Z18" s="1038"/>
      <c r="AA18" s="1038"/>
      <c r="AB18" s="1038"/>
      <c r="AC18" s="1039"/>
    </row>
    <row r="19" spans="2:29" ht="12.6" customHeight="1" x14ac:dyDescent="0.2">
      <c r="B19" s="226"/>
      <c r="C19" s="92" t="s">
        <v>761</v>
      </c>
      <c r="D19" s="92"/>
      <c r="E19" s="1049"/>
      <c r="F19" s="1049"/>
      <c r="G19" s="92"/>
      <c r="H19" s="227"/>
      <c r="I19" s="92"/>
      <c r="J19" s="622"/>
      <c r="K19" s="624"/>
      <c r="L19" s="624"/>
      <c r="M19" s="624"/>
      <c r="N19" s="624"/>
      <c r="O19" s="623"/>
      <c r="Q19" s="640"/>
      <c r="R19" s="642"/>
      <c r="S19" s="642"/>
      <c r="T19" s="642"/>
      <c r="U19" s="642"/>
      <c r="V19" s="641"/>
    </row>
    <row r="20" spans="2:29" ht="12.6" customHeight="1" x14ac:dyDescent="0.2">
      <c r="B20" s="226"/>
      <c r="C20" s="92"/>
      <c r="D20" s="92"/>
      <c r="E20" s="92"/>
      <c r="F20" s="92"/>
      <c r="G20" s="92"/>
      <c r="H20" s="227"/>
      <c r="I20" s="92"/>
      <c r="J20" s="622"/>
      <c r="K20" s="1014" t="s">
        <v>1007</v>
      </c>
      <c r="L20" s="1015"/>
      <c r="M20" s="1015"/>
      <c r="N20" s="1016"/>
      <c r="O20" s="623"/>
      <c r="Q20" s="640"/>
      <c r="R20" s="1014" t="s">
        <v>1007</v>
      </c>
      <c r="S20" s="1015"/>
      <c r="T20" s="1015"/>
      <c r="U20" s="1016"/>
      <c r="V20" s="641"/>
      <c r="X20" s="1040" t="s">
        <v>1203</v>
      </c>
      <c r="Y20" s="1041"/>
      <c r="Z20" s="1041"/>
      <c r="AA20" s="1041"/>
      <c r="AB20" s="1041"/>
      <c r="AC20" s="1042"/>
    </row>
    <row r="21" spans="2:29" ht="12.6" customHeight="1" x14ac:dyDescent="0.2">
      <c r="B21" s="228"/>
      <c r="C21" s="229"/>
      <c r="D21" s="229"/>
      <c r="E21" s="229"/>
      <c r="F21" s="229"/>
      <c r="G21" s="229"/>
      <c r="H21" s="230"/>
      <c r="I21" s="286"/>
      <c r="J21" s="622"/>
      <c r="K21" s="1017"/>
      <c r="L21" s="1018"/>
      <c r="M21" s="1018"/>
      <c r="N21" s="1019"/>
      <c r="O21" s="623"/>
      <c r="Q21" s="640"/>
      <c r="R21" s="1017"/>
      <c r="S21" s="1018"/>
      <c r="T21" s="1018"/>
      <c r="U21" s="1019"/>
      <c r="V21" s="641"/>
      <c r="X21" s="1043"/>
      <c r="Y21" s="1044"/>
      <c r="Z21" s="1044"/>
      <c r="AA21" s="1044"/>
      <c r="AB21" s="1044"/>
      <c r="AC21" s="1045"/>
    </row>
    <row r="22" spans="2:29" ht="12.6" customHeight="1" x14ac:dyDescent="0.2">
      <c r="B22" s="231"/>
      <c r="H22" s="231"/>
      <c r="I22" s="286"/>
      <c r="J22" s="622"/>
      <c r="K22" s="624"/>
      <c r="L22" s="624"/>
      <c r="M22" s="624"/>
      <c r="N22" s="624"/>
      <c r="O22" s="623"/>
      <c r="Q22" s="643"/>
      <c r="R22" s="644"/>
      <c r="S22" s="644"/>
      <c r="T22" s="644"/>
      <c r="U22" s="644"/>
      <c r="V22" s="645"/>
      <c r="X22" s="1043"/>
      <c r="Y22" s="1044"/>
      <c r="Z22" s="1044"/>
      <c r="AA22" s="1044"/>
      <c r="AB22" s="1044"/>
      <c r="AC22" s="1045"/>
    </row>
    <row r="23" spans="2:29" ht="12.6" customHeight="1" x14ac:dyDescent="0.2">
      <c r="B23" s="556"/>
      <c r="C23" s="557"/>
      <c r="D23" s="557"/>
      <c r="E23" s="557"/>
      <c r="F23" s="557"/>
      <c r="G23" s="557"/>
      <c r="H23" s="558"/>
      <c r="I23" s="286"/>
      <c r="J23" s="622"/>
      <c r="K23" s="1014" t="s">
        <v>1008</v>
      </c>
      <c r="L23" s="1015"/>
      <c r="M23" s="1015"/>
      <c r="N23" s="1016"/>
      <c r="O23" s="623"/>
      <c r="Q23" s="92"/>
      <c r="R23" s="92"/>
      <c r="S23" s="92"/>
      <c r="T23" s="92"/>
      <c r="U23" s="92"/>
      <c r="V23" s="92"/>
      <c r="X23" s="1043"/>
      <c r="Y23" s="1044"/>
      <c r="Z23" s="1044"/>
      <c r="AA23" s="1044"/>
      <c r="AB23" s="1044"/>
      <c r="AC23" s="1045"/>
    </row>
    <row r="24" spans="2:29" ht="12.6" customHeight="1" x14ac:dyDescent="0.2">
      <c r="B24" s="559"/>
      <c r="C24" s="1013" t="s">
        <v>1229</v>
      </c>
      <c r="D24" s="1013"/>
      <c r="E24" s="1013"/>
      <c r="F24" s="1013"/>
      <c r="G24" s="1013"/>
      <c r="H24" s="560"/>
      <c r="I24" s="286"/>
      <c r="J24" s="622"/>
      <c r="K24" s="1017"/>
      <c r="L24" s="1018"/>
      <c r="M24" s="1018"/>
      <c r="N24" s="1019"/>
      <c r="O24" s="623"/>
      <c r="Q24" s="390"/>
      <c r="R24" s="391"/>
      <c r="S24" s="391"/>
      <c r="T24" s="391"/>
      <c r="U24" s="391"/>
      <c r="V24" s="392"/>
      <c r="X24" s="1043"/>
      <c r="Y24" s="1044"/>
      <c r="Z24" s="1044"/>
      <c r="AA24" s="1044"/>
      <c r="AB24" s="1044"/>
      <c r="AC24" s="1045"/>
    </row>
    <row r="25" spans="2:29" ht="12.6" customHeight="1" x14ac:dyDescent="0.2">
      <c r="B25" s="559"/>
      <c r="C25" s="561"/>
      <c r="D25" s="561"/>
      <c r="E25" s="561"/>
      <c r="F25" s="561"/>
      <c r="G25" s="561"/>
      <c r="H25" s="560"/>
      <c r="I25" s="286"/>
      <c r="J25" s="622"/>
      <c r="K25" s="624"/>
      <c r="L25" s="624"/>
      <c r="M25" s="624"/>
      <c r="N25" s="624"/>
      <c r="O25" s="623"/>
      <c r="Q25" s="1026" t="s">
        <v>1143</v>
      </c>
      <c r="R25" s="1027"/>
      <c r="S25" s="1027"/>
      <c r="T25" s="1027"/>
      <c r="U25" s="1027"/>
      <c r="V25" s="1028"/>
      <c r="X25" s="1046"/>
      <c r="Y25" s="1047"/>
      <c r="Z25" s="1047"/>
      <c r="AA25" s="1047"/>
      <c r="AB25" s="1047"/>
      <c r="AC25" s="1048"/>
    </row>
    <row r="26" spans="2:29" ht="12.6" customHeight="1" x14ac:dyDescent="0.2">
      <c r="B26" s="559"/>
      <c r="C26" s="1009" t="s">
        <v>1078</v>
      </c>
      <c r="D26" s="1010"/>
      <c r="E26" s="561"/>
      <c r="F26" s="1009" t="s">
        <v>812</v>
      </c>
      <c r="G26" s="1010"/>
      <c r="H26" s="560"/>
      <c r="I26" s="92"/>
      <c r="J26" s="625"/>
      <c r="K26" s="626"/>
      <c r="L26" s="626"/>
      <c r="M26" s="626"/>
      <c r="N26" s="626"/>
      <c r="O26" s="627"/>
      <c r="Q26" s="1026"/>
      <c r="R26" s="1027"/>
      <c r="S26" s="1027"/>
      <c r="T26" s="1027"/>
      <c r="U26" s="1027"/>
      <c r="V26" s="1028"/>
    </row>
    <row r="27" spans="2:29" ht="12.6" customHeight="1" x14ac:dyDescent="0.2">
      <c r="B27" s="559"/>
      <c r="C27" s="1011"/>
      <c r="D27" s="1012"/>
      <c r="E27" s="561"/>
      <c r="F27" s="1011"/>
      <c r="G27" s="1012"/>
      <c r="H27" s="560"/>
      <c r="I27" s="231"/>
      <c r="Q27" s="1026"/>
      <c r="R27" s="1027"/>
      <c r="S27" s="1027"/>
      <c r="T27" s="1027"/>
      <c r="U27" s="1027"/>
      <c r="V27" s="1028"/>
    </row>
    <row r="28" spans="2:29" ht="12.6" customHeight="1" x14ac:dyDescent="0.2">
      <c r="B28" s="559"/>
      <c r="C28" s="561"/>
      <c r="D28" s="561"/>
      <c r="E28" s="561"/>
      <c r="F28" s="561"/>
      <c r="G28" s="561"/>
      <c r="H28" s="560"/>
      <c r="I28" s="232"/>
      <c r="J28" s="221"/>
      <c r="K28" s="222"/>
      <c r="L28" s="222"/>
      <c r="M28" s="222"/>
      <c r="N28" s="222"/>
      <c r="O28" s="223"/>
      <c r="Q28" s="393"/>
      <c r="R28" s="996" t="s">
        <v>1007</v>
      </c>
      <c r="S28" s="997"/>
      <c r="T28" s="997"/>
      <c r="U28" s="998"/>
      <c r="V28" s="394"/>
    </row>
    <row r="29" spans="2:29" ht="12.6" customHeight="1" x14ac:dyDescent="0.2">
      <c r="B29" s="559"/>
      <c r="C29" s="980" t="s">
        <v>1010</v>
      </c>
      <c r="D29" s="981"/>
      <c r="E29" s="981"/>
      <c r="F29" s="981"/>
      <c r="G29" s="982"/>
      <c r="H29" s="560"/>
      <c r="I29" s="231"/>
      <c r="J29" s="224"/>
      <c r="K29" s="1008" t="s">
        <v>1044</v>
      </c>
      <c r="L29" s="1008"/>
      <c r="M29" s="1008"/>
      <c r="N29" s="1008"/>
      <c r="O29" s="225"/>
      <c r="Q29" s="393"/>
      <c r="R29" s="999"/>
      <c r="S29" s="1000"/>
      <c r="T29" s="1000"/>
      <c r="U29" s="1001"/>
      <c r="V29" s="394"/>
    </row>
    <row r="30" spans="2:29" ht="12.6" customHeight="1" x14ac:dyDescent="0.2">
      <c r="B30" s="559"/>
      <c r="C30" s="983"/>
      <c r="D30" s="984"/>
      <c r="E30" s="984"/>
      <c r="F30" s="984"/>
      <c r="G30" s="985"/>
      <c r="H30" s="560"/>
      <c r="J30" s="224"/>
      <c r="K30" s="92"/>
      <c r="L30" s="92"/>
      <c r="M30" s="92"/>
      <c r="N30" s="92"/>
      <c r="O30" s="225"/>
      <c r="Q30" s="393"/>
      <c r="R30" s="759"/>
      <c r="S30" s="759"/>
      <c r="T30" s="759"/>
      <c r="U30" s="759"/>
      <c r="V30" s="394"/>
    </row>
    <row r="31" spans="2:29" ht="12.6" customHeight="1" x14ac:dyDescent="0.2">
      <c r="B31" s="559"/>
      <c r="C31" s="986"/>
      <c r="D31" s="987"/>
      <c r="E31" s="987"/>
      <c r="F31" s="987"/>
      <c r="G31" s="988"/>
      <c r="H31" s="560"/>
      <c r="J31" s="224"/>
      <c r="K31" s="1002" t="s">
        <v>1009</v>
      </c>
      <c r="L31" s="1003"/>
      <c r="M31" s="1003"/>
      <c r="N31" s="1004"/>
      <c r="O31" s="225"/>
      <c r="Q31" s="393"/>
      <c r="R31" s="996" t="s">
        <v>1009</v>
      </c>
      <c r="S31" s="997"/>
      <c r="T31" s="997"/>
      <c r="U31" s="998"/>
      <c r="V31" s="394"/>
    </row>
    <row r="32" spans="2:29" ht="12.6" customHeight="1" x14ac:dyDescent="0.2">
      <c r="B32" s="559"/>
      <c r="C32" s="395"/>
      <c r="D32" s="395"/>
      <c r="E32" s="395"/>
      <c r="F32" s="395"/>
      <c r="G32" s="395"/>
      <c r="H32" s="560"/>
      <c r="I32" s="233"/>
      <c r="J32" s="224"/>
      <c r="K32" s="1005"/>
      <c r="L32" s="1006"/>
      <c r="M32" s="1006"/>
      <c r="N32" s="1007"/>
      <c r="O32" s="225"/>
      <c r="Q32" s="393"/>
      <c r="R32" s="999"/>
      <c r="S32" s="1000"/>
      <c r="T32" s="1000"/>
      <c r="U32" s="1001"/>
      <c r="V32" s="394"/>
    </row>
    <row r="33" spans="2:25" ht="12.6" customHeight="1" x14ac:dyDescent="0.2">
      <c r="B33" s="559"/>
      <c r="C33" s="980" t="s">
        <v>1024</v>
      </c>
      <c r="D33" s="981"/>
      <c r="E33" s="981"/>
      <c r="F33" s="981"/>
      <c r="G33" s="982"/>
      <c r="H33" s="560"/>
      <c r="I33" s="233"/>
      <c r="J33" s="224"/>
      <c r="K33" s="92"/>
      <c r="L33" s="92"/>
      <c r="M33" s="92"/>
      <c r="N33" s="92"/>
      <c r="O33" s="225"/>
      <c r="Q33" s="393"/>
      <c r="R33" s="759"/>
      <c r="S33" s="759"/>
      <c r="T33" s="759"/>
      <c r="U33" s="759"/>
      <c r="V33" s="394"/>
    </row>
    <row r="34" spans="2:25" ht="12.6" customHeight="1" x14ac:dyDescent="0.2">
      <c r="B34" s="559"/>
      <c r="C34" s="983"/>
      <c r="D34" s="984"/>
      <c r="E34" s="984"/>
      <c r="F34" s="984"/>
      <c r="G34" s="985"/>
      <c r="H34" s="560"/>
      <c r="I34" s="233"/>
      <c r="J34" s="228"/>
      <c r="K34" s="229"/>
      <c r="L34" s="229"/>
      <c r="M34" s="229"/>
      <c r="N34" s="229"/>
      <c r="O34" s="230"/>
      <c r="Q34" s="393"/>
      <c r="R34" s="996" t="s">
        <v>1093</v>
      </c>
      <c r="S34" s="997"/>
      <c r="T34" s="997"/>
      <c r="U34" s="998"/>
      <c r="V34" s="394"/>
    </row>
    <row r="35" spans="2:25" ht="12.6" customHeight="1" x14ac:dyDescent="0.2">
      <c r="B35" s="559"/>
      <c r="C35" s="986"/>
      <c r="D35" s="987"/>
      <c r="E35" s="987"/>
      <c r="F35" s="987"/>
      <c r="G35" s="988"/>
      <c r="H35" s="560"/>
      <c r="I35" s="233"/>
      <c r="Q35" s="393"/>
      <c r="R35" s="999"/>
      <c r="S35" s="1000"/>
      <c r="T35" s="1000"/>
      <c r="U35" s="1001"/>
      <c r="V35" s="394"/>
    </row>
    <row r="36" spans="2:25" ht="12.6" customHeight="1" x14ac:dyDescent="0.2">
      <c r="B36" s="559"/>
      <c r="C36" s="715"/>
      <c r="D36" s="715"/>
      <c r="E36" s="715"/>
      <c r="F36" s="715"/>
      <c r="G36" s="715"/>
      <c r="H36" s="560"/>
      <c r="Q36" s="393"/>
      <c r="R36" s="759"/>
      <c r="S36" s="759"/>
      <c r="T36" s="759"/>
      <c r="U36" s="759"/>
      <c r="V36" s="394"/>
      <c r="X36" s="92"/>
      <c r="Y36" s="92"/>
    </row>
    <row r="37" spans="2:25" ht="12.6" customHeight="1" x14ac:dyDescent="0.2">
      <c r="B37" s="559"/>
      <c r="C37" s="980" t="s">
        <v>1034</v>
      </c>
      <c r="D37" s="981"/>
      <c r="E37" s="981"/>
      <c r="F37" s="981"/>
      <c r="G37" s="982"/>
      <c r="H37" s="560"/>
      <c r="Q37" s="393"/>
      <c r="R37" s="989" t="s">
        <v>1155</v>
      </c>
      <c r="S37" s="990"/>
      <c r="T37" s="990"/>
      <c r="U37" s="991"/>
      <c r="V37" s="394"/>
    </row>
    <row r="38" spans="2:25" ht="12.6" customHeight="1" x14ac:dyDescent="0.2">
      <c r="B38" s="393"/>
      <c r="C38" s="983"/>
      <c r="D38" s="984"/>
      <c r="E38" s="984"/>
      <c r="F38" s="984"/>
      <c r="G38" s="985"/>
      <c r="H38" s="394"/>
      <c r="Q38" s="393"/>
      <c r="R38" s="992"/>
      <c r="S38" s="993"/>
      <c r="T38" s="993"/>
      <c r="U38" s="994"/>
      <c r="V38" s="394"/>
    </row>
    <row r="39" spans="2:25" ht="12.6" customHeight="1" x14ac:dyDescent="0.2">
      <c r="B39" s="393"/>
      <c r="C39" s="986"/>
      <c r="D39" s="987"/>
      <c r="E39" s="987"/>
      <c r="F39" s="987"/>
      <c r="G39" s="988"/>
      <c r="H39" s="394"/>
      <c r="Q39" s="396"/>
      <c r="R39" s="397"/>
      <c r="S39" s="397"/>
      <c r="T39" s="397"/>
      <c r="U39" s="397"/>
      <c r="V39" s="398"/>
      <c r="W39" s="92"/>
    </row>
    <row r="40" spans="2:25" ht="12.6" customHeight="1" x14ac:dyDescent="0.2">
      <c r="B40" s="396"/>
      <c r="C40" s="397"/>
      <c r="D40" s="397"/>
      <c r="E40" s="397"/>
      <c r="F40" s="397"/>
      <c r="G40" s="397"/>
      <c r="H40" s="398"/>
      <c r="V40" s="601"/>
      <c r="W40" s="92"/>
    </row>
    <row r="41" spans="2:25" ht="12.6" customHeight="1" x14ac:dyDescent="0.2">
      <c r="Q41" s="995" t="str">
        <f>CONCATENATE("Vertragsbestellung_",LohntabelleM!G1," / ",LohntabelleM!I1," - Schulen")</f>
        <v>Vertragsbestellung_V4.6 / 2024 - Schulen</v>
      </c>
      <c r="R41" s="995"/>
      <c r="S41" s="995"/>
      <c r="T41" s="995"/>
      <c r="U41" s="995"/>
      <c r="V41" s="995"/>
      <c r="W41" s="415"/>
    </row>
    <row r="42" spans="2:25" ht="12.6" customHeight="1" x14ac:dyDescent="0.2">
      <c r="W42" s="415"/>
    </row>
    <row r="43" spans="2:25" x14ac:dyDescent="0.2">
      <c r="W43" s="415"/>
    </row>
    <row r="44" spans="2:25" x14ac:dyDescent="0.2">
      <c r="W44" s="415"/>
    </row>
    <row r="45" spans="2:25" x14ac:dyDescent="0.2">
      <c r="W45" s="92"/>
    </row>
    <row r="46" spans="2:25" ht="12.75" customHeight="1" x14ac:dyDescent="0.2"/>
  </sheetData>
  <sheetProtection algorithmName="SHA-512" hashValue="tpCdBLRVYXw8rTCY3p2hxrQbmsjriapqTJJwVqJOqJubV8sb9vpw7rY6QO0dLZHcB8qDtpGbXgmCABG5S9gwtw==" saltValue="2K1gokUy1VZYNpzXS9AanQ==" spinCount="100000" sheet="1" objects="1" scenarios="1"/>
  <mergeCells count="37">
    <mergeCell ref="K9:N10"/>
    <mergeCell ref="K29:N29"/>
    <mergeCell ref="E17:G17"/>
    <mergeCell ref="E19:F19"/>
    <mergeCell ref="J4:O4"/>
    <mergeCell ref="K18:N18"/>
    <mergeCell ref="K20:N21"/>
    <mergeCell ref="K7:N7"/>
    <mergeCell ref="R18:U18"/>
    <mergeCell ref="R28:U29"/>
    <mergeCell ref="X13:AC18"/>
    <mergeCell ref="X20:AC25"/>
    <mergeCell ref="K12:N13"/>
    <mergeCell ref="Y7:AB7"/>
    <mergeCell ref="Y9:AB10"/>
    <mergeCell ref="C26:D27"/>
    <mergeCell ref="F26:G27"/>
    <mergeCell ref="C24:G24"/>
    <mergeCell ref="R20:U21"/>
    <mergeCell ref="K23:N24"/>
    <mergeCell ref="B7:H7"/>
    <mergeCell ref="E9:G9"/>
    <mergeCell ref="E11:G11"/>
    <mergeCell ref="E13:F13"/>
    <mergeCell ref="E15:G15"/>
    <mergeCell ref="Q25:V27"/>
    <mergeCell ref="R9:U10"/>
    <mergeCell ref="R12:U13"/>
    <mergeCell ref="R7:U7"/>
    <mergeCell ref="C33:G35"/>
    <mergeCell ref="C29:G31"/>
    <mergeCell ref="C37:G39"/>
    <mergeCell ref="R37:U38"/>
    <mergeCell ref="Q41:V41"/>
    <mergeCell ref="R34:U35"/>
    <mergeCell ref="K31:N32"/>
    <mergeCell ref="R31:U32"/>
  </mergeCells>
  <dataValidations count="2">
    <dataValidation type="list" allowBlank="1" showInputMessage="1" showErrorMessage="1" sqref="E13">
      <formula1>Anrede</formula1>
    </dataValidation>
    <dataValidation type="date" operator="greaterThan" allowBlank="1" showInputMessage="1" showErrorMessage="1" sqref="E19">
      <formula1>1</formula1>
    </dataValidation>
  </dataValidations>
  <hyperlinks>
    <hyperlink ref="K12" location="Anstellung!G10" display="Anstellung Unterrichtendes Personal"/>
    <hyperlink ref="K31" location="Anstellung!G10" display="Anstellung Unterrichtendes Personal"/>
    <hyperlink ref="K12:N13" location="'Externe Stv. KigaPrim'!A1" tooltip="Externe Stellvertretung" display="Externe Stellvertretung"/>
    <hyperlink ref="K31:N32" location="'UP Vertragsaenderung'!A1" tooltip="Vertragsänderung" display="Vertragsänderung"/>
    <hyperlink ref="K20" location="Anstellung!G10" display="Anstellung Unterrichtendes Personal"/>
    <hyperlink ref="K23" location="Anstellung!G10" display="Anstellung Unterrichtendes Personal"/>
    <hyperlink ref="K20:N21" location="'Anstellung MS'!A1" tooltip="Formular Anstellung unterrichtendes Personal" display="Anstellung "/>
    <hyperlink ref="K23:N24" location="'Externe Stv. MS'!A1" tooltip="Externe Stellvertretung" display="Externe Stellvertretung"/>
    <hyperlink ref="R9" location="Anstellung!G10" display="Anstellung Unterrichtendes Personal"/>
    <hyperlink ref="R12" location="Anstellung!G10" display="Anstellung Unterrichtendes Personal"/>
    <hyperlink ref="R12:U13" location="'Externe Stv. KPTF'!A1" tooltip="Externe Stellvertretung" display="Externe Stellvertretung"/>
    <hyperlink ref="R20" location="Anstellung!G10" display="Anstellung Unterrichtendes Personal"/>
    <hyperlink ref="R20:U21" location="'Anstellung BFS'!A1" tooltip="Formular Anstellung unterrichtendes Personal" display="Anstellung "/>
    <hyperlink ref="R28" location="Anstellung!G10" display="Anstellung Unterrichtendes Personal"/>
    <hyperlink ref="R31" location="Anstellung!G10" display="Anstellung Unterrichtendes Personal"/>
    <hyperlink ref="R34" location="Anstellung!G10" display="Anstellung Unterrichtendes Personal"/>
    <hyperlink ref="R34:U35" location="'VP Zusätzlicher Vertrag'!A1" tooltip="Zusätzlicher Vertrag / Folgevertrag" display="Zusätzlicher Vertrag"/>
    <hyperlink ref="R31:U32" location="'VP Vertragsaenderung'!A1" tooltip="Vertragsänderung" display="Vertragsänderung"/>
    <hyperlink ref="R28:U29" location="'VP Anstellung'!A1" tooltip="Anstellung " display="Anstellung "/>
    <hyperlink ref="Y9:Z10" location="Druckeinstellungen!A1" display="Druckeinstellungen"/>
    <hyperlink ref="C29:D30" location="Lohnrechner!A1" display="Lohnrechner"/>
    <hyperlink ref="C33:D34" location="Lohnrechner!A1" display="Lohnrechner"/>
    <hyperlink ref="F26:G27" location="Lohnberechnung!A1" display="Lohnberechnung"/>
    <hyperlink ref="C26:D27" location="Lohnrechner!A1" display="Lohnrechner"/>
    <hyperlink ref="R37" location="Anstellung!G10" display="Anstellung Unterrichtendes Personal"/>
    <hyperlink ref="R37:U38" location="Pensenberechnung!A1" tooltip="Zusätzlicher Vertrag / Folgevertrag" display="Pensenberechnung!A1"/>
    <hyperlink ref="K9" location="Anstellung!G10" display="Anstellung Unterrichtendes Personal"/>
    <hyperlink ref="K9:N10" location="'Anstellung KigaPrim'!A1" tooltip="Externe Stellvertretung" display="Anstellung"/>
    <hyperlink ref="C37:D38" location="Lohnrechner!A1" display="Lohnrechner"/>
    <hyperlink ref="C29:G31" location="'Wechsel max. 1 LB'!A1" display="Wechsel von maximal einem Lohnband innerhalb gleicher Funktionskette"/>
    <hyperlink ref="C33:G35" location="'Wechsel anspruchsvollere Fkt.'!A1" display="'Wechsel anspruchsvollere Fkt.'!A1"/>
    <hyperlink ref="C37:G39" location="'Wechsel gleiche Ausb. Anf.'!A1" display="Funktionswechsel bei gleicher Ausbildungsanforderung"/>
    <hyperlink ref="R9:U10" location="'Anstellung KPTF'!A1" tooltip="Formular Anstellung unterrichtendes Personal" display="Anstellung "/>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8">
    <tabColor theme="5" tint="0.39997558519241921"/>
    <pageSetUpPr fitToPage="1"/>
  </sheetPr>
  <dimension ref="A1:R140"/>
  <sheetViews>
    <sheetView zoomScaleNormal="100" workbookViewId="0">
      <selection activeCell="Q54" sqref="Q54"/>
    </sheetView>
  </sheetViews>
  <sheetFormatPr baseColWidth="10" defaultColWidth="11.5703125" defaultRowHeight="12.75" x14ac:dyDescent="0.2"/>
  <cols>
    <col min="1" max="1" width="2.7109375" style="413" customWidth="1"/>
    <col min="2" max="2" width="1.42578125" style="413" customWidth="1"/>
    <col min="3" max="3" width="2" style="413" customWidth="1"/>
    <col min="4" max="4" width="3.5703125" style="247" customWidth="1"/>
    <col min="5" max="5" width="11.5703125" style="247"/>
    <col min="6" max="6" width="9.7109375" style="247" customWidth="1"/>
    <col min="7" max="7" width="14.5703125" style="247" customWidth="1"/>
    <col min="8" max="8" width="9.42578125" style="247" customWidth="1"/>
    <col min="9" max="9" width="14.42578125" style="247" customWidth="1"/>
    <col min="10" max="10" width="9" style="247" customWidth="1"/>
    <col min="11" max="11" width="11.5703125" style="247"/>
    <col min="12" max="12" width="3.5703125" style="247" customWidth="1"/>
    <col min="13" max="13" width="2.28515625" style="247" customWidth="1"/>
    <col min="14" max="14" width="11.5703125" style="413"/>
    <col min="15" max="15" width="14.5703125" style="413" customWidth="1"/>
    <col min="16" max="16" width="45.140625" style="413" customWidth="1"/>
    <col min="17" max="17" width="11.5703125" style="413"/>
    <col min="18" max="18" width="71" style="413" hidden="1" customWidth="1"/>
    <col min="19" max="16384" width="11.5703125" style="413"/>
  </cols>
  <sheetData>
    <row r="1" spans="1:16" s="247" customFormat="1" ht="5.0999999999999996" customHeight="1" x14ac:dyDescent="0.2"/>
    <row r="2" spans="1:16" s="247" customFormat="1" ht="45" customHeight="1" x14ac:dyDescent="0.2">
      <c r="D2" s="399" t="s">
        <v>1054</v>
      </c>
      <c r="F2" s="399"/>
      <c r="G2" s="326"/>
      <c r="H2" s="325"/>
      <c r="I2" s="325"/>
      <c r="J2" s="325"/>
      <c r="K2" s="325"/>
    </row>
    <row r="3" spans="1:16" s="238" customFormat="1" ht="21" customHeight="1" x14ac:dyDescent="0.2">
      <c r="B3" s="239"/>
      <c r="D3" s="324" t="s">
        <v>950</v>
      </c>
      <c r="F3" s="241"/>
      <c r="H3" s="240"/>
      <c r="I3" s="240"/>
      <c r="J3" s="240"/>
      <c r="K3" s="240"/>
      <c r="L3" s="240"/>
      <c r="M3" s="240"/>
      <c r="N3" s="240"/>
    </row>
    <row r="4" spans="1:16" s="247" customFormat="1" ht="6.75" customHeight="1" x14ac:dyDescent="0.2">
      <c r="A4" s="242"/>
      <c r="B4" s="243"/>
      <c r="C4" s="243"/>
      <c r="D4" s="243"/>
      <c r="E4" s="243"/>
      <c r="F4" s="243"/>
      <c r="G4" s="243"/>
      <c r="H4" s="245"/>
      <c r="I4" s="246"/>
      <c r="J4" s="245"/>
      <c r="K4" s="245"/>
      <c r="L4" s="245"/>
      <c r="N4" s="240"/>
    </row>
    <row r="5" spans="1:16" s="247" customFormat="1" ht="6" customHeight="1" x14ac:dyDescent="0.2">
      <c r="B5" s="243"/>
      <c r="F5" s="399"/>
      <c r="G5" s="326"/>
      <c r="H5" s="325"/>
      <c r="I5" s="325"/>
      <c r="J5" s="325"/>
      <c r="K5" s="325"/>
    </row>
    <row r="6" spans="1:16" s="247" customFormat="1" ht="5.0999999999999996" customHeight="1" x14ac:dyDescent="0.2">
      <c r="B6" s="243"/>
      <c r="D6" s="59"/>
      <c r="E6" s="321"/>
      <c r="F6" s="322"/>
      <c r="G6" s="323"/>
      <c r="H6" s="321"/>
      <c r="I6" s="321"/>
      <c r="J6" s="321"/>
      <c r="K6" s="321"/>
      <c r="L6" s="60"/>
    </row>
    <row r="7" spans="1:16" s="247" customFormat="1" x14ac:dyDescent="0.2">
      <c r="B7" s="243"/>
      <c r="D7" s="61"/>
      <c r="E7" s="324" t="s">
        <v>771</v>
      </c>
      <c r="F7" s="325"/>
      <c r="G7" s="326"/>
      <c r="H7" s="325"/>
      <c r="I7" s="325"/>
      <c r="J7" s="325"/>
      <c r="K7" s="325"/>
      <c r="L7" s="62"/>
    </row>
    <row r="8" spans="1:16" s="247" customFormat="1" x14ac:dyDescent="0.2">
      <c r="B8" s="243"/>
      <c r="D8" s="61"/>
      <c r="E8" s="248"/>
      <c r="F8" s="248"/>
      <c r="G8" s="249"/>
      <c r="H8" s="248"/>
      <c r="I8" s="248"/>
      <c r="J8" s="248"/>
      <c r="K8" s="248"/>
      <c r="L8" s="62"/>
    </row>
    <row r="9" spans="1:16" s="247" customFormat="1" x14ac:dyDescent="0.2">
      <c r="B9" s="243"/>
      <c r="D9" s="61"/>
      <c r="E9" s="248" t="s">
        <v>974</v>
      </c>
      <c r="F9" s="248"/>
      <c r="G9" s="655" t="str">
        <f>IF(MAAnrede&lt;&gt;"",MAAnrede,"")</f>
        <v/>
      </c>
      <c r="H9" s="248"/>
      <c r="I9" s="248"/>
      <c r="J9" s="248"/>
      <c r="K9" s="248"/>
      <c r="L9" s="62"/>
    </row>
    <row r="10" spans="1:16" s="247" customFormat="1" x14ac:dyDescent="0.2">
      <c r="B10" s="243"/>
      <c r="D10" s="61"/>
      <c r="E10" s="248"/>
      <c r="F10" s="248"/>
      <c r="G10" s="249"/>
      <c r="H10" s="248"/>
      <c r="I10" s="248"/>
      <c r="J10" s="248"/>
      <c r="K10" s="248"/>
      <c r="L10" s="62"/>
      <c r="P10" s="451"/>
    </row>
    <row r="11" spans="1:16" s="247" customFormat="1" ht="12.6" customHeight="1" x14ac:dyDescent="0.2">
      <c r="B11" s="243"/>
      <c r="D11" s="61"/>
      <c r="E11" s="248" t="s">
        <v>757</v>
      </c>
      <c r="F11" s="248"/>
      <c r="G11" s="1100" t="str">
        <f>IF(MAName&lt;&gt;"",MAName,"")</f>
        <v/>
      </c>
      <c r="H11" s="1100"/>
      <c r="I11" s="248" t="s">
        <v>758</v>
      </c>
      <c r="J11" s="1100" t="str">
        <f>IF(MAVorname&lt;&gt;"",MAVorname,"")</f>
        <v/>
      </c>
      <c r="K11" s="1100"/>
      <c r="L11" s="62"/>
      <c r="N11" s="1068" t="s">
        <v>1040</v>
      </c>
      <c r="O11" s="1069"/>
      <c r="P11" s="451"/>
    </row>
    <row r="12" spans="1:16" s="247" customFormat="1" ht="12.6" customHeight="1" x14ac:dyDescent="0.2">
      <c r="B12" s="243"/>
      <c r="D12" s="61"/>
      <c r="E12" s="248"/>
      <c r="F12" s="248"/>
      <c r="G12" s="249"/>
      <c r="H12" s="248"/>
      <c r="I12" s="248"/>
      <c r="J12" s="248"/>
      <c r="K12" s="248"/>
      <c r="L12" s="62"/>
      <c r="N12" s="1070"/>
      <c r="O12" s="1071"/>
      <c r="P12" s="711"/>
    </row>
    <row r="13" spans="1:16" s="247" customFormat="1" x14ac:dyDescent="0.2">
      <c r="B13" s="243"/>
      <c r="D13" s="61"/>
      <c r="E13" s="248" t="s">
        <v>764</v>
      </c>
      <c r="F13" s="248"/>
      <c r="G13" s="1100" t="str">
        <f>IF(MAVertragsNr&lt;&gt;"",MAVertragsNr,"")</f>
        <v/>
      </c>
      <c r="H13" s="1100"/>
      <c r="I13" s="248" t="s">
        <v>763</v>
      </c>
      <c r="J13" s="1100" t="str">
        <f>IF(MAPersID&lt;&gt;"",MAPersID,"")</f>
        <v/>
      </c>
      <c r="K13" s="1100"/>
      <c r="L13" s="62"/>
      <c r="P13" s="451"/>
    </row>
    <row r="14" spans="1:16" s="247" customFormat="1" x14ac:dyDescent="0.2">
      <c r="B14" s="243"/>
      <c r="D14" s="61"/>
      <c r="E14" s="248"/>
      <c r="F14" s="248"/>
      <c r="G14" s="249"/>
      <c r="H14" s="248"/>
      <c r="I14" s="248"/>
      <c r="J14" s="248"/>
      <c r="K14" s="248"/>
      <c r="L14" s="62"/>
    </row>
    <row r="15" spans="1:16" s="247" customFormat="1" x14ac:dyDescent="0.2">
      <c r="B15" s="243"/>
      <c r="D15" s="61"/>
      <c r="E15" s="248" t="s">
        <v>756</v>
      </c>
      <c r="F15" s="248"/>
      <c r="G15" s="1088"/>
      <c r="H15" s="1088"/>
      <c r="I15" s="1088"/>
      <c r="J15" s="1088"/>
      <c r="K15" s="1088"/>
      <c r="L15" s="62"/>
    </row>
    <row r="16" spans="1:16" s="247" customFormat="1" x14ac:dyDescent="0.2">
      <c r="B16" s="243"/>
      <c r="D16" s="61"/>
      <c r="E16" s="248"/>
      <c r="F16" s="248"/>
      <c r="G16" s="249"/>
      <c r="H16" s="248"/>
      <c r="I16" s="248"/>
      <c r="J16" s="248"/>
      <c r="K16" s="248"/>
      <c r="L16" s="62"/>
    </row>
    <row r="17" spans="2:12" s="247" customFormat="1" x14ac:dyDescent="0.2">
      <c r="B17" s="243"/>
      <c r="D17" s="61"/>
      <c r="E17" s="248" t="s">
        <v>759</v>
      </c>
      <c r="F17" s="248"/>
      <c r="G17" s="216"/>
      <c r="H17" s="596" t="s">
        <v>760</v>
      </c>
      <c r="I17" s="1127"/>
      <c r="J17" s="1127"/>
      <c r="K17" s="1127"/>
      <c r="L17" s="62"/>
    </row>
    <row r="18" spans="2:12" s="247" customFormat="1" x14ac:dyDescent="0.2">
      <c r="B18" s="243"/>
      <c r="D18" s="61"/>
      <c r="E18" s="248"/>
      <c r="F18" s="248"/>
      <c r="G18" s="249"/>
      <c r="H18" s="248"/>
      <c r="I18" s="248"/>
      <c r="J18" s="248"/>
      <c r="K18" s="249"/>
      <c r="L18" s="62"/>
    </row>
    <row r="19" spans="2:12" s="247" customFormat="1" x14ac:dyDescent="0.2">
      <c r="B19" s="243"/>
      <c r="D19" s="61"/>
      <c r="E19" s="248" t="s">
        <v>761</v>
      </c>
      <c r="F19" s="248"/>
      <c r="G19" s="328">
        <f>MAGeburtsdatum</f>
        <v>0</v>
      </c>
      <c r="H19" s="248"/>
      <c r="I19" s="248" t="s">
        <v>769</v>
      </c>
      <c r="J19" s="1088"/>
      <c r="K19" s="1088"/>
      <c r="L19" s="62"/>
    </row>
    <row r="20" spans="2:12" s="247" customFormat="1" x14ac:dyDescent="0.2">
      <c r="B20" s="243"/>
      <c r="D20" s="61"/>
      <c r="E20" s="248"/>
      <c r="F20" s="248"/>
      <c r="G20" s="248"/>
      <c r="H20" s="248"/>
      <c r="I20" s="248"/>
      <c r="J20" s="248"/>
      <c r="K20" s="249"/>
      <c r="L20" s="62"/>
    </row>
    <row r="21" spans="2:12" s="247" customFormat="1" x14ac:dyDescent="0.2">
      <c r="B21" s="243"/>
      <c r="D21" s="61"/>
      <c r="E21" s="248" t="s">
        <v>770</v>
      </c>
      <c r="F21" s="248"/>
      <c r="G21" s="1088"/>
      <c r="H21" s="1088"/>
      <c r="I21" s="343" t="s">
        <v>1041</v>
      </c>
      <c r="J21" s="1088"/>
      <c r="K21" s="1088"/>
      <c r="L21" s="62"/>
    </row>
    <row r="22" spans="2:12" s="247" customFormat="1" x14ac:dyDescent="0.2">
      <c r="B22" s="243"/>
      <c r="D22" s="61"/>
      <c r="E22" s="248"/>
      <c r="F22" s="248"/>
      <c r="G22" s="248"/>
      <c r="H22" s="248"/>
      <c r="I22" s="248"/>
      <c r="J22" s="729" t="s">
        <v>1042</v>
      </c>
      <c r="L22" s="62"/>
    </row>
    <row r="23" spans="2:12" s="247" customFormat="1" x14ac:dyDescent="0.2">
      <c r="B23" s="243"/>
      <c r="D23" s="61"/>
      <c r="E23" s="248" t="s">
        <v>1055</v>
      </c>
      <c r="G23" s="1088"/>
      <c r="H23" s="1088"/>
      <c r="I23" s="1088"/>
      <c r="J23" s="1088"/>
      <c r="K23" s="1088"/>
      <c r="L23" s="62"/>
    </row>
    <row r="24" spans="2:12" s="247" customFormat="1" x14ac:dyDescent="0.2">
      <c r="B24" s="243"/>
      <c r="D24" s="61"/>
      <c r="E24" s="248"/>
      <c r="H24" s="325"/>
      <c r="L24" s="62"/>
    </row>
    <row r="25" spans="2:12" s="247" customFormat="1" ht="13.15" customHeight="1" x14ac:dyDescent="0.2">
      <c r="B25" s="243"/>
      <c r="D25" s="61"/>
      <c r="E25" s="344" t="s">
        <v>826</v>
      </c>
      <c r="F25" s="1125" t="s">
        <v>1085</v>
      </c>
      <c r="G25" s="1125"/>
      <c r="H25" s="1125"/>
      <c r="I25" s="1125"/>
      <c r="J25" s="1125"/>
      <c r="K25" s="349"/>
      <c r="L25" s="62"/>
    </row>
    <row r="26" spans="2:12" s="247" customFormat="1" ht="13.15" customHeight="1" x14ac:dyDescent="0.2">
      <c r="B26" s="243"/>
      <c r="D26" s="61"/>
      <c r="E26" s="344"/>
      <c r="F26" s="1125" t="s">
        <v>1083</v>
      </c>
      <c r="G26" s="1125"/>
      <c r="H26" s="1125"/>
      <c r="I26" s="1125"/>
      <c r="J26" s="1125"/>
      <c r="K26" s="1125"/>
      <c r="L26" s="62"/>
    </row>
    <row r="27" spans="2:12" s="247" customFormat="1" ht="12.6" customHeight="1" x14ac:dyDescent="0.2">
      <c r="B27" s="243"/>
      <c r="D27" s="61"/>
      <c r="E27" s="344"/>
      <c r="F27" s="1125" t="s">
        <v>1084</v>
      </c>
      <c r="G27" s="1125"/>
      <c r="H27" s="1125"/>
      <c r="I27" s="1125"/>
      <c r="J27" s="349"/>
      <c r="K27" s="349"/>
      <c r="L27" s="62"/>
    </row>
    <row r="28" spans="2:12" s="247" customFormat="1" ht="12.6" customHeight="1" x14ac:dyDescent="0.2">
      <c r="B28" s="243"/>
      <c r="D28" s="61"/>
      <c r="E28" s="344"/>
      <c r="F28" s="1125" t="s">
        <v>1086</v>
      </c>
      <c r="G28" s="1125"/>
      <c r="H28" s="349"/>
      <c r="I28" s="349"/>
      <c r="J28" s="349"/>
      <c r="K28" s="349"/>
      <c r="L28" s="62"/>
    </row>
    <row r="29" spans="2:12" s="247" customFormat="1" ht="8.1" customHeight="1" x14ac:dyDescent="0.2">
      <c r="B29" s="243"/>
      <c r="D29" s="63"/>
      <c r="E29" s="64"/>
      <c r="F29" s="64"/>
      <c r="G29" s="65"/>
      <c r="H29" s="64"/>
      <c r="I29" s="64"/>
      <c r="J29" s="64"/>
      <c r="K29" s="64"/>
      <c r="L29" s="66"/>
    </row>
    <row r="30" spans="2:12" s="247" customFormat="1" ht="6" customHeight="1" x14ac:dyDescent="0.2">
      <c r="B30" s="243"/>
      <c r="E30" s="248"/>
      <c r="F30" s="248"/>
      <c r="G30" s="249"/>
      <c r="H30" s="248"/>
      <c r="I30" s="248"/>
      <c r="J30" s="248"/>
      <c r="K30" s="248"/>
    </row>
    <row r="31" spans="2:12" s="247" customFormat="1" ht="5.0999999999999996" customHeight="1" x14ac:dyDescent="0.2">
      <c r="B31" s="243"/>
      <c r="D31" s="59"/>
      <c r="E31" s="272"/>
      <c r="F31" s="272"/>
      <c r="G31" s="273"/>
      <c r="H31" s="272"/>
      <c r="I31" s="272"/>
      <c r="J31" s="272"/>
      <c r="K31" s="272"/>
      <c r="L31" s="60"/>
    </row>
    <row r="32" spans="2:12" s="247" customFormat="1" ht="13.35" customHeight="1" x14ac:dyDescent="0.2">
      <c r="B32" s="243"/>
      <c r="D32" s="61"/>
      <c r="E32" s="324" t="s">
        <v>936</v>
      </c>
      <c r="F32" s="248"/>
      <c r="G32" s="249"/>
      <c r="H32" s="248"/>
      <c r="I32" s="248"/>
      <c r="J32" s="248"/>
      <c r="K32" s="248"/>
      <c r="L32" s="62"/>
    </row>
    <row r="33" spans="2:12" s="247" customFormat="1" ht="13.35" customHeight="1" x14ac:dyDescent="0.2">
      <c r="B33" s="243"/>
      <c r="D33" s="61"/>
      <c r="E33" s="248"/>
      <c r="F33" s="248"/>
      <c r="G33" s="249"/>
      <c r="H33" s="248"/>
      <c r="I33" s="248"/>
      <c r="J33" s="248"/>
      <c r="K33" s="248"/>
      <c r="L33" s="62"/>
    </row>
    <row r="34" spans="2:12" s="247" customFormat="1" ht="13.35" customHeight="1" x14ac:dyDescent="0.2">
      <c r="B34" s="243"/>
      <c r="D34" s="61"/>
      <c r="E34" s="248" t="s">
        <v>822</v>
      </c>
      <c r="F34" s="248"/>
      <c r="G34" s="220"/>
      <c r="H34" s="668" t="s">
        <v>995</v>
      </c>
      <c r="J34" s="1088"/>
      <c r="K34" s="1088"/>
      <c r="L34" s="62"/>
    </row>
    <row r="35" spans="2:12" s="247" customFormat="1" ht="13.35" customHeight="1" x14ac:dyDescent="0.2">
      <c r="B35" s="243"/>
      <c r="D35" s="61"/>
      <c r="E35" s="325"/>
      <c r="F35" s="345"/>
      <c r="G35" s="326"/>
      <c r="H35" s="325"/>
      <c r="I35" s="349"/>
      <c r="J35" s="325"/>
      <c r="K35" s="325"/>
      <c r="L35" s="62"/>
    </row>
    <row r="36" spans="2:12" s="247" customFormat="1" ht="13.35" customHeight="1" x14ac:dyDescent="0.2">
      <c r="B36" s="243"/>
      <c r="D36" s="61"/>
      <c r="E36" s="343" t="s">
        <v>997</v>
      </c>
      <c r="F36" s="249"/>
      <c r="G36" s="346"/>
      <c r="H36" s="681"/>
      <c r="L36" s="62"/>
    </row>
    <row r="37" spans="2:12" s="247" customFormat="1" ht="13.35" customHeight="1" x14ac:dyDescent="0.2">
      <c r="B37" s="243"/>
      <c r="D37" s="61"/>
      <c r="E37" s="351"/>
      <c r="F37" s="248"/>
      <c r="H37" s="351"/>
      <c r="L37" s="62"/>
    </row>
    <row r="38" spans="2:12" s="247" customFormat="1" ht="13.35" customHeight="1" x14ac:dyDescent="0.2">
      <c r="B38" s="243"/>
      <c r="D38" s="61"/>
      <c r="E38" s="596" t="s">
        <v>1124</v>
      </c>
      <c r="F38" s="248"/>
      <c r="H38" s="248" t="s">
        <v>1125</v>
      </c>
      <c r="K38" s="242" t="s">
        <v>1126</v>
      </c>
      <c r="L38" s="62"/>
    </row>
    <row r="39" spans="2:12" s="247" customFormat="1" ht="13.35" customHeight="1" x14ac:dyDescent="0.2">
      <c r="B39" s="243"/>
      <c r="D39" s="61"/>
      <c r="E39" s="351"/>
      <c r="F39" s="248"/>
      <c r="H39" s="351"/>
      <c r="L39" s="62"/>
    </row>
    <row r="40" spans="2:12" s="247" customFormat="1" ht="13.35" customHeight="1" x14ac:dyDescent="0.2">
      <c r="B40" s="243"/>
      <c r="D40" s="61"/>
      <c r="E40" s="596" t="s">
        <v>1127</v>
      </c>
      <c r="F40" s="248"/>
      <c r="H40" s="248" t="s">
        <v>1128</v>
      </c>
      <c r="K40" s="242" t="s">
        <v>1233</v>
      </c>
      <c r="L40" s="62"/>
    </row>
    <row r="41" spans="2:12" s="247" customFormat="1" ht="13.35" customHeight="1" x14ac:dyDescent="0.2">
      <c r="B41" s="243"/>
      <c r="D41" s="61"/>
      <c r="E41" s="351"/>
      <c r="F41" s="248"/>
      <c r="H41" s="248"/>
      <c r="I41" s="248"/>
      <c r="K41" s="402"/>
      <c r="L41" s="62"/>
    </row>
    <row r="42" spans="2:12" s="247" customFormat="1" ht="13.35" customHeight="1" x14ac:dyDescent="0.2">
      <c r="B42" s="243"/>
      <c r="D42" s="61"/>
      <c r="E42" s="248" t="s">
        <v>1056</v>
      </c>
      <c r="F42" s="1127"/>
      <c r="G42" s="1127"/>
      <c r="H42" s="1127"/>
      <c r="I42" s="265" t="s">
        <v>1234</v>
      </c>
      <c r="J42" s="1132"/>
      <c r="K42" s="1132"/>
      <c r="L42" s="62"/>
    </row>
    <row r="43" spans="2:12" s="247" customFormat="1" ht="13.35" customHeight="1" x14ac:dyDescent="0.2">
      <c r="B43" s="243"/>
      <c r="D43" s="61"/>
      <c r="E43" s="325"/>
      <c r="F43" s="325"/>
      <c r="H43" s="325"/>
      <c r="J43" s="815" t="s">
        <v>1235</v>
      </c>
      <c r="L43" s="62"/>
    </row>
    <row r="44" spans="2:12" s="247" customFormat="1" ht="13.35" customHeight="1" x14ac:dyDescent="0.2">
      <c r="B44" s="243"/>
      <c r="D44" s="61"/>
      <c r="E44" s="325"/>
      <c r="F44" s="325"/>
      <c r="H44" s="325"/>
      <c r="I44" s="815"/>
      <c r="L44" s="62"/>
    </row>
    <row r="45" spans="2:12" s="247" customFormat="1" ht="13.35" customHeight="1" x14ac:dyDescent="0.2">
      <c r="B45" s="243"/>
      <c r="D45" s="61"/>
      <c r="E45" s="248" t="s">
        <v>1057</v>
      </c>
      <c r="F45" s="325"/>
      <c r="G45" s="1088"/>
      <c r="H45" s="1088"/>
      <c r="I45" s="265" t="s">
        <v>828</v>
      </c>
      <c r="K45" s="411"/>
      <c r="L45" s="62"/>
    </row>
    <row r="46" spans="2:12" s="247" customFormat="1" ht="13.35" customHeight="1" x14ac:dyDescent="0.2">
      <c r="B46" s="243"/>
      <c r="D46" s="61"/>
      <c r="E46" s="248"/>
      <c r="F46" s="248"/>
      <c r="G46" s="249"/>
      <c r="H46" s="248"/>
      <c r="I46" s="248"/>
      <c r="J46" s="248"/>
      <c r="K46" s="248"/>
      <c r="L46" s="62"/>
    </row>
    <row r="47" spans="2:12" s="247" customFormat="1" ht="13.35" customHeight="1" x14ac:dyDescent="0.2">
      <c r="B47" s="243"/>
      <c r="D47" s="61"/>
      <c r="E47" s="248"/>
      <c r="F47" s="248"/>
      <c r="G47" s="249"/>
      <c r="H47" s="248"/>
      <c r="I47" s="248"/>
      <c r="J47" s="248"/>
      <c r="K47" s="446"/>
      <c r="L47" s="62"/>
    </row>
    <row r="48" spans="2:12" s="247" customFormat="1" ht="13.35" customHeight="1" x14ac:dyDescent="0.2">
      <c r="B48" s="243"/>
      <c r="D48" s="61"/>
      <c r="E48" s="248" t="s">
        <v>823</v>
      </c>
      <c r="F48" s="352"/>
      <c r="G48" s="445"/>
      <c r="H48" s="800" t="s">
        <v>7</v>
      </c>
      <c r="I48" s="443"/>
      <c r="L48" s="62"/>
    </row>
    <row r="49" spans="1:16" s="247" customFormat="1" ht="13.35" customHeight="1" x14ac:dyDescent="0.2">
      <c r="B49" s="243"/>
      <c r="D49" s="61"/>
      <c r="E49" s="354" t="s">
        <v>825</v>
      </c>
      <c r="F49" s="242"/>
      <c r="H49" s="355"/>
      <c r="I49" s="355"/>
      <c r="J49" s="283"/>
      <c r="K49" s="355"/>
      <c r="L49" s="62"/>
    </row>
    <row r="50" spans="1:16" s="247" customFormat="1" ht="7.15" customHeight="1" x14ac:dyDescent="0.2">
      <c r="B50" s="243"/>
      <c r="D50" s="61"/>
      <c r="E50" s="242"/>
      <c r="F50" s="242"/>
      <c r="G50" s="354"/>
      <c r="H50" s="355"/>
      <c r="I50" s="355"/>
      <c r="J50" s="283"/>
      <c r="K50" s="355"/>
      <c r="L50" s="62"/>
    </row>
    <row r="51" spans="1:16" s="247" customFormat="1" ht="13.35" customHeight="1" x14ac:dyDescent="0.2">
      <c r="B51" s="243"/>
      <c r="D51" s="61"/>
      <c r="E51" s="352" t="s">
        <v>1136</v>
      </c>
      <c r="F51" s="242"/>
      <c r="I51" s="346"/>
      <c r="J51" s="609"/>
      <c r="L51" s="62"/>
    </row>
    <row r="52" spans="1:16" s="247" customFormat="1" ht="8.1" customHeight="1" x14ac:dyDescent="0.2">
      <c r="B52" s="243"/>
      <c r="D52" s="63"/>
      <c r="E52" s="64"/>
      <c r="F52" s="64"/>
      <c r="G52" s="64"/>
      <c r="H52" s="64"/>
      <c r="I52" s="64"/>
      <c r="J52" s="412"/>
      <c r="K52" s="357"/>
      <c r="L52" s="66"/>
    </row>
    <row r="53" spans="1:16" s="247" customFormat="1" ht="6" customHeight="1" x14ac:dyDescent="0.2">
      <c r="E53" s="248"/>
      <c r="F53" s="248"/>
      <c r="G53" s="249"/>
      <c r="H53" s="248"/>
      <c r="I53" s="248"/>
      <c r="J53" s="248"/>
      <c r="K53" s="248"/>
    </row>
    <row r="54" spans="1:16" s="247" customFormat="1" x14ac:dyDescent="0.2">
      <c r="D54" s="324" t="s">
        <v>1236</v>
      </c>
      <c r="F54" s="248"/>
      <c r="G54" s="249"/>
      <c r="H54" s="248"/>
      <c r="I54" s="248"/>
      <c r="J54" s="248"/>
      <c r="K54" s="248"/>
      <c r="N54" s="1078" t="s">
        <v>2009</v>
      </c>
      <c r="O54" s="1078"/>
      <c r="P54" s="1078"/>
    </row>
    <row r="55" spans="1:16" s="247" customFormat="1" ht="4.5" customHeight="1" x14ac:dyDescent="0.2">
      <c r="D55" s="324"/>
      <c r="F55" s="248"/>
      <c r="G55" s="249"/>
      <c r="H55" s="248"/>
      <c r="I55" s="248"/>
      <c r="J55" s="248"/>
      <c r="K55" s="248"/>
      <c r="N55" s="1078"/>
      <c r="O55" s="1078"/>
      <c r="P55" s="1078"/>
    </row>
    <row r="56" spans="1:16" s="247" customFormat="1" ht="6.75" customHeight="1" x14ac:dyDescent="0.2">
      <c r="A56" s="242"/>
      <c r="B56" s="243"/>
      <c r="C56" s="243"/>
      <c r="D56" s="243"/>
      <c r="E56" s="243"/>
      <c r="F56" s="244"/>
      <c r="G56" s="243"/>
      <c r="H56" s="245"/>
      <c r="I56" s="246"/>
      <c r="J56" s="245"/>
      <c r="K56" s="245"/>
      <c r="L56" s="245"/>
      <c r="N56" s="1078"/>
      <c r="O56" s="1078"/>
      <c r="P56" s="1078"/>
    </row>
    <row r="57" spans="1:16" s="247" customFormat="1" ht="5.25" customHeight="1" x14ac:dyDescent="0.2">
      <c r="B57" s="243"/>
      <c r="E57" s="248"/>
      <c r="F57" s="248"/>
      <c r="G57" s="249"/>
      <c r="H57" s="248"/>
      <c r="I57" s="248"/>
      <c r="J57" s="248"/>
      <c r="K57" s="248"/>
      <c r="N57" s="1078"/>
      <c r="O57" s="1078"/>
      <c r="P57" s="1078"/>
    </row>
    <row r="58" spans="1:16" s="247" customFormat="1" ht="5.0999999999999996" customHeight="1" x14ac:dyDescent="0.2">
      <c r="B58" s="243"/>
      <c r="D58" s="59"/>
      <c r="E58" s="272"/>
      <c r="F58" s="272"/>
      <c r="G58" s="273"/>
      <c r="H58" s="272"/>
      <c r="I58" s="272"/>
      <c r="J58" s="272"/>
      <c r="K58" s="272"/>
      <c r="L58" s="274"/>
      <c r="N58" s="1078"/>
      <c r="O58" s="1078"/>
      <c r="P58" s="1078"/>
    </row>
    <row r="59" spans="1:16" s="247" customFormat="1" x14ac:dyDescent="0.2">
      <c r="B59" s="243"/>
      <c r="D59" s="61"/>
      <c r="E59" s="591" t="s">
        <v>946</v>
      </c>
      <c r="F59" s="461"/>
      <c r="G59" s="582"/>
      <c r="H59" s="461"/>
      <c r="I59" s="461"/>
      <c r="J59" s="461"/>
      <c r="K59" s="461"/>
      <c r="L59" s="62"/>
      <c r="N59" s="1078"/>
      <c r="O59" s="1078"/>
      <c r="P59" s="1078"/>
    </row>
    <row r="60" spans="1:16" s="247" customFormat="1" x14ac:dyDescent="0.2">
      <c r="B60" s="243"/>
      <c r="D60" s="61"/>
      <c r="E60" s="452"/>
      <c r="F60" s="452"/>
      <c r="G60" s="453"/>
      <c r="H60" s="452"/>
      <c r="I60" s="452"/>
      <c r="J60" s="452"/>
      <c r="K60" s="452"/>
      <c r="L60" s="62"/>
      <c r="N60" s="1078"/>
      <c r="O60" s="1078"/>
      <c r="P60" s="1078"/>
    </row>
    <row r="61" spans="1:16" s="247" customFormat="1" x14ac:dyDescent="0.2">
      <c r="B61" s="243"/>
      <c r="D61" s="731" t="s">
        <v>961</v>
      </c>
      <c r="F61" s="461"/>
      <c r="G61" s="577"/>
      <c r="H61" s="452"/>
      <c r="I61" s="452" t="s">
        <v>978</v>
      </c>
      <c r="J61" s="452"/>
      <c r="K61" s="574"/>
      <c r="L61" s="62"/>
      <c r="N61" s="1078"/>
      <c r="O61" s="1078"/>
      <c r="P61" s="1078"/>
    </row>
    <row r="62" spans="1:16" s="247" customFormat="1" x14ac:dyDescent="0.2">
      <c r="B62" s="243"/>
      <c r="D62" s="732" t="s">
        <v>962</v>
      </c>
      <c r="F62" s="461"/>
      <c r="G62" s="461"/>
      <c r="H62" s="452"/>
      <c r="J62" s="452"/>
      <c r="K62" s="453"/>
      <c r="L62" s="62"/>
      <c r="N62" s="1078"/>
      <c r="O62" s="1078"/>
      <c r="P62" s="1078"/>
    </row>
    <row r="63" spans="1:16" s="247" customFormat="1" x14ac:dyDescent="0.2">
      <c r="B63" s="243"/>
      <c r="D63" s="61"/>
      <c r="E63" s="451"/>
      <c r="F63" s="461"/>
      <c r="G63" s="581"/>
      <c r="H63" s="452"/>
      <c r="I63" s="452"/>
      <c r="J63" s="452"/>
      <c r="K63" s="453"/>
      <c r="L63" s="62"/>
      <c r="N63" s="1078"/>
      <c r="O63" s="1078"/>
      <c r="P63" s="1078"/>
    </row>
    <row r="64" spans="1:16" s="247" customFormat="1" x14ac:dyDescent="0.2">
      <c r="B64" s="243"/>
      <c r="D64" s="61"/>
      <c r="E64" s="452" t="s">
        <v>1003</v>
      </c>
      <c r="F64" s="452"/>
      <c r="G64" s="592" t="str">
        <f>IF(MULohnberechnung&lt;&gt;"",MULohnberechnung,"")</f>
        <v/>
      </c>
      <c r="H64" s="768" t="s">
        <v>1005</v>
      </c>
      <c r="I64" s="452" t="s">
        <v>1043</v>
      </c>
      <c r="J64" s="452"/>
      <c r="K64" s="574"/>
      <c r="L64" s="62"/>
      <c r="M64" s="61"/>
      <c r="N64" s="1078"/>
      <c r="O64" s="1078"/>
      <c r="P64" s="1078"/>
    </row>
    <row r="65" spans="2:16" s="247" customFormat="1" x14ac:dyDescent="0.2">
      <c r="B65" s="243"/>
      <c r="D65" s="61"/>
      <c r="E65" s="452"/>
      <c r="F65" s="452"/>
      <c r="G65" s="453"/>
      <c r="H65" s="452"/>
      <c r="I65" s="452"/>
      <c r="J65" s="452"/>
      <c r="K65" s="452"/>
      <c r="L65" s="62"/>
      <c r="N65" s="1078"/>
      <c r="O65" s="1078"/>
      <c r="P65" s="1078"/>
    </row>
    <row r="66" spans="2:16" s="247" customFormat="1" x14ac:dyDescent="0.2">
      <c r="B66" s="243"/>
      <c r="D66" s="61"/>
      <c r="E66" s="248" t="s">
        <v>2000</v>
      </c>
      <c r="F66" s="452"/>
      <c r="G66" s="884"/>
      <c r="H66" s="1057"/>
      <c r="I66" s="1057"/>
      <c r="J66" s="1057"/>
      <c r="K66" s="1057"/>
      <c r="L66" s="62"/>
      <c r="N66" s="1078"/>
      <c r="O66" s="1078"/>
      <c r="P66" s="1078"/>
    </row>
    <row r="67" spans="2:16" s="247" customFormat="1" x14ac:dyDescent="0.2">
      <c r="B67" s="243"/>
      <c r="D67" s="61"/>
      <c r="E67" s="891" t="s">
        <v>1964</v>
      </c>
      <c r="F67" s="452"/>
      <c r="G67" s="884"/>
      <c r="H67" s="452"/>
      <c r="I67" s="452"/>
      <c r="J67" s="452"/>
      <c r="K67" s="452"/>
      <c r="L67" s="62"/>
      <c r="N67" s="1078"/>
      <c r="O67" s="1078"/>
      <c r="P67" s="1078"/>
    </row>
    <row r="68" spans="2:16" s="247" customFormat="1" x14ac:dyDescent="0.2">
      <c r="B68" s="243"/>
      <c r="D68" s="61"/>
      <c r="E68" s="1133" t="s">
        <v>952</v>
      </c>
      <c r="F68" s="1133"/>
      <c r="G68" s="1134"/>
      <c r="H68" s="1134"/>
      <c r="I68" s="1134"/>
      <c r="J68" s="1134"/>
      <c r="K68" s="1134"/>
      <c r="L68" s="62"/>
      <c r="N68" s="1078"/>
      <c r="O68" s="1078"/>
      <c r="P68" s="1078"/>
    </row>
    <row r="69" spans="2:16" s="247" customFormat="1" ht="8.1" customHeight="1" x14ac:dyDescent="0.2">
      <c r="B69" s="243"/>
      <c r="D69" s="63"/>
      <c r="E69" s="270"/>
      <c r="F69" s="270"/>
      <c r="G69" s="270"/>
      <c r="H69" s="270"/>
      <c r="I69" s="270"/>
      <c r="J69" s="270"/>
      <c r="K69" s="270"/>
      <c r="L69" s="66"/>
      <c r="N69" s="1078"/>
      <c r="O69" s="1078"/>
      <c r="P69" s="1078"/>
    </row>
    <row r="70" spans="2:16" s="247" customFormat="1" ht="8.1" customHeight="1" x14ac:dyDescent="0.2">
      <c r="B70" s="243"/>
      <c r="D70" s="451"/>
      <c r="E70" s="802"/>
      <c r="F70" s="802"/>
      <c r="G70" s="802"/>
      <c r="H70" s="802"/>
      <c r="I70" s="802"/>
      <c r="J70" s="802"/>
      <c r="K70" s="802"/>
      <c r="L70" s="451"/>
      <c r="N70" s="1078"/>
      <c r="O70" s="1078"/>
      <c r="P70" s="1078"/>
    </row>
    <row r="71" spans="2:16" s="247" customFormat="1" ht="5.0999999999999996" customHeight="1" x14ac:dyDescent="0.2">
      <c r="B71" s="243"/>
      <c r="D71" s="59"/>
      <c r="E71" s="67"/>
      <c r="F71" s="67"/>
      <c r="G71" s="68"/>
      <c r="H71" s="67"/>
      <c r="I71" s="67"/>
      <c r="J71" s="67"/>
      <c r="K71" s="67"/>
      <c r="L71" s="204"/>
      <c r="N71" s="1078"/>
      <c r="O71" s="1078"/>
      <c r="P71" s="1078"/>
    </row>
    <row r="72" spans="2:16" s="247" customFormat="1" x14ac:dyDescent="0.2">
      <c r="B72" s="243"/>
      <c r="D72" s="61"/>
      <c r="E72" s="211" t="s">
        <v>933</v>
      </c>
      <c r="F72" s="211"/>
      <c r="G72" s="326"/>
      <c r="H72" s="325"/>
      <c r="I72" s="325"/>
      <c r="J72" s="325"/>
      <c r="K72" s="325"/>
      <c r="L72" s="269"/>
      <c r="N72" s="1078"/>
      <c r="O72" s="1078"/>
      <c r="P72" s="1078"/>
    </row>
    <row r="73" spans="2:16" s="247" customFormat="1" ht="6" customHeight="1" x14ac:dyDescent="0.2">
      <c r="B73" s="243"/>
      <c r="D73" s="61"/>
      <c r="E73" s="248"/>
      <c r="F73" s="248"/>
      <c r="G73" s="249"/>
      <c r="H73" s="248"/>
      <c r="I73" s="248"/>
      <c r="J73" s="248"/>
      <c r="K73" s="248"/>
      <c r="L73" s="269"/>
      <c r="N73" s="1078"/>
      <c r="O73" s="1078"/>
      <c r="P73" s="1078"/>
    </row>
    <row r="74" spans="2:16" s="247" customFormat="1" x14ac:dyDescent="0.2">
      <c r="B74" s="243"/>
      <c r="D74" s="61"/>
      <c r="E74" s="248" t="s">
        <v>945</v>
      </c>
      <c r="F74" s="248"/>
      <c r="G74" s="249"/>
      <c r="H74" s="248"/>
      <c r="I74" s="248"/>
      <c r="J74" s="1088"/>
      <c r="K74" s="1088"/>
      <c r="L74" s="269"/>
      <c r="N74" s="1078"/>
      <c r="O74" s="1078"/>
      <c r="P74" s="1078"/>
    </row>
    <row r="75" spans="2:16" s="247" customFormat="1" x14ac:dyDescent="0.2">
      <c r="B75" s="243"/>
      <c r="D75" s="61"/>
      <c r="E75" s="248"/>
      <c r="F75" s="448">
        <f>IF(BandLohnRechner="",0,1)</f>
        <v>0</v>
      </c>
      <c r="G75" s="249"/>
      <c r="H75" s="248"/>
      <c r="I75" s="248"/>
      <c r="J75" s="248"/>
      <c r="K75" s="248"/>
      <c r="L75" s="269"/>
      <c r="N75" s="1078"/>
      <c r="O75" s="1078"/>
      <c r="P75" s="1078"/>
    </row>
    <row r="76" spans="2:16" s="247" customFormat="1" x14ac:dyDescent="0.2">
      <c r="B76" s="243"/>
      <c r="D76" s="61"/>
      <c r="E76" s="278" t="s">
        <v>765</v>
      </c>
      <c r="F76" s="801"/>
      <c r="G76" s="279" t="str">
        <f>IF(ISBLANK($J$74),IF(BandLohnBer="",IF(BandLohnRechner="","",BandLohnRechner),IF(BandLohnRechner="",BandLohnBer,"FEHLER")),"-")</f>
        <v/>
      </c>
      <c r="I76" s="278" t="s">
        <v>809</v>
      </c>
      <c r="J76" s="801"/>
      <c r="K76" s="280" t="str">
        <f>IF(ISBLANK($J$74),IF(EWLohnBer="",IF(EWLohnRechner="","",EWLohnRechner),IF(EWLohnRechner="",EWLohnBer,"FEHLER")),"-")</f>
        <v/>
      </c>
      <c r="L76" s="269"/>
      <c r="N76" s="1078"/>
      <c r="O76" s="1078"/>
      <c r="P76" s="1078"/>
    </row>
    <row r="77" spans="2:16" s="247" customFormat="1" x14ac:dyDescent="0.2">
      <c r="B77" s="243"/>
      <c r="D77" s="61"/>
      <c r="E77" s="448" t="b">
        <f>AND(BandLohnBer&lt;&gt;"",BandLohnRechner&lt;&gt;"")</f>
        <v>0</v>
      </c>
      <c r="F77" s="248"/>
      <c r="G77" s="449" t="str">
        <f>IF(E77,"2 Lohnbänder gefunden","")</f>
        <v/>
      </c>
      <c r="H77" s="722" t="b">
        <f>AND(EWLohnBer&lt;&gt;"",EWLohnRechner&lt;&gt;"")</f>
        <v>0</v>
      </c>
      <c r="J77" s="566" t="str">
        <f>IF(H77,"2 Erfahrungswerte gefunden","")</f>
        <v/>
      </c>
      <c r="K77" s="566"/>
      <c r="L77" s="269"/>
      <c r="N77" s="1078"/>
      <c r="O77" s="1078"/>
      <c r="P77" s="1078"/>
    </row>
    <row r="78" spans="2:16" s="247" customFormat="1" x14ac:dyDescent="0.2">
      <c r="B78" s="243"/>
      <c r="D78" s="61"/>
      <c r="E78" s="278" t="s">
        <v>1113</v>
      </c>
      <c r="F78" s="248"/>
      <c r="G78" s="816" t="str">
        <f>IF(ISBLANK($J$74),IF(LohnLohnBer="",IF(LohnLohnRechner="","",LohnLohnRechner),IF(LohnLohnRechner="",LohnLohnBer,"FEHLER")),"-")</f>
        <v/>
      </c>
      <c r="H78" s="722"/>
      <c r="I78" s="278" t="s">
        <v>1113</v>
      </c>
      <c r="J78" s="566"/>
      <c r="K78" s="817"/>
      <c r="L78" s="269"/>
      <c r="N78" s="1098" t="str">
        <f>Stammdaten_DropDown!A113</f>
        <v>Lohnentwicklung</v>
      </c>
      <c r="O78" s="1098"/>
      <c r="P78" s="1098"/>
    </row>
    <row r="79" spans="2:16" s="247" customFormat="1" x14ac:dyDescent="0.2">
      <c r="B79" s="243"/>
      <c r="D79" s="61"/>
      <c r="E79" s="448"/>
      <c r="F79" s="248"/>
      <c r="G79" s="799"/>
      <c r="H79" s="722"/>
      <c r="J79" s="566"/>
      <c r="K79" s="566"/>
      <c r="L79" s="269"/>
      <c r="N79" s="1105" t="str">
        <f>Stammdaten_DropDown!A114</f>
        <v>Bitte angeben, ob eine individuelle Lohnentwicklung gewährt werden soll.</v>
      </c>
      <c r="O79" s="1105"/>
      <c r="P79" s="1105"/>
    </row>
    <row r="80" spans="2:16" s="247" customFormat="1" x14ac:dyDescent="0.2">
      <c r="B80" s="243"/>
      <c r="D80" s="61"/>
      <c r="E80" s="889" t="str">
        <f>CONCATENATE("Lohnentwicklung per 01.01.",LohntabelleM!I1+1," gewähren?")</f>
        <v>Lohnentwicklung per 01.01.2025 gewähren?</v>
      </c>
      <c r="H80" s="917"/>
      <c r="I80" s="278"/>
      <c r="J80" s="905" t="s">
        <v>1966</v>
      </c>
      <c r="K80" s="918" t="str">
        <f>L80</f>
        <v/>
      </c>
      <c r="L80" s="901" t="str">
        <f>IF(H80="Ja","A",IF(H80="Nein","NA",""))</f>
        <v/>
      </c>
      <c r="N80" s="1105" t="str">
        <f>Stammdaten_DropDown!A115</f>
        <v>Bei einem Neueintritt nach dem 01.07.2024 ist keine individuelle Lohnentwicklung vorgesehen.</v>
      </c>
      <c r="O80" s="1105"/>
      <c r="P80" s="1105"/>
    </row>
    <row r="81" spans="2:18" s="247" customFormat="1" x14ac:dyDescent="0.2">
      <c r="B81" s="243"/>
      <c r="D81" s="61"/>
      <c r="E81" s="248"/>
      <c r="F81" s="248"/>
      <c r="G81" s="248"/>
      <c r="H81" s="248"/>
      <c r="I81" s="448" t="b">
        <f>AND(LohnLohnBer&lt;&gt;"",LohnLohnRechner&lt;&gt;"")</f>
        <v>0</v>
      </c>
      <c r="J81" s="1092" t="str">
        <f>IF(I81,"2 Löhne gefunden","")</f>
        <v/>
      </c>
      <c r="K81" s="1092"/>
      <c r="L81" s="269"/>
      <c r="N81" s="1105" t="str">
        <f>Stammdaten_DropDown!A116</f>
        <v>In dem Fall ist das Prädikat auf dem Wert «NA» (keine Beurteilung) zu belassen.</v>
      </c>
      <c r="O81" s="1105"/>
      <c r="P81" s="1105"/>
    </row>
    <row r="82" spans="2:18" s="247" customFormat="1" x14ac:dyDescent="0.2">
      <c r="B82" s="243"/>
      <c r="D82" s="61"/>
      <c r="E82" s="248" t="s">
        <v>973</v>
      </c>
      <c r="F82" s="248"/>
      <c r="G82" s="433"/>
      <c r="H82" s="1061" t="s">
        <v>1080</v>
      </c>
      <c r="I82" s="1061"/>
      <c r="J82" s="1095" t="str">
        <f>_xlfn.IFNA(VLOOKUP(G82,Stammdaten_DropDown!$B$14:$C$55,2,FALSE),"")</f>
        <v/>
      </c>
      <c r="K82" s="1095"/>
      <c r="L82" s="269"/>
      <c r="N82" s="899"/>
      <c r="O82" s="565"/>
      <c r="P82" s="565"/>
    </row>
    <row r="83" spans="2:18" s="247" customFormat="1" ht="8.1" customHeight="1" x14ac:dyDescent="0.2">
      <c r="B83" s="243"/>
      <c r="D83" s="63"/>
      <c r="E83" s="64"/>
      <c r="F83" s="64"/>
      <c r="G83" s="65"/>
      <c r="H83" s="64"/>
      <c r="I83" s="64"/>
      <c r="J83" s="64"/>
      <c r="K83" s="64"/>
      <c r="L83" s="282"/>
      <c r="N83" s="1131" t="str">
        <f>Stammdaten_DropDown!A117</f>
        <v xml:space="preserve">Falls eine individuelle  Lohnentwicklung gewährt werden soll, ist das entsprechende Prädikat aus der relevanten MAG-Phase im Dropdown-Menu auszuwählen. </v>
      </c>
      <c r="O83" s="1131"/>
      <c r="P83" s="1131"/>
    </row>
    <row r="84" spans="2:18" s="247" customFormat="1" ht="6" customHeight="1" x14ac:dyDescent="0.2">
      <c r="B84" s="243"/>
      <c r="E84" s="242"/>
      <c r="F84" s="242"/>
      <c r="G84" s="283"/>
      <c r="H84" s="242"/>
      <c r="I84" s="242"/>
      <c r="J84" s="242"/>
      <c r="K84" s="242"/>
      <c r="N84" s="1131"/>
      <c r="O84" s="1131"/>
      <c r="P84" s="1131"/>
    </row>
    <row r="85" spans="2:18" s="247" customFormat="1" ht="5.0999999999999996" customHeight="1" x14ac:dyDescent="0.2">
      <c r="B85" s="243"/>
      <c r="D85" s="59"/>
      <c r="E85" s="67"/>
      <c r="F85" s="67"/>
      <c r="G85" s="68"/>
      <c r="H85" s="67"/>
      <c r="I85" s="67"/>
      <c r="J85" s="67"/>
      <c r="K85" s="67"/>
      <c r="L85" s="60"/>
      <c r="N85" s="1131"/>
      <c r="O85" s="1131"/>
      <c r="P85" s="1131"/>
    </row>
    <row r="86" spans="2:18" s="247" customFormat="1" x14ac:dyDescent="0.2">
      <c r="B86" s="243"/>
      <c r="D86" s="61"/>
      <c r="E86" s="1082" t="s">
        <v>985</v>
      </c>
      <c r="F86" s="1082"/>
      <c r="G86" s="1082"/>
      <c r="H86" s="1082"/>
      <c r="I86" s="1082"/>
      <c r="J86" s="1082"/>
      <c r="K86" s="325"/>
      <c r="L86" s="62"/>
      <c r="N86" s="1131"/>
      <c r="O86" s="1131"/>
      <c r="P86" s="1131"/>
    </row>
    <row r="87" spans="2:18" s="247" customFormat="1" x14ac:dyDescent="0.2">
      <c r="B87" s="243"/>
      <c r="D87" s="61"/>
      <c r="E87" s="248"/>
      <c r="F87" s="248"/>
      <c r="G87" s="249"/>
      <c r="H87" s="248"/>
      <c r="I87" s="248"/>
      <c r="J87" s="248"/>
      <c r="K87" s="248"/>
      <c r="L87" s="62"/>
      <c r="N87" s="1105" t="str">
        <f>Stammdaten_DropDown!A118</f>
        <v>Ist noch keine Beurteilung hinterlegt, so ist das Prädikat auf «A» zu belassen.</v>
      </c>
      <c r="O87" s="1105"/>
      <c r="P87" s="1105"/>
      <c r="R87" s="247" t="s">
        <v>1047</v>
      </c>
    </row>
    <row r="88" spans="2:18" s="247" customFormat="1" x14ac:dyDescent="0.2">
      <c r="B88" s="243"/>
      <c r="D88" s="61"/>
      <c r="E88" s="1056"/>
      <c r="F88" s="1056"/>
      <c r="G88" s="1056"/>
      <c r="H88" s="1056"/>
      <c r="I88" s="1056"/>
      <c r="J88" s="1056"/>
      <c r="K88" s="1056"/>
      <c r="L88" s="62"/>
      <c r="R88" s="358">
        <f>E88</f>
        <v>0</v>
      </c>
    </row>
    <row r="89" spans="2:18" s="247" customFormat="1" x14ac:dyDescent="0.2">
      <c r="B89" s="243"/>
      <c r="D89" s="61"/>
      <c r="E89" s="1056"/>
      <c r="F89" s="1056"/>
      <c r="G89" s="1056"/>
      <c r="H89" s="1056"/>
      <c r="I89" s="1056"/>
      <c r="J89" s="1056"/>
      <c r="K89" s="1056"/>
      <c r="L89" s="62"/>
      <c r="R89" s="358">
        <f>E89</f>
        <v>0</v>
      </c>
    </row>
    <row r="90" spans="2:18" s="247" customFormat="1" x14ac:dyDescent="0.2">
      <c r="B90" s="243"/>
      <c r="D90" s="61"/>
      <c r="E90" s="1056"/>
      <c r="F90" s="1056"/>
      <c r="G90" s="1056"/>
      <c r="H90" s="1056"/>
      <c r="I90" s="1056"/>
      <c r="J90" s="1056"/>
      <c r="K90" s="1056"/>
      <c r="L90" s="62"/>
      <c r="R90" s="358">
        <f>E90</f>
        <v>0</v>
      </c>
    </row>
    <row r="91" spans="2:18" s="247" customFormat="1" ht="8.1" customHeight="1" x14ac:dyDescent="0.2">
      <c r="B91" s="243"/>
      <c r="D91" s="63"/>
      <c r="E91" s="64"/>
      <c r="F91" s="64"/>
      <c r="G91" s="65"/>
      <c r="H91" s="64"/>
      <c r="I91" s="64"/>
      <c r="J91" s="64"/>
      <c r="K91" s="64"/>
      <c r="L91" s="66"/>
    </row>
    <row r="92" spans="2:18" s="247" customFormat="1" ht="6" customHeight="1" x14ac:dyDescent="0.2">
      <c r="B92" s="243"/>
      <c r="E92" s="242"/>
      <c r="F92" s="242"/>
      <c r="G92" s="283"/>
      <c r="H92" s="242"/>
      <c r="I92" s="242"/>
      <c r="J92" s="242"/>
      <c r="K92" s="242"/>
    </row>
    <row r="93" spans="2:18" s="247" customFormat="1" ht="5.0999999999999996" customHeight="1" x14ac:dyDescent="0.2">
      <c r="B93" s="243"/>
      <c r="D93" s="59"/>
      <c r="E93" s="67"/>
      <c r="F93" s="67"/>
      <c r="G93" s="68"/>
      <c r="H93" s="67"/>
      <c r="I93" s="67"/>
      <c r="J93" s="67"/>
      <c r="K93" s="67"/>
      <c r="L93" s="60"/>
    </row>
    <row r="94" spans="2:18" s="247" customFormat="1" x14ac:dyDescent="0.2">
      <c r="B94" s="243"/>
      <c r="D94" s="61"/>
      <c r="E94" s="1082" t="s">
        <v>768</v>
      </c>
      <c r="F94" s="1082"/>
      <c r="G94" s="1082"/>
      <c r="H94" s="325"/>
      <c r="I94" s="325"/>
      <c r="J94" s="325"/>
      <c r="K94" s="325"/>
      <c r="L94" s="62"/>
    </row>
    <row r="95" spans="2:18" s="247" customFormat="1" x14ac:dyDescent="0.2">
      <c r="B95" s="243"/>
      <c r="D95" s="61"/>
      <c r="E95" s="248"/>
      <c r="F95" s="248"/>
      <c r="G95" s="249"/>
      <c r="H95" s="248"/>
      <c r="I95" s="248"/>
      <c r="J95" s="248"/>
      <c r="K95" s="248"/>
      <c r="L95" s="62"/>
    </row>
    <row r="96" spans="2:18" s="247" customFormat="1" x14ac:dyDescent="0.2">
      <c r="B96" s="243"/>
      <c r="D96" s="61"/>
      <c r="E96" s="1056"/>
      <c r="F96" s="1056"/>
      <c r="G96" s="1056"/>
      <c r="H96" s="1056"/>
      <c r="I96" s="1056"/>
      <c r="J96" s="1056"/>
      <c r="K96" s="1056"/>
      <c r="L96" s="62"/>
      <c r="R96" s="358">
        <f>E96</f>
        <v>0</v>
      </c>
    </row>
    <row r="97" spans="2:18" s="247" customFormat="1" x14ac:dyDescent="0.2">
      <c r="B97" s="243"/>
      <c r="D97" s="61"/>
      <c r="E97" s="1056"/>
      <c r="F97" s="1056"/>
      <c r="G97" s="1056"/>
      <c r="H97" s="1056"/>
      <c r="I97" s="1056"/>
      <c r="J97" s="1056"/>
      <c r="K97" s="1056"/>
      <c r="L97" s="62"/>
      <c r="R97" s="358">
        <f>E97</f>
        <v>0</v>
      </c>
    </row>
    <row r="98" spans="2:18" s="247" customFormat="1" x14ac:dyDescent="0.2">
      <c r="B98" s="243"/>
      <c r="D98" s="61"/>
      <c r="E98" s="1056"/>
      <c r="F98" s="1056"/>
      <c r="G98" s="1056"/>
      <c r="H98" s="1056"/>
      <c r="I98" s="1056"/>
      <c r="J98" s="1056"/>
      <c r="K98" s="1056"/>
      <c r="L98" s="62"/>
      <c r="R98" s="358">
        <f>E98</f>
        <v>0</v>
      </c>
    </row>
    <row r="99" spans="2:18" s="247" customFormat="1" ht="8.1" customHeight="1" x14ac:dyDescent="0.2">
      <c r="B99" s="243"/>
      <c r="D99" s="63"/>
      <c r="E99" s="64"/>
      <c r="F99" s="64"/>
      <c r="G99" s="65"/>
      <c r="H99" s="64"/>
      <c r="I99" s="64"/>
      <c r="J99" s="64"/>
      <c r="K99" s="64"/>
      <c r="L99" s="66"/>
    </row>
    <row r="100" spans="2:18" s="247" customFormat="1" ht="10.9" customHeight="1" x14ac:dyDescent="0.2">
      <c r="B100" s="243"/>
      <c r="E100" s="248"/>
      <c r="F100" s="248"/>
      <c r="G100" s="249"/>
      <c r="H100" s="248"/>
      <c r="I100" s="248"/>
      <c r="J100" s="248"/>
      <c r="K100" s="248"/>
      <c r="L100" s="248"/>
    </row>
    <row r="101" spans="2:18" s="247" customFormat="1" ht="73.349999999999994" customHeight="1" x14ac:dyDescent="0.2">
      <c r="B101" s="243"/>
      <c r="D101" s="1063" t="s">
        <v>966</v>
      </c>
      <c r="E101" s="1063"/>
      <c r="F101" s="1063"/>
      <c r="G101" s="1063"/>
      <c r="H101" s="1063"/>
      <c r="I101" s="1063"/>
      <c r="J101" s="1063"/>
      <c r="K101" s="1063"/>
      <c r="L101" s="1063"/>
    </row>
    <row r="102" spans="2:18" s="247" customFormat="1" ht="18.75" customHeight="1" x14ac:dyDescent="0.2">
      <c r="B102" s="243"/>
      <c r="D102" s="1063"/>
      <c r="E102" s="1063"/>
      <c r="F102" s="1063"/>
      <c r="G102" s="1063"/>
      <c r="H102" s="1063"/>
      <c r="I102" s="1063"/>
      <c r="J102" s="1063"/>
      <c r="K102" s="1063"/>
      <c r="L102" s="1063"/>
    </row>
    <row r="103" spans="2:18" s="247" customFormat="1" x14ac:dyDescent="0.2"/>
    <row r="104" spans="2:18" s="247" customFormat="1" x14ac:dyDescent="0.2"/>
    <row r="105" spans="2:18" s="247" customFormat="1" x14ac:dyDescent="0.2"/>
    <row r="106" spans="2:18" s="247" customFormat="1" x14ac:dyDescent="0.2"/>
    <row r="107" spans="2:18" s="247" customFormat="1" x14ac:dyDescent="0.2"/>
    <row r="108" spans="2:18" s="247" customFormat="1" x14ac:dyDescent="0.2"/>
    <row r="109" spans="2:18" s="247" customFormat="1" x14ac:dyDescent="0.2"/>
    <row r="110" spans="2:18" s="247" customFormat="1" x14ac:dyDescent="0.2"/>
    <row r="111" spans="2:18" s="247" customFormat="1" x14ac:dyDescent="0.2"/>
    <row r="112" spans="2:18" s="247" customFormat="1" x14ac:dyDescent="0.2"/>
    <row r="113" s="247" customFormat="1" x14ac:dyDescent="0.2"/>
    <row r="114" s="247" customFormat="1" x14ac:dyDescent="0.2"/>
    <row r="115" s="247" customFormat="1" x14ac:dyDescent="0.2"/>
    <row r="116" s="247" customFormat="1" x14ac:dyDescent="0.2"/>
    <row r="117" s="247" customFormat="1" x14ac:dyDescent="0.2"/>
    <row r="118" s="247" customFormat="1" x14ac:dyDescent="0.2"/>
    <row r="119" s="247" customFormat="1" x14ac:dyDescent="0.2"/>
    <row r="120" s="247" customFormat="1" x14ac:dyDescent="0.2"/>
    <row r="121" s="247" customFormat="1" x14ac:dyDescent="0.2"/>
    <row r="122" s="247" customFormat="1" x14ac:dyDescent="0.2"/>
    <row r="123" s="247" customFormat="1" x14ac:dyDescent="0.2"/>
    <row r="124" s="247" customFormat="1" x14ac:dyDescent="0.2"/>
    <row r="125" s="247" customFormat="1" x14ac:dyDescent="0.2"/>
    <row r="126" s="247" customFormat="1" x14ac:dyDescent="0.2"/>
    <row r="127" s="247" customFormat="1" x14ac:dyDescent="0.2"/>
    <row r="128" s="247" customFormat="1" x14ac:dyDescent="0.2"/>
    <row r="129" s="247" customFormat="1" x14ac:dyDescent="0.2"/>
    <row r="130" s="247" customFormat="1" x14ac:dyDescent="0.2"/>
    <row r="131" s="247" customFormat="1" x14ac:dyDescent="0.2"/>
    <row r="132" s="247" customFormat="1" x14ac:dyDescent="0.2"/>
    <row r="133" s="247" customFormat="1" x14ac:dyDescent="0.2"/>
    <row r="134" s="247" customFormat="1" x14ac:dyDescent="0.2"/>
    <row r="135" s="247" customFormat="1" x14ac:dyDescent="0.2"/>
    <row r="136" s="247" customFormat="1" x14ac:dyDescent="0.2"/>
    <row r="137" s="247" customFormat="1" x14ac:dyDescent="0.2"/>
    <row r="138" s="247" customFormat="1" x14ac:dyDescent="0.2"/>
    <row r="139" s="247" customFormat="1" x14ac:dyDescent="0.2"/>
    <row r="140" s="247" customFormat="1" x14ac:dyDescent="0.2"/>
  </sheetData>
  <sheetProtection algorithmName="SHA-512" hashValue="nPoqPVjF7a8o4nmPDw5MMthC3LlEfSW1ZQJD1Qgajg3x5wg1wag45L1nSGfMujEnqAUkz+aIbiufc/fgzXSKMQ==" saltValue="Zt2TdtOrAsFH+/Bbo48nnw==" spinCount="100000" sheet="1"/>
  <mergeCells count="42">
    <mergeCell ref="N54:P77"/>
    <mergeCell ref="N11:O12"/>
    <mergeCell ref="H66:K66"/>
    <mergeCell ref="N78:P78"/>
    <mergeCell ref="N79:P79"/>
    <mergeCell ref="G21:H21"/>
    <mergeCell ref="F42:H42"/>
    <mergeCell ref="G11:H11"/>
    <mergeCell ref="J11:K11"/>
    <mergeCell ref="G13:H13"/>
    <mergeCell ref="J13:K13"/>
    <mergeCell ref="G15:K15"/>
    <mergeCell ref="I17:K17"/>
    <mergeCell ref="F27:I27"/>
    <mergeCell ref="F28:G28"/>
    <mergeCell ref="D101:L102"/>
    <mergeCell ref="E90:K90"/>
    <mergeCell ref="E94:G94"/>
    <mergeCell ref="E96:K96"/>
    <mergeCell ref="E97:K97"/>
    <mergeCell ref="E98:K98"/>
    <mergeCell ref="N80:P80"/>
    <mergeCell ref="N81:P81"/>
    <mergeCell ref="N83:P86"/>
    <mergeCell ref="N87:P87"/>
    <mergeCell ref="J19:K19"/>
    <mergeCell ref="J21:K21"/>
    <mergeCell ref="G23:K23"/>
    <mergeCell ref="F25:J25"/>
    <mergeCell ref="G45:H45"/>
    <mergeCell ref="J42:K42"/>
    <mergeCell ref="J74:K74"/>
    <mergeCell ref="F26:K26"/>
    <mergeCell ref="E68:F68"/>
    <mergeCell ref="G68:K68"/>
    <mergeCell ref="E86:J86"/>
    <mergeCell ref="J34:K34"/>
    <mergeCell ref="E88:K88"/>
    <mergeCell ref="E89:K89"/>
    <mergeCell ref="J81:K81"/>
    <mergeCell ref="H82:I82"/>
    <mergeCell ref="J82:K82"/>
  </mergeCells>
  <conditionalFormatting sqref="G78">
    <cfRule type="expression" dxfId="145" priority="7">
      <formula>$F$75=0</formula>
    </cfRule>
    <cfRule type="expression" dxfId="144" priority="178">
      <formula>$I$81</formula>
    </cfRule>
  </conditionalFormatting>
  <conditionalFormatting sqref="G76">
    <cfRule type="expression" dxfId="143" priority="10">
      <formula>$F$75=0</formula>
    </cfRule>
    <cfRule type="expression" dxfId="142" priority="15">
      <formula>E77</formula>
    </cfRule>
  </conditionalFormatting>
  <conditionalFormatting sqref="K76">
    <cfRule type="expression" dxfId="141" priority="9">
      <formula>$F$75=0</formula>
    </cfRule>
    <cfRule type="expression" dxfId="140" priority="182">
      <formula>H77</formula>
    </cfRule>
  </conditionalFormatting>
  <conditionalFormatting sqref="F76">
    <cfRule type="expression" dxfId="139" priority="12">
      <formula>$F$75=1</formula>
    </cfRule>
  </conditionalFormatting>
  <conditionalFormatting sqref="J76">
    <cfRule type="expression" dxfId="138" priority="11">
      <formula>$F$75=1</formula>
    </cfRule>
  </conditionalFormatting>
  <conditionalFormatting sqref="K78">
    <cfRule type="expression" dxfId="137" priority="6">
      <formula>$F$75=1</formula>
    </cfRule>
  </conditionalFormatting>
  <conditionalFormatting sqref="E78">
    <cfRule type="expression" dxfId="136" priority="5">
      <formula>$F$75=0</formula>
    </cfRule>
  </conditionalFormatting>
  <conditionalFormatting sqref="I78">
    <cfRule type="expression" dxfId="135" priority="4">
      <formula>$F$75=1</formula>
    </cfRule>
  </conditionalFormatting>
  <conditionalFormatting sqref="J80">
    <cfRule type="expression" dxfId="134" priority="3">
      <formula>#REF!</formula>
    </cfRule>
  </conditionalFormatting>
  <conditionalFormatting sqref="J80:K80 N81:P87">
    <cfRule type="expression" dxfId="133" priority="2">
      <formula>$H$80=""</formula>
    </cfRule>
  </conditionalFormatting>
  <conditionalFormatting sqref="E68:K98 N78:P91">
    <cfRule type="expression" dxfId="132" priority="1">
      <formula>$H$66=""</formula>
    </cfRule>
  </conditionalFormatting>
  <dataValidations count="9">
    <dataValidation type="list" allowBlank="1" showInputMessage="1" showErrorMessage="1" sqref="J34:K34">
      <formula1>AnstellungBF</formula1>
    </dataValidation>
    <dataValidation type="list" operator="greaterThan" allowBlank="1" showInputMessage="1" showErrorMessage="1" errorTitle="Fehler" error="Geben Sie ein gültiges Datum dd.mm.yyyy ein!" sqref="G21:H21">
      <formula1>Zivilstand</formula1>
    </dataValidation>
    <dataValidation allowBlank="1" showInputMessage="1" sqref="L82 J82"/>
    <dataValidation operator="greaterThan" showInputMessage="1" showErrorMessage="1" errorTitle="Fehler" error="Geben Sie ein gültiges Datum dd.mm.yyyy ein!" sqref="K41 H49:H50 I48 K49:K50"/>
    <dataValidation type="whole" operator="greaterThan" allowBlank="1" showInputMessage="1" showErrorMessage="1" errorTitle="Fehler" error="Ungültige Postleitzahl" sqref="G17">
      <formula1>0</formula1>
    </dataValidation>
    <dataValidation type="date" operator="greaterThan" allowBlank="1" showInputMessage="1" showErrorMessage="1" errorTitle="Fehler" error="Geben Sie ein gültiges Datum dd.mm.yyyy ein!" sqref="G34 G19:G20 G22 K61 G61:G63">
      <formula1>1</formula1>
    </dataValidation>
    <dataValidation operator="greaterThan" allowBlank="1" showInputMessage="1" showErrorMessage="1" errorTitle="Fehler" error="Pensum als Ganzzahl angeben" sqref="G78 J80"/>
    <dataValidation type="list" allowBlank="1" showInputMessage="1" showErrorMessage="1" sqref="J21">
      <formula1>GewBewilligung</formula1>
    </dataValidation>
    <dataValidation type="list" allowBlank="1" showInputMessage="1" showErrorMessage="1" sqref="G45:H45">
      <formula1>Pflichtlektionen</formula1>
    </dataValidation>
  </dataValidations>
  <hyperlinks>
    <hyperlink ref="N11:O12" location="_A_Grunddaten" display="Zurück zu Grunddaten"/>
  </hyperlinks>
  <pageMargins left="0.70866141732283472" right="0.70866141732283472" top="0.78740157480314965" bottom="0.78740157480314965" header="0.31496062992125984" footer="0.31496062992125984"/>
  <pageSetup paperSize="9" scale="96" fitToHeight="0" orientation="portrait" r:id="rId1"/>
  <headerFooter>
    <oddFooter>Seite &amp;P von &amp;N</oddFooter>
  </headerFooter>
  <rowBreaks count="1" manualBreakCount="1">
    <brk id="52" max="16383" man="1"/>
  </rowBreaks>
  <ignoredErrors>
    <ignoredError sqref="K80"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87077" r:id="rId4" name="Check Box 5">
              <controlPr defaultSize="0" autoFill="0" autoLine="0" autoPict="0">
                <anchor moveWithCells="1">
                  <from>
                    <xdr:col>4</xdr:col>
                    <xdr:colOff>28575</xdr:colOff>
                    <xdr:row>36</xdr:row>
                    <xdr:rowOff>123825</xdr:rowOff>
                  </from>
                  <to>
                    <xdr:col>6</xdr:col>
                    <xdr:colOff>219075</xdr:colOff>
                    <xdr:row>38</xdr:row>
                    <xdr:rowOff>38100</xdr:rowOff>
                  </to>
                </anchor>
              </controlPr>
            </control>
          </mc:Choice>
        </mc:AlternateContent>
        <mc:AlternateContent xmlns:mc="http://schemas.openxmlformats.org/markup-compatibility/2006">
          <mc:Choice Requires="x14">
            <control shapeId="387078" r:id="rId5" name="Check Box 6">
              <controlPr defaultSize="0" autoFill="0" autoLine="0" autoPict="0">
                <anchor moveWithCells="1">
                  <from>
                    <xdr:col>6</xdr:col>
                    <xdr:colOff>638175</xdr:colOff>
                    <xdr:row>38</xdr:row>
                    <xdr:rowOff>95250</xdr:rowOff>
                  </from>
                  <to>
                    <xdr:col>8</xdr:col>
                    <xdr:colOff>304800</xdr:colOff>
                    <xdr:row>40</xdr:row>
                    <xdr:rowOff>57150</xdr:rowOff>
                  </to>
                </anchor>
              </controlPr>
            </control>
          </mc:Choice>
        </mc:AlternateContent>
        <mc:AlternateContent xmlns:mc="http://schemas.openxmlformats.org/markup-compatibility/2006">
          <mc:Choice Requires="x14">
            <control shapeId="387079" r:id="rId6" name="Check Box 7">
              <controlPr defaultSize="0" autoFill="0" autoLine="0" autoPict="0">
                <anchor moveWithCells="1">
                  <from>
                    <xdr:col>6</xdr:col>
                    <xdr:colOff>638175</xdr:colOff>
                    <xdr:row>36</xdr:row>
                    <xdr:rowOff>123825</xdr:rowOff>
                  </from>
                  <to>
                    <xdr:col>8</xdr:col>
                    <xdr:colOff>723900</xdr:colOff>
                    <xdr:row>38</xdr:row>
                    <xdr:rowOff>38100</xdr:rowOff>
                  </to>
                </anchor>
              </controlPr>
            </control>
          </mc:Choice>
        </mc:AlternateContent>
        <mc:AlternateContent xmlns:mc="http://schemas.openxmlformats.org/markup-compatibility/2006">
          <mc:Choice Requires="x14">
            <control shapeId="387080" r:id="rId7" name="Check Box 8">
              <controlPr defaultSize="0" autoFill="0" autoLine="0" autoPict="0">
                <anchor moveWithCells="1">
                  <from>
                    <xdr:col>4</xdr:col>
                    <xdr:colOff>28575</xdr:colOff>
                    <xdr:row>38</xdr:row>
                    <xdr:rowOff>95250</xdr:rowOff>
                  </from>
                  <to>
                    <xdr:col>6</xdr:col>
                    <xdr:colOff>114300</xdr:colOff>
                    <xdr:row>40</xdr:row>
                    <xdr:rowOff>57150</xdr:rowOff>
                  </to>
                </anchor>
              </controlPr>
            </control>
          </mc:Choice>
        </mc:AlternateContent>
        <mc:AlternateContent xmlns:mc="http://schemas.openxmlformats.org/markup-compatibility/2006">
          <mc:Choice Requires="x14">
            <control shapeId="387081" r:id="rId8" name="Check Box 9">
              <controlPr defaultSize="0" autoFill="0" autoLine="0" autoPict="0">
                <anchor moveWithCells="1">
                  <from>
                    <xdr:col>9</xdr:col>
                    <xdr:colOff>409575</xdr:colOff>
                    <xdr:row>36</xdr:row>
                    <xdr:rowOff>123825</xdr:rowOff>
                  </from>
                  <to>
                    <xdr:col>12</xdr:col>
                    <xdr:colOff>19050</xdr:colOff>
                    <xdr:row>38</xdr:row>
                    <xdr:rowOff>38100</xdr:rowOff>
                  </to>
                </anchor>
              </controlPr>
            </control>
          </mc:Choice>
        </mc:AlternateContent>
        <mc:AlternateContent xmlns:mc="http://schemas.openxmlformats.org/markup-compatibility/2006">
          <mc:Choice Requires="x14">
            <control shapeId="387096" r:id="rId9" name="Check Box 24">
              <controlPr defaultSize="0" autoFill="0" autoLine="0" autoPict="0">
                <anchor moveWithCells="1">
                  <from>
                    <xdr:col>9</xdr:col>
                    <xdr:colOff>409575</xdr:colOff>
                    <xdr:row>38</xdr:row>
                    <xdr:rowOff>114300</xdr:rowOff>
                  </from>
                  <to>
                    <xdr:col>12</xdr:col>
                    <xdr:colOff>66675</xdr:colOff>
                    <xdr:row>40</xdr:row>
                    <xdr:rowOff>76200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Stammdaten_DropDown!$E$102:$E$103</xm:f>
          </x14:formula1>
          <xm:sqref>H80</xm:sqref>
        </x14:dataValidation>
        <x14:dataValidation type="list" allowBlank="1" showInputMessage="1" showErrorMessage="1">
          <x14:formula1>
            <xm:f>Stammdaten_DropDown!$E$106:$E$109</xm:f>
          </x14:formula1>
          <xm:sqref>K80</xm:sqref>
        </x14:dataValidation>
        <x14:dataValidation type="list" allowBlank="1" showInputMessage="1" showErrorMessage="1">
          <x14:formula1>
            <xm:f>Stammdaten_DropDown!$E$92:$E$99</xm:f>
          </x14:formula1>
          <xm:sqref>H66:K66</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3">
    <pageSetUpPr fitToPage="1"/>
  </sheetPr>
  <dimension ref="A2:P125"/>
  <sheetViews>
    <sheetView zoomScaleNormal="100" workbookViewId="0">
      <selection activeCell="G16" sqref="G16:K16"/>
    </sheetView>
  </sheetViews>
  <sheetFormatPr baseColWidth="10" defaultColWidth="11.5703125" defaultRowHeight="12.75" x14ac:dyDescent="0.2"/>
  <cols>
    <col min="1" max="1" width="3.5703125" style="238" customWidth="1"/>
    <col min="2" max="3" width="0.85546875" style="238" customWidth="1"/>
    <col min="4" max="4" width="3.5703125" style="238" customWidth="1"/>
    <col min="5" max="5" width="11.5703125" style="238"/>
    <col min="6" max="6" width="8.5703125" style="238" customWidth="1"/>
    <col min="7" max="7" width="12.85546875" style="238" customWidth="1"/>
    <col min="8" max="8" width="13" style="238" customWidth="1"/>
    <col min="9" max="9" width="17.7109375" style="238" customWidth="1"/>
    <col min="10" max="10" width="4.7109375" style="238" customWidth="1"/>
    <col min="11" max="11" width="13.42578125" style="238" customWidth="1"/>
    <col min="12" max="12" width="3.140625" style="238" customWidth="1"/>
    <col min="13" max="13" width="2.42578125" style="238" customWidth="1"/>
    <col min="14" max="15" width="11.5703125" style="91"/>
    <col min="16" max="16" width="45.42578125" style="91" customWidth="1"/>
    <col min="17" max="16384" width="11.5703125" style="91"/>
  </cols>
  <sheetData>
    <row r="2" spans="1:16" ht="17.45" customHeight="1" x14ac:dyDescent="0.2">
      <c r="B2" s="239" t="s">
        <v>1108</v>
      </c>
      <c r="D2" s="239"/>
      <c r="F2" s="240"/>
      <c r="G2" s="240"/>
      <c r="H2" s="240"/>
      <c r="I2" s="240"/>
      <c r="J2" s="240"/>
      <c r="K2" s="240"/>
      <c r="L2" s="240"/>
    </row>
    <row r="3" spans="1:16" s="924" customFormat="1" ht="11.1" customHeight="1" x14ac:dyDescent="0.2">
      <c r="A3" s="922"/>
      <c r="B3" s="923"/>
      <c r="C3" s="922"/>
      <c r="D3" s="818" t="str">
        <f>CONCATENATE(LohntabelleM!G1," / ",LohntabelleM!I1)</f>
        <v>V4.6 / 2024</v>
      </c>
      <c r="E3" s="922"/>
      <c r="F3" s="712"/>
      <c r="G3" s="712"/>
      <c r="H3" s="712"/>
      <c r="I3" s="712"/>
      <c r="J3" s="712"/>
      <c r="K3" s="712"/>
      <c r="L3" s="712"/>
      <c r="M3" s="922"/>
    </row>
    <row r="4" spans="1:16" ht="15.75" x14ac:dyDescent="0.2">
      <c r="B4" s="239"/>
      <c r="D4" s="241" t="s">
        <v>950</v>
      </c>
      <c r="F4" s="240"/>
      <c r="G4" s="240"/>
      <c r="H4" s="240"/>
      <c r="I4" s="240"/>
      <c r="J4" s="240"/>
      <c r="K4" s="240"/>
      <c r="L4" s="240"/>
    </row>
    <row r="5" spans="1:16" ht="6.75" customHeight="1" x14ac:dyDescent="0.2">
      <c r="A5" s="242"/>
      <c r="B5" s="243"/>
      <c r="C5" s="243"/>
      <c r="D5" s="244"/>
      <c r="E5" s="243"/>
      <c r="F5" s="245"/>
      <c r="G5" s="246"/>
      <c r="H5" s="245"/>
      <c r="I5" s="245"/>
      <c r="J5" s="245"/>
      <c r="K5" s="245"/>
      <c r="L5" s="243"/>
      <c r="M5" s="247"/>
    </row>
    <row r="6" spans="1:16" ht="6" customHeight="1" x14ac:dyDescent="0.2">
      <c r="A6" s="242"/>
      <c r="B6" s="243"/>
      <c r="C6" s="242"/>
      <c r="D6" s="242"/>
      <c r="E6" s="248"/>
      <c r="F6" s="248"/>
      <c r="G6" s="249"/>
      <c r="H6" s="248"/>
      <c r="I6" s="248"/>
      <c r="J6" s="248"/>
      <c r="K6" s="248"/>
      <c r="L6" s="242"/>
      <c r="M6" s="247"/>
    </row>
    <row r="7" spans="1:16" ht="16.5" x14ac:dyDescent="0.2">
      <c r="B7" s="250"/>
      <c r="D7" s="251"/>
      <c r="E7" s="252"/>
      <c r="F7" s="253"/>
      <c r="G7" s="252"/>
      <c r="H7" s="252"/>
      <c r="I7" s="252"/>
      <c r="J7" s="252"/>
      <c r="K7" s="252"/>
      <c r="L7" s="254"/>
    </row>
    <row r="8" spans="1:16" x14ac:dyDescent="0.2">
      <c r="B8" s="250"/>
      <c r="D8" s="255"/>
      <c r="E8" s="256" t="s">
        <v>771</v>
      </c>
      <c r="F8" s="240"/>
      <c r="G8" s="240"/>
      <c r="H8" s="240"/>
      <c r="I8" s="240"/>
      <c r="J8" s="240"/>
      <c r="K8" s="240"/>
      <c r="L8" s="257"/>
    </row>
    <row r="9" spans="1:16" ht="7.5" customHeight="1" x14ac:dyDescent="0.2">
      <c r="B9" s="250"/>
      <c r="D9" s="255"/>
      <c r="E9" s="256"/>
      <c r="F9" s="240"/>
      <c r="G9" s="240"/>
      <c r="H9" s="240"/>
      <c r="I9" s="240"/>
      <c r="J9" s="240"/>
      <c r="K9" s="240"/>
      <c r="L9" s="257"/>
    </row>
    <row r="10" spans="1:16" x14ac:dyDescent="0.2">
      <c r="B10" s="250"/>
      <c r="D10" s="255"/>
      <c r="E10" s="1135" t="s">
        <v>974</v>
      </c>
      <c r="F10" s="1135"/>
      <c r="G10" s="655" t="str">
        <f>IF(MAAnrede&lt;&gt;"",MAAnrede,"")</f>
        <v/>
      </c>
      <c r="H10" s="240"/>
      <c r="I10" s="258"/>
      <c r="J10" s="240"/>
      <c r="K10" s="240"/>
      <c r="L10" s="257"/>
    </row>
    <row r="11" spans="1:16" ht="16.5" x14ac:dyDescent="0.2">
      <c r="B11" s="250"/>
      <c r="D11" s="255"/>
      <c r="E11" s="240"/>
      <c r="F11" s="259"/>
      <c r="G11" s="240"/>
      <c r="H11" s="240"/>
      <c r="I11" s="240"/>
      <c r="J11" s="240"/>
      <c r="K11" s="240"/>
      <c r="L11" s="257"/>
    </row>
    <row r="12" spans="1:16" x14ac:dyDescent="0.2">
      <c r="B12" s="250"/>
      <c r="D12" s="255"/>
      <c r="E12" s="1135" t="s">
        <v>757</v>
      </c>
      <c r="F12" s="1135"/>
      <c r="G12" s="1100" t="str">
        <f>IF(MAName&lt;&gt;"",MAName,"")</f>
        <v/>
      </c>
      <c r="H12" s="1100"/>
      <c r="I12" s="701" t="s">
        <v>758</v>
      </c>
      <c r="J12" s="1100" t="str">
        <f>IF(MAVorname&lt;&gt;"",MAVorname,"")</f>
        <v/>
      </c>
      <c r="K12" s="1100"/>
      <c r="L12" s="257"/>
      <c r="N12" s="1141" t="s">
        <v>1040</v>
      </c>
      <c r="O12" s="1141"/>
      <c r="P12" s="711"/>
    </row>
    <row r="13" spans="1:16" x14ac:dyDescent="0.2">
      <c r="B13" s="250"/>
      <c r="D13" s="255"/>
      <c r="E13" s="258"/>
      <c r="F13" s="258"/>
      <c r="G13" s="258"/>
      <c r="H13" s="258"/>
      <c r="I13" s="258"/>
      <c r="J13" s="258"/>
      <c r="K13" s="258"/>
      <c r="L13" s="260"/>
      <c r="N13" s="1141"/>
      <c r="O13" s="1141"/>
      <c r="P13" s="711"/>
    </row>
    <row r="14" spans="1:16" x14ac:dyDescent="0.2">
      <c r="B14" s="250"/>
      <c r="D14" s="255"/>
      <c r="E14" s="258" t="s">
        <v>971</v>
      </c>
      <c r="F14" s="598"/>
      <c r="G14" s="1100" t="str">
        <f>IF(MAPersID&lt;&gt;"",MAPersID,"")</f>
        <v/>
      </c>
      <c r="H14" s="1100"/>
      <c r="J14" s="598"/>
      <c r="K14" s="598"/>
      <c r="L14" s="257"/>
    </row>
    <row r="15" spans="1:16" ht="16.5" x14ac:dyDescent="0.2">
      <c r="B15" s="250"/>
      <c r="D15" s="255"/>
      <c r="E15" s="240"/>
      <c r="F15" s="259"/>
      <c r="G15" s="240"/>
      <c r="H15" s="240"/>
      <c r="I15" s="240"/>
      <c r="J15" s="240"/>
      <c r="K15" s="240"/>
      <c r="L15" s="257"/>
    </row>
    <row r="16" spans="1:16" x14ac:dyDescent="0.2">
      <c r="B16" s="250"/>
      <c r="D16" s="255"/>
      <c r="E16" s="1135" t="s">
        <v>756</v>
      </c>
      <c r="F16" s="1135"/>
      <c r="G16" s="1088"/>
      <c r="H16" s="1088"/>
      <c r="I16" s="1088"/>
      <c r="J16" s="1088"/>
      <c r="K16" s="1088"/>
      <c r="L16" s="257"/>
    </row>
    <row r="17" spans="2:12" x14ac:dyDescent="0.2">
      <c r="B17" s="250"/>
      <c r="D17" s="255"/>
      <c r="E17" s="258"/>
      <c r="F17" s="258"/>
      <c r="G17" s="258"/>
      <c r="H17" s="258"/>
      <c r="I17" s="258"/>
      <c r="J17" s="258"/>
      <c r="K17" s="258"/>
      <c r="L17" s="260"/>
    </row>
    <row r="18" spans="2:12" x14ac:dyDescent="0.2">
      <c r="B18" s="250"/>
      <c r="D18" s="255"/>
      <c r="E18" s="1135" t="s">
        <v>759</v>
      </c>
      <c r="F18" s="1135"/>
      <c r="G18" s="216"/>
      <c r="H18" s="703" t="s">
        <v>760</v>
      </c>
      <c r="I18" s="1127"/>
      <c r="J18" s="1127"/>
      <c r="K18" s="1127"/>
      <c r="L18" s="257"/>
    </row>
    <row r="19" spans="2:12" x14ac:dyDescent="0.2">
      <c r="B19" s="250"/>
      <c r="D19" s="255"/>
      <c r="E19" s="258"/>
      <c r="F19" s="258"/>
      <c r="G19" s="258"/>
      <c r="H19" s="258"/>
      <c r="I19" s="258"/>
      <c r="J19" s="258"/>
      <c r="K19" s="258"/>
      <c r="L19" s="260"/>
    </row>
    <row r="20" spans="2:12" x14ac:dyDescent="0.2">
      <c r="B20" s="250"/>
      <c r="D20" s="255"/>
      <c r="E20" s="1135" t="s">
        <v>761</v>
      </c>
      <c r="F20" s="1135"/>
      <c r="G20" s="261">
        <f>MAGeburtsdatum</f>
        <v>0</v>
      </c>
      <c r="H20" s="258"/>
      <c r="I20" s="258"/>
      <c r="J20" s="438"/>
      <c r="K20" s="438"/>
      <c r="L20" s="257"/>
    </row>
    <row r="21" spans="2:12" x14ac:dyDescent="0.2">
      <c r="B21" s="250"/>
      <c r="D21" s="255"/>
      <c r="E21" s="705"/>
      <c r="H21" s="705"/>
      <c r="I21" s="705"/>
      <c r="J21" s="705"/>
      <c r="K21" s="705"/>
      <c r="L21" s="257"/>
    </row>
    <row r="22" spans="2:12" x14ac:dyDescent="0.2">
      <c r="B22" s="250"/>
      <c r="D22" s="255"/>
      <c r="E22" s="248" t="s">
        <v>1204</v>
      </c>
      <c r="F22" s="1138"/>
      <c r="G22" s="1138"/>
      <c r="H22" s="1138"/>
      <c r="I22" s="702" t="s">
        <v>1205</v>
      </c>
      <c r="J22" s="1138"/>
      <c r="K22" s="1138"/>
      <c r="L22" s="257"/>
    </row>
    <row r="23" spans="2:12" ht="6" customHeight="1" x14ac:dyDescent="0.2">
      <c r="B23" s="250"/>
      <c r="D23" s="255"/>
      <c r="G23" s="705"/>
      <c r="H23" s="705"/>
      <c r="I23" s="705"/>
      <c r="J23" s="705"/>
      <c r="K23" s="705"/>
      <c r="L23" s="260"/>
    </row>
    <row r="24" spans="2:12" x14ac:dyDescent="0.2">
      <c r="B24" s="250"/>
      <c r="D24" s="255"/>
      <c r="E24" s="276" t="s">
        <v>1208</v>
      </c>
      <c r="F24" s="705"/>
      <c r="G24" s="705"/>
      <c r="H24" s="705"/>
      <c r="I24" s="705"/>
      <c r="J24" s="705"/>
      <c r="K24" s="705"/>
      <c r="L24" s="260"/>
    </row>
    <row r="25" spans="2:12" ht="6" customHeight="1" x14ac:dyDescent="0.2">
      <c r="B25" s="250"/>
      <c r="D25" s="255"/>
      <c r="E25" s="276"/>
      <c r="F25" s="705"/>
      <c r="G25" s="705"/>
      <c r="H25" s="705"/>
      <c r="I25" s="705"/>
      <c r="J25" s="705"/>
      <c r="K25" s="705"/>
      <c r="L25" s="260"/>
    </row>
    <row r="26" spans="2:12" s="247" customFormat="1" ht="13.15" customHeight="1" x14ac:dyDescent="0.2">
      <c r="B26" s="243"/>
      <c r="D26" s="61"/>
      <c r="E26" s="344" t="s">
        <v>826</v>
      </c>
      <c r="F26" s="1099" t="s">
        <v>1085</v>
      </c>
      <c r="G26" s="1099"/>
      <c r="H26" s="1099"/>
      <c r="I26" s="1099"/>
      <c r="J26" s="1099"/>
      <c r="K26" s="1099"/>
      <c r="L26" s="62"/>
    </row>
    <row r="27" spans="2:12" s="247" customFormat="1" ht="13.15" customHeight="1" x14ac:dyDescent="0.2">
      <c r="B27" s="243"/>
      <c r="D27" s="61"/>
      <c r="E27" s="344"/>
      <c r="F27" s="1099" t="s">
        <v>1083</v>
      </c>
      <c r="G27" s="1099"/>
      <c r="H27" s="1099"/>
      <c r="I27" s="1099"/>
      <c r="J27" s="1099"/>
      <c r="K27" s="1099"/>
      <c r="L27" s="62"/>
    </row>
    <row r="28" spans="2:12" s="247" customFormat="1" x14ac:dyDescent="0.2">
      <c r="B28" s="243"/>
      <c r="D28" s="61"/>
      <c r="E28" s="344"/>
      <c r="F28" s="1099" t="s">
        <v>1084</v>
      </c>
      <c r="G28" s="1099"/>
      <c r="H28" s="1099"/>
      <c r="I28" s="1099"/>
      <c r="J28" s="1099"/>
      <c r="K28" s="1099"/>
      <c r="L28" s="62"/>
    </row>
    <row r="29" spans="2:12" s="247" customFormat="1" x14ac:dyDescent="0.2">
      <c r="B29" s="243"/>
      <c r="D29" s="61"/>
      <c r="E29" s="344"/>
      <c r="F29" s="1099" t="s">
        <v>1086</v>
      </c>
      <c r="G29" s="1099"/>
      <c r="H29" s="1099"/>
      <c r="I29" s="1099"/>
      <c r="J29" s="1099"/>
      <c r="K29" s="1099"/>
      <c r="L29" s="62"/>
    </row>
    <row r="30" spans="2:12" x14ac:dyDescent="0.2">
      <c r="B30" s="250"/>
      <c r="D30" s="262"/>
      <c r="E30" s="263"/>
      <c r="F30" s="263"/>
      <c r="G30" s="263"/>
      <c r="H30" s="263"/>
      <c r="I30" s="263"/>
      <c r="J30" s="263"/>
      <c r="K30" s="263"/>
      <c r="L30" s="264"/>
    </row>
    <row r="31" spans="2:12" ht="6" customHeight="1" x14ac:dyDescent="0.2">
      <c r="B31" s="250"/>
      <c r="E31" s="265"/>
      <c r="F31" s="265"/>
      <c r="G31" s="265"/>
      <c r="H31" s="265"/>
      <c r="I31" s="265"/>
      <c r="J31" s="265"/>
      <c r="K31" s="265"/>
      <c r="L31" s="265"/>
    </row>
    <row r="32" spans="2:12" ht="4.9000000000000004" customHeight="1" x14ac:dyDescent="0.2">
      <c r="B32" s="250"/>
      <c r="D32" s="251"/>
      <c r="E32" s="266"/>
      <c r="F32" s="266"/>
      <c r="G32" s="266"/>
      <c r="H32" s="266"/>
      <c r="I32" s="266"/>
      <c r="J32" s="266"/>
      <c r="K32" s="266"/>
      <c r="L32" s="267"/>
    </row>
    <row r="33" spans="2:16" x14ac:dyDescent="0.2">
      <c r="B33" s="250"/>
      <c r="D33" s="255"/>
      <c r="E33" s="458" t="s">
        <v>1225</v>
      </c>
      <c r="F33" s="459"/>
      <c r="G33" s="459"/>
      <c r="H33" s="459"/>
      <c r="I33" s="459"/>
      <c r="J33" s="459"/>
      <c r="K33" s="459"/>
      <c r="L33" s="257"/>
    </row>
    <row r="34" spans="2:16" ht="7.5" customHeight="1" x14ac:dyDescent="0.2">
      <c r="B34" s="250"/>
      <c r="D34" s="255"/>
      <c r="E34" s="458"/>
      <c r="F34" s="459"/>
      <c r="G34" s="459"/>
      <c r="H34" s="459"/>
      <c r="I34" s="459"/>
      <c r="L34" s="257"/>
    </row>
    <row r="35" spans="2:16" ht="12.75" customHeight="1" x14ac:dyDescent="0.2">
      <c r="B35" s="250"/>
      <c r="D35" s="255"/>
      <c r="E35" s="458" t="s">
        <v>1226</v>
      </c>
      <c r="F35" s="459"/>
      <c r="G35" s="459"/>
      <c r="H35" s="459"/>
      <c r="I35" s="459"/>
      <c r="L35" s="257"/>
      <c r="N35" s="1068" t="s">
        <v>1182</v>
      </c>
      <c r="O35" s="1069"/>
      <c r="P35" s="711"/>
    </row>
    <row r="36" spans="2:16" ht="6" customHeight="1" x14ac:dyDescent="0.2">
      <c r="B36" s="250"/>
      <c r="D36" s="255"/>
      <c r="E36" s="458"/>
      <c r="F36" s="459"/>
      <c r="G36" s="459"/>
      <c r="H36" s="459"/>
      <c r="I36" s="459"/>
      <c r="L36" s="257"/>
      <c r="N36" s="1142"/>
      <c r="O36" s="1143"/>
      <c r="P36" s="711"/>
    </row>
    <row r="37" spans="2:16" x14ac:dyDescent="0.2">
      <c r="B37" s="250"/>
      <c r="D37" s="1146" t="s">
        <v>1228</v>
      </c>
      <c r="E37" s="1147"/>
      <c r="F37" s="1147"/>
      <c r="G37" s="1147"/>
      <c r="H37" s="1147"/>
      <c r="I37" s="1147"/>
      <c r="J37" s="1147"/>
      <c r="K37" s="1147"/>
      <c r="L37" s="1148"/>
      <c r="N37" s="1070"/>
      <c r="O37" s="1071"/>
      <c r="P37" s="711"/>
    </row>
    <row r="38" spans="2:16" ht="23.25" customHeight="1" x14ac:dyDescent="0.2">
      <c r="B38" s="250"/>
      <c r="D38" s="1146"/>
      <c r="E38" s="1147"/>
      <c r="F38" s="1147"/>
      <c r="G38" s="1147"/>
      <c r="H38" s="1147"/>
      <c r="I38" s="1147"/>
      <c r="J38" s="1147"/>
      <c r="K38" s="1147"/>
      <c r="L38" s="1148"/>
    </row>
    <row r="39" spans="2:16" ht="6" customHeight="1" x14ac:dyDescent="0.2">
      <c r="B39" s="250"/>
      <c r="D39" s="763"/>
      <c r="E39" s="761"/>
      <c r="F39" s="761"/>
      <c r="G39" s="761"/>
      <c r="H39" s="761"/>
      <c r="I39" s="761"/>
      <c r="J39" s="761"/>
      <c r="K39" s="761"/>
      <c r="L39" s="762"/>
    </row>
    <row r="40" spans="2:16" x14ac:dyDescent="0.2">
      <c r="B40" s="250"/>
      <c r="D40" s="255"/>
      <c r="E40" s="677" t="s">
        <v>1183</v>
      </c>
      <c r="F40" s="459"/>
      <c r="G40" s="459"/>
      <c r="H40" s="459"/>
      <c r="I40" s="592" t="str">
        <f>IF(Pensenberechnung!$J$15=0,"",Pensenberechnung!$J$15)</f>
        <v/>
      </c>
      <c r="J40" s="459"/>
      <c r="L40" s="257"/>
    </row>
    <row r="41" spans="2:16" x14ac:dyDescent="0.2">
      <c r="B41" s="250"/>
      <c r="D41" s="255"/>
      <c r="E41" s="458"/>
      <c r="F41" s="459"/>
      <c r="G41" s="459"/>
      <c r="H41" s="459"/>
      <c r="I41" s="459"/>
      <c r="J41" s="459"/>
      <c r="K41" s="459"/>
      <c r="L41" s="257"/>
    </row>
    <row r="42" spans="2:16" x14ac:dyDescent="0.2">
      <c r="B42" s="250"/>
      <c r="D42" s="255"/>
      <c r="E42" s="460" t="s">
        <v>1156</v>
      </c>
      <c r="F42" s="459"/>
      <c r="G42" s="459"/>
      <c r="H42" s="459"/>
      <c r="I42" s="678" t="str">
        <f>IF(Pensenberechnung!$O$27=0,"",Pensenberechnung!$O$27)</f>
        <v/>
      </c>
      <c r="J42" s="459"/>
      <c r="K42" s="459"/>
      <c r="L42" s="257"/>
    </row>
    <row r="43" spans="2:16" x14ac:dyDescent="0.2">
      <c r="B43" s="250"/>
      <c r="D43" s="255"/>
      <c r="E43" s="1137" t="s">
        <v>1157</v>
      </c>
      <c r="F43" s="1137"/>
      <c r="G43" s="1137"/>
      <c r="H43" s="1137"/>
      <c r="I43" s="1137"/>
      <c r="J43" s="1137"/>
      <c r="K43" s="459"/>
      <c r="L43" s="257"/>
    </row>
    <row r="44" spans="2:16" ht="6" customHeight="1" x14ac:dyDescent="0.2">
      <c r="B44" s="250"/>
      <c r="D44" s="262"/>
      <c r="E44" s="263"/>
      <c r="F44" s="263"/>
      <c r="G44" s="263"/>
      <c r="H44" s="263"/>
      <c r="I44" s="263"/>
      <c r="J44" s="263"/>
      <c r="K44" s="263"/>
      <c r="L44" s="264"/>
    </row>
    <row r="45" spans="2:16" ht="6" customHeight="1" x14ac:dyDescent="0.2">
      <c r="B45" s="250"/>
      <c r="E45" s="265"/>
      <c r="F45" s="265"/>
      <c r="G45" s="265"/>
      <c r="H45" s="265"/>
      <c r="I45" s="265"/>
      <c r="J45" s="265"/>
      <c r="K45" s="265"/>
      <c r="L45" s="265"/>
    </row>
    <row r="46" spans="2:16" ht="4.9000000000000004" customHeight="1" x14ac:dyDescent="0.2">
      <c r="B46" s="250"/>
      <c r="D46" s="251"/>
      <c r="E46" s="266"/>
      <c r="F46" s="266"/>
      <c r="G46" s="266"/>
      <c r="H46" s="266"/>
      <c r="I46" s="266"/>
      <c r="J46" s="266"/>
      <c r="K46" s="266"/>
      <c r="L46" s="267"/>
    </row>
    <row r="47" spans="2:16" x14ac:dyDescent="0.2">
      <c r="B47" s="250"/>
      <c r="D47" s="255"/>
      <c r="E47" s="458" t="s">
        <v>936</v>
      </c>
      <c r="F47" s="459"/>
      <c r="G47" s="459"/>
      <c r="H47" s="459"/>
      <c r="I47" s="459"/>
      <c r="J47" s="459"/>
      <c r="K47" s="459"/>
      <c r="L47" s="257"/>
    </row>
    <row r="48" spans="2:16" ht="5.25" customHeight="1" x14ac:dyDescent="0.2">
      <c r="B48" s="250"/>
      <c r="D48" s="255"/>
      <c r="E48" s="460"/>
      <c r="F48" s="460"/>
      <c r="G48" s="460"/>
      <c r="H48" s="460"/>
      <c r="I48" s="460"/>
      <c r="J48" s="460"/>
      <c r="K48" s="460"/>
      <c r="L48" s="260"/>
      <c r="N48" s="467"/>
    </row>
    <row r="49" spans="1:14" x14ac:dyDescent="0.2">
      <c r="B49" s="250"/>
      <c r="D49" s="255"/>
      <c r="E49" s="460" t="s">
        <v>1179</v>
      </c>
      <c r="F49" s="460"/>
      <c r="G49" s="766"/>
      <c r="H49" s="460"/>
      <c r="I49" s="452"/>
      <c r="J49" s="764"/>
      <c r="K49" s="764"/>
      <c r="L49" s="268"/>
      <c r="N49" s="467"/>
    </row>
    <row r="50" spans="1:14" x14ac:dyDescent="0.2">
      <c r="B50" s="250"/>
      <c r="D50" s="255"/>
      <c r="E50" s="764"/>
      <c r="F50" s="764"/>
      <c r="G50" s="764"/>
      <c r="H50" s="764"/>
      <c r="I50" s="764"/>
      <c r="J50" s="764"/>
      <c r="K50" s="764"/>
      <c r="L50" s="260"/>
      <c r="N50" s="467"/>
    </row>
    <row r="51" spans="1:14" x14ac:dyDescent="0.2">
      <c r="B51" s="250"/>
      <c r="D51" s="255"/>
      <c r="E51" s="764" t="s">
        <v>1087</v>
      </c>
      <c r="F51" s="764"/>
      <c r="G51" s="650"/>
      <c r="H51" s="764"/>
      <c r="I51" s="452" t="s">
        <v>995</v>
      </c>
      <c r="J51" s="1149"/>
      <c r="K51" s="1149"/>
      <c r="L51" s="268"/>
      <c r="N51" s="467"/>
    </row>
    <row r="52" spans="1:14" s="247" customFormat="1" ht="13.15" customHeight="1" x14ac:dyDescent="0.2">
      <c r="B52" s="250"/>
      <c r="C52" s="238"/>
      <c r="D52" s="61"/>
      <c r="E52" s="461"/>
      <c r="F52" s="462"/>
      <c r="G52" s="462"/>
      <c r="H52" s="461"/>
      <c r="I52" s="461"/>
      <c r="J52" s="452"/>
      <c r="K52" s="452"/>
      <c r="L52" s="269"/>
      <c r="M52" s="451"/>
      <c r="N52" s="451" t="s">
        <v>806</v>
      </c>
    </row>
    <row r="53" spans="1:14" s="247" customFormat="1" ht="12.75" customHeight="1" x14ac:dyDescent="0.2">
      <c r="B53" s="250"/>
      <c r="C53" s="238"/>
      <c r="D53" s="61"/>
      <c r="E53" s="735" t="s">
        <v>997</v>
      </c>
      <c r="F53" s="453"/>
      <c r="H53" s="464"/>
      <c r="I53" s="1144" t="s">
        <v>1144</v>
      </c>
      <c r="J53" s="1144"/>
      <c r="K53" s="1144"/>
      <c r="L53" s="1145"/>
      <c r="M53" s="451"/>
      <c r="N53" s="451"/>
    </row>
    <row r="54" spans="1:14" s="247" customFormat="1" x14ac:dyDescent="0.2">
      <c r="B54" s="250"/>
      <c r="C54" s="238"/>
      <c r="D54" s="61"/>
      <c r="E54" s="463"/>
      <c r="F54" s="453"/>
      <c r="G54" s="453"/>
      <c r="H54" s="468"/>
      <c r="I54" s="468"/>
      <c r="J54" s="459"/>
      <c r="K54" s="459"/>
      <c r="L54" s="257"/>
      <c r="M54" s="451"/>
      <c r="N54" s="451"/>
    </row>
    <row r="55" spans="1:14" x14ac:dyDescent="0.2">
      <c r="B55" s="250"/>
      <c r="D55" s="255"/>
      <c r="E55" s="1136" t="s">
        <v>1000</v>
      </c>
      <c r="F55" s="1136"/>
      <c r="G55" s="1136"/>
      <c r="H55" s="1057"/>
      <c r="I55" s="1057"/>
      <c r="J55" s="1057"/>
      <c r="K55" s="1057"/>
      <c r="L55" s="269"/>
    </row>
    <row r="56" spans="1:14" x14ac:dyDescent="0.2">
      <c r="B56" s="250"/>
      <c r="D56" s="255"/>
      <c r="E56" s="733" t="s">
        <v>1005</v>
      </c>
      <c r="F56" s="466"/>
      <c r="G56" s="466"/>
      <c r="H56" s="466"/>
      <c r="I56" s="466"/>
      <c r="J56" s="466"/>
      <c r="K56" s="466"/>
      <c r="L56" s="269"/>
    </row>
    <row r="57" spans="1:14" x14ac:dyDescent="0.2">
      <c r="B57" s="250"/>
      <c r="D57" s="255"/>
      <c r="E57" s="1136" t="s">
        <v>1110</v>
      </c>
      <c r="F57" s="1136"/>
      <c r="G57" s="466"/>
      <c r="H57" s="1057"/>
      <c r="I57" s="1057"/>
      <c r="J57" s="1057"/>
      <c r="K57" s="1057"/>
      <c r="L57" s="269"/>
    </row>
    <row r="58" spans="1:14" x14ac:dyDescent="0.2">
      <c r="B58" s="250"/>
      <c r="D58" s="255"/>
      <c r="E58" s="460"/>
      <c r="F58" s="460"/>
      <c r="G58" s="460"/>
      <c r="H58" s="460"/>
      <c r="I58" s="465"/>
      <c r="J58" s="465"/>
      <c r="K58" s="465"/>
      <c r="L58" s="268"/>
    </row>
    <row r="59" spans="1:14" x14ac:dyDescent="0.2">
      <c r="B59" s="250"/>
      <c r="D59" s="255"/>
      <c r="E59" s="1136" t="s">
        <v>1088</v>
      </c>
      <c r="F59" s="1136"/>
      <c r="G59" s="1136"/>
      <c r="H59" s="1057"/>
      <c r="I59" s="1057"/>
      <c r="J59" s="1057"/>
      <c r="K59" s="1057"/>
      <c r="L59" s="269"/>
    </row>
    <row r="60" spans="1:14" x14ac:dyDescent="0.2">
      <c r="B60" s="250"/>
      <c r="D60" s="255"/>
      <c r="E60" s="466"/>
      <c r="F60" s="466"/>
      <c r="G60" s="466"/>
      <c r="H60" s="466"/>
      <c r="I60" s="466"/>
      <c r="J60" s="466"/>
      <c r="K60" s="466"/>
      <c r="L60" s="269"/>
    </row>
    <row r="61" spans="1:14" ht="12.75" customHeight="1" x14ac:dyDescent="0.2">
      <c r="B61" s="250"/>
      <c r="D61" s="255"/>
      <c r="E61" s="1140" t="s">
        <v>1206</v>
      </c>
      <c r="F61" s="1140"/>
      <c r="G61" s="1140"/>
      <c r="H61" s="1140"/>
      <c r="J61" s="707"/>
      <c r="K61" s="707"/>
      <c r="L61" s="269"/>
    </row>
    <row r="62" spans="1:14" x14ac:dyDescent="0.2">
      <c r="B62" s="250"/>
      <c r="D62" s="255"/>
      <c r="E62" s="707"/>
      <c r="F62" s="707"/>
      <c r="G62" s="707"/>
      <c r="H62" s="707"/>
      <c r="I62" s="707"/>
      <c r="J62" s="707"/>
      <c r="K62" s="707"/>
      <c r="L62" s="269"/>
    </row>
    <row r="63" spans="1:14" x14ac:dyDescent="0.2">
      <c r="B63" s="250"/>
      <c r="D63" s="255"/>
      <c r="E63" s="1136" t="s">
        <v>1210</v>
      </c>
      <c r="F63" s="1136"/>
      <c r="G63" s="1136"/>
      <c r="H63" s="1057"/>
      <c r="I63" s="1057"/>
      <c r="J63" s="1057"/>
      <c r="K63" s="1057"/>
      <c r="L63" s="269"/>
    </row>
    <row r="64" spans="1:14" x14ac:dyDescent="0.2">
      <c r="A64" s="242"/>
      <c r="B64" s="243"/>
      <c r="C64" s="242"/>
      <c r="D64" s="207"/>
      <c r="E64" s="1139" t="s">
        <v>1184</v>
      </c>
      <c r="F64" s="1139"/>
      <c r="G64" s="1139"/>
      <c r="H64" s="270"/>
      <c r="I64" s="270"/>
      <c r="J64" s="270"/>
      <c r="K64" s="270"/>
      <c r="L64" s="208"/>
      <c r="M64" s="247"/>
    </row>
    <row r="65" spans="1:16" s="288" customFormat="1" ht="6" customHeight="1" x14ac:dyDescent="0.2">
      <c r="B65" s="362"/>
      <c r="E65" s="306"/>
      <c r="F65" s="306"/>
      <c r="G65" s="307"/>
      <c r="H65" s="306"/>
      <c r="I65" s="306"/>
      <c r="J65" s="306"/>
      <c r="K65" s="306"/>
      <c r="L65" s="306"/>
    </row>
    <row r="66" spans="1:16" s="288" customFormat="1" ht="9" customHeight="1" x14ac:dyDescent="0.2">
      <c r="B66" s="362"/>
      <c r="D66" s="291"/>
      <c r="E66" s="308"/>
      <c r="F66" s="308"/>
      <c r="G66" s="309"/>
      <c r="H66" s="308"/>
      <c r="I66" s="308"/>
      <c r="J66" s="308"/>
      <c r="K66" s="308"/>
      <c r="L66" s="316"/>
    </row>
    <row r="67" spans="1:16" s="288" customFormat="1" ht="12.75" customHeight="1" x14ac:dyDescent="0.2">
      <c r="B67" s="362"/>
      <c r="D67" s="294"/>
      <c r="E67" s="332" t="s">
        <v>1136</v>
      </c>
      <c r="F67" s="332"/>
      <c r="G67" s="332"/>
      <c r="H67" s="332"/>
      <c r="I67" s="434"/>
      <c r="J67" s="290"/>
      <c r="K67" s="290"/>
      <c r="L67" s="298"/>
    </row>
    <row r="68" spans="1:16" s="288" customFormat="1" ht="7.15" customHeight="1" x14ac:dyDescent="0.2">
      <c r="B68" s="362"/>
      <c r="D68" s="302"/>
      <c r="E68" s="303"/>
      <c r="F68" s="303"/>
      <c r="G68" s="304"/>
      <c r="H68" s="303"/>
      <c r="I68" s="303"/>
      <c r="J68" s="303"/>
      <c r="K68" s="303"/>
      <c r="L68" s="318"/>
    </row>
    <row r="69" spans="1:16" ht="6" customHeight="1" x14ac:dyDescent="0.2">
      <c r="A69" s="242"/>
      <c r="B69" s="271"/>
      <c r="C69" s="271"/>
      <c r="D69" s="242"/>
      <c r="E69" s="271"/>
      <c r="F69" s="271"/>
      <c r="G69" s="271"/>
      <c r="H69" s="271"/>
      <c r="I69" s="271"/>
      <c r="J69" s="271"/>
      <c r="K69" s="271"/>
      <c r="L69" s="242"/>
      <c r="M69" s="247"/>
    </row>
    <row r="70" spans="1:16" ht="15.75" x14ac:dyDescent="0.2">
      <c r="B70" s="239"/>
      <c r="D70" s="241" t="s">
        <v>951</v>
      </c>
      <c r="F70" s="240"/>
      <c r="G70" s="240"/>
      <c r="H70" s="240"/>
      <c r="I70" s="240"/>
      <c r="J70" s="240"/>
      <c r="K70" s="240"/>
      <c r="L70" s="240"/>
    </row>
    <row r="71" spans="1:16" ht="6.75" customHeight="1" x14ac:dyDescent="0.2">
      <c r="A71" s="242"/>
      <c r="B71" s="243"/>
      <c r="C71" s="243"/>
      <c r="D71" s="244"/>
      <c r="E71" s="243"/>
      <c r="F71" s="245"/>
      <c r="G71" s="246"/>
      <c r="H71" s="245"/>
      <c r="I71" s="245"/>
      <c r="J71" s="245"/>
      <c r="K71" s="245"/>
      <c r="L71" s="243"/>
      <c r="M71" s="247"/>
      <c r="N71" s="1078" t="s">
        <v>2009</v>
      </c>
      <c r="O71" s="1078"/>
      <c r="P71" s="1078"/>
    </row>
    <row r="72" spans="1:16" ht="6" customHeight="1" x14ac:dyDescent="0.2">
      <c r="A72" s="242"/>
      <c r="B72" s="243"/>
      <c r="C72" s="242"/>
      <c r="D72" s="242"/>
      <c r="E72" s="248"/>
      <c r="F72" s="248"/>
      <c r="G72" s="249"/>
      <c r="H72" s="248"/>
      <c r="I72" s="248"/>
      <c r="J72" s="248"/>
      <c r="K72" s="248"/>
      <c r="L72" s="242"/>
      <c r="M72" s="247"/>
      <c r="N72" s="1078"/>
      <c r="O72" s="1078"/>
      <c r="P72" s="1078"/>
    </row>
    <row r="73" spans="1:16" x14ac:dyDescent="0.2">
      <c r="A73" s="242"/>
      <c r="B73" s="243"/>
      <c r="C73" s="242"/>
      <c r="D73" s="203"/>
      <c r="E73" s="272"/>
      <c r="F73" s="272"/>
      <c r="G73" s="273"/>
      <c r="H73" s="272"/>
      <c r="I73" s="272"/>
      <c r="J73" s="272"/>
      <c r="K73" s="272"/>
      <c r="L73" s="274"/>
      <c r="M73" s="247"/>
      <c r="N73" s="1078"/>
      <c r="O73" s="1078"/>
      <c r="P73" s="1078"/>
    </row>
    <row r="74" spans="1:16" x14ac:dyDescent="0.2">
      <c r="A74" s="242"/>
      <c r="B74" s="243"/>
      <c r="C74" s="242"/>
      <c r="D74" s="205"/>
      <c r="E74" s="275" t="s">
        <v>946</v>
      </c>
      <c r="F74" s="248"/>
      <c r="G74" s="249"/>
      <c r="H74" s="248"/>
      <c r="I74" s="248"/>
      <c r="J74" s="248"/>
      <c r="K74" s="248"/>
      <c r="L74" s="206"/>
      <c r="M74" s="247"/>
      <c r="N74" s="1078"/>
      <c r="O74" s="1078"/>
      <c r="P74" s="1078"/>
    </row>
    <row r="75" spans="1:16" x14ac:dyDescent="0.2">
      <c r="A75" s="242"/>
      <c r="B75" s="243"/>
      <c r="C75" s="242"/>
      <c r="D75" s="205"/>
      <c r="E75" s="248"/>
      <c r="F75" s="248"/>
      <c r="G75" s="249"/>
      <c r="H75" s="248"/>
      <c r="I75" s="248"/>
      <c r="J75" s="248"/>
      <c r="K75" s="248"/>
      <c r="L75" s="206"/>
      <c r="M75" s="247"/>
      <c r="N75" s="1078"/>
      <c r="O75" s="1078"/>
      <c r="P75" s="1078"/>
    </row>
    <row r="76" spans="1:16" x14ac:dyDescent="0.2">
      <c r="A76" s="242"/>
      <c r="B76" s="243"/>
      <c r="C76" s="242"/>
      <c r="D76" s="731" t="s">
        <v>961</v>
      </c>
      <c r="E76" s="725"/>
      <c r="H76" s="650"/>
      <c r="I76" s="779" t="s">
        <v>978</v>
      </c>
      <c r="J76" s="1083"/>
      <c r="K76" s="1083"/>
      <c r="L76" s="206"/>
      <c r="M76" s="247"/>
      <c r="N76" s="1078"/>
      <c r="O76" s="1078"/>
      <c r="P76" s="1078"/>
    </row>
    <row r="77" spans="1:16" x14ac:dyDescent="0.2">
      <c r="A77" s="242"/>
      <c r="B77" s="243"/>
      <c r="C77" s="242"/>
      <c r="D77" s="732" t="s">
        <v>962</v>
      </c>
      <c r="E77" s="725"/>
      <c r="G77" s="277"/>
      <c r="L77" s="206"/>
      <c r="M77" s="247"/>
      <c r="N77" s="1078"/>
      <c r="O77" s="1078"/>
      <c r="P77" s="1078"/>
    </row>
    <row r="78" spans="1:16" x14ac:dyDescent="0.2">
      <c r="A78" s="242"/>
      <c r="B78" s="243"/>
      <c r="C78" s="242"/>
      <c r="D78" s="205"/>
      <c r="E78" s="248"/>
      <c r="F78" s="248"/>
      <c r="G78" s="248"/>
      <c r="H78" s="248"/>
      <c r="I78" s="91"/>
      <c r="J78" s="258"/>
      <c r="K78" s="277"/>
      <c r="L78" s="206"/>
      <c r="M78" s="247"/>
      <c r="N78" s="1078"/>
      <c r="O78" s="1078"/>
      <c r="P78" s="1078"/>
    </row>
    <row r="79" spans="1:16" x14ac:dyDescent="0.2">
      <c r="A79" s="242"/>
      <c r="B79" s="243"/>
      <c r="C79" s="242"/>
      <c r="D79" s="731" t="s">
        <v>1003</v>
      </c>
      <c r="F79" s="248"/>
      <c r="G79" s="284" t="str">
        <f>IF(MULohnberechnung&lt;&gt;"",MULohnberechnung,"")</f>
        <v/>
      </c>
      <c r="H79" s="780" t="s">
        <v>1005</v>
      </c>
      <c r="I79" s="779" t="s">
        <v>1214</v>
      </c>
      <c r="J79" s="248"/>
      <c r="K79" s="234"/>
      <c r="L79" s="206"/>
      <c r="M79" s="247"/>
      <c r="N79" s="1078"/>
      <c r="O79" s="1078"/>
      <c r="P79" s="1078"/>
    </row>
    <row r="80" spans="1:16" x14ac:dyDescent="0.2">
      <c r="A80" s="242"/>
      <c r="B80" s="243"/>
      <c r="C80" s="242"/>
      <c r="D80" s="734"/>
      <c r="E80" s="248"/>
      <c r="F80" s="248"/>
      <c r="G80" s="248"/>
      <c r="H80" s="725"/>
      <c r="I80" s="248"/>
      <c r="J80" s="248"/>
      <c r="K80" s="248"/>
      <c r="L80" s="206"/>
      <c r="M80" s="247"/>
      <c r="N80" s="1078"/>
      <c r="O80" s="1078"/>
      <c r="P80" s="1078"/>
    </row>
    <row r="81" spans="1:16" x14ac:dyDescent="0.2">
      <c r="A81" s="242"/>
      <c r="B81" s="243"/>
      <c r="C81" s="242"/>
      <c r="D81" s="731" t="s">
        <v>973</v>
      </c>
      <c r="F81" s="248"/>
      <c r="G81" s="433"/>
      <c r="H81" s="725" t="s">
        <v>1080</v>
      </c>
      <c r="I81" s="248"/>
      <c r="J81" s="1095" t="str">
        <f>_xlfn.IFNA(VLOOKUP(G81,Stammdaten_DropDown!$B$14:$C$55,2,FALSE),"")</f>
        <v/>
      </c>
      <c r="K81" s="1095"/>
      <c r="L81" s="269"/>
      <c r="M81" s="247"/>
      <c r="N81" s="1078"/>
      <c r="O81" s="1078"/>
      <c r="P81" s="1078"/>
    </row>
    <row r="82" spans="1:16" x14ac:dyDescent="0.2">
      <c r="A82" s="242"/>
      <c r="B82" s="243"/>
      <c r="C82" s="242"/>
      <c r="D82" s="734"/>
      <c r="E82" s="248"/>
      <c r="F82" s="248"/>
      <c r="G82" s="249"/>
      <c r="H82" s="248"/>
      <c r="I82" s="248"/>
      <c r="J82" s="248"/>
      <c r="K82" s="248"/>
      <c r="L82" s="206"/>
      <c r="M82" s="247"/>
      <c r="N82" s="1078"/>
      <c r="O82" s="1078"/>
      <c r="P82" s="1078"/>
    </row>
    <row r="83" spans="1:16" x14ac:dyDescent="0.2">
      <c r="A83" s="242"/>
      <c r="B83" s="243"/>
      <c r="C83" s="242"/>
      <c r="D83" s="734"/>
      <c r="E83" s="248" t="s">
        <v>2000</v>
      </c>
      <c r="F83" s="248"/>
      <c r="G83" s="885"/>
      <c r="H83" s="1127"/>
      <c r="I83" s="1127"/>
      <c r="J83" s="1127"/>
      <c r="K83" s="1127"/>
      <c r="L83" s="206"/>
      <c r="M83" s="247"/>
      <c r="N83" s="1078"/>
      <c r="O83" s="1078"/>
      <c r="P83" s="1078"/>
    </row>
    <row r="84" spans="1:16" x14ac:dyDescent="0.2">
      <c r="A84" s="242"/>
      <c r="B84" s="243"/>
      <c r="C84" s="242"/>
      <c r="D84" s="734"/>
      <c r="E84" s="891" t="s">
        <v>1964</v>
      </c>
      <c r="F84" s="248"/>
      <c r="G84" s="885"/>
      <c r="H84" s="248"/>
      <c r="I84" s="248"/>
      <c r="J84" s="248"/>
      <c r="K84" s="248"/>
      <c r="L84" s="206"/>
      <c r="M84" s="247"/>
      <c r="N84" s="1078"/>
      <c r="O84" s="1078"/>
      <c r="P84" s="1078"/>
    </row>
    <row r="85" spans="1:16" ht="12.75" customHeight="1" x14ac:dyDescent="0.2">
      <c r="A85" s="242"/>
      <c r="B85" s="243"/>
      <c r="C85" s="242"/>
      <c r="D85" s="734" t="s">
        <v>1001</v>
      </c>
      <c r="E85" s="700"/>
      <c r="G85" s="1055"/>
      <c r="H85" s="1055"/>
      <c r="I85" s="1055"/>
      <c r="J85" s="1055"/>
      <c r="K85" s="1055"/>
      <c r="L85" s="206"/>
      <c r="M85" s="247"/>
      <c r="N85" s="1078"/>
      <c r="O85" s="1078"/>
      <c r="P85" s="1078"/>
    </row>
    <row r="86" spans="1:16" x14ac:dyDescent="0.2">
      <c r="A86" s="242"/>
      <c r="B86" s="243"/>
      <c r="C86" s="242"/>
      <c r="D86" s="207"/>
      <c r="E86" s="64"/>
      <c r="F86" s="64"/>
      <c r="G86" s="65"/>
      <c r="H86" s="64"/>
      <c r="I86" s="64"/>
      <c r="J86" s="64"/>
      <c r="K86" s="64"/>
      <c r="L86" s="208"/>
      <c r="M86" s="247"/>
      <c r="N86" s="1078"/>
      <c r="O86" s="1078"/>
      <c r="P86" s="1078"/>
    </row>
    <row r="87" spans="1:16" ht="6" customHeight="1" x14ac:dyDescent="0.2">
      <c r="A87" s="242"/>
      <c r="B87" s="243"/>
      <c r="C87" s="242"/>
      <c r="D87" s="242"/>
      <c r="E87" s="242"/>
      <c r="F87" s="242"/>
      <c r="G87" s="283"/>
      <c r="H87" s="242"/>
      <c r="I87" s="242"/>
      <c r="J87" s="242"/>
      <c r="K87" s="242"/>
      <c r="L87" s="242"/>
      <c r="M87" s="247"/>
      <c r="N87" s="1078"/>
      <c r="O87" s="1078"/>
      <c r="P87" s="1078"/>
    </row>
    <row r="88" spans="1:16" x14ac:dyDescent="0.2">
      <c r="A88" s="242"/>
      <c r="B88" s="243"/>
      <c r="C88" s="242"/>
      <c r="D88" s="203"/>
      <c r="E88" s="67"/>
      <c r="F88" s="67"/>
      <c r="G88" s="68"/>
      <c r="H88" s="67"/>
      <c r="I88" s="67"/>
      <c r="J88" s="67"/>
      <c r="K88" s="67"/>
      <c r="L88" s="204"/>
      <c r="M88" s="247"/>
      <c r="N88" s="1078"/>
      <c r="O88" s="1078"/>
      <c r="P88" s="1078"/>
    </row>
    <row r="89" spans="1:16" x14ac:dyDescent="0.2">
      <c r="A89" s="242"/>
      <c r="B89" s="243"/>
      <c r="C89" s="242"/>
      <c r="D89" s="205"/>
      <c r="E89" s="1082" t="s">
        <v>985</v>
      </c>
      <c r="F89" s="1082"/>
      <c r="G89" s="1082"/>
      <c r="H89" s="1082"/>
      <c r="I89" s="1082"/>
      <c r="J89" s="1082"/>
      <c r="K89" s="248"/>
      <c r="L89" s="206"/>
      <c r="M89" s="247"/>
      <c r="N89" s="1078"/>
      <c r="O89" s="1078"/>
      <c r="P89" s="1078"/>
    </row>
    <row r="90" spans="1:16" x14ac:dyDescent="0.2">
      <c r="A90" s="242"/>
      <c r="B90" s="243"/>
      <c r="C90" s="242"/>
      <c r="D90" s="205"/>
      <c r="E90" s="248"/>
      <c r="F90" s="248"/>
      <c r="G90" s="249"/>
      <c r="H90" s="248"/>
      <c r="I90" s="248"/>
      <c r="J90" s="248"/>
      <c r="K90" s="248"/>
      <c r="L90" s="206"/>
      <c r="M90" s="247"/>
      <c r="N90" s="1078"/>
      <c r="O90" s="1078"/>
      <c r="P90" s="1078"/>
    </row>
    <row r="91" spans="1:16" x14ac:dyDescent="0.2">
      <c r="A91" s="242"/>
      <c r="B91" s="243"/>
      <c r="C91" s="242"/>
      <c r="D91" s="205"/>
      <c r="E91" s="1056"/>
      <c r="F91" s="1056"/>
      <c r="G91" s="1056"/>
      <c r="H91" s="1056"/>
      <c r="I91" s="1056"/>
      <c r="J91" s="1056"/>
      <c r="K91" s="1056"/>
      <c r="L91" s="206"/>
      <c r="M91" s="247"/>
      <c r="N91" s="1078"/>
      <c r="O91" s="1078"/>
      <c r="P91" s="1078"/>
    </row>
    <row r="92" spans="1:16" x14ac:dyDescent="0.2">
      <c r="A92" s="242"/>
      <c r="B92" s="243"/>
      <c r="C92" s="242"/>
      <c r="D92" s="205"/>
      <c r="E92" s="1056"/>
      <c r="F92" s="1056"/>
      <c r="G92" s="1056"/>
      <c r="H92" s="1056"/>
      <c r="I92" s="1056"/>
      <c r="J92" s="1056"/>
      <c r="K92" s="1056"/>
      <c r="L92" s="206"/>
      <c r="M92" s="247"/>
      <c r="N92" s="1078"/>
      <c r="O92" s="1078"/>
      <c r="P92" s="1078"/>
    </row>
    <row r="93" spans="1:16" x14ac:dyDescent="0.2">
      <c r="A93" s="242"/>
      <c r="B93" s="243"/>
      <c r="C93" s="242"/>
      <c r="D93" s="205"/>
      <c r="E93" s="1056"/>
      <c r="F93" s="1056"/>
      <c r="G93" s="1056"/>
      <c r="H93" s="1056"/>
      <c r="I93" s="1056"/>
      <c r="J93" s="1056"/>
      <c r="K93" s="1056"/>
      <c r="L93" s="206"/>
      <c r="M93" s="247"/>
      <c r="N93" s="1078"/>
      <c r="O93" s="1078"/>
      <c r="P93" s="1078"/>
    </row>
    <row r="94" spans="1:16" x14ac:dyDescent="0.2">
      <c r="A94" s="242"/>
      <c r="B94" s="243"/>
      <c r="C94" s="242"/>
      <c r="D94" s="207"/>
      <c r="E94" s="64"/>
      <c r="F94" s="64"/>
      <c r="G94" s="65"/>
      <c r="H94" s="64"/>
      <c r="I94" s="64"/>
      <c r="J94" s="64"/>
      <c r="K94" s="64"/>
      <c r="L94" s="208"/>
      <c r="M94" s="247"/>
      <c r="N94" s="1078"/>
      <c r="O94" s="1078"/>
      <c r="P94" s="1078"/>
    </row>
    <row r="95" spans="1:16" ht="6" customHeight="1" x14ac:dyDescent="0.2">
      <c r="A95" s="242"/>
      <c r="B95" s="243"/>
      <c r="C95" s="242"/>
      <c r="D95" s="242"/>
      <c r="E95" s="242"/>
      <c r="F95" s="242"/>
      <c r="G95" s="283"/>
      <c r="H95" s="242"/>
      <c r="I95" s="242"/>
      <c r="J95" s="242"/>
      <c r="K95" s="242"/>
      <c r="L95" s="242"/>
      <c r="M95" s="247"/>
      <c r="N95" s="1078"/>
      <c r="O95" s="1078"/>
      <c r="P95" s="1078"/>
    </row>
    <row r="96" spans="1:16" x14ac:dyDescent="0.2">
      <c r="A96" s="242"/>
      <c r="B96" s="243"/>
      <c r="C96" s="242"/>
      <c r="D96" s="203"/>
      <c r="E96" s="67"/>
      <c r="F96" s="67"/>
      <c r="G96" s="68"/>
      <c r="H96" s="67"/>
      <c r="I96" s="67"/>
      <c r="J96" s="67"/>
      <c r="K96" s="67"/>
      <c r="L96" s="204"/>
      <c r="M96" s="247"/>
      <c r="N96" s="1078"/>
      <c r="O96" s="1078"/>
      <c r="P96" s="1078"/>
    </row>
    <row r="97" spans="1:16" x14ac:dyDescent="0.2">
      <c r="A97" s="242"/>
      <c r="B97" s="243"/>
      <c r="C97" s="242"/>
      <c r="D97" s="205"/>
      <c r="E97" s="1082" t="s">
        <v>768</v>
      </c>
      <c r="F97" s="1082"/>
      <c r="G97" s="1082"/>
      <c r="H97" s="248"/>
      <c r="I97" s="248"/>
      <c r="J97" s="248"/>
      <c r="K97" s="248"/>
      <c r="L97" s="206"/>
      <c r="M97" s="247"/>
    </row>
    <row r="98" spans="1:16" x14ac:dyDescent="0.2">
      <c r="A98" s="242"/>
      <c r="B98" s="243"/>
      <c r="C98" s="242"/>
      <c r="D98" s="205"/>
      <c r="E98" s="248"/>
      <c r="F98" s="248"/>
      <c r="G98" s="249"/>
      <c r="H98" s="248"/>
      <c r="I98" s="248"/>
      <c r="J98" s="248"/>
      <c r="K98" s="248"/>
      <c r="L98" s="206"/>
      <c r="M98" s="247"/>
    </row>
    <row r="99" spans="1:16" x14ac:dyDescent="0.2">
      <c r="A99" s="242"/>
      <c r="B99" s="243"/>
      <c r="C99" s="242"/>
      <c r="D99" s="205"/>
      <c r="E99" s="1056"/>
      <c r="F99" s="1056"/>
      <c r="G99" s="1056"/>
      <c r="H99" s="1056"/>
      <c r="I99" s="1056"/>
      <c r="J99" s="1056"/>
      <c r="K99" s="1056"/>
      <c r="L99" s="206"/>
      <c r="M99" s="247"/>
    </row>
    <row r="100" spans="1:16" x14ac:dyDescent="0.2">
      <c r="A100" s="242"/>
      <c r="B100" s="243"/>
      <c r="C100" s="242"/>
      <c r="D100" s="205"/>
      <c r="E100" s="1056"/>
      <c r="F100" s="1056"/>
      <c r="G100" s="1056"/>
      <c r="H100" s="1056"/>
      <c r="I100" s="1056"/>
      <c r="J100" s="1056"/>
      <c r="K100" s="1056"/>
      <c r="L100" s="206"/>
      <c r="M100" s="247"/>
    </row>
    <row r="101" spans="1:16" x14ac:dyDescent="0.2">
      <c r="A101" s="242"/>
      <c r="B101" s="243"/>
      <c r="C101" s="242"/>
      <c r="D101" s="205"/>
      <c r="E101" s="1056"/>
      <c r="F101" s="1056"/>
      <c r="G101" s="1056"/>
      <c r="H101" s="1056"/>
      <c r="I101" s="1056"/>
      <c r="J101" s="1056"/>
      <c r="K101" s="1056"/>
      <c r="L101" s="206"/>
      <c r="M101" s="247"/>
    </row>
    <row r="102" spans="1:16" x14ac:dyDescent="0.2">
      <c r="A102" s="242"/>
      <c r="B102" s="243"/>
      <c r="C102" s="242"/>
      <c r="D102" s="207"/>
      <c r="E102" s="64"/>
      <c r="F102" s="64"/>
      <c r="G102" s="65"/>
      <c r="H102" s="64"/>
      <c r="I102" s="64"/>
      <c r="J102" s="64"/>
      <c r="K102" s="64"/>
      <c r="L102" s="208"/>
      <c r="M102" s="247"/>
    </row>
    <row r="103" spans="1:16" ht="6" customHeight="1" x14ac:dyDescent="0.2">
      <c r="A103" s="242"/>
      <c r="B103" s="243"/>
      <c r="C103" s="242"/>
      <c r="D103" s="242"/>
      <c r="E103" s="248"/>
      <c r="F103" s="248"/>
      <c r="G103" s="249"/>
      <c r="H103" s="248"/>
      <c r="I103" s="248"/>
      <c r="J103" s="248"/>
      <c r="K103" s="248"/>
      <c r="L103" s="242"/>
      <c r="M103" s="247"/>
    </row>
    <row r="104" spans="1:16" x14ac:dyDescent="0.2">
      <c r="A104" s="242"/>
      <c r="B104" s="243"/>
      <c r="C104" s="242"/>
      <c r="D104" s="203"/>
      <c r="E104" s="67"/>
      <c r="F104" s="67"/>
      <c r="G104" s="68"/>
      <c r="H104" s="67"/>
      <c r="I104" s="67"/>
      <c r="J104" s="67"/>
      <c r="K104" s="67"/>
      <c r="L104" s="204"/>
      <c r="M104" s="247"/>
    </row>
    <row r="105" spans="1:16" x14ac:dyDescent="0.2">
      <c r="A105" s="242"/>
      <c r="B105" s="243"/>
      <c r="C105" s="242"/>
      <c r="D105" s="205"/>
      <c r="E105" s="211" t="s">
        <v>933</v>
      </c>
      <c r="F105" s="211"/>
      <c r="G105" s="326"/>
      <c r="H105" s="325"/>
      <c r="I105" s="325"/>
      <c r="J105" s="325"/>
      <c r="K105" s="325"/>
      <c r="L105" s="269"/>
      <c r="M105" s="247"/>
      <c r="N105" s="1098" t="str">
        <f>Stammdaten_DropDown!A113</f>
        <v>Lohnentwicklung</v>
      </c>
      <c r="O105" s="1098"/>
      <c r="P105" s="1098"/>
    </row>
    <row r="106" spans="1:16" x14ac:dyDescent="0.2">
      <c r="A106" s="242"/>
      <c r="B106" s="243"/>
      <c r="C106" s="242"/>
      <c r="D106" s="205"/>
      <c r="E106" s="248"/>
      <c r="F106" s="248"/>
      <c r="G106" s="249"/>
      <c r="H106" s="248"/>
      <c r="I106" s="248"/>
      <c r="J106" s="248"/>
      <c r="K106" s="248"/>
      <c r="L106" s="269"/>
      <c r="M106" s="247"/>
      <c r="N106" s="1105" t="str">
        <f>Stammdaten_DropDown!A114</f>
        <v>Bitte angeben, ob eine individuelle Lohnentwicklung gewährt werden soll.</v>
      </c>
      <c r="O106" s="1105"/>
      <c r="P106" s="1105"/>
    </row>
    <row r="107" spans="1:16" x14ac:dyDescent="0.2">
      <c r="A107" s="242"/>
      <c r="B107" s="243"/>
      <c r="C107" s="242"/>
      <c r="D107" s="205"/>
      <c r="E107" s="248" t="s">
        <v>945</v>
      </c>
      <c r="F107" s="248"/>
      <c r="G107" s="249"/>
      <c r="H107" s="248"/>
      <c r="I107" s="248"/>
      <c r="J107" s="1083"/>
      <c r="K107" s="1083"/>
      <c r="L107" s="269"/>
      <c r="M107" s="247"/>
      <c r="N107" s="1105" t="str">
        <f>Stammdaten_DropDown!A115</f>
        <v>Bei einem Neueintritt nach dem 01.07.2024 ist keine individuelle Lohnentwicklung vorgesehen.</v>
      </c>
      <c r="O107" s="1105"/>
      <c r="P107" s="1105"/>
    </row>
    <row r="108" spans="1:16" x14ac:dyDescent="0.2">
      <c r="A108" s="242"/>
      <c r="B108" s="243"/>
      <c r="C108" s="242"/>
      <c r="D108" s="205"/>
      <c r="E108" s="248"/>
      <c r="F108" s="248"/>
      <c r="G108" s="249"/>
      <c r="H108" s="248"/>
      <c r="I108" s="248"/>
      <c r="J108" s="248"/>
      <c r="K108" s="248"/>
      <c r="L108" s="269"/>
      <c r="M108" s="247"/>
      <c r="N108" s="1105" t="str">
        <f>Stammdaten_DropDown!A116</f>
        <v>In dem Fall ist das Prädikat auf dem Wert «NA» (keine Beurteilung) zu belassen.</v>
      </c>
      <c r="O108" s="1105"/>
      <c r="P108" s="1105"/>
    </row>
    <row r="109" spans="1:16" x14ac:dyDescent="0.2">
      <c r="A109" s="242"/>
      <c r="B109" s="243"/>
      <c r="C109" s="242"/>
      <c r="D109" s="205"/>
      <c r="E109" s="278" t="s">
        <v>765</v>
      </c>
      <c r="F109" s="247"/>
      <c r="G109" s="279" t="str">
        <f>IF(ISBLANK($J$107),IF(BandLohnBer="",IF(BandLohnRechner="","",BandLohnRechner),IF(BandLohnRechner="",BandLohnBer,"FEHLER")),"-")</f>
        <v/>
      </c>
      <c r="I109" s="774" t="s">
        <v>809</v>
      </c>
      <c r="J109" s="247"/>
      <c r="K109" s="280" t="str">
        <f>IF(ISBLANK($J$107),IF(EWLohnBer="",IF(EWLohnRechner="","",EWLohnRechner),IF(EWLohnRechner="",EWLohnBer,"FEHLER")),"-")</f>
        <v/>
      </c>
      <c r="L109" s="269"/>
      <c r="M109" s="247"/>
      <c r="N109" s="899"/>
    </row>
    <row r="110" spans="1:16" x14ac:dyDescent="0.2">
      <c r="A110" s="242"/>
      <c r="B110" s="243"/>
      <c r="C110" s="242"/>
      <c r="D110" s="205"/>
      <c r="E110" s="448" t="b">
        <f>AND(BandLohnBer&lt;&gt;"",BandLohnRechner&lt;&gt;"")</f>
        <v>0</v>
      </c>
      <c r="F110" s="248"/>
      <c r="G110" s="449" t="str">
        <f>IF(E110,"2 Lohnbänder gefunden","")</f>
        <v/>
      </c>
      <c r="H110" s="723" t="b">
        <f>AND(EWLohnBer&lt;&gt;"",EWLohnRechner&lt;&gt;"")</f>
        <v>0</v>
      </c>
      <c r="J110" s="566" t="str">
        <f>IF(H110,"2 Erfahrungswerte gefunden","")</f>
        <v/>
      </c>
      <c r="K110" s="566"/>
      <c r="L110" s="269"/>
      <c r="M110" s="247"/>
      <c r="N110" s="1096" t="str">
        <f>Stammdaten_DropDown!A117</f>
        <v xml:space="preserve">Falls eine individuelle  Lohnentwicklung gewährt werden soll, ist das entsprechende Prädikat aus der relevanten MAG-Phase im Dropdown-Menu auszuwählen. </v>
      </c>
      <c r="O110" s="1096"/>
      <c r="P110" s="1096"/>
    </row>
    <row r="111" spans="1:16" x14ac:dyDescent="0.2">
      <c r="A111" s="242"/>
      <c r="B111" s="243"/>
      <c r="C111" s="242"/>
      <c r="D111" s="205"/>
      <c r="E111" s="771"/>
      <c r="F111" s="247"/>
      <c r="G111" s="247"/>
      <c r="I111" s="774" t="s">
        <v>1113</v>
      </c>
      <c r="K111" s="778" t="str">
        <f>IF(ISBLANK($J$107),IF(LohnLohnBer="",IF(LohnLohnRechner="","",LohnLohnRechner),IF(LohnLohnRechner="",LohnLohnBer,"FEHLER")),"-")</f>
        <v/>
      </c>
      <c r="L111" s="269"/>
      <c r="M111" s="247"/>
      <c r="N111" s="1096"/>
      <c r="O111" s="1096"/>
      <c r="P111" s="1096"/>
    </row>
    <row r="112" spans="1:16" x14ac:dyDescent="0.2">
      <c r="A112" s="242"/>
      <c r="B112" s="243"/>
      <c r="C112" s="242"/>
      <c r="D112" s="205"/>
      <c r="E112" s="248"/>
      <c r="F112" s="248"/>
      <c r="G112" s="248"/>
      <c r="H112" s="596"/>
      <c r="I112" s="448" t="b">
        <f>AND(LohnLohnBer&lt;&gt;"",LohnLohnRechner&lt;&gt;"")</f>
        <v>0</v>
      </c>
      <c r="J112" s="1092" t="str">
        <f>IF(I112,"2 Löhne gefunden","")</f>
        <v/>
      </c>
      <c r="K112" s="1092"/>
      <c r="L112" s="269"/>
      <c r="M112" s="247"/>
      <c r="N112" s="1105" t="str">
        <f>Stammdaten_DropDown!A118</f>
        <v>Ist noch keine Beurteilung hinterlegt, so ist das Prädikat auf «A» zu belassen.</v>
      </c>
      <c r="O112" s="1105"/>
      <c r="P112" s="1105"/>
    </row>
    <row r="113" spans="1:13" x14ac:dyDescent="0.2">
      <c r="A113" s="242"/>
      <c r="B113" s="243"/>
      <c r="C113" s="242"/>
      <c r="D113" s="205"/>
      <c r="F113" s="248"/>
      <c r="G113" s="248"/>
      <c r="H113" s="596" t="s">
        <v>1002</v>
      </c>
      <c r="J113" s="242"/>
      <c r="K113" s="564" t="str">
        <f>IFERROR(ROUND(#REF!*K111,2), "aus SAP")</f>
        <v>aus SAP</v>
      </c>
      <c r="L113" s="269"/>
      <c r="M113" s="247"/>
    </row>
    <row r="114" spans="1:13" x14ac:dyDescent="0.2">
      <c r="A114" s="242"/>
      <c r="B114" s="243"/>
      <c r="C114" s="242"/>
      <c r="D114" s="205"/>
      <c r="F114" s="248"/>
      <c r="G114" s="248"/>
      <c r="H114" s="596"/>
      <c r="J114" s="242"/>
      <c r="K114" s="907"/>
      <c r="L114" s="269"/>
      <c r="M114" s="247"/>
    </row>
    <row r="115" spans="1:13" x14ac:dyDescent="0.2">
      <c r="A115" s="242"/>
      <c r="B115" s="243"/>
      <c r="C115" s="242"/>
      <c r="D115" s="205"/>
      <c r="E115" s="265" t="str">
        <f>CONCATENATE("Lohnentwicklung per 01.01.",LohntabelleM!I1+1," gewähren?")</f>
        <v>Lohnentwicklung per 01.01.2025 gewähren?</v>
      </c>
      <c r="F115" s="248"/>
      <c r="G115" s="248"/>
      <c r="H115" s="919"/>
      <c r="J115" s="905" t="s">
        <v>1966</v>
      </c>
      <c r="K115" s="920" t="str">
        <f>L115</f>
        <v/>
      </c>
      <c r="L115" s="901" t="str">
        <f>IF(H115="Ja","A",IF(H115="Nein","NA",""))</f>
        <v/>
      </c>
      <c r="M115" s="247"/>
    </row>
    <row r="116" spans="1:13" ht="6" customHeight="1" x14ac:dyDescent="0.2">
      <c r="A116" s="242"/>
      <c r="B116" s="243"/>
      <c r="C116" s="242"/>
      <c r="D116" s="207"/>
      <c r="E116" s="64"/>
      <c r="F116" s="64"/>
      <c r="G116" s="65"/>
      <c r="H116" s="64"/>
      <c r="I116" s="64"/>
      <c r="J116" s="64"/>
      <c r="K116" s="64"/>
      <c r="L116" s="282"/>
      <c r="M116" s="247"/>
    </row>
    <row r="117" spans="1:13" ht="10.9" customHeight="1" x14ac:dyDescent="0.2">
      <c r="A117" s="242"/>
      <c r="B117" s="243"/>
      <c r="C117" s="242"/>
      <c r="D117" s="242"/>
      <c r="E117" s="248"/>
      <c r="F117" s="242"/>
      <c r="G117" s="242"/>
      <c r="H117" s="242"/>
      <c r="I117" s="242"/>
      <c r="J117" s="242"/>
      <c r="K117" s="242"/>
      <c r="L117" s="242"/>
      <c r="M117" s="247"/>
    </row>
    <row r="118" spans="1:13" ht="85.15" customHeight="1" x14ac:dyDescent="0.2">
      <c r="A118" s="242"/>
      <c r="B118" s="243"/>
      <c r="C118" s="242"/>
      <c r="D118" s="1063" t="s">
        <v>966</v>
      </c>
      <c r="E118" s="1063"/>
      <c r="F118" s="1063"/>
      <c r="G118" s="1063"/>
      <c r="H118" s="1063"/>
      <c r="I118" s="1063"/>
      <c r="J118" s="1063"/>
      <c r="K118" s="1063"/>
      <c r="L118" s="248"/>
      <c r="M118" s="247"/>
    </row>
    <row r="119" spans="1:13" x14ac:dyDescent="0.2">
      <c r="A119" s="242"/>
      <c r="B119" s="243"/>
      <c r="C119" s="242"/>
      <c r="E119" s="248"/>
      <c r="F119" s="248"/>
      <c r="G119" s="248"/>
      <c r="H119" s="248"/>
      <c r="I119" s="248"/>
      <c r="J119" s="248"/>
      <c r="K119" s="248"/>
      <c r="L119" s="248"/>
      <c r="M119" s="247"/>
    </row>
    <row r="120" spans="1:13" x14ac:dyDescent="0.2">
      <c r="A120" s="242"/>
      <c r="B120" s="242"/>
      <c r="C120" s="242"/>
      <c r="E120" s="248"/>
      <c r="F120" s="248"/>
      <c r="G120" s="248"/>
      <c r="H120" s="248"/>
      <c r="I120" s="248"/>
      <c r="J120" s="242"/>
      <c r="K120" s="242"/>
      <c r="L120" s="242"/>
      <c r="M120" s="247"/>
    </row>
    <row r="121" spans="1:13" x14ac:dyDescent="0.2">
      <c r="A121" s="242"/>
      <c r="B121" s="242"/>
      <c r="C121" s="242"/>
      <c r="E121" s="248"/>
      <c r="F121" s="248"/>
      <c r="G121" s="248"/>
      <c r="H121" s="248"/>
      <c r="I121" s="248"/>
      <c r="J121" s="265"/>
      <c r="K121" s="265"/>
      <c r="L121" s="265"/>
      <c r="M121" s="247"/>
    </row>
    <row r="122" spans="1:13" x14ac:dyDescent="0.2">
      <c r="A122" s="242"/>
      <c r="B122" s="242"/>
      <c r="C122" s="242"/>
      <c r="E122" s="248"/>
      <c r="F122" s="248"/>
      <c r="G122" s="248"/>
      <c r="H122" s="248"/>
      <c r="I122" s="248"/>
      <c r="M122" s="247"/>
    </row>
    <row r="123" spans="1:13" x14ac:dyDescent="0.2">
      <c r="A123" s="242"/>
      <c r="B123" s="242"/>
      <c r="C123" s="242"/>
      <c r="E123" s="248"/>
      <c r="F123" s="248"/>
      <c r="G123" s="248"/>
      <c r="H123" s="248"/>
      <c r="I123" s="248"/>
      <c r="M123" s="247"/>
    </row>
    <row r="124" spans="1:13" x14ac:dyDescent="0.2">
      <c r="E124" s="248"/>
      <c r="F124" s="248"/>
      <c r="G124" s="248"/>
      <c r="H124" s="248"/>
      <c r="I124" s="248"/>
    </row>
    <row r="125" spans="1:13" x14ac:dyDescent="0.2">
      <c r="E125" s="248"/>
      <c r="F125" s="248"/>
      <c r="G125" s="248"/>
      <c r="H125" s="248"/>
      <c r="I125" s="248"/>
    </row>
  </sheetData>
  <sheetProtection algorithmName="SHA-512" hashValue="lNEq2V1aguQBXH5hesN+AzLqYf+QB9lKfCZ+P8xrAX6KxB7pwyD1OmrNMYdeMHsx/c837Ebce3vuzExyc2ouFA==" saltValue="wJSNivlwOe+u/VCgqU+bBg==" spinCount="100000" sheet="1" objects="1" scenarios="1"/>
  <mergeCells count="54">
    <mergeCell ref="N106:P106"/>
    <mergeCell ref="N107:P107"/>
    <mergeCell ref="N108:P108"/>
    <mergeCell ref="N110:P111"/>
    <mergeCell ref="N112:P112"/>
    <mergeCell ref="N12:O13"/>
    <mergeCell ref="N35:O37"/>
    <mergeCell ref="H83:K83"/>
    <mergeCell ref="N71:P96"/>
    <mergeCell ref="N105:P105"/>
    <mergeCell ref="E101:K101"/>
    <mergeCell ref="I53:L53"/>
    <mergeCell ref="D37:L38"/>
    <mergeCell ref="F29:K29"/>
    <mergeCell ref="J51:K51"/>
    <mergeCell ref="E97:G97"/>
    <mergeCell ref="E93:K93"/>
    <mergeCell ref="E63:G63"/>
    <mergeCell ref="H63:K63"/>
    <mergeCell ref="G85:K85"/>
    <mergeCell ref="J81:K81"/>
    <mergeCell ref="D118:K118"/>
    <mergeCell ref="E100:K100"/>
    <mergeCell ref="E99:K99"/>
    <mergeCell ref="J107:K107"/>
    <mergeCell ref="J112:K112"/>
    <mergeCell ref="E92:K92"/>
    <mergeCell ref="E91:K91"/>
    <mergeCell ref="J76:K76"/>
    <mergeCell ref="E64:G64"/>
    <mergeCell ref="E59:G59"/>
    <mergeCell ref="H59:K59"/>
    <mergeCell ref="E89:J89"/>
    <mergeCell ref="E61:H61"/>
    <mergeCell ref="I18:K18"/>
    <mergeCell ref="H57:K57"/>
    <mergeCell ref="E57:F57"/>
    <mergeCell ref="E16:F16"/>
    <mergeCell ref="G16:K16"/>
    <mergeCell ref="E18:F18"/>
    <mergeCell ref="E20:F20"/>
    <mergeCell ref="E43:J43"/>
    <mergeCell ref="E55:G55"/>
    <mergeCell ref="H55:K55"/>
    <mergeCell ref="F26:K26"/>
    <mergeCell ref="J22:K22"/>
    <mergeCell ref="F22:H22"/>
    <mergeCell ref="F27:K27"/>
    <mergeCell ref="F28:K28"/>
    <mergeCell ref="E10:F10"/>
    <mergeCell ref="E12:F12"/>
    <mergeCell ref="G12:H12"/>
    <mergeCell ref="J12:K12"/>
    <mergeCell ref="G14:H14"/>
  </mergeCells>
  <conditionalFormatting sqref="G109 K111">
    <cfRule type="expression" dxfId="131" priority="6">
      <formula>E110</formula>
    </cfRule>
  </conditionalFormatting>
  <conditionalFormatting sqref="K109">
    <cfRule type="expression" dxfId="130" priority="174">
      <formula>H110</formula>
    </cfRule>
  </conditionalFormatting>
  <conditionalFormatting sqref="J115">
    <cfRule type="expression" dxfId="129" priority="3">
      <formula>#REF!</formula>
    </cfRule>
  </conditionalFormatting>
  <conditionalFormatting sqref="J115:K115 N108:P112">
    <cfRule type="expression" dxfId="128" priority="2">
      <formula>$H$115=""</formula>
    </cfRule>
  </conditionalFormatting>
  <conditionalFormatting sqref="D85:K115 N105:P116">
    <cfRule type="expression" dxfId="127" priority="1">
      <formula>$H$83=""</formula>
    </cfRule>
  </conditionalFormatting>
  <dataValidations count="8">
    <dataValidation type="whole" operator="greaterThan" allowBlank="1" showInputMessage="1" showErrorMessage="1" errorTitle="Fehler" error="Ungültige Postleitzahl" sqref="G18">
      <formula1>0</formula1>
    </dataValidation>
    <dataValidation type="date" operator="greaterThan" allowBlank="1" showInputMessage="1" showErrorMessage="1" errorTitle="Fehler" error="Geben Sie ein gültiges Datum dd.mm.yyyy ein!" sqref="L58 L51 G20 L49 G51 H76 G77:G78 K76 K78">
      <formula1>1</formula1>
    </dataValidation>
    <dataValidation operator="greaterThan" allowBlank="1" showInputMessage="1" showErrorMessage="1" errorTitle="Fehler" error="Pensum als Ganzzahl angeben" sqref="J115 K111 K113:K114"/>
    <dataValidation allowBlank="1" showInputMessage="1" sqref="J81"/>
    <dataValidation type="list" allowBlank="1" showInputMessage="1" showErrorMessage="1" sqref="H57:K57">
      <formula1>VPFunktSchule</formula1>
    </dataValidation>
    <dataValidation type="list" allowBlank="1" showInputMessage="1" showErrorMessage="1" sqref="J51:K51">
      <formula1>AnstellungsartVP</formula1>
    </dataValidation>
    <dataValidation type="decimal" allowBlank="1" showInputMessage="1" showErrorMessage="1" errorTitle="Fehler" error="Geben Sie einen Wert zwischen 1% und 100% ein." sqref="G49">
      <formula1>0.01</formula1>
      <formula2>1</formula2>
    </dataValidation>
    <dataValidation operator="greaterThan" allowBlank="1" showInputMessage="1" showErrorMessage="1" errorTitle="Fehler" error="Geben Sie ein gültiges Datum dd.mm.yyyy ein!" sqref="G79 K79"/>
  </dataValidations>
  <hyperlinks>
    <hyperlink ref="N12:O13" location="_A_Grunddaten" display="Zurück zu Grunddaten"/>
    <hyperlink ref="N35:O37" location="Pensenberechnung!A1" display="Pensenberechnung"/>
  </hyperlinks>
  <pageMargins left="0.70866141732283472" right="0.70866141732283472" top="0.78740157480314965" bottom="0.78740157480314965" header="0.31496062992125984" footer="0.31496062992125984"/>
  <pageSetup paperSize="9" scale="93" fitToHeight="0" orientation="portrait" r:id="rId1"/>
  <headerFooter>
    <oddFooter>Seite &amp;P von &amp;N</oddFooter>
  </headerFooter>
  <rowBreaks count="1" manualBreakCount="1">
    <brk id="68" max="16383" man="1"/>
  </rowBreaks>
  <ignoredErrors>
    <ignoredError sqref="K115"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66596" r:id="rId4" name="Check Box 4">
              <controlPr defaultSize="0" autoFill="0" autoLine="0" autoPict="0">
                <anchor>
                  <from>
                    <xdr:col>8</xdr:col>
                    <xdr:colOff>295275</xdr:colOff>
                    <xdr:row>52</xdr:row>
                    <xdr:rowOff>142875</xdr:rowOff>
                  </from>
                  <to>
                    <xdr:col>12</xdr:col>
                    <xdr:colOff>0</xdr:colOff>
                    <xdr:row>54</xdr:row>
                    <xdr:rowOff>66675</xdr:rowOff>
                  </to>
                </anchor>
              </controlPr>
            </control>
          </mc:Choice>
        </mc:AlternateContent>
        <mc:AlternateContent xmlns:mc="http://schemas.openxmlformats.org/markup-compatibility/2006">
          <mc:Choice Requires="x14">
            <control shapeId="366597" r:id="rId5" name="Check Box 5">
              <controlPr defaultSize="0" autoFill="0" autoLine="0" autoPict="0">
                <anchor>
                  <from>
                    <xdr:col>4</xdr:col>
                    <xdr:colOff>47625</xdr:colOff>
                    <xdr:row>61</xdr:row>
                    <xdr:rowOff>0</xdr:rowOff>
                  </from>
                  <to>
                    <xdr:col>7</xdr:col>
                    <xdr:colOff>257175</xdr:colOff>
                    <xdr:row>62</xdr:row>
                    <xdr:rowOff>66675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Stammdaten_DropDown!$E$102:$E$103</xm:f>
          </x14:formula1>
          <xm:sqref>H115</xm:sqref>
        </x14:dataValidation>
        <x14:dataValidation type="list" operator="greaterThan" allowBlank="1" showInputMessage="1" showErrorMessage="1" errorTitle="Fehler" error="Pensum als Ganzzahl angeben">
          <x14:formula1>
            <xm:f>Stammdaten_DropDown!$E$106:$E$109</xm:f>
          </x14:formula1>
          <xm:sqref>K115</xm:sqref>
        </x14:dataValidation>
        <x14:dataValidation type="list" allowBlank="1" showInputMessage="1" showErrorMessage="1">
          <x14:formula1>
            <xm:f>Stammdaten_DropDown!$E$92:$E$99</xm:f>
          </x14:formula1>
          <xm:sqref>H83:K83</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pageSetUpPr fitToPage="1"/>
  </sheetPr>
  <dimension ref="A1:S135"/>
  <sheetViews>
    <sheetView zoomScaleNormal="100" zoomScaleSheetLayoutView="55" zoomScalePageLayoutView="85" workbookViewId="0">
      <selection activeCell="F10" sqref="F10:L10"/>
    </sheetView>
  </sheetViews>
  <sheetFormatPr baseColWidth="10" defaultColWidth="11.5703125" defaultRowHeight="12.75" x14ac:dyDescent="0.2"/>
  <cols>
    <col min="1" max="1" width="2.5703125" style="359" customWidth="1"/>
    <col min="2" max="2" width="1.42578125" style="359" customWidth="1"/>
    <col min="3" max="3" width="1" style="359" customWidth="1"/>
    <col min="4" max="4" width="3.7109375" style="359" customWidth="1"/>
    <col min="5" max="5" width="14" style="359" customWidth="1"/>
    <col min="6" max="6" width="11.140625" style="359" customWidth="1"/>
    <col min="7" max="7" width="7.5703125" style="359" customWidth="1"/>
    <col min="8" max="8" width="11.5703125" style="359" customWidth="1"/>
    <col min="9" max="9" width="3.42578125" style="359" customWidth="1"/>
    <col min="10" max="10" width="17.5703125" style="359" customWidth="1"/>
    <col min="11" max="11" width="3.42578125" style="359" customWidth="1"/>
    <col min="12" max="12" width="17.42578125" style="359" customWidth="1"/>
    <col min="13" max="13" width="2.140625" style="359" customWidth="1"/>
    <col min="14" max="14" width="3.140625" style="359" customWidth="1"/>
    <col min="15" max="16" width="11.5703125" style="359"/>
    <col min="17" max="17" width="46.7109375" style="359" customWidth="1"/>
    <col min="18" max="18" width="11.5703125" style="359"/>
    <col min="19" max="19" width="70.42578125" style="359" hidden="1" customWidth="1"/>
    <col min="20" max="16384" width="11.5703125" style="359"/>
  </cols>
  <sheetData>
    <row r="1" spans="1:17" s="288" customFormat="1" ht="9.6" customHeight="1" x14ac:dyDescent="0.2">
      <c r="F1" s="333"/>
      <c r="G1" s="289"/>
      <c r="H1" s="289"/>
      <c r="I1" s="290"/>
      <c r="J1" s="290"/>
      <c r="K1" s="290"/>
      <c r="L1" s="290"/>
    </row>
    <row r="2" spans="1:17" s="288" customFormat="1" ht="17.45" customHeight="1" x14ac:dyDescent="0.2">
      <c r="B2" s="333" t="s">
        <v>1111</v>
      </c>
      <c r="F2" s="333"/>
      <c r="G2" s="289"/>
      <c r="H2" s="289"/>
      <c r="I2" s="290"/>
      <c r="J2" s="290"/>
      <c r="K2" s="290"/>
      <c r="L2" s="290"/>
    </row>
    <row r="3" spans="1:17" s="288" customFormat="1" ht="11.45" customHeight="1" x14ac:dyDescent="0.2">
      <c r="D3" s="319" t="str">
        <f>CONCATENATE(LohntabelleM!G1," / ",LohntabelleM!I1)</f>
        <v>V4.6 / 2024</v>
      </c>
      <c r="F3" s="333"/>
      <c r="G3" s="289"/>
      <c r="H3" s="289"/>
      <c r="I3" s="290"/>
      <c r="J3" s="290"/>
      <c r="K3" s="290"/>
      <c r="L3" s="290"/>
    </row>
    <row r="4" spans="1:17" s="301" customFormat="1" ht="21" customHeight="1" x14ac:dyDescent="0.2">
      <c r="B4" s="360"/>
      <c r="D4" s="241" t="s">
        <v>950</v>
      </c>
      <c r="F4" s="241"/>
      <c r="I4" s="361"/>
      <c r="J4" s="361"/>
      <c r="K4" s="361"/>
      <c r="L4" s="361"/>
      <c r="M4" s="361"/>
      <c r="N4" s="361"/>
      <c r="O4" s="361"/>
    </row>
    <row r="5" spans="1:17" s="288" customFormat="1" ht="6.75" customHeight="1" x14ac:dyDescent="0.2">
      <c r="A5" s="306"/>
      <c r="B5" s="362"/>
      <c r="C5" s="362"/>
      <c r="D5" s="362"/>
      <c r="E5" s="362"/>
      <c r="F5" s="363"/>
      <c r="G5" s="362"/>
      <c r="H5" s="362"/>
      <c r="I5" s="364"/>
      <c r="J5" s="365"/>
      <c r="K5" s="364"/>
      <c r="L5" s="364"/>
      <c r="M5" s="364"/>
      <c r="O5" s="361"/>
    </row>
    <row r="6" spans="1:17" s="288" customFormat="1" ht="6" customHeight="1" x14ac:dyDescent="0.2">
      <c r="A6" s="306"/>
      <c r="B6" s="362"/>
      <c r="C6" s="306"/>
      <c r="D6" s="306"/>
      <c r="E6" s="306"/>
      <c r="F6" s="332"/>
      <c r="G6" s="306"/>
      <c r="H6" s="306"/>
      <c r="I6" s="311"/>
      <c r="J6" s="439"/>
      <c r="K6" s="311"/>
      <c r="L6" s="311"/>
      <c r="M6" s="311"/>
      <c r="N6" s="311"/>
      <c r="O6" s="306"/>
    </row>
    <row r="7" spans="1:17" s="288" customFormat="1" ht="5.0999999999999996" customHeight="1" x14ac:dyDescent="0.2">
      <c r="B7" s="362"/>
      <c r="D7" s="385"/>
      <c r="E7" s="331"/>
      <c r="F7" s="330"/>
      <c r="G7" s="293"/>
      <c r="H7" s="293"/>
      <c r="I7" s="292"/>
      <c r="J7" s="292"/>
      <c r="K7" s="292"/>
      <c r="L7" s="292"/>
      <c r="M7" s="316"/>
    </row>
    <row r="8" spans="1:17" s="288" customFormat="1" ht="15.75" x14ac:dyDescent="0.2">
      <c r="B8" s="362"/>
      <c r="D8" s="386"/>
      <c r="E8" s="332" t="s">
        <v>771</v>
      </c>
      <c r="F8" s="333"/>
      <c r="G8" s="289"/>
      <c r="H8" s="289"/>
      <c r="I8" s="290"/>
      <c r="J8" s="290"/>
      <c r="K8" s="290"/>
      <c r="L8" s="290"/>
      <c r="M8" s="298"/>
    </row>
    <row r="9" spans="1:17" s="288" customFormat="1" x14ac:dyDescent="0.2">
      <c r="B9" s="362"/>
      <c r="D9" s="294"/>
      <c r="E9" s="290"/>
      <c r="F9" s="290"/>
      <c r="G9" s="289"/>
      <c r="H9" s="289"/>
      <c r="I9" s="290"/>
      <c r="J9" s="290"/>
      <c r="K9" s="290"/>
      <c r="L9" s="290"/>
      <c r="M9" s="298"/>
    </row>
    <row r="10" spans="1:17" s="288" customFormat="1" ht="58.15" customHeight="1" x14ac:dyDescent="0.2">
      <c r="B10" s="362"/>
      <c r="D10" s="294"/>
      <c r="E10" s="317" t="s">
        <v>1137</v>
      </c>
      <c r="F10" s="1110"/>
      <c r="G10" s="1110"/>
      <c r="H10" s="1110"/>
      <c r="I10" s="1110"/>
      <c r="J10" s="1110"/>
      <c r="K10" s="1110"/>
      <c r="L10" s="1110"/>
      <c r="M10" s="298"/>
    </row>
    <row r="11" spans="1:17" s="288" customFormat="1" ht="13.35" customHeight="1" x14ac:dyDescent="0.2">
      <c r="B11" s="362"/>
      <c r="D11" s="294"/>
      <c r="E11" s="290"/>
      <c r="F11" s="387"/>
      <c r="G11" s="289"/>
      <c r="H11" s="289"/>
      <c r="I11" s="290"/>
      <c r="J11" s="290"/>
      <c r="K11" s="290"/>
      <c r="L11" s="290"/>
      <c r="M11" s="298"/>
    </row>
    <row r="12" spans="1:17" s="288" customFormat="1" x14ac:dyDescent="0.2">
      <c r="B12" s="362"/>
      <c r="D12" s="294"/>
      <c r="E12" s="311" t="s">
        <v>974</v>
      </c>
      <c r="F12" s="311"/>
      <c r="G12" s="1150" t="str">
        <f>IF(MAAnrede&lt;&gt;"",MAAnrede,"")</f>
        <v/>
      </c>
      <c r="H12" s="1150"/>
      <c r="I12" s="311"/>
      <c r="J12" s="290"/>
      <c r="K12" s="290"/>
      <c r="L12" s="290"/>
      <c r="M12" s="298"/>
    </row>
    <row r="13" spans="1:17" s="288" customFormat="1" ht="13.35" customHeight="1" x14ac:dyDescent="0.2">
      <c r="B13" s="362"/>
      <c r="D13" s="294"/>
      <c r="E13" s="290"/>
      <c r="F13" s="387"/>
      <c r="G13" s="289"/>
      <c r="H13" s="289"/>
      <c r="I13" s="290"/>
      <c r="J13" s="290"/>
      <c r="K13" s="290"/>
      <c r="L13" s="290"/>
      <c r="M13" s="298"/>
    </row>
    <row r="14" spans="1:17" s="288" customFormat="1" ht="12.6" customHeight="1" x14ac:dyDescent="0.2">
      <c r="B14" s="362"/>
      <c r="D14" s="294"/>
      <c r="E14" s="311" t="s">
        <v>757</v>
      </c>
      <c r="F14" s="311"/>
      <c r="G14" s="1150" t="str">
        <f>IF(MAName&lt;&gt;"",MAName,"")</f>
        <v/>
      </c>
      <c r="H14" s="1150"/>
      <c r="I14" s="311"/>
      <c r="J14" s="1112" t="s">
        <v>758</v>
      </c>
      <c r="K14" s="1112"/>
      <c r="L14" s="297" t="str">
        <f>IF(MAVorname&lt;&gt;"",MAVorname,"")</f>
        <v/>
      </c>
      <c r="M14" s="298"/>
      <c r="O14" s="1068" t="s">
        <v>1040</v>
      </c>
      <c r="P14" s="1069"/>
      <c r="Q14" s="711"/>
    </row>
    <row r="15" spans="1:17" s="288" customFormat="1" ht="12.6" customHeight="1" x14ac:dyDescent="0.2">
      <c r="B15" s="362"/>
      <c r="D15" s="294"/>
      <c r="G15" s="439"/>
      <c r="H15" s="605"/>
      <c r="I15" s="311"/>
      <c r="J15" s="311"/>
      <c r="K15" s="311"/>
      <c r="L15" s="311"/>
      <c r="M15" s="298"/>
      <c r="O15" s="1070"/>
      <c r="P15" s="1071"/>
      <c r="Q15" s="711"/>
    </row>
    <row r="16" spans="1:17" s="288" customFormat="1" x14ac:dyDescent="0.2">
      <c r="B16" s="362"/>
      <c r="D16" s="294"/>
      <c r="E16" s="1112" t="s">
        <v>764</v>
      </c>
      <c r="F16" s="1112"/>
      <c r="G16" s="1150" t="str">
        <f>IF(MAVertragsNr&lt;&gt;"",MAVertragsNr,"")</f>
        <v/>
      </c>
      <c r="H16" s="1150"/>
      <c r="I16" s="311"/>
      <c r="J16" s="311" t="s">
        <v>763</v>
      </c>
      <c r="L16" s="798" t="str">
        <f>IF(MAPersID&lt;&gt;"",MAPersID,"")</f>
        <v/>
      </c>
      <c r="M16" s="298"/>
    </row>
    <row r="17" spans="2:17" s="288" customFormat="1" ht="8.1" customHeight="1" x14ac:dyDescent="0.2">
      <c r="B17" s="362"/>
      <c r="D17" s="302"/>
      <c r="E17" s="303"/>
      <c r="F17" s="303"/>
      <c r="G17" s="304"/>
      <c r="H17" s="304"/>
      <c r="I17" s="303"/>
      <c r="J17" s="303"/>
      <c r="K17" s="303"/>
      <c r="L17" s="303"/>
      <c r="M17" s="318"/>
    </row>
    <row r="18" spans="2:17" s="288" customFormat="1" ht="6" customHeight="1" x14ac:dyDescent="0.2">
      <c r="B18" s="362"/>
      <c r="E18" s="311"/>
      <c r="F18" s="311"/>
      <c r="G18" s="439"/>
      <c r="H18" s="605"/>
      <c r="I18" s="311"/>
      <c r="J18" s="311"/>
      <c r="K18" s="311"/>
      <c r="L18" s="311"/>
    </row>
    <row r="19" spans="2:17" s="288" customFormat="1" ht="8.1" customHeight="1" x14ac:dyDescent="0.2">
      <c r="B19" s="362"/>
      <c r="D19" s="291"/>
      <c r="E19" s="308"/>
      <c r="F19" s="308"/>
      <c r="G19" s="309"/>
      <c r="H19" s="309"/>
      <c r="I19" s="308"/>
      <c r="J19" s="308"/>
      <c r="K19" s="308"/>
      <c r="L19" s="308"/>
      <c r="M19" s="310"/>
    </row>
    <row r="20" spans="2:17" s="288" customFormat="1" ht="12" customHeight="1" x14ac:dyDescent="0.2">
      <c r="B20" s="362"/>
      <c r="D20" s="294"/>
      <c r="E20" s="295" t="s">
        <v>1211</v>
      </c>
      <c r="F20" s="290"/>
      <c r="G20" s="289"/>
      <c r="H20" s="289"/>
      <c r="I20" s="290"/>
      <c r="J20" s="290"/>
      <c r="K20" s="290"/>
      <c r="L20" s="290"/>
      <c r="M20" s="296"/>
    </row>
    <row r="21" spans="2:17" s="288" customFormat="1" ht="6" customHeight="1" x14ac:dyDescent="0.2">
      <c r="B21" s="362"/>
      <c r="D21" s="294"/>
      <c r="E21" s="311"/>
      <c r="G21" s="439"/>
      <c r="I21" s="675"/>
      <c r="J21" s="311"/>
      <c r="K21" s="311"/>
      <c r="L21" s="311"/>
      <c r="M21" s="299"/>
    </row>
    <row r="22" spans="2:17" s="288" customFormat="1" ht="12.75" customHeight="1" x14ac:dyDescent="0.2">
      <c r="B22" s="362"/>
      <c r="D22" s="294"/>
      <c r="E22" s="311" t="s">
        <v>1227</v>
      </c>
      <c r="G22" s="710"/>
      <c r="I22" s="675"/>
      <c r="J22" s="311"/>
      <c r="K22" s="311"/>
      <c r="L22" s="311"/>
      <c r="M22" s="299"/>
    </row>
    <row r="23" spans="2:17" s="288" customFormat="1" ht="6" customHeight="1" x14ac:dyDescent="0.2">
      <c r="B23" s="362"/>
      <c r="D23" s="294"/>
      <c r="E23" s="311"/>
      <c r="G23" s="710"/>
      <c r="I23" s="675"/>
      <c r="J23" s="311"/>
      <c r="K23" s="311"/>
      <c r="L23" s="311"/>
      <c r="M23" s="299"/>
    </row>
    <row r="24" spans="2:17" s="288" customFormat="1" ht="12.75" customHeight="1" x14ac:dyDescent="0.2">
      <c r="B24" s="362"/>
      <c r="D24" s="294"/>
      <c r="E24" s="311"/>
      <c r="F24" s="311" t="s">
        <v>1179</v>
      </c>
      <c r="G24" s="605"/>
      <c r="H24" s="311" t="s">
        <v>1199</v>
      </c>
      <c r="I24" s="675"/>
      <c r="J24" s="1151" t="str">
        <f>IF(AND(F28&lt;&gt;"",F30&lt;&gt;""),"Es kann nur entweder eine Berechnung oder eine manuelle Eingabe erfolgen","")</f>
        <v/>
      </c>
      <c r="K24" s="1151"/>
      <c r="L24" s="1151"/>
      <c r="M24" s="299"/>
      <c r="O24" s="1155" t="s">
        <v>1182</v>
      </c>
      <c r="P24" s="1156"/>
      <c r="Q24" s="906"/>
    </row>
    <row r="25" spans="2:17" s="288" customFormat="1" ht="12.75" customHeight="1" x14ac:dyDescent="0.2">
      <c r="B25" s="362"/>
      <c r="D25" s="294"/>
      <c r="E25" s="311"/>
      <c r="F25" s="311"/>
      <c r="G25" s="605"/>
      <c r="H25" s="675"/>
      <c r="I25" s="675"/>
      <c r="J25" s="1151"/>
      <c r="K25" s="1151"/>
      <c r="L25" s="1151"/>
      <c r="M25" s="299"/>
      <c r="O25" s="1157"/>
      <c r="P25" s="1158"/>
      <c r="Q25" s="906"/>
    </row>
    <row r="26" spans="2:17" s="288" customFormat="1" ht="12.75" customHeight="1" x14ac:dyDescent="0.2">
      <c r="B26" s="362"/>
      <c r="D26" s="737" t="s">
        <v>1146</v>
      </c>
      <c r="F26" s="806"/>
      <c r="H26" s="807"/>
      <c r="I26" s="311"/>
      <c r="J26" s="1151"/>
      <c r="K26" s="1151"/>
      <c r="L26" s="1151"/>
      <c r="M26" s="300"/>
    </row>
    <row r="27" spans="2:17" s="288" customFormat="1" ht="12.75" customHeight="1" x14ac:dyDescent="0.2">
      <c r="B27" s="362"/>
      <c r="D27" s="738"/>
      <c r="F27" s="675"/>
      <c r="G27" s="1117"/>
      <c r="H27" s="1117"/>
      <c r="I27" s="1117"/>
      <c r="J27" s="1117"/>
      <c r="K27" s="439"/>
      <c r="L27" s="439"/>
      <c r="M27" s="300"/>
    </row>
    <row r="28" spans="2:17" s="288" customFormat="1" ht="12.75" customHeight="1" x14ac:dyDescent="0.2">
      <c r="B28" s="362"/>
      <c r="D28" s="737" t="s">
        <v>1191</v>
      </c>
      <c r="F28" s="809" t="str">
        <f>IF(Pensenberechnung!$O$27=0,"",Pensenberechnung!$O$27)</f>
        <v/>
      </c>
      <c r="H28" s="808" t="str">
        <f>IF(Pensenberechnung!$J$15=0,"",Pensenberechnung!$J$15)</f>
        <v/>
      </c>
      <c r="I28" s="311"/>
      <c r="J28" s="311" t="s">
        <v>874</v>
      </c>
      <c r="K28" s="1154" t="str">
        <f>IF(Pensenberechnung!$G$17=0,"",Pensenberechnung!$G$17)</f>
        <v/>
      </c>
      <c r="L28" s="1154"/>
      <c r="M28" s="300"/>
    </row>
    <row r="29" spans="2:17" s="288" customFormat="1" ht="12.75" customHeight="1" x14ac:dyDescent="0.2">
      <c r="B29" s="362"/>
      <c r="D29" s="739" t="s">
        <v>1005</v>
      </c>
      <c r="F29" s="675"/>
      <c r="G29" s="313"/>
      <c r="H29" s="313"/>
      <c r="I29" s="313"/>
      <c r="J29" s="313"/>
      <c r="K29" s="669"/>
      <c r="L29" s="669"/>
      <c r="M29" s="300"/>
    </row>
    <row r="30" spans="2:17" s="288" customFormat="1" ht="12.75" customHeight="1" x14ac:dyDescent="0.2">
      <c r="B30" s="362"/>
      <c r="D30" s="737" t="s">
        <v>1192</v>
      </c>
      <c r="F30" s="806"/>
      <c r="H30" s="810"/>
      <c r="I30" s="311"/>
      <c r="J30" s="311" t="s">
        <v>874</v>
      </c>
      <c r="K30" s="1111"/>
      <c r="L30" s="1111"/>
      <c r="M30" s="300"/>
    </row>
    <row r="31" spans="2:17" s="288" customFormat="1" ht="12.75" customHeight="1" x14ac:dyDescent="0.2">
      <c r="B31" s="362"/>
      <c r="D31" s="740"/>
      <c r="F31" s="311"/>
      <c r="G31" s="439"/>
      <c r="H31" s="605"/>
      <c r="I31" s="311"/>
      <c r="J31" s="311"/>
      <c r="K31" s="311"/>
      <c r="L31" s="311"/>
      <c r="M31" s="299"/>
    </row>
    <row r="32" spans="2:17" s="288" customFormat="1" ht="12.75" customHeight="1" x14ac:dyDescent="0.2">
      <c r="B32" s="362"/>
      <c r="D32" s="737" t="s">
        <v>949</v>
      </c>
      <c r="G32" s="1111"/>
      <c r="H32" s="1111"/>
      <c r="I32" s="311"/>
      <c r="K32" s="593" t="s">
        <v>819</v>
      </c>
      <c r="L32" s="439"/>
      <c r="M32" s="300"/>
    </row>
    <row r="33" spans="2:13" s="288" customFormat="1" ht="12.75" customHeight="1" x14ac:dyDescent="0.2">
      <c r="B33" s="362"/>
      <c r="D33" s="302"/>
      <c r="E33" s="303"/>
      <c r="F33" s="303"/>
      <c r="G33" s="304"/>
      <c r="H33" s="304"/>
      <c r="I33" s="303"/>
      <c r="J33" s="303"/>
      <c r="K33" s="303"/>
      <c r="L33" s="303"/>
      <c r="M33" s="305"/>
    </row>
    <row r="34" spans="2:13" s="288" customFormat="1" ht="6" customHeight="1" x14ac:dyDescent="0.2">
      <c r="B34" s="362"/>
      <c r="E34" s="311"/>
      <c r="F34" s="311"/>
      <c r="G34" s="439"/>
      <c r="H34" s="605"/>
      <c r="I34" s="311"/>
      <c r="J34" s="311"/>
      <c r="K34" s="311"/>
      <c r="L34" s="311"/>
      <c r="M34" s="311"/>
    </row>
    <row r="35" spans="2:13" s="288" customFormat="1" ht="8.1" customHeight="1" x14ac:dyDescent="0.2">
      <c r="B35" s="362"/>
      <c r="D35" s="291"/>
      <c r="E35" s="308"/>
      <c r="F35" s="308"/>
      <c r="G35" s="309"/>
      <c r="H35" s="309"/>
      <c r="I35" s="308"/>
      <c r="J35" s="308"/>
      <c r="K35" s="308"/>
      <c r="L35" s="308"/>
      <c r="M35" s="310"/>
    </row>
    <row r="36" spans="2:13" s="288" customFormat="1" ht="12" customHeight="1" x14ac:dyDescent="0.2">
      <c r="B36" s="362"/>
      <c r="D36" s="294"/>
      <c r="E36" s="295" t="s">
        <v>948</v>
      </c>
      <c r="F36" s="290"/>
      <c r="G36" s="289"/>
      <c r="H36" s="289"/>
      <c r="I36" s="290"/>
      <c r="J36" s="290"/>
      <c r="K36" s="290"/>
      <c r="L36" s="290"/>
      <c r="M36" s="296"/>
    </row>
    <row r="37" spans="2:13" s="288" customFormat="1" ht="12.75" customHeight="1" x14ac:dyDescent="0.2">
      <c r="B37" s="362"/>
      <c r="D37" s="294"/>
      <c r="E37" s="311"/>
      <c r="F37" s="311"/>
      <c r="G37" s="656"/>
      <c r="H37" s="675"/>
      <c r="I37" s="675"/>
      <c r="J37" s="311"/>
      <c r="K37" s="311"/>
      <c r="L37" s="311"/>
      <c r="M37" s="299"/>
    </row>
    <row r="38" spans="2:13" s="288" customFormat="1" ht="12.75" customHeight="1" x14ac:dyDescent="0.2">
      <c r="B38" s="362"/>
      <c r="D38" s="294"/>
      <c r="E38" s="311" t="s">
        <v>1180</v>
      </c>
      <c r="F38" s="311"/>
      <c r="G38" s="656"/>
      <c r="H38" s="806"/>
      <c r="I38" s="675"/>
      <c r="J38" s="311"/>
      <c r="K38" s="311"/>
      <c r="L38" s="311"/>
      <c r="M38" s="299"/>
    </row>
    <row r="39" spans="2:13" s="288" customFormat="1" ht="12.75" customHeight="1" x14ac:dyDescent="0.2">
      <c r="B39" s="362"/>
      <c r="D39" s="294"/>
      <c r="E39" s="311"/>
      <c r="F39" s="311"/>
      <c r="G39" s="656"/>
      <c r="H39" s="675"/>
      <c r="I39" s="675"/>
      <c r="J39" s="311"/>
      <c r="K39" s="311"/>
      <c r="L39" s="311"/>
      <c r="M39" s="299"/>
    </row>
    <row r="40" spans="2:13" s="288" customFormat="1" ht="12.75" customHeight="1" x14ac:dyDescent="0.2">
      <c r="B40" s="362"/>
      <c r="D40" s="294"/>
      <c r="E40" s="311" t="s">
        <v>1181</v>
      </c>
      <c r="F40" s="675"/>
      <c r="H40" s="806"/>
      <c r="J40" s="676" t="s">
        <v>874</v>
      </c>
      <c r="K40" s="311"/>
      <c r="L40" s="796"/>
      <c r="M40" s="300"/>
    </row>
    <row r="41" spans="2:13" s="288" customFormat="1" ht="12.75" customHeight="1" x14ac:dyDescent="0.2">
      <c r="B41" s="362"/>
      <c r="D41" s="294"/>
      <c r="E41" s="675"/>
      <c r="F41" s="675"/>
      <c r="H41" s="675"/>
      <c r="I41" s="313"/>
      <c r="J41" s="313"/>
      <c r="K41" s="313"/>
      <c r="L41" s="313"/>
      <c r="M41" s="300"/>
    </row>
    <row r="42" spans="2:13" s="288" customFormat="1" ht="12.75" customHeight="1" x14ac:dyDescent="0.2">
      <c r="B42" s="362"/>
      <c r="D42" s="294"/>
      <c r="E42" s="311" t="s">
        <v>1181</v>
      </c>
      <c r="F42" s="675"/>
      <c r="H42" s="806"/>
      <c r="J42" s="676" t="s">
        <v>874</v>
      </c>
      <c r="K42" s="311"/>
      <c r="L42" s="796"/>
      <c r="M42" s="300"/>
    </row>
    <row r="43" spans="2:13" s="288" customFormat="1" ht="12.75" customHeight="1" x14ac:dyDescent="0.2">
      <c r="B43" s="362"/>
      <c r="D43" s="294"/>
      <c r="F43" s="311"/>
      <c r="G43" s="656"/>
      <c r="H43" s="656"/>
      <c r="I43" s="311"/>
      <c r="J43" s="311"/>
      <c r="K43" s="311"/>
      <c r="L43" s="311"/>
      <c r="M43" s="299"/>
    </row>
    <row r="44" spans="2:13" s="288" customFormat="1" ht="12.75" customHeight="1" x14ac:dyDescent="0.2">
      <c r="B44" s="362"/>
      <c r="D44" s="294"/>
      <c r="E44" s="311" t="s">
        <v>949</v>
      </c>
      <c r="G44" s="1111"/>
      <c r="H44" s="1111"/>
      <c r="I44" s="311"/>
      <c r="K44" s="657" t="s">
        <v>819</v>
      </c>
      <c r="L44" s="656"/>
      <c r="M44" s="300"/>
    </row>
    <row r="45" spans="2:13" s="288" customFormat="1" ht="12.75" customHeight="1" x14ac:dyDescent="0.2">
      <c r="B45" s="362"/>
      <c r="D45" s="302"/>
      <c r="E45" s="303"/>
      <c r="F45" s="303"/>
      <c r="G45" s="304"/>
      <c r="H45" s="304"/>
      <c r="I45" s="303"/>
      <c r="J45" s="303"/>
      <c r="K45" s="303"/>
      <c r="L45" s="303"/>
      <c r="M45" s="305"/>
    </row>
    <row r="46" spans="2:13" s="288" customFormat="1" ht="6" customHeight="1" x14ac:dyDescent="0.2">
      <c r="B46" s="362"/>
      <c r="E46" s="311"/>
      <c r="F46" s="311"/>
      <c r="G46" s="656"/>
      <c r="H46" s="656"/>
      <c r="I46" s="311"/>
      <c r="J46" s="311"/>
      <c r="K46" s="311"/>
      <c r="L46" s="311"/>
      <c r="M46" s="311"/>
    </row>
    <row r="47" spans="2:13" s="288" customFormat="1" ht="5.0999999999999996" customHeight="1" x14ac:dyDescent="0.2">
      <c r="B47" s="362"/>
      <c r="D47" s="291"/>
      <c r="E47" s="308"/>
      <c r="F47" s="308"/>
      <c r="G47" s="309"/>
      <c r="H47" s="309"/>
      <c r="I47" s="308"/>
      <c r="J47" s="308"/>
      <c r="K47" s="308"/>
      <c r="L47" s="308"/>
      <c r="M47" s="316"/>
    </row>
    <row r="48" spans="2:13" s="288" customFormat="1" x14ac:dyDescent="0.2">
      <c r="B48" s="362"/>
      <c r="D48" s="294"/>
      <c r="E48" s="332" t="s">
        <v>964</v>
      </c>
      <c r="F48" s="290"/>
      <c r="G48" s="289"/>
      <c r="H48" s="289"/>
      <c r="I48" s="290"/>
      <c r="J48" s="290"/>
      <c r="K48" s="290"/>
      <c r="L48" s="290"/>
      <c r="M48" s="298"/>
    </row>
    <row r="49" spans="2:13" s="288" customFormat="1" x14ac:dyDescent="0.2">
      <c r="B49" s="362"/>
      <c r="D49" s="294"/>
      <c r="E49" s="311"/>
      <c r="F49" s="311"/>
      <c r="G49" s="439"/>
      <c r="H49" s="605"/>
      <c r="I49" s="311"/>
      <c r="J49" s="311"/>
      <c r="K49" s="311"/>
      <c r="L49" s="311"/>
      <c r="M49" s="298"/>
    </row>
    <row r="50" spans="2:13" s="288" customFormat="1" x14ac:dyDescent="0.2">
      <c r="B50" s="362"/>
      <c r="D50" s="1152" t="s">
        <v>959</v>
      </c>
      <c r="E50" s="1153"/>
      <c r="F50" s="1153"/>
      <c r="G50" s="1111"/>
      <c r="H50" s="1111"/>
      <c r="I50" s="311"/>
      <c r="J50" s="388" t="s">
        <v>960</v>
      </c>
      <c r="K50" s="311"/>
      <c r="L50" s="796"/>
      <c r="M50" s="298"/>
    </row>
    <row r="51" spans="2:13" s="288" customFormat="1" x14ac:dyDescent="0.2">
      <c r="B51" s="362"/>
      <c r="D51" s="294"/>
      <c r="E51" s="311"/>
      <c r="F51" s="311"/>
      <c r="G51" s="439"/>
      <c r="H51" s="605"/>
      <c r="I51" s="311"/>
      <c r="J51" s="311"/>
      <c r="K51" s="311"/>
      <c r="L51" s="311"/>
      <c r="M51" s="298"/>
    </row>
    <row r="52" spans="2:13" s="288" customFormat="1" x14ac:dyDescent="0.2">
      <c r="B52" s="362"/>
      <c r="D52" s="294"/>
      <c r="F52" s="593" t="s">
        <v>1120</v>
      </c>
      <c r="G52" s="311"/>
      <c r="H52" s="311"/>
      <c r="I52" s="311"/>
      <c r="K52" s="311" t="s">
        <v>1121</v>
      </c>
      <c r="L52" s="311"/>
      <c r="M52" s="298"/>
    </row>
    <row r="53" spans="2:13" s="288" customFormat="1" x14ac:dyDescent="0.2">
      <c r="B53" s="362"/>
      <c r="D53" s="294"/>
      <c r="E53" s="311"/>
      <c r="F53" s="311"/>
      <c r="G53" s="439"/>
      <c r="H53" s="605"/>
      <c r="I53" s="311"/>
      <c r="J53" s="311"/>
      <c r="K53" s="311"/>
      <c r="L53" s="311"/>
      <c r="M53" s="298"/>
    </row>
    <row r="54" spans="2:13" s="288" customFormat="1" x14ac:dyDescent="0.2">
      <c r="B54" s="362"/>
      <c r="D54" s="294"/>
      <c r="E54" s="726" t="s">
        <v>994</v>
      </c>
      <c r="G54" s="1118"/>
      <c r="H54" s="1118"/>
      <c r="I54" s="311"/>
      <c r="J54" s="311"/>
      <c r="K54" s="278"/>
      <c r="L54" s="311"/>
      <c r="M54" s="298"/>
    </row>
    <row r="55" spans="2:13" s="288" customFormat="1" ht="8.1" customHeight="1" x14ac:dyDescent="0.2">
      <c r="B55" s="362"/>
      <c r="D55" s="302"/>
      <c r="E55" s="376"/>
      <c r="F55" s="376"/>
      <c r="G55" s="440"/>
      <c r="H55" s="440"/>
      <c r="I55" s="376"/>
      <c r="J55" s="376"/>
      <c r="K55" s="376"/>
      <c r="L55" s="376"/>
      <c r="M55" s="372"/>
    </row>
    <row r="56" spans="2:13" s="288" customFormat="1" ht="6" customHeight="1" x14ac:dyDescent="0.2">
      <c r="B56" s="362"/>
      <c r="E56" s="306"/>
      <c r="F56" s="306"/>
      <c r="G56" s="307"/>
      <c r="H56" s="307"/>
      <c r="I56" s="306"/>
      <c r="J56" s="306"/>
      <c r="K56" s="306"/>
      <c r="L56" s="306"/>
    </row>
    <row r="57" spans="2:13" s="288" customFormat="1" ht="5.0999999999999996" customHeight="1" x14ac:dyDescent="0.2">
      <c r="B57" s="362"/>
      <c r="D57" s="291"/>
      <c r="E57" s="308"/>
      <c r="F57" s="308"/>
      <c r="G57" s="309"/>
      <c r="H57" s="309"/>
      <c r="I57" s="308"/>
      <c r="J57" s="308"/>
      <c r="K57" s="308"/>
      <c r="L57" s="308"/>
      <c r="M57" s="316"/>
    </row>
    <row r="58" spans="2:13" s="288" customFormat="1" x14ac:dyDescent="0.2">
      <c r="B58" s="362"/>
      <c r="D58" s="294"/>
      <c r="E58" s="332" t="s">
        <v>816</v>
      </c>
      <c r="F58" s="290"/>
      <c r="G58" s="289"/>
      <c r="H58" s="289"/>
      <c r="I58" s="290"/>
      <c r="J58" s="290"/>
      <c r="K58" s="290"/>
      <c r="L58" s="290"/>
      <c r="M58" s="298"/>
    </row>
    <row r="59" spans="2:13" s="288" customFormat="1" x14ac:dyDescent="0.2">
      <c r="B59" s="362"/>
      <c r="D59" s="294"/>
      <c r="E59" s="311"/>
      <c r="F59" s="311"/>
      <c r="G59" s="439"/>
      <c r="H59" s="605"/>
      <c r="I59" s="311"/>
      <c r="J59" s="311"/>
      <c r="K59" s="311"/>
      <c r="L59" s="311"/>
      <c r="M59" s="298"/>
    </row>
    <row r="60" spans="2:13" s="288" customFormat="1" x14ac:dyDescent="0.2">
      <c r="B60" s="362"/>
      <c r="D60" s="294"/>
      <c r="E60" s="306" t="s">
        <v>874</v>
      </c>
      <c r="F60" s="796"/>
      <c r="G60" s="373"/>
      <c r="H60" s="373"/>
      <c r="I60" s="311"/>
      <c r="J60" s="388"/>
      <c r="K60" s="311"/>
      <c r="M60" s="298"/>
    </row>
    <row r="61" spans="2:13" s="288" customFormat="1" x14ac:dyDescent="0.2">
      <c r="B61" s="362"/>
      <c r="D61" s="294"/>
      <c r="E61" s="311"/>
      <c r="F61" s="311"/>
      <c r="G61" s="439"/>
      <c r="H61" s="605"/>
      <c r="I61" s="311"/>
      <c r="J61" s="311"/>
      <c r="K61" s="311"/>
      <c r="L61" s="311"/>
      <c r="M61" s="298"/>
    </row>
    <row r="62" spans="2:13" s="288" customFormat="1" x14ac:dyDescent="0.2">
      <c r="B62" s="362"/>
      <c r="D62" s="294"/>
      <c r="E62" s="335" t="s">
        <v>1122</v>
      </c>
      <c r="F62" s="389"/>
      <c r="G62" s="311"/>
      <c r="H62" s="311"/>
      <c r="I62" s="311"/>
      <c r="J62" s="388"/>
      <c r="K62" s="1113"/>
      <c r="L62" s="1113"/>
      <c r="M62" s="298"/>
    </row>
    <row r="63" spans="2:13" s="288" customFormat="1" x14ac:dyDescent="0.2">
      <c r="B63" s="362"/>
      <c r="D63" s="294"/>
      <c r="E63" s="576"/>
      <c r="F63" s="389"/>
      <c r="G63" s="311"/>
      <c r="H63" s="311"/>
      <c r="I63" s="311"/>
      <c r="J63" s="388"/>
      <c r="K63" s="439"/>
      <c r="L63" s="439"/>
      <c r="M63" s="298"/>
    </row>
    <row r="64" spans="2:13" s="288" customFormat="1" x14ac:dyDescent="0.2">
      <c r="B64" s="362"/>
      <c r="D64" s="294"/>
      <c r="E64" s="311" t="s">
        <v>1123</v>
      </c>
      <c r="F64" s="576"/>
      <c r="G64" s="1118"/>
      <c r="H64" s="1118"/>
      <c r="I64" s="1118"/>
      <c r="J64" s="1118"/>
      <c r="K64" s="1118"/>
      <c r="L64" s="1118"/>
      <c r="M64" s="298"/>
    </row>
    <row r="65" spans="1:19" s="288" customFormat="1" ht="8.1" customHeight="1" x14ac:dyDescent="0.2">
      <c r="B65" s="362"/>
      <c r="D65" s="302"/>
      <c r="E65" s="376"/>
      <c r="F65" s="376"/>
      <c r="G65" s="440"/>
      <c r="H65" s="440"/>
      <c r="I65" s="376"/>
      <c r="J65" s="376"/>
      <c r="K65" s="376"/>
      <c r="L65" s="376"/>
      <c r="M65" s="372"/>
    </row>
    <row r="66" spans="1:19" s="288" customFormat="1" ht="6" customHeight="1" x14ac:dyDescent="0.2">
      <c r="B66" s="362"/>
      <c r="E66" s="306"/>
      <c r="F66" s="306"/>
      <c r="G66" s="307"/>
      <c r="H66" s="307"/>
      <c r="I66" s="306"/>
      <c r="J66" s="306"/>
      <c r="K66" s="306"/>
      <c r="L66" s="306"/>
      <c r="M66" s="306"/>
    </row>
    <row r="67" spans="1:19" s="288" customFormat="1" ht="9" customHeight="1" x14ac:dyDescent="0.2">
      <c r="B67" s="362"/>
      <c r="D67" s="291"/>
      <c r="E67" s="308"/>
      <c r="F67" s="308"/>
      <c r="G67" s="309"/>
      <c r="H67" s="309"/>
      <c r="I67" s="308"/>
      <c r="J67" s="308"/>
      <c r="K67" s="308"/>
      <c r="L67" s="308"/>
      <c r="M67" s="316"/>
    </row>
    <row r="68" spans="1:19" s="288" customFormat="1" ht="12.75" customHeight="1" x14ac:dyDescent="0.2">
      <c r="B68" s="362"/>
      <c r="D68" s="294"/>
      <c r="E68" s="332" t="s">
        <v>1119</v>
      </c>
      <c r="F68" s="332"/>
      <c r="G68" s="332"/>
      <c r="H68" s="332"/>
      <c r="I68" s="332"/>
      <c r="J68" s="332"/>
      <c r="K68" s="290"/>
      <c r="L68" s="290"/>
      <c r="M68" s="298"/>
    </row>
    <row r="69" spans="1:19" s="288" customFormat="1" ht="12.75" customHeight="1" x14ac:dyDescent="0.2">
      <c r="B69" s="362"/>
      <c r="D69" s="294"/>
      <c r="E69" s="311"/>
      <c r="F69" s="311"/>
      <c r="G69" s="439"/>
      <c r="H69" s="605"/>
      <c r="I69" s="311"/>
      <c r="J69" s="311"/>
      <c r="K69" s="311"/>
      <c r="L69" s="311"/>
      <c r="M69" s="298"/>
    </row>
    <row r="70" spans="1:19" s="288" customFormat="1" x14ac:dyDescent="0.2">
      <c r="B70" s="362"/>
      <c r="D70" s="294"/>
      <c r="E70" s="1114"/>
      <c r="F70" s="1114"/>
      <c r="G70" s="1114"/>
      <c r="H70" s="1114"/>
      <c r="I70" s="1114"/>
      <c r="J70" s="1114"/>
      <c r="K70" s="1114"/>
      <c r="L70" s="1114"/>
      <c r="M70" s="298"/>
      <c r="S70" s="375">
        <f>E70</f>
        <v>0</v>
      </c>
    </row>
    <row r="71" spans="1:19" s="288" customFormat="1" x14ac:dyDescent="0.2">
      <c r="B71" s="362"/>
      <c r="D71" s="294"/>
      <c r="E71" s="1114"/>
      <c r="F71" s="1114"/>
      <c r="G71" s="1114"/>
      <c r="H71" s="1114"/>
      <c r="I71" s="1114"/>
      <c r="J71" s="1114"/>
      <c r="K71" s="1114"/>
      <c r="L71" s="1114"/>
      <c r="M71" s="298"/>
      <c r="S71" s="375">
        <f>E71</f>
        <v>0</v>
      </c>
    </row>
    <row r="72" spans="1:19" s="288" customFormat="1" ht="11.85" customHeight="1" x14ac:dyDescent="0.2">
      <c r="B72" s="362"/>
      <c r="D72" s="302"/>
      <c r="E72" s="303"/>
      <c r="F72" s="303"/>
      <c r="G72" s="304"/>
      <c r="H72" s="304"/>
      <c r="I72" s="303"/>
      <c r="J72" s="303"/>
      <c r="K72" s="303"/>
      <c r="L72" s="303"/>
      <c r="M72" s="318"/>
    </row>
    <row r="73" spans="1:19" s="288" customFormat="1" ht="6" customHeight="1" x14ac:dyDescent="0.2">
      <c r="B73" s="362"/>
      <c r="E73" s="306"/>
      <c r="F73" s="306"/>
      <c r="G73" s="307"/>
      <c r="H73" s="307"/>
      <c r="I73" s="306"/>
      <c r="J73" s="306"/>
      <c r="K73" s="306"/>
      <c r="L73" s="306"/>
      <c r="M73" s="306"/>
    </row>
    <row r="74" spans="1:19" s="288" customFormat="1" ht="9" customHeight="1" x14ac:dyDescent="0.2">
      <c r="B74" s="362"/>
      <c r="D74" s="291"/>
      <c r="E74" s="308"/>
      <c r="F74" s="308"/>
      <c r="G74" s="309"/>
      <c r="H74" s="309"/>
      <c r="I74" s="308"/>
      <c r="J74" s="308"/>
      <c r="K74" s="308"/>
      <c r="L74" s="308"/>
      <c r="M74" s="316"/>
    </row>
    <row r="75" spans="1:19" s="288" customFormat="1" ht="12.75" customHeight="1" x14ac:dyDescent="0.2">
      <c r="B75" s="362"/>
      <c r="D75" s="294"/>
      <c r="E75" s="332" t="s">
        <v>1136</v>
      </c>
      <c r="F75" s="332"/>
      <c r="G75" s="332"/>
      <c r="H75" s="332"/>
      <c r="I75" s="332"/>
      <c r="J75" s="796"/>
      <c r="K75" s="290"/>
      <c r="L75" s="290"/>
      <c r="M75" s="298"/>
    </row>
    <row r="76" spans="1:19" s="288" customFormat="1" ht="7.15" customHeight="1" x14ac:dyDescent="0.2">
      <c r="B76" s="362"/>
      <c r="D76" s="302"/>
      <c r="E76" s="303"/>
      <c r="F76" s="303"/>
      <c r="G76" s="304"/>
      <c r="H76" s="304"/>
      <c r="I76" s="303"/>
      <c r="J76" s="303"/>
      <c r="K76" s="303"/>
      <c r="L76" s="303"/>
      <c r="M76" s="318"/>
    </row>
    <row r="77" spans="1:19" s="288" customFormat="1" ht="6" customHeight="1" x14ac:dyDescent="0.2">
      <c r="B77" s="311"/>
      <c r="E77" s="311"/>
      <c r="F77" s="311"/>
      <c r="G77" s="439"/>
      <c r="H77" s="605"/>
      <c r="I77" s="311"/>
      <c r="J77" s="311"/>
      <c r="K77" s="311"/>
      <c r="L77" s="311"/>
    </row>
    <row r="78" spans="1:19" s="301" customFormat="1" ht="21" customHeight="1" x14ac:dyDescent="0.2">
      <c r="B78" s="360"/>
      <c r="D78" s="241" t="s">
        <v>951</v>
      </c>
      <c r="F78" s="241"/>
      <c r="I78" s="361"/>
      <c r="J78" s="361"/>
      <c r="K78" s="361"/>
      <c r="L78" s="361"/>
      <c r="M78" s="361"/>
      <c r="N78" s="361"/>
      <c r="O78" s="361"/>
    </row>
    <row r="79" spans="1:19" s="288" customFormat="1" ht="6.75" customHeight="1" x14ac:dyDescent="0.2">
      <c r="A79" s="306"/>
      <c r="B79" s="362"/>
      <c r="C79" s="362"/>
      <c r="D79" s="362"/>
      <c r="E79" s="362"/>
      <c r="F79" s="363"/>
      <c r="G79" s="362"/>
      <c r="H79" s="362"/>
      <c r="I79" s="364"/>
      <c r="J79" s="365"/>
      <c r="K79" s="364"/>
      <c r="L79" s="364"/>
      <c r="M79" s="364"/>
      <c r="O79" s="361"/>
    </row>
    <row r="80" spans="1:19" s="288" customFormat="1" ht="6" customHeight="1" x14ac:dyDescent="0.2">
      <c r="A80" s="306"/>
      <c r="B80" s="362"/>
      <c r="C80" s="306"/>
      <c r="D80" s="306"/>
      <c r="E80" s="306"/>
      <c r="F80" s="332"/>
      <c r="G80" s="306"/>
      <c r="H80" s="306"/>
      <c r="I80" s="311"/>
      <c r="J80" s="439"/>
      <c r="K80" s="311"/>
      <c r="L80" s="311"/>
      <c r="M80" s="311"/>
      <c r="N80" s="311"/>
      <c r="O80" s="1078" t="s">
        <v>2009</v>
      </c>
      <c r="P80" s="1078"/>
      <c r="Q80" s="1078"/>
    </row>
    <row r="81" spans="2:17" s="288" customFormat="1" ht="5.0999999999999996" customHeight="1" x14ac:dyDescent="0.2">
      <c r="B81" s="362"/>
      <c r="C81" s="306"/>
      <c r="D81" s="366"/>
      <c r="E81" s="367"/>
      <c r="F81" s="367"/>
      <c r="G81" s="368"/>
      <c r="H81" s="368"/>
      <c r="I81" s="367"/>
      <c r="J81" s="367"/>
      <c r="K81" s="367"/>
      <c r="L81" s="367"/>
      <c r="M81" s="377"/>
      <c r="O81" s="1078"/>
      <c r="P81" s="1078"/>
      <c r="Q81" s="1078"/>
    </row>
    <row r="82" spans="2:17" s="288" customFormat="1" x14ac:dyDescent="0.2">
      <c r="B82" s="362"/>
      <c r="C82" s="306"/>
      <c r="D82" s="369"/>
      <c r="E82" s="329" t="s">
        <v>946</v>
      </c>
      <c r="F82" s="311"/>
      <c r="G82" s="439"/>
      <c r="H82" s="605"/>
      <c r="I82" s="311"/>
      <c r="J82" s="311"/>
      <c r="K82" s="311"/>
      <c r="L82" s="311"/>
      <c r="M82" s="370"/>
      <c r="O82" s="1078"/>
      <c r="P82" s="1078"/>
      <c r="Q82" s="1078"/>
    </row>
    <row r="83" spans="2:17" s="288" customFormat="1" x14ac:dyDescent="0.2">
      <c r="B83" s="362"/>
      <c r="C83" s="306"/>
      <c r="D83" s="369"/>
      <c r="E83" s="311"/>
      <c r="F83" s="311"/>
      <c r="G83" s="439"/>
      <c r="H83" s="605"/>
      <c r="I83" s="389"/>
      <c r="K83" s="311"/>
      <c r="L83" s="311"/>
      <c r="M83" s="370"/>
      <c r="O83" s="1078"/>
      <c r="P83" s="1078"/>
      <c r="Q83" s="1078"/>
    </row>
    <row r="84" spans="2:17" s="288" customFormat="1" x14ac:dyDescent="0.2">
      <c r="B84" s="362"/>
      <c r="C84" s="306"/>
      <c r="D84" s="369"/>
      <c r="E84" s="311" t="s">
        <v>961</v>
      </c>
      <c r="F84" s="311"/>
      <c r="G84" s="1111"/>
      <c r="H84" s="1111"/>
      <c r="J84" s="311" t="s">
        <v>876</v>
      </c>
      <c r="K84" s="1159"/>
      <c r="L84" s="1159"/>
      <c r="M84" s="370"/>
      <c r="O84" s="1078"/>
      <c r="P84" s="1078"/>
      <c r="Q84" s="1078"/>
    </row>
    <row r="85" spans="2:17" s="288" customFormat="1" x14ac:dyDescent="0.2">
      <c r="B85" s="362"/>
      <c r="C85" s="306"/>
      <c r="D85" s="369"/>
      <c r="E85" s="319" t="s">
        <v>962</v>
      </c>
      <c r="F85" s="311"/>
      <c r="G85" s="311"/>
      <c r="H85" s="311"/>
      <c r="I85" s="736"/>
      <c r="K85" s="311"/>
      <c r="L85" s="311"/>
      <c r="M85" s="370"/>
      <c r="O85" s="1078"/>
      <c r="P85" s="1078"/>
      <c r="Q85" s="1078"/>
    </row>
    <row r="86" spans="2:17" s="288" customFormat="1" x14ac:dyDescent="0.2">
      <c r="B86" s="362"/>
      <c r="C86" s="306"/>
      <c r="D86" s="369"/>
      <c r="F86" s="311"/>
      <c r="G86" s="373"/>
      <c r="H86" s="373"/>
      <c r="I86" s="311"/>
      <c r="J86" s="311"/>
      <c r="K86" s="311"/>
      <c r="L86" s="439"/>
      <c r="M86" s="370"/>
      <c r="O86" s="1078"/>
      <c r="P86" s="1078"/>
      <c r="Q86" s="1078"/>
    </row>
    <row r="87" spans="2:17" s="288" customFormat="1" x14ac:dyDescent="0.2">
      <c r="B87" s="362"/>
      <c r="C87" s="306"/>
      <c r="D87" s="369"/>
      <c r="E87" s="772" t="s">
        <v>1003</v>
      </c>
      <c r="G87" s="311"/>
      <c r="H87" s="320" t="str">
        <f>IF(MULohnberechnung&lt;&gt;"",MULohnberechnung,"")</f>
        <v/>
      </c>
      <c r="I87" s="772" t="s">
        <v>1215</v>
      </c>
      <c r="K87" s="311"/>
      <c r="L87" s="441"/>
      <c r="M87" s="370"/>
      <c r="O87" s="1078"/>
      <c r="P87" s="1078"/>
      <c r="Q87" s="1078"/>
    </row>
    <row r="88" spans="2:17" s="288" customFormat="1" x14ac:dyDescent="0.2">
      <c r="B88" s="362"/>
      <c r="C88" s="306"/>
      <c r="D88" s="369"/>
      <c r="E88" s="311"/>
      <c r="F88" s="311"/>
      <c r="G88" s="439"/>
      <c r="H88" s="605"/>
      <c r="I88" s="389"/>
      <c r="J88" s="311"/>
      <c r="K88" s="311"/>
      <c r="L88" s="311"/>
      <c r="M88" s="370"/>
      <c r="O88" s="1078"/>
      <c r="P88" s="1078"/>
      <c r="Q88" s="1078"/>
    </row>
    <row r="89" spans="2:17" s="288" customFormat="1" x14ac:dyDescent="0.2">
      <c r="B89" s="362"/>
      <c r="C89" s="306"/>
      <c r="D89" s="369"/>
      <c r="E89" s="248" t="s">
        <v>973</v>
      </c>
      <c r="F89" s="248"/>
      <c r="G89" s="1088"/>
      <c r="H89" s="1088"/>
      <c r="I89" s="701" t="s">
        <v>1080</v>
      </c>
      <c r="J89" s="248"/>
      <c r="K89" s="1095" t="str">
        <f>_xlfn.IFNA(VLOOKUP(G89,Stammdaten_DropDown!$B$14:$C$55,2,FALSE),"")</f>
        <v/>
      </c>
      <c r="L89" s="1095"/>
      <c r="M89" s="370"/>
      <c r="O89" s="1078"/>
      <c r="P89" s="1078"/>
      <c r="Q89" s="1078"/>
    </row>
    <row r="90" spans="2:17" s="288" customFormat="1" x14ac:dyDescent="0.2">
      <c r="B90" s="362"/>
      <c r="C90" s="306"/>
      <c r="D90" s="369"/>
      <c r="E90" s="311"/>
      <c r="F90" s="311"/>
      <c r="G90" s="439"/>
      <c r="H90" s="605"/>
      <c r="I90" s="311"/>
      <c r="J90" s="311"/>
      <c r="K90" s="311"/>
      <c r="L90" s="311"/>
      <c r="M90" s="370"/>
      <c r="O90" s="1078"/>
      <c r="P90" s="1078"/>
      <c r="Q90" s="1078"/>
    </row>
    <row r="91" spans="2:17" s="288" customFormat="1" ht="12.95" customHeight="1" x14ac:dyDescent="0.2">
      <c r="B91" s="362"/>
      <c r="C91" s="306"/>
      <c r="D91" s="369"/>
      <c r="E91" s="248" t="s">
        <v>2000</v>
      </c>
      <c r="F91" s="311"/>
      <c r="G91" s="888"/>
      <c r="H91" s="1123"/>
      <c r="I91" s="1123"/>
      <c r="J91" s="1123"/>
      <c r="K91" s="1123"/>
      <c r="L91" s="1123"/>
      <c r="M91" s="370"/>
      <c r="O91" s="1078"/>
      <c r="P91" s="1078"/>
      <c r="Q91" s="1078"/>
    </row>
    <row r="92" spans="2:17" s="288" customFormat="1" x14ac:dyDescent="0.2">
      <c r="B92" s="362"/>
      <c r="C92" s="306"/>
      <c r="D92" s="369"/>
      <c r="E92" s="891" t="s">
        <v>1964</v>
      </c>
      <c r="F92" s="311"/>
      <c r="G92" s="888"/>
      <c r="H92" s="888"/>
      <c r="I92" s="311"/>
      <c r="J92" s="311"/>
      <c r="K92" s="311"/>
      <c r="L92" s="311"/>
      <c r="M92" s="370"/>
      <c r="O92" s="1078"/>
      <c r="P92" s="1078"/>
      <c r="Q92" s="1078"/>
    </row>
    <row r="93" spans="2:17" s="288" customFormat="1" x14ac:dyDescent="0.2">
      <c r="B93" s="362"/>
      <c r="C93" s="306"/>
      <c r="D93" s="369"/>
      <c r="E93" s="1119" t="s">
        <v>952</v>
      </c>
      <c r="F93" s="1119"/>
      <c r="G93" s="1120"/>
      <c r="H93" s="1120"/>
      <c r="I93" s="1120"/>
      <c r="J93" s="1120"/>
      <c r="K93" s="1120"/>
      <c r="L93" s="1120"/>
      <c r="M93" s="370"/>
      <c r="O93" s="1078"/>
      <c r="P93" s="1078"/>
      <c r="Q93" s="1078"/>
    </row>
    <row r="94" spans="2:17" s="288" customFormat="1" ht="8.1" customHeight="1" x14ac:dyDescent="0.2">
      <c r="B94" s="362"/>
      <c r="C94" s="306"/>
      <c r="D94" s="371"/>
      <c r="E94" s="378"/>
      <c r="F94" s="378"/>
      <c r="G94" s="378"/>
      <c r="H94" s="378"/>
      <c r="I94" s="378"/>
      <c r="J94" s="378"/>
      <c r="K94" s="378"/>
      <c r="L94" s="378"/>
      <c r="M94" s="372"/>
      <c r="O94" s="1078"/>
      <c r="P94" s="1078"/>
      <c r="Q94" s="1078"/>
    </row>
    <row r="95" spans="2:17" s="288" customFormat="1" ht="6" customHeight="1" x14ac:dyDescent="0.2">
      <c r="B95" s="362"/>
      <c r="C95" s="306"/>
      <c r="D95" s="306"/>
      <c r="E95" s="311"/>
      <c r="F95" s="311"/>
      <c r="G95" s="439"/>
      <c r="H95" s="605"/>
      <c r="I95" s="311"/>
      <c r="J95" s="311"/>
      <c r="K95" s="311"/>
      <c r="L95" s="311"/>
      <c r="M95" s="311"/>
      <c r="O95" s="1078"/>
      <c r="P95" s="1078"/>
      <c r="Q95" s="1078"/>
    </row>
    <row r="96" spans="2:17" s="288" customFormat="1" ht="5.0999999999999996" customHeight="1" x14ac:dyDescent="0.2">
      <c r="B96" s="362"/>
      <c r="C96" s="306"/>
      <c r="D96" s="366"/>
      <c r="E96" s="308"/>
      <c r="F96" s="308"/>
      <c r="G96" s="309"/>
      <c r="H96" s="309"/>
      <c r="I96" s="308"/>
      <c r="J96" s="308"/>
      <c r="K96" s="308"/>
      <c r="L96" s="308"/>
      <c r="M96" s="310"/>
      <c r="O96" s="1078"/>
      <c r="P96" s="1078"/>
      <c r="Q96" s="1078"/>
    </row>
    <row r="97" spans="2:19" s="288" customFormat="1" x14ac:dyDescent="0.2">
      <c r="B97" s="362"/>
      <c r="C97" s="306"/>
      <c r="D97" s="369"/>
      <c r="E97" s="1115" t="s">
        <v>985</v>
      </c>
      <c r="F97" s="1115"/>
      <c r="G97" s="1115"/>
      <c r="H97" s="1115"/>
      <c r="I97" s="1115"/>
      <c r="J97" s="1115"/>
      <c r="K97" s="1115"/>
      <c r="L97" s="311"/>
      <c r="M97" s="370"/>
      <c r="O97" s="1078"/>
      <c r="P97" s="1078"/>
      <c r="Q97" s="1078"/>
    </row>
    <row r="98" spans="2:19" s="288" customFormat="1" x14ac:dyDescent="0.2">
      <c r="B98" s="362"/>
      <c r="C98" s="306"/>
      <c r="D98" s="369"/>
      <c r="E98" s="311"/>
      <c r="F98" s="311"/>
      <c r="G98" s="439"/>
      <c r="H98" s="605"/>
      <c r="I98" s="311"/>
      <c r="J98" s="311"/>
      <c r="K98" s="311"/>
      <c r="L98" s="311"/>
      <c r="M98" s="370"/>
      <c r="O98" s="1078"/>
      <c r="P98" s="1078"/>
      <c r="Q98" s="1078"/>
      <c r="S98" s="288" t="s">
        <v>980</v>
      </c>
    </row>
    <row r="99" spans="2:19" s="288" customFormat="1" x14ac:dyDescent="0.2">
      <c r="B99" s="362"/>
      <c r="C99" s="306"/>
      <c r="D99" s="369"/>
      <c r="E99" s="1114"/>
      <c r="F99" s="1114"/>
      <c r="G99" s="1114"/>
      <c r="H99" s="1114"/>
      <c r="I99" s="1114"/>
      <c r="J99" s="1114"/>
      <c r="K99" s="1114"/>
      <c r="L99" s="1114"/>
      <c r="M99" s="370"/>
      <c r="O99" s="1078"/>
      <c r="P99" s="1078"/>
      <c r="Q99" s="1078"/>
      <c r="S99" s="375"/>
    </row>
    <row r="100" spans="2:19" s="288" customFormat="1" x14ac:dyDescent="0.2">
      <c r="B100" s="362"/>
      <c r="C100" s="306"/>
      <c r="D100" s="369"/>
      <c r="E100" s="1114"/>
      <c r="F100" s="1114"/>
      <c r="G100" s="1114"/>
      <c r="H100" s="1114"/>
      <c r="I100" s="1114"/>
      <c r="J100" s="1114"/>
      <c r="K100" s="1114"/>
      <c r="L100" s="1114"/>
      <c r="M100" s="370"/>
      <c r="O100" s="1078"/>
      <c r="P100" s="1078"/>
      <c r="Q100" s="1078"/>
      <c r="S100" s="375"/>
    </row>
    <row r="101" spans="2:19" s="288" customFormat="1" x14ac:dyDescent="0.2">
      <c r="B101" s="362"/>
      <c r="C101" s="306"/>
      <c r="D101" s="369"/>
      <c r="E101" s="1114"/>
      <c r="F101" s="1114"/>
      <c r="G101" s="1114"/>
      <c r="H101" s="1114"/>
      <c r="I101" s="1114"/>
      <c r="J101" s="1114"/>
      <c r="K101" s="1114"/>
      <c r="L101" s="1114"/>
      <c r="M101" s="370"/>
      <c r="O101" s="1078"/>
      <c r="P101" s="1078"/>
      <c r="Q101" s="1078"/>
      <c r="S101" s="375">
        <f>E101</f>
        <v>0</v>
      </c>
    </row>
    <row r="102" spans="2:19" s="288" customFormat="1" ht="8.1" customHeight="1" x14ac:dyDescent="0.2">
      <c r="B102" s="362"/>
      <c r="C102" s="306"/>
      <c r="D102" s="371"/>
      <c r="E102" s="303"/>
      <c r="F102" s="303"/>
      <c r="G102" s="304"/>
      <c r="H102" s="304"/>
      <c r="I102" s="303"/>
      <c r="J102" s="303"/>
      <c r="K102" s="303"/>
      <c r="L102" s="303"/>
      <c r="M102" s="372"/>
      <c r="O102" s="1078"/>
      <c r="P102" s="1078"/>
      <c r="Q102" s="1078"/>
    </row>
    <row r="103" spans="2:19" s="288" customFormat="1" ht="6" customHeight="1" x14ac:dyDescent="0.2">
      <c r="B103" s="362"/>
      <c r="C103" s="306"/>
      <c r="D103" s="306"/>
      <c r="E103" s="306"/>
      <c r="F103" s="306"/>
      <c r="G103" s="307"/>
      <c r="H103" s="307"/>
      <c r="I103" s="306"/>
      <c r="J103" s="306"/>
      <c r="K103" s="306"/>
      <c r="L103" s="306"/>
      <c r="M103" s="306"/>
      <c r="O103" s="1078"/>
      <c r="P103" s="1078"/>
      <c r="Q103" s="1078"/>
    </row>
    <row r="104" spans="2:19" s="288" customFormat="1" ht="5.0999999999999996" customHeight="1" x14ac:dyDescent="0.2">
      <c r="B104" s="362"/>
      <c r="C104" s="306"/>
      <c r="D104" s="366"/>
      <c r="E104" s="308"/>
      <c r="F104" s="308"/>
      <c r="G104" s="309"/>
      <c r="H104" s="309"/>
      <c r="I104" s="308"/>
      <c r="J104" s="308"/>
      <c r="K104" s="308"/>
      <c r="L104" s="308"/>
      <c r="M104" s="310"/>
    </row>
    <row r="105" spans="2:19" s="288" customFormat="1" x14ac:dyDescent="0.2">
      <c r="B105" s="362"/>
      <c r="C105" s="306"/>
      <c r="D105" s="369"/>
      <c r="E105" s="1115" t="s">
        <v>768</v>
      </c>
      <c r="F105" s="1115"/>
      <c r="G105" s="1115"/>
      <c r="H105" s="606"/>
      <c r="I105" s="311"/>
      <c r="J105" s="311"/>
      <c r="K105" s="311"/>
      <c r="L105" s="311"/>
      <c r="M105" s="370"/>
    </row>
    <row r="106" spans="2:19" s="288" customFormat="1" x14ac:dyDescent="0.2">
      <c r="B106" s="362"/>
      <c r="C106" s="306"/>
      <c r="D106" s="369"/>
      <c r="E106" s="311"/>
      <c r="F106" s="311"/>
      <c r="G106" s="439"/>
      <c r="H106" s="605"/>
      <c r="I106" s="311"/>
      <c r="J106" s="311"/>
      <c r="K106" s="311"/>
      <c r="L106" s="311"/>
      <c r="M106" s="370"/>
    </row>
    <row r="107" spans="2:19" s="288" customFormat="1" x14ac:dyDescent="0.2">
      <c r="B107" s="362"/>
      <c r="C107" s="306"/>
      <c r="D107" s="369"/>
      <c r="E107" s="1114"/>
      <c r="F107" s="1114"/>
      <c r="G107" s="1114"/>
      <c r="H107" s="1114"/>
      <c r="I107" s="1114"/>
      <c r="J107" s="1114"/>
      <c r="K107" s="1114"/>
      <c r="L107" s="1114"/>
      <c r="M107" s="370"/>
      <c r="S107" s="375">
        <f>E107</f>
        <v>0</v>
      </c>
    </row>
    <row r="108" spans="2:19" s="288" customFormat="1" x14ac:dyDescent="0.2">
      <c r="B108" s="362"/>
      <c r="C108" s="306"/>
      <c r="D108" s="369"/>
      <c r="E108" s="1114"/>
      <c r="F108" s="1114"/>
      <c r="G108" s="1114"/>
      <c r="H108" s="1114"/>
      <c r="I108" s="1114"/>
      <c r="J108" s="1114"/>
      <c r="K108" s="1114"/>
      <c r="L108" s="1114"/>
      <c r="M108" s="370"/>
      <c r="S108" s="375">
        <f>E108</f>
        <v>0</v>
      </c>
    </row>
    <row r="109" spans="2:19" s="288" customFormat="1" x14ac:dyDescent="0.2">
      <c r="B109" s="362"/>
      <c r="C109" s="306"/>
      <c r="D109" s="369"/>
      <c r="E109" s="1114"/>
      <c r="F109" s="1114"/>
      <c r="G109" s="1114"/>
      <c r="H109" s="1114"/>
      <c r="I109" s="1114"/>
      <c r="J109" s="1114"/>
      <c r="K109" s="1114"/>
      <c r="L109" s="1114"/>
      <c r="M109" s="370"/>
      <c r="S109" s="375">
        <f>E109</f>
        <v>0</v>
      </c>
    </row>
    <row r="110" spans="2:19" s="288" customFormat="1" ht="8.1" customHeight="1" x14ac:dyDescent="0.2">
      <c r="B110" s="362"/>
      <c r="C110" s="306"/>
      <c r="D110" s="371"/>
      <c r="E110" s="303"/>
      <c r="F110" s="303"/>
      <c r="G110" s="304"/>
      <c r="H110" s="304"/>
      <c r="I110" s="303"/>
      <c r="J110" s="303"/>
      <c r="K110" s="303"/>
      <c r="L110" s="303"/>
      <c r="M110" s="372"/>
    </row>
    <row r="111" spans="2:19" s="288" customFormat="1" ht="6" customHeight="1" x14ac:dyDescent="0.2">
      <c r="B111" s="362"/>
      <c r="C111" s="306"/>
      <c r="D111" s="306"/>
      <c r="E111" s="311"/>
      <c r="F111" s="311"/>
      <c r="G111" s="439"/>
      <c r="H111" s="605"/>
      <c r="I111" s="311"/>
      <c r="J111" s="311"/>
      <c r="K111" s="311"/>
      <c r="L111" s="311"/>
      <c r="M111" s="306"/>
    </row>
    <row r="112" spans="2:19" s="288" customFormat="1" ht="5.0999999999999996" customHeight="1" x14ac:dyDescent="0.2">
      <c r="B112" s="362"/>
      <c r="C112" s="306"/>
      <c r="D112" s="203"/>
      <c r="E112" s="67"/>
      <c r="F112" s="67"/>
      <c r="G112" s="68"/>
      <c r="H112" s="68"/>
      <c r="I112" s="67"/>
      <c r="J112" s="67"/>
      <c r="K112" s="67"/>
      <c r="L112" s="67"/>
      <c r="M112" s="204"/>
    </row>
    <row r="113" spans="2:17" s="288" customFormat="1" x14ac:dyDescent="0.2">
      <c r="B113" s="362"/>
      <c r="C113" s="306"/>
      <c r="D113" s="205"/>
      <c r="E113" s="211" t="s">
        <v>933</v>
      </c>
      <c r="F113" s="211"/>
      <c r="G113" s="326"/>
      <c r="H113" s="326"/>
      <c r="I113" s="325"/>
      <c r="J113" s="325"/>
      <c r="K113" s="325"/>
      <c r="L113" s="325"/>
      <c r="M113" s="269"/>
      <c r="O113" s="1124" t="str">
        <f>Stammdaten_DropDown!A113</f>
        <v>Lohnentwicklung</v>
      </c>
      <c r="P113" s="1124"/>
      <c r="Q113" s="1124"/>
    </row>
    <row r="114" spans="2:17" s="288" customFormat="1" ht="6" customHeight="1" x14ac:dyDescent="0.2">
      <c r="B114" s="362"/>
      <c r="C114" s="306"/>
      <c r="D114" s="205"/>
      <c r="E114" s="248"/>
      <c r="F114" s="248"/>
      <c r="G114" s="562"/>
      <c r="H114" s="604"/>
      <c r="I114" s="248"/>
      <c r="J114" s="248"/>
      <c r="K114" s="248"/>
      <c r="L114" s="248"/>
      <c r="M114" s="269"/>
      <c r="O114" s="909"/>
    </row>
    <row r="115" spans="2:17" s="288" customFormat="1" x14ac:dyDescent="0.2">
      <c r="B115" s="362"/>
      <c r="C115" s="306"/>
      <c r="D115" s="205"/>
      <c r="E115" s="248" t="s">
        <v>945</v>
      </c>
      <c r="F115" s="248"/>
      <c r="G115" s="562"/>
      <c r="H115" s="604"/>
      <c r="I115" s="248"/>
      <c r="J115" s="248"/>
      <c r="K115" s="1083"/>
      <c r="L115" s="1083"/>
      <c r="M115" s="269"/>
      <c r="O115" s="1122" t="str">
        <f>Stammdaten_DropDown!A114</f>
        <v>Bitte angeben, ob eine individuelle Lohnentwicklung gewährt werden soll.</v>
      </c>
      <c r="P115" s="1122"/>
      <c r="Q115" s="1122"/>
    </row>
    <row r="116" spans="2:17" s="288" customFormat="1" x14ac:dyDescent="0.2">
      <c r="B116" s="362"/>
      <c r="C116" s="306"/>
      <c r="D116" s="205"/>
      <c r="E116" s="248"/>
      <c r="F116" s="248"/>
      <c r="G116" s="562"/>
      <c r="H116" s="604"/>
      <c r="I116" s="248"/>
      <c r="J116" s="248"/>
      <c r="K116" s="248"/>
      <c r="L116" s="248"/>
      <c r="M116" s="269"/>
      <c r="O116" s="1122" t="str">
        <f>Stammdaten_DropDown!A115</f>
        <v>Bei einem Neueintritt nach dem 01.07.2024 ist keine individuelle Lohnentwicklung vorgesehen.</v>
      </c>
      <c r="P116" s="1122"/>
      <c r="Q116" s="1122"/>
    </row>
    <row r="117" spans="2:17" s="288" customFormat="1" x14ac:dyDescent="0.2">
      <c r="B117" s="362"/>
      <c r="C117" s="306"/>
      <c r="D117" s="205"/>
      <c r="E117" s="278" t="s">
        <v>765</v>
      </c>
      <c r="F117" s="247"/>
      <c r="G117" s="1160" t="str">
        <f>IF(ISBLANK($K$115),IF(BandLohnBer="",IF(BandLohnRechner="","",BandLohnRechner),IF(BandLohnRechner="",BandLohnBer,"FEHLER")),"-")</f>
        <v/>
      </c>
      <c r="H117" s="1160"/>
      <c r="I117" s="716" t="s">
        <v>809</v>
      </c>
      <c r="K117" s="247"/>
      <c r="L117" s="795" t="str">
        <f>IF(ISBLANK($K$115),IF(EWLohnBer="",IF(EWLohnRechner="","",EWLohnRechner),IF(EWLohnRechner="",EWLohnBer,"FEHLER")),"-")</f>
        <v/>
      </c>
      <c r="M117" s="269"/>
      <c r="O117" s="1122" t="str">
        <f>Stammdaten_DropDown!A116</f>
        <v>In dem Fall ist das Prädikat auf dem Wert «NA» (keine Beurteilung) zu belassen.</v>
      </c>
      <c r="P117" s="1122"/>
      <c r="Q117" s="1122"/>
    </row>
    <row r="118" spans="2:17" s="288" customFormat="1" x14ac:dyDescent="0.2">
      <c r="B118" s="362"/>
      <c r="C118" s="306"/>
      <c r="D118" s="205"/>
      <c r="E118" s="448" t="b">
        <f>AND(BandLohnBer&lt;&gt;"",BandLohnRechner&lt;&gt;"")</f>
        <v>0</v>
      </c>
      <c r="F118" s="248"/>
      <c r="G118" s="563" t="str">
        <f>IF(E118,"2 Lohnbänder gefunden","")</f>
        <v/>
      </c>
      <c r="H118" s="602"/>
      <c r="I118" s="704"/>
      <c r="J118" s="448" t="b">
        <f>AND(EWLohnBer&lt;&gt;"",EWLohnRechner&lt;&gt;"")</f>
        <v>0</v>
      </c>
      <c r="K118" s="1092" t="str">
        <f>IF(J118,"2 Erfahrungswerte gefunden","")</f>
        <v/>
      </c>
      <c r="L118" s="1092"/>
      <c r="M118" s="269"/>
      <c r="O118" s="909"/>
    </row>
    <row r="119" spans="2:17" s="288" customFormat="1" x14ac:dyDescent="0.2">
      <c r="B119" s="362"/>
      <c r="C119" s="306"/>
      <c r="D119" s="205"/>
      <c r="E119" s="767"/>
      <c r="F119" s="247"/>
      <c r="G119" s="247"/>
      <c r="H119" s="247"/>
      <c r="I119" s="716" t="s">
        <v>1113</v>
      </c>
      <c r="K119" s="1080" t="str">
        <f>IF(ISBLANK($K$115),IF(LohnLohnBer="",IF(LohnLohnRechner="","",LohnLohnRechner),IF(LohnLohnRechner="",LohnLohnBer,"FEHLER")),"-")</f>
        <v/>
      </c>
      <c r="L119" s="1080"/>
      <c r="M119" s="62"/>
      <c r="O119" s="1121" t="str">
        <f>Stammdaten_DropDown!A117</f>
        <v xml:space="preserve">Falls eine individuelle  Lohnentwicklung gewährt werden soll, ist das entsprechende Prädikat aus der relevanten MAG-Phase im Dropdown-Menu auszuwählen. </v>
      </c>
      <c r="P119" s="1121"/>
      <c r="Q119" s="1121"/>
    </row>
    <row r="120" spans="2:17" s="288" customFormat="1" x14ac:dyDescent="0.2">
      <c r="B120" s="362"/>
      <c r="C120" s="306"/>
      <c r="D120" s="205"/>
      <c r="E120" s="248"/>
      <c r="F120" s="248"/>
      <c r="G120" s="248"/>
      <c r="H120" s="248"/>
      <c r="I120" s="248"/>
      <c r="J120" s="448" t="b">
        <f>AND(LohnLohnBer&lt;&gt;"",LohnLohnRechner&lt;&gt;"")</f>
        <v>0</v>
      </c>
      <c r="K120" s="1092" t="str">
        <f>IF(J120,"2 Löhne gefunden","")</f>
        <v/>
      </c>
      <c r="L120" s="1092"/>
      <c r="M120" s="269"/>
      <c r="O120" s="1121"/>
      <c r="P120" s="1121"/>
      <c r="Q120" s="1121"/>
    </row>
    <row r="121" spans="2:17" s="288" customFormat="1" x14ac:dyDescent="0.2">
      <c r="B121" s="362"/>
      <c r="C121" s="306"/>
      <c r="D121" s="205"/>
      <c r="E121" s="248" t="str">
        <f>CONCATENATE("Lohnentwicklung per 01.01.",LohntabelleM!I1+1," gewähren?")</f>
        <v>Lohnentwicklung per 01.01.2025 gewähren?</v>
      </c>
      <c r="F121" s="248"/>
      <c r="G121" s="248"/>
      <c r="H121" s="913"/>
      <c r="I121" s="248"/>
      <c r="J121" s="448"/>
      <c r="K121" s="905" t="s">
        <v>1966</v>
      </c>
      <c r="L121" s="914" t="str">
        <f>M121</f>
        <v/>
      </c>
      <c r="M121" s="901" t="str">
        <f>IF(H121="Ja","A",IF(H121="Nein","NA",""))</f>
        <v/>
      </c>
      <c r="O121" s="1122" t="str">
        <f>Stammdaten_DropDown!A118</f>
        <v>Ist noch keine Beurteilung hinterlegt, so ist das Prädikat auf «A» zu belassen.</v>
      </c>
      <c r="P121" s="1122"/>
      <c r="Q121" s="1122"/>
    </row>
    <row r="122" spans="2:17" s="288" customFormat="1" ht="8.1" customHeight="1" x14ac:dyDescent="0.2">
      <c r="B122" s="362"/>
      <c r="C122" s="306"/>
      <c r="D122" s="207"/>
      <c r="E122" s="64"/>
      <c r="F122" s="64"/>
      <c r="G122" s="65"/>
      <c r="H122" s="65"/>
      <c r="I122" s="64"/>
      <c r="J122" s="64"/>
      <c r="K122" s="64"/>
      <c r="L122" s="64"/>
      <c r="M122" s="282"/>
    </row>
    <row r="123" spans="2:17" s="288" customFormat="1" ht="10.9" customHeight="1" x14ac:dyDescent="0.2">
      <c r="B123" s="362"/>
      <c r="C123" s="306"/>
      <c r="M123" s="306"/>
    </row>
    <row r="124" spans="2:17" s="288" customFormat="1" ht="91.5" customHeight="1" x14ac:dyDescent="0.2">
      <c r="B124" s="362"/>
      <c r="C124" s="306"/>
      <c r="D124" s="1063" t="s">
        <v>966</v>
      </c>
      <c r="E124" s="1063"/>
      <c r="F124" s="1063"/>
      <c r="G124" s="1063"/>
      <c r="H124" s="1063"/>
      <c r="I124" s="1063"/>
      <c r="J124" s="1063"/>
      <c r="K124" s="1063"/>
      <c r="L124" s="1063"/>
      <c r="M124" s="306"/>
    </row>
    <row r="125" spans="2:17" s="288" customFormat="1" x14ac:dyDescent="0.2">
      <c r="C125" s="306"/>
      <c r="M125" s="306"/>
    </row>
    <row r="126" spans="2:17" s="288" customFormat="1" x14ac:dyDescent="0.2">
      <c r="C126" s="306"/>
      <c r="M126" s="306"/>
    </row>
    <row r="127" spans="2:17" s="288" customFormat="1" x14ac:dyDescent="0.2"/>
    <row r="128" spans="2:17" s="288" customFormat="1" x14ac:dyDescent="0.2"/>
    <row r="129" s="288" customFormat="1" x14ac:dyDescent="0.2"/>
    <row r="130" s="288" customFormat="1" x14ac:dyDescent="0.2"/>
    <row r="131" s="288" customFormat="1" x14ac:dyDescent="0.2"/>
    <row r="132" s="288" customFormat="1" x14ac:dyDescent="0.2"/>
    <row r="133" s="288" customFormat="1" x14ac:dyDescent="0.2"/>
    <row r="134" s="288" customFormat="1" x14ac:dyDescent="0.2"/>
    <row r="135" s="288" customFormat="1" x14ac:dyDescent="0.2"/>
  </sheetData>
  <sheetProtection algorithmName="SHA-512" hashValue="xgL/KbDGpPQH8ZQKLMJVsFC3Np6A+bZ8SK6BpDchgTlxG543mhrM9HkGuK956wP3yohK8maP3nxWz5rI9ToGCQ==" saltValue="6V6VsOiDTHE5J4Jbwsapng==" spinCount="100000" sheet="1" objects="1" scenarios="1"/>
  <mergeCells count="49">
    <mergeCell ref="O113:Q113"/>
    <mergeCell ref="D124:L124"/>
    <mergeCell ref="E101:L101"/>
    <mergeCell ref="E105:G105"/>
    <mergeCell ref="E107:L107"/>
    <mergeCell ref="E108:L108"/>
    <mergeCell ref="K115:L115"/>
    <mergeCell ref="E109:L109"/>
    <mergeCell ref="K118:L118"/>
    <mergeCell ref="K120:L120"/>
    <mergeCell ref="G117:H117"/>
    <mergeCell ref="O115:Q115"/>
    <mergeCell ref="O116:Q116"/>
    <mergeCell ref="O117:Q117"/>
    <mergeCell ref="O119:Q120"/>
    <mergeCell ref="O121:Q121"/>
    <mergeCell ref="K62:L62"/>
    <mergeCell ref="K28:L28"/>
    <mergeCell ref="O24:P25"/>
    <mergeCell ref="H91:L91"/>
    <mergeCell ref="O80:Q103"/>
    <mergeCell ref="K84:L84"/>
    <mergeCell ref="K119:L119"/>
    <mergeCell ref="G64:L64"/>
    <mergeCell ref="E70:L70"/>
    <mergeCell ref="G84:H84"/>
    <mergeCell ref="G89:H89"/>
    <mergeCell ref="E100:L100"/>
    <mergeCell ref="E71:L71"/>
    <mergeCell ref="K89:L89"/>
    <mergeCell ref="E93:F93"/>
    <mergeCell ref="G93:L93"/>
    <mergeCell ref="E97:K97"/>
    <mergeCell ref="E99:L99"/>
    <mergeCell ref="O14:P15"/>
    <mergeCell ref="G54:H54"/>
    <mergeCell ref="F10:L10"/>
    <mergeCell ref="G12:H12"/>
    <mergeCell ref="G14:H14"/>
    <mergeCell ref="G16:H16"/>
    <mergeCell ref="E16:F16"/>
    <mergeCell ref="J14:K14"/>
    <mergeCell ref="G44:H44"/>
    <mergeCell ref="G32:H32"/>
    <mergeCell ref="K30:L30"/>
    <mergeCell ref="G50:H50"/>
    <mergeCell ref="J24:L26"/>
    <mergeCell ref="G27:J27"/>
    <mergeCell ref="D50:F50"/>
  </mergeCells>
  <conditionalFormatting sqref="G117">
    <cfRule type="expression" dxfId="126" priority="7">
      <formula>E118</formula>
    </cfRule>
  </conditionalFormatting>
  <conditionalFormatting sqref="L117">
    <cfRule type="expression" dxfId="125" priority="6">
      <formula>J118</formula>
    </cfRule>
  </conditionalFormatting>
  <conditionalFormatting sqref="K119:L119">
    <cfRule type="expression" dxfId="124" priority="5">
      <formula>J120</formula>
    </cfRule>
  </conditionalFormatting>
  <conditionalFormatting sqref="J24">
    <cfRule type="expression" dxfId="123" priority="4">
      <formula>AND($F$28&lt;&gt;"",$F$30&lt;&gt;"")</formula>
    </cfRule>
  </conditionalFormatting>
  <conditionalFormatting sqref="K121">
    <cfRule type="expression" dxfId="122" priority="3">
      <formula>#REF!</formula>
    </cfRule>
  </conditionalFormatting>
  <conditionalFormatting sqref="J121:L121 O117:Q121">
    <cfRule type="expression" dxfId="121" priority="2">
      <formula>$H$121=""</formula>
    </cfRule>
  </conditionalFormatting>
  <conditionalFormatting sqref="E93:L121 O113:Q123">
    <cfRule type="expression" dxfId="120" priority="1">
      <formula>$H$91=""</formula>
    </cfRule>
  </conditionalFormatting>
  <dataValidations count="4">
    <dataValidation allowBlank="1" showInputMessage="1" sqref="K89"/>
    <dataValidation type="date" operator="greaterThan" allowBlank="1" showInputMessage="1" showErrorMessage="1" errorTitle="Fehler" error="Geben Sie ein gültiges Datum dd.mm.yyyy ein!" sqref="G60:H60 H85 G86:H86 G84:G85 M84">
      <formula1>1</formula1>
    </dataValidation>
    <dataValidation operator="greaterThan" allowBlank="1" showInputMessage="1" showErrorMessage="1" errorTitle="Fehler" error="Pensum als Ganzzahl angeben" sqref="K119 K121"/>
    <dataValidation type="decimal" operator="greaterThan" allowBlank="1" showInputMessage="1" showErrorMessage="1" errorTitle="Fehler" error="Pensum als Ganzzahl angeben" sqref="G44 L42 L40 G32 K30">
      <formula1>0</formula1>
    </dataValidation>
  </dataValidations>
  <hyperlinks>
    <hyperlink ref="O24" location="Pensenberechnung!A1" display="Pensenberechnung"/>
    <hyperlink ref="O14:P15" location="_A_Grunddaten" display="Zurück zu Grunddaten"/>
  </hyperlinks>
  <pageMargins left="0.70866141732283472" right="0.70866141732283472" top="0.78740157480314965" bottom="0.78740157480314965" header="0.31496062992125984" footer="0.31496062992125984"/>
  <pageSetup paperSize="9" scale="93" fitToHeight="0" orientation="portrait" r:id="rId1"/>
  <headerFooter>
    <oddFooter>Seite &amp;P von &amp;N</oddFooter>
  </headerFooter>
  <rowBreaks count="1" manualBreakCount="1">
    <brk id="66" max="12" man="1"/>
  </rowBreaks>
  <ignoredErrors>
    <ignoredError sqref="L121"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402433" r:id="rId4" name="Check Box 1">
              <controlPr defaultSize="0" autoFill="0" autoLine="0" autoPict="0">
                <anchor moveWithCells="1">
                  <from>
                    <xdr:col>3</xdr:col>
                    <xdr:colOff>47625</xdr:colOff>
                    <xdr:row>60</xdr:row>
                    <xdr:rowOff>104775</xdr:rowOff>
                  </from>
                  <to>
                    <xdr:col>7</xdr:col>
                    <xdr:colOff>219075</xdr:colOff>
                    <xdr:row>62</xdr:row>
                    <xdr:rowOff>19050</xdr:rowOff>
                  </to>
                </anchor>
              </controlPr>
            </control>
          </mc:Choice>
        </mc:AlternateContent>
        <mc:AlternateContent xmlns:mc="http://schemas.openxmlformats.org/markup-compatibility/2006">
          <mc:Choice Requires="x14">
            <control shapeId="402436" r:id="rId5" name="Check Box 4">
              <controlPr defaultSize="0" autoFill="0" autoLine="0" autoPict="0">
                <anchor moveWithCells="1">
                  <from>
                    <xdr:col>3</xdr:col>
                    <xdr:colOff>19050</xdr:colOff>
                    <xdr:row>55</xdr:row>
                    <xdr:rowOff>66675</xdr:rowOff>
                  </from>
                  <to>
                    <xdr:col>7</xdr:col>
                    <xdr:colOff>466725</xdr:colOff>
                    <xdr:row>58</xdr:row>
                    <xdr:rowOff>66675</xdr:rowOff>
                  </to>
                </anchor>
              </controlPr>
            </control>
          </mc:Choice>
        </mc:AlternateContent>
        <mc:AlternateContent xmlns:mc="http://schemas.openxmlformats.org/markup-compatibility/2006">
          <mc:Choice Requires="x14">
            <control shapeId="402437" r:id="rId6" name="Check Box 5">
              <controlPr defaultSize="0" autoFill="0" autoLine="0" autoPict="0">
                <anchor moveWithCells="1">
                  <from>
                    <xdr:col>3</xdr:col>
                    <xdr:colOff>19050</xdr:colOff>
                    <xdr:row>66</xdr:row>
                    <xdr:rowOff>66675</xdr:rowOff>
                  </from>
                  <to>
                    <xdr:col>9</xdr:col>
                    <xdr:colOff>752475</xdr:colOff>
                    <xdr:row>68</xdr:row>
                    <xdr:rowOff>47625</xdr:rowOff>
                  </to>
                </anchor>
              </controlPr>
            </control>
          </mc:Choice>
        </mc:AlternateContent>
        <mc:AlternateContent xmlns:mc="http://schemas.openxmlformats.org/markup-compatibility/2006">
          <mc:Choice Requires="x14">
            <control shapeId="402438" r:id="rId7" name="Check Box 6">
              <controlPr defaultSize="0" autoFill="0" autoLine="0" autoPict="0">
                <anchor moveWithCells="1">
                  <from>
                    <xdr:col>3</xdr:col>
                    <xdr:colOff>19050</xdr:colOff>
                    <xdr:row>46</xdr:row>
                    <xdr:rowOff>19050</xdr:rowOff>
                  </from>
                  <to>
                    <xdr:col>9</xdr:col>
                    <xdr:colOff>866775</xdr:colOff>
                    <xdr:row>48</xdr:row>
                    <xdr:rowOff>47625</xdr:rowOff>
                  </to>
                </anchor>
              </controlPr>
            </control>
          </mc:Choice>
        </mc:AlternateContent>
        <mc:AlternateContent xmlns:mc="http://schemas.openxmlformats.org/markup-compatibility/2006">
          <mc:Choice Requires="x14">
            <control shapeId="402440" r:id="rId8" name="Check Box 8">
              <controlPr defaultSize="0" autoFill="0" autoLine="0" autoPict="0">
                <anchor moveWithCells="1">
                  <from>
                    <xdr:col>9</xdr:col>
                    <xdr:colOff>952500</xdr:colOff>
                    <xdr:row>50</xdr:row>
                    <xdr:rowOff>142875</xdr:rowOff>
                  </from>
                  <to>
                    <xdr:col>11</xdr:col>
                    <xdr:colOff>666750</xdr:colOff>
                    <xdr:row>52</xdr:row>
                    <xdr:rowOff>19050</xdr:rowOff>
                  </to>
                </anchor>
              </controlPr>
            </control>
          </mc:Choice>
        </mc:AlternateContent>
        <mc:AlternateContent xmlns:mc="http://schemas.openxmlformats.org/markup-compatibility/2006">
          <mc:Choice Requires="x14">
            <control shapeId="402441" r:id="rId9" name="Check Box 9">
              <controlPr defaultSize="0" autoFill="0" autoLine="0" autoPict="0">
                <anchor moveWithCells="1">
                  <from>
                    <xdr:col>4</xdr:col>
                    <xdr:colOff>628650</xdr:colOff>
                    <xdr:row>50</xdr:row>
                    <xdr:rowOff>142875</xdr:rowOff>
                  </from>
                  <to>
                    <xdr:col>7</xdr:col>
                    <xdr:colOff>628650</xdr:colOff>
                    <xdr:row>52</xdr:row>
                    <xdr:rowOff>19050</xdr:rowOff>
                  </to>
                </anchor>
              </controlPr>
            </control>
          </mc:Choice>
        </mc:AlternateContent>
        <mc:AlternateContent xmlns:mc="http://schemas.openxmlformats.org/markup-compatibility/2006">
          <mc:Choice Requires="x14">
            <control shapeId="402445" r:id="rId10" name="Check Box 13">
              <controlPr defaultSize="0" autoFill="0" autoLine="0" autoPict="0">
                <anchor moveWithCells="1">
                  <from>
                    <xdr:col>3</xdr:col>
                    <xdr:colOff>47625</xdr:colOff>
                    <xdr:row>62</xdr:row>
                    <xdr:rowOff>114300</xdr:rowOff>
                  </from>
                  <to>
                    <xdr:col>5</xdr:col>
                    <xdr:colOff>457200</xdr:colOff>
                    <xdr:row>64</xdr:row>
                    <xdr:rowOff>57150</xdr:rowOff>
                  </to>
                </anchor>
              </controlPr>
            </control>
          </mc:Choice>
        </mc:AlternateContent>
        <mc:AlternateContent xmlns:mc="http://schemas.openxmlformats.org/markup-compatibility/2006">
          <mc:Choice Requires="x14">
            <control shapeId="402435" r:id="rId11" name="Check Box 3">
              <controlPr defaultSize="0" autoFill="0" autoLine="0" autoPict="0">
                <anchor moveWithCells="1">
                  <from>
                    <xdr:col>9</xdr:col>
                    <xdr:colOff>895350</xdr:colOff>
                    <xdr:row>30</xdr:row>
                    <xdr:rowOff>152400</xdr:rowOff>
                  </from>
                  <to>
                    <xdr:col>11</xdr:col>
                    <xdr:colOff>514350</xdr:colOff>
                    <xdr:row>32</xdr:row>
                    <xdr:rowOff>19050</xdr:rowOff>
                  </to>
                </anchor>
              </controlPr>
            </control>
          </mc:Choice>
        </mc:AlternateContent>
        <mc:AlternateContent xmlns:mc="http://schemas.openxmlformats.org/markup-compatibility/2006">
          <mc:Choice Requires="x14">
            <control shapeId="402446" r:id="rId12" name="Check Box 14">
              <controlPr defaultSize="0" autoFill="0" autoLine="0" autoPict="0">
                <anchor moveWithCells="1">
                  <from>
                    <xdr:col>9</xdr:col>
                    <xdr:colOff>952500</xdr:colOff>
                    <xdr:row>43</xdr:row>
                    <xdr:rowOff>0</xdr:rowOff>
                  </from>
                  <to>
                    <xdr:col>11</xdr:col>
                    <xdr:colOff>571500</xdr:colOff>
                    <xdr:row>44</xdr:row>
                    <xdr:rowOff>28575</xdr:rowOff>
                  </to>
                </anchor>
              </controlPr>
            </control>
          </mc:Choice>
        </mc:AlternateContent>
        <mc:AlternateContent xmlns:mc="http://schemas.openxmlformats.org/markup-compatibility/2006">
          <mc:Choice Requires="x14">
            <control shapeId="402447" r:id="rId13" name="Check Box 15">
              <controlPr defaultSize="0" autoFill="0" autoLine="0" autoPict="0">
                <anchor moveWithCells="1">
                  <from>
                    <xdr:col>3</xdr:col>
                    <xdr:colOff>19050</xdr:colOff>
                    <xdr:row>34</xdr:row>
                    <xdr:rowOff>57150</xdr:rowOff>
                  </from>
                  <to>
                    <xdr:col>11</xdr:col>
                    <xdr:colOff>714375</xdr:colOff>
                    <xdr:row>36</xdr:row>
                    <xdr:rowOff>57150</xdr:rowOff>
                  </to>
                </anchor>
              </controlPr>
            </control>
          </mc:Choice>
        </mc:AlternateContent>
        <mc:AlternateContent xmlns:mc="http://schemas.openxmlformats.org/markup-compatibility/2006">
          <mc:Choice Requires="x14">
            <control shapeId="402443" r:id="rId14" name="Check Box 11">
              <controlPr defaultSize="0" autoFill="0" autoLine="0" autoPict="0">
                <anchor moveWithCells="1">
                  <from>
                    <xdr:col>3</xdr:col>
                    <xdr:colOff>19050</xdr:colOff>
                    <xdr:row>18</xdr:row>
                    <xdr:rowOff>28575</xdr:rowOff>
                  </from>
                  <to>
                    <xdr:col>9</xdr:col>
                    <xdr:colOff>695325</xdr:colOff>
                    <xdr:row>20</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Stammdaten_DropDown!$E$102:$E$103</xm:f>
          </x14:formula1>
          <xm:sqref>H121</xm:sqref>
        </x14:dataValidation>
        <x14:dataValidation type="list" allowBlank="1" showInputMessage="1" showErrorMessage="1">
          <x14:formula1>
            <xm:f>Stammdaten_DropDown!$E$106:$E$109</xm:f>
          </x14:formula1>
          <xm:sqref>L121</xm:sqref>
        </x14:dataValidation>
        <x14:dataValidation type="list" allowBlank="1" showInputMessage="1" showErrorMessage="1">
          <x14:formula1>
            <xm:f>Stammdaten_DropDown!$E$92:$E$99</xm:f>
          </x14:formula1>
          <xm:sqref>H91</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4">
    <pageSetUpPr fitToPage="1"/>
  </sheetPr>
  <dimension ref="A1:P118"/>
  <sheetViews>
    <sheetView zoomScaleNormal="100" workbookViewId="0">
      <selection activeCell="F21" sqref="F21:K21"/>
    </sheetView>
  </sheetViews>
  <sheetFormatPr baseColWidth="10" defaultColWidth="11.5703125" defaultRowHeight="12.75" x14ac:dyDescent="0.2"/>
  <cols>
    <col min="1" max="1" width="3.5703125" style="238" customWidth="1"/>
    <col min="2" max="3" width="0.85546875" style="238" customWidth="1"/>
    <col min="4" max="4" width="3.5703125" style="238" customWidth="1"/>
    <col min="5" max="5" width="11.5703125" style="238"/>
    <col min="6" max="6" width="8.5703125" style="238" customWidth="1"/>
    <col min="7" max="7" width="15.7109375" style="238" customWidth="1"/>
    <col min="8" max="8" width="13" style="238" customWidth="1"/>
    <col min="9" max="9" width="18" style="238" customWidth="1"/>
    <col min="10" max="10" width="9.28515625" style="238" customWidth="1"/>
    <col min="11" max="11" width="13.42578125" style="238" customWidth="1"/>
    <col min="12" max="12" width="3.5703125" style="238" customWidth="1"/>
    <col min="13" max="13" width="3.42578125" style="238" customWidth="1"/>
    <col min="14" max="15" width="11.5703125" style="91"/>
    <col min="16" max="16" width="45.7109375" style="91" customWidth="1"/>
    <col min="17" max="16384" width="11.5703125" style="91"/>
  </cols>
  <sheetData>
    <row r="1" spans="1:16" ht="12" customHeight="1" x14ac:dyDescent="0.2"/>
    <row r="2" spans="1:16" ht="20.25" customHeight="1" x14ac:dyDescent="0.2">
      <c r="B2" s="239" t="s">
        <v>1112</v>
      </c>
      <c r="D2" s="239"/>
      <c r="F2" s="240"/>
      <c r="G2" s="240"/>
      <c r="H2" s="240"/>
      <c r="I2" s="240"/>
      <c r="J2" s="240"/>
      <c r="K2" s="240"/>
      <c r="L2" s="240"/>
    </row>
    <row r="3" spans="1:16" ht="11.25" customHeight="1" x14ac:dyDescent="0.2">
      <c r="B3" s="239"/>
      <c r="D3" s="818" t="str">
        <f>CONCATENATE(LohntabelleM!G1," / ",LohntabelleM!I1)</f>
        <v>V4.6 / 2024</v>
      </c>
      <c r="F3" s="240"/>
      <c r="G3" s="240"/>
      <c r="H3" s="240"/>
      <c r="I3" s="240"/>
      <c r="J3" s="240"/>
      <c r="K3" s="240"/>
      <c r="L3" s="240"/>
    </row>
    <row r="4" spans="1:16" ht="15.75" x14ac:dyDescent="0.2">
      <c r="B4" s="239"/>
      <c r="D4" s="241" t="s">
        <v>950</v>
      </c>
      <c r="F4" s="240"/>
      <c r="G4" s="240"/>
      <c r="H4" s="240"/>
      <c r="I4" s="240"/>
      <c r="J4" s="240"/>
      <c r="K4" s="240"/>
      <c r="L4" s="240"/>
    </row>
    <row r="5" spans="1:16" ht="6.75" customHeight="1" x14ac:dyDescent="0.2">
      <c r="A5" s="242"/>
      <c r="B5" s="243"/>
      <c r="C5" s="243"/>
      <c r="D5" s="244"/>
      <c r="E5" s="243"/>
      <c r="F5" s="245"/>
      <c r="G5" s="246"/>
      <c r="H5" s="245"/>
      <c r="I5" s="245"/>
      <c r="J5" s="245"/>
      <c r="K5" s="245"/>
      <c r="L5" s="243"/>
      <c r="M5" s="247"/>
    </row>
    <row r="6" spans="1:16" ht="6" customHeight="1" x14ac:dyDescent="0.2">
      <c r="A6" s="242"/>
      <c r="B6" s="243"/>
      <c r="C6" s="242"/>
      <c r="D6" s="242"/>
      <c r="E6" s="248"/>
      <c r="F6" s="248"/>
      <c r="G6" s="249"/>
      <c r="H6" s="248"/>
      <c r="I6" s="248"/>
      <c r="J6" s="248"/>
      <c r="K6" s="248"/>
      <c r="L6" s="242"/>
      <c r="M6" s="247"/>
    </row>
    <row r="7" spans="1:16" ht="16.5" x14ac:dyDescent="0.2">
      <c r="B7" s="250"/>
      <c r="D7" s="251"/>
      <c r="E7" s="252"/>
      <c r="F7" s="253"/>
      <c r="G7" s="252"/>
      <c r="H7" s="252"/>
      <c r="I7" s="252"/>
      <c r="J7" s="252"/>
      <c r="K7" s="252"/>
      <c r="L7" s="254"/>
    </row>
    <row r="8" spans="1:16" x14ac:dyDescent="0.2">
      <c r="B8" s="250"/>
      <c r="D8" s="255"/>
      <c r="E8" s="256" t="s">
        <v>771</v>
      </c>
      <c r="F8" s="240"/>
      <c r="G8" s="240"/>
      <c r="H8" s="240"/>
      <c r="I8" s="240"/>
      <c r="J8" s="240"/>
      <c r="K8" s="240"/>
      <c r="L8" s="257"/>
    </row>
    <row r="9" spans="1:16" ht="7.5" customHeight="1" x14ac:dyDescent="0.2">
      <c r="B9" s="250"/>
      <c r="D9" s="255"/>
      <c r="E9" s="256"/>
      <c r="F9" s="240"/>
      <c r="G9" s="240"/>
      <c r="H9" s="240"/>
      <c r="I9" s="240"/>
      <c r="J9" s="240"/>
      <c r="K9" s="240"/>
      <c r="L9" s="257"/>
    </row>
    <row r="10" spans="1:16" x14ac:dyDescent="0.2">
      <c r="B10" s="250"/>
      <c r="D10" s="255"/>
      <c r="E10" s="1135" t="s">
        <v>974</v>
      </c>
      <c r="F10" s="1135"/>
      <c r="G10" s="655" t="str">
        <f>IF(MAAnrede&lt;&gt;"",MAAnrede,"")</f>
        <v/>
      </c>
      <c r="H10" s="240"/>
      <c r="I10" s="438"/>
      <c r="J10" s="240"/>
      <c r="K10" s="240"/>
      <c r="L10" s="257"/>
    </row>
    <row r="11" spans="1:16" ht="16.5" x14ac:dyDescent="0.2">
      <c r="B11" s="250"/>
      <c r="D11" s="255"/>
      <c r="E11" s="240"/>
      <c r="F11" s="259"/>
      <c r="G11" s="240"/>
      <c r="H11" s="240"/>
      <c r="I11" s="240"/>
      <c r="J11" s="240"/>
      <c r="K11" s="240"/>
      <c r="L11" s="257"/>
    </row>
    <row r="12" spans="1:16" x14ac:dyDescent="0.2">
      <c r="B12" s="250"/>
      <c r="D12" s="255"/>
      <c r="E12" s="1135" t="s">
        <v>757</v>
      </c>
      <c r="F12" s="1135"/>
      <c r="G12" s="1100" t="str">
        <f>IF(MAName&lt;&gt;"",MAName,"")</f>
        <v/>
      </c>
      <c r="H12" s="1100"/>
      <c r="I12" s="701" t="s">
        <v>758</v>
      </c>
      <c r="J12" s="1100" t="str">
        <f>IF(MAVorname&lt;&gt;"",MAVorname,"")</f>
        <v/>
      </c>
      <c r="K12" s="1100"/>
      <c r="L12" s="257"/>
      <c r="N12" s="1068" t="s">
        <v>1040</v>
      </c>
      <c r="O12" s="1069"/>
      <c r="P12" s="711"/>
    </row>
    <row r="13" spans="1:16" x14ac:dyDescent="0.2">
      <c r="B13" s="250"/>
      <c r="D13" s="255"/>
      <c r="E13" s="438"/>
      <c r="F13" s="438"/>
      <c r="G13" s="438"/>
      <c r="H13" s="438"/>
      <c r="I13" s="701"/>
      <c r="J13" s="438"/>
      <c r="K13" s="438"/>
      <c r="L13" s="260"/>
      <c r="N13" s="1070"/>
      <c r="O13" s="1071"/>
      <c r="P13" s="711"/>
    </row>
    <row r="14" spans="1:16" x14ac:dyDescent="0.2">
      <c r="B14" s="250"/>
      <c r="D14" s="255"/>
      <c r="E14" s="1135"/>
      <c r="F14" s="1135"/>
      <c r="G14" s="240"/>
      <c r="H14" s="240"/>
      <c r="I14" s="701" t="s">
        <v>971</v>
      </c>
      <c r="J14" s="1100" t="str">
        <f>IF(MAPersID&lt;&gt;"",MAPersID,"")</f>
        <v/>
      </c>
      <c r="K14" s="1100"/>
      <c r="L14" s="257"/>
    </row>
    <row r="15" spans="1:16" x14ac:dyDescent="0.2">
      <c r="B15" s="250"/>
      <c r="D15" s="255"/>
      <c r="E15" s="705"/>
      <c r="H15" s="705"/>
      <c r="I15" s="705"/>
      <c r="J15" s="705"/>
      <c r="K15" s="705"/>
      <c r="L15" s="257"/>
    </row>
    <row r="16" spans="1:16" x14ac:dyDescent="0.2">
      <c r="B16" s="250"/>
      <c r="D16" s="255"/>
      <c r="E16" s="248" t="s">
        <v>1204</v>
      </c>
      <c r="F16" s="1138"/>
      <c r="G16" s="1138"/>
      <c r="H16" s="1138"/>
      <c r="I16" s="702" t="s">
        <v>1205</v>
      </c>
      <c r="J16" s="1138"/>
      <c r="K16" s="1138"/>
      <c r="L16" s="257"/>
    </row>
    <row r="17" spans="2:16" ht="6" customHeight="1" x14ac:dyDescent="0.2">
      <c r="B17" s="250"/>
      <c r="D17" s="255"/>
      <c r="G17" s="705"/>
      <c r="H17" s="705"/>
      <c r="I17" s="705"/>
      <c r="J17" s="705"/>
      <c r="K17" s="705"/>
      <c r="L17" s="260"/>
    </row>
    <row r="18" spans="2:16" x14ac:dyDescent="0.2">
      <c r="B18" s="250"/>
      <c r="D18" s="255"/>
      <c r="E18" s="276" t="s">
        <v>1209</v>
      </c>
      <c r="F18" s="705"/>
      <c r="G18" s="705"/>
      <c r="H18" s="705"/>
      <c r="I18" s="705"/>
      <c r="J18" s="705"/>
      <c r="K18" s="705"/>
      <c r="L18" s="260"/>
    </row>
    <row r="19" spans="2:16" ht="7.5" customHeight="1" x14ac:dyDescent="0.2">
      <c r="B19" s="250"/>
      <c r="D19" s="255"/>
      <c r="E19" s="438"/>
      <c r="F19" s="438"/>
      <c r="G19" s="438"/>
      <c r="H19" s="438"/>
      <c r="I19" s="438"/>
      <c r="J19" s="438"/>
      <c r="K19" s="438"/>
      <c r="L19" s="260"/>
    </row>
    <row r="20" spans="2:16" s="247" customFormat="1" ht="13.15" customHeight="1" x14ac:dyDescent="0.2">
      <c r="B20" s="243"/>
      <c r="D20" s="61"/>
      <c r="E20" s="344" t="s">
        <v>826</v>
      </c>
      <c r="F20" s="1125" t="s">
        <v>1085</v>
      </c>
      <c r="G20" s="1125"/>
      <c r="H20" s="1125"/>
      <c r="I20" s="1125"/>
      <c r="J20" s="1125"/>
      <c r="K20" s="979"/>
      <c r="L20" s="62"/>
    </row>
    <row r="21" spans="2:16" s="247" customFormat="1" ht="13.15" customHeight="1" x14ac:dyDescent="0.2">
      <c r="B21" s="243"/>
      <c r="D21" s="61"/>
      <c r="E21" s="344"/>
      <c r="F21" s="1125" t="s">
        <v>1083</v>
      </c>
      <c r="G21" s="1125"/>
      <c r="H21" s="1125"/>
      <c r="I21" s="1125"/>
      <c r="J21" s="1125"/>
      <c r="K21" s="1125"/>
      <c r="L21" s="62"/>
    </row>
    <row r="22" spans="2:16" s="247" customFormat="1" ht="12.75" customHeight="1" x14ac:dyDescent="0.2">
      <c r="B22" s="243"/>
      <c r="D22" s="61"/>
      <c r="E22" s="344"/>
      <c r="F22" s="1125" t="s">
        <v>1084</v>
      </c>
      <c r="G22" s="1125"/>
      <c r="H22" s="1125"/>
      <c r="I22" s="1125"/>
      <c r="J22" s="349"/>
      <c r="K22" s="349"/>
      <c r="L22" s="62"/>
    </row>
    <row r="23" spans="2:16" s="247" customFormat="1" ht="12.75" customHeight="1" x14ac:dyDescent="0.2">
      <c r="B23" s="243"/>
      <c r="D23" s="61"/>
      <c r="E23" s="344"/>
      <c r="F23" s="1125" t="s">
        <v>1086</v>
      </c>
      <c r="G23" s="1125"/>
      <c r="H23" s="349"/>
      <c r="I23" s="349"/>
      <c r="J23" s="349"/>
      <c r="K23" s="349"/>
      <c r="L23" s="62"/>
    </row>
    <row r="24" spans="2:16" x14ac:dyDescent="0.2">
      <c r="B24" s="250"/>
      <c r="D24" s="262"/>
      <c r="E24" s="263"/>
      <c r="F24" s="263"/>
      <c r="G24" s="263"/>
      <c r="H24" s="263"/>
      <c r="I24" s="263"/>
      <c r="J24" s="263"/>
      <c r="K24" s="263"/>
      <c r="L24" s="264"/>
    </row>
    <row r="25" spans="2:16" ht="6" customHeight="1" x14ac:dyDescent="0.2">
      <c r="B25" s="250"/>
      <c r="E25" s="265"/>
      <c r="F25" s="265"/>
      <c r="G25" s="265"/>
      <c r="H25" s="265"/>
      <c r="I25" s="265"/>
      <c r="J25" s="265"/>
      <c r="K25" s="265"/>
      <c r="L25" s="265"/>
    </row>
    <row r="26" spans="2:16" ht="4.9000000000000004" customHeight="1" x14ac:dyDescent="0.2">
      <c r="B26" s="250"/>
      <c r="D26" s="251"/>
      <c r="E26" s="266"/>
      <c r="F26" s="266"/>
      <c r="G26" s="266"/>
      <c r="H26" s="266"/>
      <c r="I26" s="266"/>
      <c r="J26" s="266"/>
      <c r="K26" s="266"/>
      <c r="L26" s="267"/>
    </row>
    <row r="27" spans="2:16" x14ac:dyDescent="0.2">
      <c r="B27" s="250"/>
      <c r="D27" s="255"/>
      <c r="E27" s="458" t="s">
        <v>1225</v>
      </c>
      <c r="F27" s="459"/>
      <c r="G27" s="459"/>
      <c r="H27" s="459"/>
      <c r="I27" s="459"/>
      <c r="J27" s="459"/>
      <c r="K27" s="459"/>
      <c r="L27" s="257"/>
    </row>
    <row r="28" spans="2:16" ht="7.5" customHeight="1" x14ac:dyDescent="0.2">
      <c r="B28" s="250"/>
      <c r="D28" s="255"/>
      <c r="E28" s="458"/>
      <c r="F28" s="459"/>
      <c r="G28" s="459"/>
      <c r="H28" s="459"/>
      <c r="I28" s="459"/>
      <c r="L28" s="257"/>
    </row>
    <row r="29" spans="2:16" ht="12.75" customHeight="1" x14ac:dyDescent="0.2">
      <c r="B29" s="250"/>
      <c r="D29" s="255"/>
      <c r="E29" s="458" t="s">
        <v>1226</v>
      </c>
      <c r="F29" s="459"/>
      <c r="G29" s="459"/>
      <c r="H29" s="459"/>
      <c r="I29" s="459"/>
      <c r="L29" s="257"/>
      <c r="N29" s="1155" t="s">
        <v>1182</v>
      </c>
      <c r="O29" s="1156"/>
      <c r="P29" s="711"/>
    </row>
    <row r="30" spans="2:16" ht="6" customHeight="1" x14ac:dyDescent="0.2">
      <c r="B30" s="250"/>
      <c r="D30" s="255"/>
      <c r="E30" s="458"/>
      <c r="F30" s="459"/>
      <c r="G30" s="459"/>
      <c r="H30" s="459"/>
      <c r="I30" s="459"/>
      <c r="L30" s="257"/>
      <c r="N30" s="1161"/>
      <c r="O30" s="1162"/>
      <c r="P30" s="711"/>
    </row>
    <row r="31" spans="2:16" ht="12.75" customHeight="1" x14ac:dyDescent="0.2">
      <c r="B31" s="250"/>
      <c r="D31" s="1146" t="s">
        <v>1228</v>
      </c>
      <c r="E31" s="1147"/>
      <c r="F31" s="1147"/>
      <c r="G31" s="1147"/>
      <c r="H31" s="1147"/>
      <c r="I31" s="1147"/>
      <c r="J31" s="1147"/>
      <c r="K31" s="1147"/>
      <c r="L31" s="1148"/>
      <c r="N31" s="1157"/>
      <c r="O31" s="1158"/>
      <c r="P31" s="711"/>
    </row>
    <row r="32" spans="2:16" ht="25.5" customHeight="1" x14ac:dyDescent="0.2">
      <c r="B32" s="250"/>
      <c r="D32" s="1146"/>
      <c r="E32" s="1147"/>
      <c r="F32" s="1147"/>
      <c r="G32" s="1147"/>
      <c r="H32" s="1147"/>
      <c r="I32" s="1147"/>
      <c r="J32" s="1147"/>
      <c r="K32" s="1147"/>
      <c r="L32" s="1148"/>
    </row>
    <row r="33" spans="2:14" ht="6" customHeight="1" x14ac:dyDescent="0.2">
      <c r="B33" s="250"/>
      <c r="D33" s="255"/>
      <c r="E33" s="458"/>
      <c r="F33" s="459"/>
      <c r="G33" s="459"/>
      <c r="H33" s="459"/>
      <c r="I33" s="459"/>
      <c r="J33" s="459"/>
      <c r="K33" s="459"/>
      <c r="L33" s="257"/>
    </row>
    <row r="34" spans="2:14" x14ac:dyDescent="0.2">
      <c r="B34" s="250"/>
      <c r="D34" s="255"/>
      <c r="E34" s="677" t="s">
        <v>1183</v>
      </c>
      <c r="F34" s="459"/>
      <c r="G34" s="459"/>
      <c r="H34" s="459"/>
      <c r="I34" s="592" t="str">
        <f>IF(Pensenberechnung!$J$15=0,"",Pensenberechnung!$J$15)</f>
        <v/>
      </c>
      <c r="J34" s="459"/>
      <c r="L34" s="257"/>
    </row>
    <row r="35" spans="2:14" x14ac:dyDescent="0.2">
      <c r="B35" s="250"/>
      <c r="D35" s="255"/>
      <c r="E35" s="458"/>
      <c r="F35" s="459"/>
      <c r="G35" s="459"/>
      <c r="H35" s="459"/>
      <c r="I35" s="459"/>
      <c r="J35" s="459"/>
      <c r="K35" s="459"/>
      <c r="L35" s="257"/>
    </row>
    <row r="36" spans="2:14" x14ac:dyDescent="0.2">
      <c r="B36" s="250"/>
      <c r="D36" s="255"/>
      <c r="E36" s="654" t="s">
        <v>1156</v>
      </c>
      <c r="F36" s="459"/>
      <c r="G36" s="459"/>
      <c r="H36" s="459"/>
      <c r="I36" s="678" t="str">
        <f>IF(Pensenberechnung!$O$27=0,"",Pensenberechnung!$O$27)</f>
        <v/>
      </c>
      <c r="J36" s="459"/>
      <c r="K36" s="459"/>
      <c r="L36" s="257"/>
    </row>
    <row r="37" spans="2:14" ht="12.75" customHeight="1" x14ac:dyDescent="0.2">
      <c r="B37" s="250"/>
      <c r="D37" s="255"/>
      <c r="E37" s="1137" t="s">
        <v>1157</v>
      </c>
      <c r="F37" s="1137"/>
      <c r="G37" s="1137"/>
      <c r="H37" s="1137"/>
      <c r="I37" s="1137"/>
      <c r="J37" s="1137"/>
      <c r="K37" s="459"/>
      <c r="L37" s="257"/>
    </row>
    <row r="38" spans="2:14" x14ac:dyDescent="0.2">
      <c r="B38" s="250"/>
      <c r="D38" s="262"/>
      <c r="E38" s="263"/>
      <c r="F38" s="263"/>
      <c r="G38" s="263"/>
      <c r="H38" s="263"/>
      <c r="I38" s="263"/>
      <c r="J38" s="263"/>
      <c r="K38" s="263"/>
      <c r="L38" s="264"/>
    </row>
    <row r="39" spans="2:14" ht="6" customHeight="1" x14ac:dyDescent="0.2">
      <c r="B39" s="250"/>
      <c r="E39" s="265"/>
      <c r="F39" s="265"/>
      <c r="G39" s="265"/>
      <c r="H39" s="265"/>
      <c r="I39" s="265"/>
      <c r="J39" s="265"/>
      <c r="K39" s="265"/>
      <c r="L39" s="265"/>
    </row>
    <row r="40" spans="2:14" ht="4.9000000000000004" customHeight="1" x14ac:dyDescent="0.2">
      <c r="B40" s="250"/>
      <c r="D40" s="251"/>
      <c r="E40" s="266"/>
      <c r="F40" s="266"/>
      <c r="G40" s="266"/>
      <c r="H40" s="266"/>
      <c r="I40" s="266"/>
      <c r="J40" s="266"/>
      <c r="K40" s="266"/>
      <c r="L40" s="267"/>
    </row>
    <row r="41" spans="2:14" x14ac:dyDescent="0.2">
      <c r="B41" s="250"/>
      <c r="D41" s="255"/>
      <c r="E41" s="458" t="s">
        <v>936</v>
      </c>
      <c r="F41" s="459"/>
      <c r="G41" s="459"/>
      <c r="H41" s="459"/>
      <c r="I41" s="459"/>
      <c r="J41" s="459"/>
      <c r="K41" s="459"/>
      <c r="L41" s="257"/>
    </row>
    <row r="42" spans="2:14" ht="7.5" customHeight="1" x14ac:dyDescent="0.2">
      <c r="B42" s="250"/>
      <c r="D42" s="255"/>
      <c r="E42" s="458"/>
      <c r="F42" s="459"/>
      <c r="G42" s="459"/>
      <c r="H42" s="459"/>
      <c r="I42" s="459"/>
      <c r="J42" s="459"/>
      <c r="K42" s="459"/>
      <c r="L42" s="257"/>
    </row>
    <row r="43" spans="2:14" x14ac:dyDescent="0.2">
      <c r="B43" s="250"/>
      <c r="D43" s="255"/>
      <c r="E43" s="764" t="s">
        <v>1179</v>
      </c>
      <c r="F43" s="764"/>
      <c r="G43" s="766"/>
      <c r="H43" s="459"/>
      <c r="I43" s="459"/>
      <c r="J43" s="459"/>
      <c r="K43" s="459"/>
      <c r="L43" s="257"/>
    </row>
    <row r="44" spans="2:14" x14ac:dyDescent="0.2">
      <c r="B44" s="250"/>
      <c r="D44" s="255"/>
      <c r="E44" s="654"/>
      <c r="F44" s="654"/>
      <c r="G44" s="654"/>
      <c r="H44" s="654"/>
      <c r="I44" s="654"/>
      <c r="J44" s="654"/>
      <c r="K44" s="654"/>
      <c r="L44" s="260"/>
      <c r="N44" s="467"/>
    </row>
    <row r="45" spans="2:14" x14ac:dyDescent="0.2">
      <c r="B45" s="250"/>
      <c r="D45" s="255"/>
      <c r="E45" s="654" t="s">
        <v>1087</v>
      </c>
      <c r="F45" s="654"/>
      <c r="G45" s="650"/>
      <c r="I45" s="730" t="s">
        <v>995</v>
      </c>
      <c r="J45" s="1149"/>
      <c r="K45" s="1149"/>
      <c r="L45" s="268"/>
      <c r="N45" s="467"/>
    </row>
    <row r="46" spans="2:14" s="247" customFormat="1" ht="13.15" customHeight="1" x14ac:dyDescent="0.2">
      <c r="B46" s="250"/>
      <c r="C46" s="238"/>
      <c r="D46" s="61"/>
      <c r="E46" s="461"/>
      <c r="F46" s="462"/>
      <c r="G46" s="462"/>
      <c r="H46" s="461"/>
      <c r="I46" s="461"/>
      <c r="J46" s="452"/>
      <c r="K46" s="452"/>
      <c r="L46" s="269"/>
      <c r="M46" s="451"/>
      <c r="N46" s="451" t="s">
        <v>806</v>
      </c>
    </row>
    <row r="47" spans="2:14" s="247" customFormat="1" ht="12.75" customHeight="1" x14ac:dyDescent="0.2">
      <c r="B47" s="250"/>
      <c r="C47" s="238"/>
      <c r="D47" s="61"/>
      <c r="E47" s="741" t="s">
        <v>997</v>
      </c>
      <c r="F47" s="453"/>
      <c r="H47" s="464"/>
      <c r="I47" s="758" t="s">
        <v>1144</v>
      </c>
      <c r="J47" s="758"/>
      <c r="K47" s="758"/>
      <c r="L47" s="257"/>
      <c r="M47" s="451"/>
      <c r="N47" s="451"/>
    </row>
    <row r="48" spans="2:14" s="247" customFormat="1" x14ac:dyDescent="0.2">
      <c r="B48" s="250"/>
      <c r="C48" s="238"/>
      <c r="D48" s="61"/>
      <c r="E48" s="463"/>
      <c r="F48" s="453"/>
      <c r="G48" s="453"/>
      <c r="H48" s="651"/>
      <c r="I48" s="651"/>
      <c r="J48" s="459"/>
      <c r="K48" s="459"/>
      <c r="L48" s="257"/>
      <c r="M48" s="451"/>
      <c r="N48" s="451"/>
    </row>
    <row r="49" spans="1:13" x14ac:dyDescent="0.2">
      <c r="B49" s="250"/>
      <c r="D49" s="255"/>
      <c r="E49" s="1136" t="s">
        <v>1000</v>
      </c>
      <c r="F49" s="1136"/>
      <c r="G49" s="1136"/>
      <c r="H49" s="1057"/>
      <c r="I49" s="1057"/>
      <c r="J49" s="1057"/>
      <c r="K49" s="1057"/>
      <c r="L49" s="269"/>
    </row>
    <row r="50" spans="1:13" x14ac:dyDescent="0.2">
      <c r="B50" s="250"/>
      <c r="D50" s="255"/>
      <c r="E50" s="658" t="s">
        <v>1005</v>
      </c>
      <c r="F50" s="658"/>
      <c r="G50" s="658"/>
      <c r="H50" s="658"/>
      <c r="I50" s="658"/>
      <c r="J50" s="658"/>
      <c r="K50" s="658"/>
      <c r="L50" s="269"/>
    </row>
    <row r="51" spans="1:13" x14ac:dyDescent="0.2">
      <c r="B51" s="250"/>
      <c r="D51" s="255"/>
      <c r="E51" s="1136" t="s">
        <v>1110</v>
      </c>
      <c r="F51" s="1136"/>
      <c r="G51" s="658"/>
      <c r="H51" s="1057"/>
      <c r="I51" s="1057"/>
      <c r="J51" s="1057"/>
      <c r="K51" s="1057"/>
      <c r="L51" s="269"/>
    </row>
    <row r="52" spans="1:13" x14ac:dyDescent="0.2">
      <c r="B52" s="250"/>
      <c r="D52" s="255"/>
      <c r="E52" s="654"/>
      <c r="F52" s="654"/>
      <c r="G52" s="654"/>
      <c r="H52" s="654"/>
      <c r="I52" s="465"/>
      <c r="J52" s="465"/>
      <c r="K52" s="465"/>
      <c r="L52" s="268"/>
    </row>
    <row r="53" spans="1:13" x14ac:dyDescent="0.2">
      <c r="B53" s="250"/>
      <c r="D53" s="255"/>
      <c r="E53" s="1136" t="s">
        <v>1088</v>
      </c>
      <c r="F53" s="1136"/>
      <c r="G53" s="1136"/>
      <c r="H53" s="1057"/>
      <c r="I53" s="1057"/>
      <c r="J53" s="1057"/>
      <c r="K53" s="1057"/>
      <c r="L53" s="269"/>
    </row>
    <row r="54" spans="1:13" x14ac:dyDescent="0.2">
      <c r="B54" s="250"/>
      <c r="D54" s="255"/>
      <c r="E54" s="707"/>
      <c r="F54" s="707"/>
      <c r="G54" s="707"/>
      <c r="H54" s="707"/>
      <c r="I54" s="707"/>
      <c r="J54" s="707"/>
      <c r="K54" s="707"/>
      <c r="L54" s="269"/>
    </row>
    <row r="55" spans="1:13" ht="12.75" customHeight="1" x14ac:dyDescent="0.2">
      <c r="B55" s="250"/>
      <c r="D55" s="255"/>
      <c r="E55" s="1140" t="s">
        <v>1206</v>
      </c>
      <c r="F55" s="1140"/>
      <c r="G55" s="1140"/>
      <c r="H55" s="1140"/>
      <c r="J55" s="707"/>
      <c r="K55" s="707"/>
      <c r="L55" s="269"/>
    </row>
    <row r="56" spans="1:13" x14ac:dyDescent="0.2">
      <c r="B56" s="250"/>
      <c r="D56" s="255"/>
      <c r="E56" s="658"/>
      <c r="F56" s="658"/>
      <c r="G56" s="658"/>
      <c r="H56" s="658"/>
      <c r="I56" s="658"/>
      <c r="J56" s="658"/>
      <c r="K56" s="658"/>
      <c r="L56" s="269"/>
    </row>
    <row r="57" spans="1:13" x14ac:dyDescent="0.2">
      <c r="B57" s="250"/>
      <c r="D57" s="255"/>
      <c r="E57" s="1136" t="s">
        <v>1210</v>
      </c>
      <c r="F57" s="1136"/>
      <c r="G57" s="1136"/>
      <c r="H57" s="1057"/>
      <c r="I57" s="1057"/>
      <c r="J57" s="1057"/>
      <c r="K57" s="1057"/>
      <c r="L57" s="269"/>
    </row>
    <row r="58" spans="1:13" x14ac:dyDescent="0.2">
      <c r="A58" s="242"/>
      <c r="B58" s="243"/>
      <c r="C58" s="242"/>
      <c r="D58" s="207"/>
      <c r="E58" s="1139" t="s">
        <v>1184</v>
      </c>
      <c r="F58" s="1139"/>
      <c r="G58" s="270"/>
      <c r="H58" s="270"/>
      <c r="I58" s="270"/>
      <c r="J58" s="270"/>
      <c r="K58" s="270"/>
      <c r="L58" s="208"/>
      <c r="M58" s="247"/>
    </row>
    <row r="59" spans="1:13" ht="6" customHeight="1" x14ac:dyDescent="0.2">
      <c r="A59" s="242"/>
      <c r="B59" s="243"/>
      <c r="C59" s="242"/>
      <c r="D59" s="242"/>
      <c r="E59" s="242"/>
      <c r="F59" s="242"/>
      <c r="G59" s="283"/>
      <c r="H59" s="242"/>
      <c r="I59" s="242"/>
      <c r="J59" s="242"/>
      <c r="K59" s="242"/>
      <c r="L59" s="242"/>
      <c r="M59" s="247"/>
    </row>
    <row r="60" spans="1:13" x14ac:dyDescent="0.2">
      <c r="A60" s="242"/>
      <c r="B60" s="243"/>
      <c r="C60" s="242"/>
      <c r="D60" s="203"/>
      <c r="E60" s="67"/>
      <c r="F60" s="67"/>
      <c r="G60" s="68"/>
      <c r="H60" s="67"/>
      <c r="I60" s="67"/>
      <c r="J60" s="67"/>
      <c r="K60" s="67"/>
      <c r="L60" s="204"/>
      <c r="M60" s="247"/>
    </row>
    <row r="61" spans="1:13" x14ac:dyDescent="0.2">
      <c r="A61" s="242"/>
      <c r="B61" s="243"/>
      <c r="C61" s="242"/>
      <c r="D61" s="205"/>
      <c r="E61" s="1082" t="s">
        <v>979</v>
      </c>
      <c r="F61" s="1082"/>
      <c r="G61" s="1082"/>
      <c r="H61" s="248"/>
      <c r="I61" s="248"/>
      <c r="J61" s="248"/>
      <c r="K61" s="248"/>
      <c r="L61" s="206"/>
      <c r="M61" s="247"/>
    </row>
    <row r="62" spans="1:13" x14ac:dyDescent="0.2">
      <c r="A62" s="242"/>
      <c r="B62" s="243"/>
      <c r="C62" s="242"/>
      <c r="D62" s="205"/>
      <c r="E62" s="248"/>
      <c r="F62" s="248"/>
      <c r="G62" s="249"/>
      <c r="H62" s="248"/>
      <c r="I62" s="248"/>
      <c r="J62" s="248"/>
      <c r="K62" s="248"/>
      <c r="L62" s="206"/>
      <c r="M62" s="247"/>
    </row>
    <row r="63" spans="1:13" x14ac:dyDescent="0.2">
      <c r="A63" s="242"/>
      <c r="B63" s="243"/>
      <c r="C63" s="242"/>
      <c r="D63" s="205"/>
      <c r="E63" s="1056"/>
      <c r="F63" s="1056"/>
      <c r="G63" s="1056"/>
      <c r="H63" s="1056"/>
      <c r="I63" s="1056"/>
      <c r="J63" s="1056"/>
      <c r="K63" s="1056"/>
      <c r="L63" s="206"/>
      <c r="M63" s="247"/>
    </row>
    <row r="64" spans="1:13" x14ac:dyDescent="0.2">
      <c r="A64" s="242"/>
      <c r="B64" s="243"/>
      <c r="C64" s="242"/>
      <c r="D64" s="205"/>
      <c r="E64" s="1056"/>
      <c r="F64" s="1056"/>
      <c r="G64" s="1056"/>
      <c r="H64" s="1056"/>
      <c r="I64" s="1056"/>
      <c r="J64" s="1056"/>
      <c r="K64" s="1056"/>
      <c r="L64" s="206"/>
      <c r="M64" s="247"/>
    </row>
    <row r="65" spans="1:16" x14ac:dyDescent="0.2">
      <c r="A65" s="242"/>
      <c r="B65" s="243"/>
      <c r="C65" s="242"/>
      <c r="D65" s="205"/>
      <c r="E65" s="1056"/>
      <c r="F65" s="1056"/>
      <c r="G65" s="1056"/>
      <c r="H65" s="1056"/>
      <c r="I65" s="1056"/>
      <c r="J65" s="1056"/>
      <c r="K65" s="1056"/>
      <c r="L65" s="206"/>
      <c r="M65" s="247"/>
    </row>
    <row r="66" spans="1:16" x14ac:dyDescent="0.2">
      <c r="A66" s="242"/>
      <c r="B66" s="243"/>
      <c r="C66" s="242"/>
      <c r="D66" s="207"/>
      <c r="E66" s="64"/>
      <c r="F66" s="64"/>
      <c r="G66" s="65"/>
      <c r="H66" s="64"/>
      <c r="I66" s="64"/>
      <c r="J66" s="64"/>
      <c r="K66" s="64"/>
      <c r="L66" s="208"/>
      <c r="M66" s="247"/>
    </row>
    <row r="67" spans="1:16" s="288" customFormat="1" ht="6" customHeight="1" x14ac:dyDescent="0.2">
      <c r="B67" s="362"/>
      <c r="E67" s="306"/>
      <c r="F67" s="306"/>
      <c r="G67" s="307"/>
      <c r="H67" s="306"/>
      <c r="I67" s="306"/>
      <c r="J67" s="306"/>
      <c r="K67" s="306"/>
      <c r="L67" s="306"/>
    </row>
    <row r="68" spans="1:16" s="288" customFormat="1" ht="9" customHeight="1" x14ac:dyDescent="0.2">
      <c r="B68" s="362"/>
      <c r="D68" s="291"/>
      <c r="E68" s="308"/>
      <c r="F68" s="308"/>
      <c r="G68" s="309"/>
      <c r="H68" s="308"/>
      <c r="I68" s="308"/>
      <c r="J68" s="308"/>
      <c r="K68" s="308"/>
      <c r="L68" s="316"/>
    </row>
    <row r="69" spans="1:16" s="288" customFormat="1" ht="12.75" customHeight="1" x14ac:dyDescent="0.2">
      <c r="B69" s="362"/>
      <c r="D69" s="294"/>
      <c r="E69" s="332" t="s">
        <v>1136</v>
      </c>
      <c r="F69" s="332"/>
      <c r="G69" s="332"/>
      <c r="H69" s="332"/>
      <c r="I69" s="434"/>
      <c r="J69" s="290"/>
      <c r="K69" s="290"/>
      <c r="L69" s="298"/>
    </row>
    <row r="70" spans="1:16" s="288" customFormat="1" ht="7.15" customHeight="1" x14ac:dyDescent="0.2">
      <c r="B70" s="362"/>
      <c r="D70" s="302"/>
      <c r="E70" s="303"/>
      <c r="F70" s="303"/>
      <c r="G70" s="304"/>
      <c r="H70" s="303"/>
      <c r="I70" s="303"/>
      <c r="J70" s="303"/>
      <c r="K70" s="303"/>
      <c r="L70" s="318"/>
    </row>
    <row r="71" spans="1:16" ht="6" customHeight="1" x14ac:dyDescent="0.2">
      <c r="A71" s="242"/>
      <c r="B71" s="435"/>
      <c r="C71" s="435"/>
      <c r="D71" s="242"/>
      <c r="E71" s="435"/>
      <c r="F71" s="435"/>
      <c r="G71" s="435"/>
      <c r="H71" s="435"/>
      <c r="I71" s="435"/>
      <c r="J71" s="435"/>
      <c r="K71" s="435"/>
      <c r="L71" s="242"/>
      <c r="M71" s="247"/>
    </row>
    <row r="72" spans="1:16" ht="15.75" x14ac:dyDescent="0.2">
      <c r="B72" s="239"/>
      <c r="D72" s="241" t="s">
        <v>951</v>
      </c>
      <c r="F72" s="240"/>
      <c r="G72" s="240"/>
      <c r="H72" s="240"/>
      <c r="I72" s="240"/>
      <c r="J72" s="240"/>
      <c r="K72" s="240"/>
      <c r="L72" s="240"/>
    </row>
    <row r="73" spans="1:16" ht="6.75" customHeight="1" x14ac:dyDescent="0.2">
      <c r="A73" s="242"/>
      <c r="B73" s="243"/>
      <c r="C73" s="243"/>
      <c r="D73" s="244"/>
      <c r="E73" s="243"/>
      <c r="F73" s="245"/>
      <c r="G73" s="246"/>
      <c r="H73" s="245"/>
      <c r="I73" s="245"/>
      <c r="J73" s="245"/>
      <c r="K73" s="245"/>
      <c r="L73" s="243"/>
      <c r="M73" s="247"/>
      <c r="N73" s="1078" t="s">
        <v>2009</v>
      </c>
      <c r="O73" s="1078"/>
      <c r="P73" s="1078"/>
    </row>
    <row r="74" spans="1:16" ht="6" customHeight="1" x14ac:dyDescent="0.2">
      <c r="A74" s="242"/>
      <c r="B74" s="243"/>
      <c r="C74" s="242"/>
      <c r="D74" s="242"/>
      <c r="E74" s="248"/>
      <c r="F74" s="248"/>
      <c r="G74" s="249"/>
      <c r="H74" s="248"/>
      <c r="I74" s="248"/>
      <c r="J74" s="248"/>
      <c r="K74" s="248"/>
      <c r="L74" s="242"/>
      <c r="M74" s="247"/>
      <c r="N74" s="1078"/>
      <c r="O74" s="1078"/>
      <c r="P74" s="1078"/>
    </row>
    <row r="75" spans="1:16" x14ac:dyDescent="0.2">
      <c r="A75" s="242"/>
      <c r="B75" s="243"/>
      <c r="C75" s="242"/>
      <c r="D75" s="203"/>
      <c r="E75" s="272"/>
      <c r="F75" s="272"/>
      <c r="G75" s="273"/>
      <c r="H75" s="272"/>
      <c r="I75" s="272"/>
      <c r="J75" s="272"/>
      <c r="K75" s="272"/>
      <c r="L75" s="274"/>
      <c r="M75" s="247"/>
      <c r="N75" s="1078"/>
      <c r="O75" s="1078"/>
      <c r="P75" s="1078"/>
    </row>
    <row r="76" spans="1:16" x14ac:dyDescent="0.2">
      <c r="A76" s="242"/>
      <c r="B76" s="243"/>
      <c r="C76" s="242"/>
      <c r="D76" s="205"/>
      <c r="E76" s="275" t="s">
        <v>946</v>
      </c>
      <c r="F76" s="248"/>
      <c r="G76" s="249"/>
      <c r="H76" s="248"/>
      <c r="I76" s="248"/>
      <c r="J76" s="248"/>
      <c r="K76" s="248"/>
      <c r="L76" s="206"/>
      <c r="M76" s="247"/>
      <c r="N76" s="1078"/>
      <c r="O76" s="1078"/>
      <c r="P76" s="1078"/>
    </row>
    <row r="77" spans="1:16" x14ac:dyDescent="0.2">
      <c r="A77" s="242"/>
      <c r="B77" s="243"/>
      <c r="C77" s="242"/>
      <c r="D77" s="205"/>
      <c r="E77" s="248"/>
      <c r="F77" s="248"/>
      <c r="G77" s="249"/>
      <c r="H77" s="248"/>
      <c r="I77" s="248"/>
      <c r="J77" s="248"/>
      <c r="K77" s="248"/>
      <c r="L77" s="206"/>
      <c r="M77" s="247"/>
      <c r="N77" s="1078"/>
      <c r="O77" s="1078"/>
      <c r="P77" s="1078"/>
    </row>
    <row r="78" spans="1:16" x14ac:dyDescent="0.2">
      <c r="A78" s="242"/>
      <c r="B78" s="243"/>
      <c r="C78" s="242"/>
      <c r="D78" s="781" t="s">
        <v>961</v>
      </c>
      <c r="E78" s="771"/>
      <c r="G78" s="437"/>
      <c r="I78" s="767" t="s">
        <v>978</v>
      </c>
      <c r="J78" s="1083"/>
      <c r="K78" s="1083"/>
      <c r="L78" s="206"/>
      <c r="M78" s="247"/>
      <c r="N78" s="1078"/>
      <c r="O78" s="1078"/>
      <c r="P78" s="1078"/>
    </row>
    <row r="79" spans="1:16" x14ac:dyDescent="0.2">
      <c r="A79" s="242"/>
      <c r="B79" s="243"/>
      <c r="C79" s="242"/>
      <c r="D79" s="782" t="s">
        <v>962</v>
      </c>
      <c r="F79" s="701"/>
      <c r="G79" s="277"/>
      <c r="H79" s="248"/>
      <c r="L79" s="206"/>
      <c r="M79" s="247"/>
      <c r="N79" s="1078"/>
      <c r="O79" s="1078"/>
      <c r="P79" s="1078"/>
    </row>
    <row r="80" spans="1:16" x14ac:dyDescent="0.2">
      <c r="A80" s="242"/>
      <c r="B80" s="243"/>
      <c r="C80" s="242"/>
      <c r="D80" s="205"/>
      <c r="E80" s="248"/>
      <c r="F80" s="248"/>
      <c r="G80" s="248"/>
      <c r="H80" s="248"/>
      <c r="I80" s="742"/>
      <c r="J80" s="701"/>
      <c r="K80" s="277"/>
      <c r="L80" s="206"/>
      <c r="M80" s="247"/>
      <c r="N80" s="1078"/>
      <c r="O80" s="1078"/>
      <c r="P80" s="1078"/>
    </row>
    <row r="81" spans="1:16" x14ac:dyDescent="0.2">
      <c r="A81" s="242"/>
      <c r="B81" s="243"/>
      <c r="C81" s="242"/>
      <c r="D81" s="781" t="s">
        <v>1003</v>
      </c>
      <c r="F81" s="743"/>
      <c r="G81" s="284" t="str">
        <f>IF(MULohnberechnung&lt;&gt;"",MULohnberechnung,"")</f>
        <v/>
      </c>
      <c r="H81" s="326" t="s">
        <v>1005</v>
      </c>
      <c r="I81" s="767" t="s">
        <v>1004</v>
      </c>
      <c r="J81" s="743"/>
      <c r="K81" s="436"/>
      <c r="L81" s="206"/>
      <c r="M81" s="247"/>
      <c r="N81" s="1078"/>
      <c r="O81" s="1078"/>
      <c r="P81" s="1078"/>
    </row>
    <row r="82" spans="1:16" x14ac:dyDescent="0.2">
      <c r="A82" s="242"/>
      <c r="B82" s="243"/>
      <c r="C82" s="242"/>
      <c r="D82" s="205"/>
      <c r="E82" s="248"/>
      <c r="F82" s="248"/>
      <c r="G82" s="248"/>
      <c r="H82" s="248"/>
      <c r="I82" s="248"/>
      <c r="J82" s="248"/>
      <c r="K82" s="248"/>
      <c r="L82" s="206"/>
      <c r="M82" s="247"/>
      <c r="N82" s="1078"/>
      <c r="O82" s="1078"/>
      <c r="P82" s="1078"/>
    </row>
    <row r="83" spans="1:16" x14ac:dyDescent="0.2">
      <c r="A83" s="242"/>
      <c r="B83" s="243"/>
      <c r="C83" s="242"/>
      <c r="D83" s="781" t="s">
        <v>973</v>
      </c>
      <c r="F83" s="248"/>
      <c r="G83" s="433"/>
      <c r="I83" s="701" t="s">
        <v>1080</v>
      </c>
      <c r="J83" s="1095" t="str">
        <f>_xlfn.IFNA(VLOOKUP(G83,Stammdaten_DropDown!$B$14:$C$55,2,FALSE),"")</f>
        <v/>
      </c>
      <c r="K83" s="1095"/>
      <c r="L83" s="269"/>
      <c r="M83" s="247"/>
      <c r="N83" s="1078"/>
      <c r="O83" s="1078"/>
      <c r="P83" s="1078"/>
    </row>
    <row r="84" spans="1:16" x14ac:dyDescent="0.2">
      <c r="A84" s="242"/>
      <c r="B84" s="243"/>
      <c r="C84" s="242"/>
      <c r="D84" s="205"/>
      <c r="E84" s="248"/>
      <c r="F84" s="248"/>
      <c r="G84" s="249"/>
      <c r="H84" s="248"/>
      <c r="I84" s="248"/>
      <c r="J84" s="248"/>
      <c r="K84" s="248"/>
      <c r="L84" s="206"/>
      <c r="M84" s="247"/>
      <c r="N84" s="1078"/>
      <c r="O84" s="1078"/>
      <c r="P84" s="1078"/>
    </row>
    <row r="85" spans="1:16" x14ac:dyDescent="0.2">
      <c r="A85" s="242"/>
      <c r="B85" s="243"/>
      <c r="C85" s="242"/>
      <c r="D85" s="781" t="s">
        <v>2000</v>
      </c>
      <c r="E85" s="248"/>
      <c r="F85" s="248"/>
      <c r="G85" s="885"/>
      <c r="H85" s="1088"/>
      <c r="I85" s="1088"/>
      <c r="J85" s="1088"/>
      <c r="K85" s="1088"/>
      <c r="L85" s="206"/>
      <c r="M85" s="247"/>
      <c r="N85" s="1078"/>
      <c r="O85" s="1078"/>
      <c r="P85" s="1078"/>
    </row>
    <row r="86" spans="1:16" x14ac:dyDescent="0.2">
      <c r="A86" s="242"/>
      <c r="B86" s="243"/>
      <c r="C86" s="242"/>
      <c r="D86" s="908" t="s">
        <v>1964</v>
      </c>
      <c r="E86" s="248"/>
      <c r="F86" s="248"/>
      <c r="G86" s="885"/>
      <c r="H86" s="248"/>
      <c r="I86" s="248"/>
      <c r="J86" s="248"/>
      <c r="K86" s="248"/>
      <c r="L86" s="206"/>
      <c r="M86" s="247"/>
      <c r="N86" s="1078"/>
      <c r="O86" s="1078"/>
      <c r="P86" s="1078"/>
    </row>
    <row r="87" spans="1:16" ht="12.75" customHeight="1" x14ac:dyDescent="0.2">
      <c r="A87" s="242"/>
      <c r="B87" s="243"/>
      <c r="C87" s="242"/>
      <c r="D87" s="783" t="s">
        <v>1001</v>
      </c>
      <c r="G87" s="1055"/>
      <c r="H87" s="1055"/>
      <c r="I87" s="1055"/>
      <c r="J87" s="1055"/>
      <c r="K87" s="1055"/>
      <c r="L87" s="206"/>
      <c r="M87" s="247"/>
      <c r="N87" s="1078"/>
      <c r="O87" s="1078"/>
      <c r="P87" s="1078"/>
    </row>
    <row r="88" spans="1:16" x14ac:dyDescent="0.2">
      <c r="A88" s="242"/>
      <c r="B88" s="243"/>
      <c r="C88" s="242"/>
      <c r="D88" s="207"/>
      <c r="E88" s="64"/>
      <c r="F88" s="64"/>
      <c r="G88" s="65"/>
      <c r="H88" s="64"/>
      <c r="I88" s="64"/>
      <c r="J88" s="64"/>
      <c r="K88" s="64"/>
      <c r="L88" s="208"/>
      <c r="M88" s="247"/>
      <c r="N88" s="1078"/>
      <c r="O88" s="1078"/>
      <c r="P88" s="1078"/>
    </row>
    <row r="89" spans="1:16" ht="6" customHeight="1" x14ac:dyDescent="0.2">
      <c r="A89" s="242"/>
      <c r="B89" s="243"/>
      <c r="C89" s="242"/>
      <c r="D89" s="242"/>
      <c r="E89" s="242"/>
      <c r="F89" s="242"/>
      <c r="G89" s="283"/>
      <c r="H89" s="242"/>
      <c r="I89" s="242"/>
      <c r="J89" s="242"/>
      <c r="K89" s="242"/>
      <c r="L89" s="242"/>
      <c r="M89" s="247"/>
      <c r="N89" s="1078"/>
      <c r="O89" s="1078"/>
      <c r="P89" s="1078"/>
    </row>
    <row r="90" spans="1:16" x14ac:dyDescent="0.2">
      <c r="A90" s="242"/>
      <c r="B90" s="243"/>
      <c r="C90" s="242"/>
      <c r="D90" s="203"/>
      <c r="E90" s="67"/>
      <c r="F90" s="67"/>
      <c r="G90" s="68"/>
      <c r="H90" s="67"/>
      <c r="I90" s="67"/>
      <c r="J90" s="67"/>
      <c r="K90" s="67"/>
      <c r="L90" s="204"/>
      <c r="M90" s="247"/>
      <c r="N90" s="1078"/>
      <c r="O90" s="1078"/>
      <c r="P90" s="1078"/>
    </row>
    <row r="91" spans="1:16" x14ac:dyDescent="0.2">
      <c r="A91" s="242"/>
      <c r="B91" s="243"/>
      <c r="C91" s="242"/>
      <c r="D91" s="205"/>
      <c r="E91" s="1082" t="s">
        <v>985</v>
      </c>
      <c r="F91" s="1082"/>
      <c r="G91" s="1082"/>
      <c r="H91" s="1082"/>
      <c r="I91" s="1082"/>
      <c r="J91" s="1082"/>
      <c r="K91" s="248"/>
      <c r="L91" s="206"/>
      <c r="M91" s="247"/>
      <c r="N91" s="1078"/>
      <c r="O91" s="1078"/>
      <c r="P91" s="1078"/>
    </row>
    <row r="92" spans="1:16" x14ac:dyDescent="0.2">
      <c r="A92" s="242"/>
      <c r="B92" s="243"/>
      <c r="C92" s="242"/>
      <c r="D92" s="205"/>
      <c r="E92" s="248"/>
      <c r="F92" s="248"/>
      <c r="G92" s="249"/>
      <c r="H92" s="248"/>
      <c r="I92" s="248"/>
      <c r="J92" s="248"/>
      <c r="K92" s="248"/>
      <c r="L92" s="206"/>
      <c r="M92" s="247"/>
      <c r="N92" s="1078"/>
      <c r="O92" s="1078"/>
      <c r="P92" s="1078"/>
    </row>
    <row r="93" spans="1:16" x14ac:dyDescent="0.2">
      <c r="A93" s="242"/>
      <c r="B93" s="243"/>
      <c r="C93" s="242"/>
      <c r="D93" s="205"/>
      <c r="E93" s="1056"/>
      <c r="F93" s="1056"/>
      <c r="G93" s="1056"/>
      <c r="H93" s="1056"/>
      <c r="I93" s="1056"/>
      <c r="J93" s="1056"/>
      <c r="K93" s="1056"/>
      <c r="L93" s="206"/>
      <c r="M93" s="247"/>
      <c r="N93" s="1078"/>
      <c r="O93" s="1078"/>
      <c r="P93" s="1078"/>
    </row>
    <row r="94" spans="1:16" x14ac:dyDescent="0.2">
      <c r="A94" s="242"/>
      <c r="B94" s="243"/>
      <c r="C94" s="242"/>
      <c r="D94" s="205"/>
      <c r="E94" s="1056"/>
      <c r="F94" s="1056"/>
      <c r="G94" s="1056"/>
      <c r="H94" s="1056"/>
      <c r="I94" s="1056"/>
      <c r="J94" s="1056"/>
      <c r="K94" s="1056"/>
      <c r="L94" s="206"/>
      <c r="M94" s="247"/>
      <c r="N94" s="1078"/>
      <c r="O94" s="1078"/>
      <c r="P94" s="1078"/>
    </row>
    <row r="95" spans="1:16" x14ac:dyDescent="0.2">
      <c r="A95" s="242"/>
      <c r="B95" s="243"/>
      <c r="C95" s="242"/>
      <c r="D95" s="205"/>
      <c r="E95" s="1056"/>
      <c r="F95" s="1056"/>
      <c r="G95" s="1056"/>
      <c r="H95" s="1056"/>
      <c r="I95" s="1056"/>
      <c r="J95" s="1056"/>
      <c r="K95" s="1056"/>
      <c r="L95" s="206"/>
      <c r="M95" s="247"/>
      <c r="N95" s="1078"/>
      <c r="O95" s="1078"/>
      <c r="P95" s="1078"/>
    </row>
    <row r="96" spans="1:16" x14ac:dyDescent="0.2">
      <c r="A96" s="242"/>
      <c r="B96" s="243"/>
      <c r="C96" s="242"/>
      <c r="D96" s="207"/>
      <c r="E96" s="64"/>
      <c r="F96" s="64"/>
      <c r="G96" s="65"/>
      <c r="H96" s="64"/>
      <c r="I96" s="64"/>
      <c r="J96" s="64"/>
      <c r="K96" s="64"/>
      <c r="L96" s="208"/>
      <c r="M96" s="247"/>
    </row>
    <row r="97" spans="1:16" ht="6" customHeight="1" x14ac:dyDescent="0.2">
      <c r="A97" s="242"/>
      <c r="B97" s="243"/>
      <c r="C97" s="242"/>
      <c r="D97" s="242"/>
      <c r="E97" s="248"/>
      <c r="F97" s="248"/>
      <c r="G97" s="249"/>
      <c r="H97" s="248"/>
      <c r="I97" s="248"/>
      <c r="J97" s="248"/>
      <c r="K97" s="248"/>
      <c r="L97" s="242"/>
      <c r="M97" s="247"/>
    </row>
    <row r="98" spans="1:16" x14ac:dyDescent="0.2">
      <c r="A98" s="242"/>
      <c r="B98" s="243"/>
      <c r="C98" s="242"/>
      <c r="D98" s="203"/>
      <c r="E98" s="67"/>
      <c r="F98" s="67"/>
      <c r="G98" s="68"/>
      <c r="H98" s="67"/>
      <c r="I98" s="67"/>
      <c r="J98" s="67"/>
      <c r="K98" s="67"/>
      <c r="L98" s="204"/>
      <c r="M98" s="247"/>
    </row>
    <row r="99" spans="1:16" x14ac:dyDescent="0.2">
      <c r="A99" s="242"/>
      <c r="B99" s="243"/>
      <c r="C99" s="242"/>
      <c r="D99" s="205"/>
      <c r="E99" s="211" t="s">
        <v>933</v>
      </c>
      <c r="F99" s="211"/>
      <c r="G99" s="326"/>
      <c r="H99" s="325"/>
      <c r="I99" s="325"/>
      <c r="J99" s="325"/>
      <c r="K99" s="325"/>
      <c r="L99" s="269"/>
      <c r="M99" s="247"/>
      <c r="N99" s="1098" t="str">
        <f>Stammdaten_DropDown!A113</f>
        <v>Lohnentwicklung</v>
      </c>
      <c r="O99" s="1098"/>
      <c r="P99" s="1098"/>
    </row>
    <row r="100" spans="1:16" x14ac:dyDescent="0.2">
      <c r="A100" s="242"/>
      <c r="B100" s="243"/>
      <c r="C100" s="242"/>
      <c r="D100" s="205"/>
      <c r="E100" s="248"/>
      <c r="F100" s="248"/>
      <c r="G100" s="562"/>
      <c r="H100" s="248"/>
      <c r="I100" s="248"/>
      <c r="J100" s="248"/>
      <c r="K100" s="248"/>
      <c r="L100" s="269"/>
      <c r="M100" s="247"/>
      <c r="N100" s="1105" t="str">
        <f>Stammdaten_DropDown!A114</f>
        <v>Bitte angeben, ob eine individuelle Lohnentwicklung gewährt werden soll.</v>
      </c>
      <c r="O100" s="1105"/>
      <c r="P100" s="1105"/>
    </row>
    <row r="101" spans="1:16" x14ac:dyDescent="0.2">
      <c r="A101" s="242"/>
      <c r="B101" s="243"/>
      <c r="C101" s="242"/>
      <c r="D101" s="205"/>
      <c r="E101" s="248" t="s">
        <v>945</v>
      </c>
      <c r="F101" s="248"/>
      <c r="G101" s="562"/>
      <c r="H101" s="248"/>
      <c r="I101" s="248"/>
      <c r="J101" s="1083"/>
      <c r="K101" s="1083"/>
      <c r="L101" s="269"/>
      <c r="M101" s="247"/>
      <c r="N101" s="1105" t="str">
        <f>Stammdaten_DropDown!A115</f>
        <v>Bei einem Neueintritt nach dem 01.07.2024 ist keine individuelle Lohnentwicklung vorgesehen.</v>
      </c>
      <c r="O101" s="1105"/>
      <c r="P101" s="1105"/>
    </row>
    <row r="102" spans="1:16" x14ac:dyDescent="0.2">
      <c r="A102" s="242"/>
      <c r="B102" s="243"/>
      <c r="C102" s="242"/>
      <c r="D102" s="205"/>
      <c r="E102" s="248"/>
      <c r="F102" s="248"/>
      <c r="G102" s="562"/>
      <c r="H102" s="248"/>
      <c r="I102" s="248"/>
      <c r="J102" s="248"/>
      <c r="K102" s="248"/>
      <c r="L102" s="269"/>
      <c r="M102" s="247"/>
      <c r="N102" s="1105" t="str">
        <f>Stammdaten_DropDown!A116</f>
        <v>In dem Fall ist das Prädikat auf dem Wert «NA» (keine Beurteilung) zu belassen.</v>
      </c>
      <c r="O102" s="1105"/>
      <c r="P102" s="1105"/>
    </row>
    <row r="103" spans="1:16" x14ac:dyDescent="0.2">
      <c r="A103" s="242"/>
      <c r="B103" s="243"/>
      <c r="C103" s="242"/>
      <c r="D103" s="205"/>
      <c r="E103" s="278" t="s">
        <v>765</v>
      </c>
      <c r="F103" s="247"/>
      <c r="G103" s="279" t="str">
        <f>IF(ISBLANK($J$101),IF(BandLohnBer="",IF(BandLohnRechner="","",BandLohnRechner),IF(BandLohnRechner="",BandLohnBer,"FEHLER")),"-")</f>
        <v/>
      </c>
      <c r="I103" s="718" t="s">
        <v>809</v>
      </c>
      <c r="J103" s="247"/>
      <c r="K103" s="280" t="str">
        <f>IF(ISBLANK($J$101),IF(EWLohnBer="",IF(EWLohnRechner="","",EWLohnRechner),IF(EWLohnRechner="",EWLohnBer,"FEHLER")),"-")</f>
        <v/>
      </c>
      <c r="L103" s="269"/>
      <c r="M103" s="247"/>
      <c r="N103" s="899"/>
    </row>
    <row r="104" spans="1:16" x14ac:dyDescent="0.2">
      <c r="A104" s="242"/>
      <c r="B104" s="243"/>
      <c r="C104" s="242"/>
      <c r="D104" s="205"/>
      <c r="E104" s="448" t="b">
        <f>AND(BandLohnBer&lt;&gt;"",BandLohnRechner&lt;&gt;"")</f>
        <v>0</v>
      </c>
      <c r="F104" s="248"/>
      <c r="G104" s="563" t="str">
        <f>IF(E104,"2 Lohnbänder gefunden","")</f>
        <v/>
      </c>
      <c r="H104" s="744" t="b">
        <f>AND(EWLohnBer&lt;&gt;"",EWLohnRechner&lt;&gt;"")</f>
        <v>0</v>
      </c>
      <c r="J104" s="1092" t="str">
        <f>IF(H104,"2 Erfahrungswerte gefunden","")</f>
        <v/>
      </c>
      <c r="K104" s="1092"/>
      <c r="L104" s="269"/>
      <c r="M104" s="247"/>
      <c r="N104" s="1096" t="str">
        <f>Stammdaten_DropDown!A117</f>
        <v xml:space="preserve">Falls eine individuelle  Lohnentwicklung gewährt werden soll, ist das entsprechende Prädikat aus der relevanten MAG-Phase im Dropdown-Menu auszuwählen. </v>
      </c>
      <c r="O104" s="1096"/>
      <c r="P104" s="1096"/>
    </row>
    <row r="105" spans="1:16" x14ac:dyDescent="0.2">
      <c r="A105" s="242"/>
      <c r="B105" s="243"/>
      <c r="C105" s="242"/>
      <c r="D105" s="205"/>
      <c r="E105" s="767"/>
      <c r="F105" s="247"/>
      <c r="G105" s="247"/>
      <c r="I105" s="718" t="s">
        <v>1113</v>
      </c>
      <c r="K105" s="778" t="str">
        <f>IF(ISBLANK($J$101),IF(LohnLohnBer="",IF(LohnLohnRechner="","",LohnLohnRechner),IF(LohnLohnRechner="",LohnLohnBer,"FEHLER")),"-")</f>
        <v/>
      </c>
      <c r="L105" s="269"/>
      <c r="M105" s="247"/>
      <c r="N105" s="1096"/>
      <c r="O105" s="1096"/>
      <c r="P105" s="1096"/>
    </row>
    <row r="106" spans="1:16" x14ac:dyDescent="0.2">
      <c r="A106" s="242"/>
      <c r="B106" s="243"/>
      <c r="C106" s="242"/>
      <c r="D106" s="205"/>
      <c r="E106" s="248"/>
      <c r="F106" s="248"/>
      <c r="G106" s="248"/>
      <c r="H106" s="248"/>
      <c r="I106" s="448" t="b">
        <f>AND(LohnLohnBer&lt;&gt;"",LohnLohnRechner&lt;&gt;"")</f>
        <v>0</v>
      </c>
      <c r="J106" s="1092" t="str">
        <f>IF(I106,"2 Löhne gefunden","")</f>
        <v/>
      </c>
      <c r="K106" s="1092"/>
      <c r="L106" s="269"/>
      <c r="M106" s="247"/>
      <c r="N106" s="1105" t="str">
        <f>Stammdaten_DropDown!A118</f>
        <v>Ist noch keine Beurteilung hinterlegt, so ist das Prädikat auf «A» zu belassen.</v>
      </c>
      <c r="O106" s="1105"/>
      <c r="P106" s="1105"/>
    </row>
    <row r="107" spans="1:16" x14ac:dyDescent="0.2">
      <c r="A107" s="242"/>
      <c r="B107" s="243"/>
      <c r="C107" s="242"/>
      <c r="D107" s="205"/>
      <c r="F107" s="248"/>
      <c r="G107" s="248"/>
      <c r="H107" s="719" t="s">
        <v>1002</v>
      </c>
      <c r="J107" s="242"/>
      <c r="K107" s="564" t="str">
        <f>IFERROR(ROUND(#REF!*K105,2), "aus SAP")</f>
        <v>aus SAP</v>
      </c>
      <c r="L107" s="269"/>
      <c r="M107" s="247"/>
    </row>
    <row r="108" spans="1:16" x14ac:dyDescent="0.2">
      <c r="A108" s="242"/>
      <c r="B108" s="243"/>
      <c r="C108" s="242"/>
      <c r="D108" s="205"/>
      <c r="F108" s="248"/>
      <c r="G108" s="248"/>
      <c r="H108" s="719"/>
      <c r="J108" s="242"/>
      <c r="K108" s="907"/>
      <c r="L108" s="269"/>
      <c r="M108" s="247"/>
    </row>
    <row r="109" spans="1:16" x14ac:dyDescent="0.2">
      <c r="A109" s="242"/>
      <c r="B109" s="243"/>
      <c r="C109" s="242"/>
      <c r="D109" s="205"/>
      <c r="E109" s="238" t="str">
        <f>CONCATENATE("Lohnentwicklung per 01.01.",LohntabelleM!I1+1," gewähren?")</f>
        <v>Lohnentwicklung per 01.01.2025 gewähren?</v>
      </c>
      <c r="F109" s="248"/>
      <c r="G109" s="248"/>
      <c r="H109" s="921"/>
      <c r="J109" s="905" t="s">
        <v>1966</v>
      </c>
      <c r="K109" s="920" t="str">
        <f>L109</f>
        <v/>
      </c>
      <c r="L109" s="901" t="str">
        <f>IF(H109="Ja","A",IF(H109="Nein","NA",""))</f>
        <v/>
      </c>
      <c r="M109" s="247"/>
    </row>
    <row r="110" spans="1:16" ht="7.5" customHeight="1" x14ac:dyDescent="0.2">
      <c r="A110" s="242"/>
      <c r="B110" s="243"/>
      <c r="C110" s="242"/>
      <c r="D110" s="207"/>
      <c r="E110" s="64"/>
      <c r="F110" s="64"/>
      <c r="G110" s="65"/>
      <c r="H110" s="64"/>
      <c r="I110" s="64"/>
      <c r="J110" s="64"/>
      <c r="K110" s="64"/>
      <c r="L110" s="282"/>
      <c r="M110" s="247"/>
    </row>
    <row r="111" spans="1:16" ht="10.9" customHeight="1" x14ac:dyDescent="0.2">
      <c r="A111" s="242"/>
      <c r="B111" s="243"/>
      <c r="C111" s="242"/>
      <c r="D111" s="242"/>
      <c r="E111" s="248"/>
      <c r="F111" s="242"/>
      <c r="G111" s="242"/>
      <c r="H111" s="242"/>
      <c r="I111" s="242"/>
      <c r="J111" s="242"/>
      <c r="K111" s="242"/>
      <c r="L111" s="242"/>
      <c r="M111" s="247"/>
    </row>
    <row r="112" spans="1:16" ht="96" customHeight="1" x14ac:dyDescent="0.2">
      <c r="A112" s="242"/>
      <c r="B112" s="243"/>
      <c r="C112" s="242"/>
      <c r="D112" s="1063" t="s">
        <v>966</v>
      </c>
      <c r="E112" s="1063"/>
      <c r="F112" s="1063"/>
      <c r="G112" s="1063"/>
      <c r="H112" s="1063"/>
      <c r="I112" s="1063"/>
      <c r="J112" s="1063"/>
      <c r="K112" s="1063"/>
      <c r="L112" s="248"/>
      <c r="M112" s="247"/>
    </row>
    <row r="113" spans="1:13" x14ac:dyDescent="0.2">
      <c r="A113" s="242"/>
      <c r="B113" s="242"/>
      <c r="C113" s="242"/>
      <c r="E113" s="248"/>
      <c r="F113" s="248"/>
      <c r="G113" s="248"/>
      <c r="H113" s="248"/>
      <c r="I113" s="248"/>
      <c r="J113" s="242"/>
      <c r="K113" s="242"/>
      <c r="L113" s="242"/>
      <c r="M113" s="247"/>
    </row>
    <row r="114" spans="1:13" x14ac:dyDescent="0.2">
      <c r="A114" s="242"/>
      <c r="B114" s="242"/>
      <c r="C114" s="242"/>
      <c r="E114" s="248"/>
      <c r="F114" s="248"/>
      <c r="G114" s="248"/>
      <c r="H114" s="248"/>
      <c r="I114" s="248"/>
      <c r="J114" s="265"/>
      <c r="K114" s="265"/>
      <c r="L114" s="265"/>
      <c r="M114" s="247"/>
    </row>
    <row r="115" spans="1:13" x14ac:dyDescent="0.2">
      <c r="A115" s="242"/>
      <c r="B115" s="242"/>
      <c r="C115" s="242"/>
      <c r="E115" s="248"/>
      <c r="F115" s="248"/>
      <c r="G115" s="248"/>
      <c r="H115" s="248"/>
      <c r="I115" s="248"/>
      <c r="M115" s="247"/>
    </row>
    <row r="116" spans="1:13" x14ac:dyDescent="0.2">
      <c r="A116" s="242"/>
      <c r="B116" s="242"/>
      <c r="C116" s="242"/>
      <c r="E116" s="248"/>
      <c r="F116" s="248"/>
      <c r="G116" s="248"/>
      <c r="H116" s="248"/>
      <c r="I116" s="248"/>
      <c r="M116" s="247"/>
    </row>
    <row r="117" spans="1:13" x14ac:dyDescent="0.2">
      <c r="E117" s="248"/>
      <c r="F117" s="248"/>
      <c r="G117" s="248"/>
      <c r="H117" s="248"/>
      <c r="I117" s="248"/>
    </row>
    <row r="118" spans="1:13" x14ac:dyDescent="0.2">
      <c r="E118" s="248"/>
      <c r="F118" s="248"/>
      <c r="G118" s="248"/>
      <c r="H118" s="248"/>
      <c r="I118" s="248"/>
    </row>
  </sheetData>
  <sheetProtection algorithmName="SHA-512" hashValue="mPkYnrg2lg9xj51swdZQd+FOzbRW866jWO6mlcBWmH2TK9LiZrzzFp46b81afenWHHYMTuPMrI7w5WmBoWdZDQ==" saltValue="r89qp5fMN+nTLBWDgXXb3Q==" spinCount="100000" sheet="1" objects="1" scenarios="1"/>
  <mergeCells count="50">
    <mergeCell ref="N102:P102"/>
    <mergeCell ref="N104:P105"/>
    <mergeCell ref="N106:P106"/>
    <mergeCell ref="E94:K94"/>
    <mergeCell ref="E95:K95"/>
    <mergeCell ref="J101:K101"/>
    <mergeCell ref="N101:P101"/>
    <mergeCell ref="J106:K106"/>
    <mergeCell ref="N29:O31"/>
    <mergeCell ref="H85:K85"/>
    <mergeCell ref="N73:P95"/>
    <mergeCell ref="N99:P99"/>
    <mergeCell ref="N100:P100"/>
    <mergeCell ref="E37:J37"/>
    <mergeCell ref="J45:K45"/>
    <mergeCell ref="E49:G49"/>
    <mergeCell ref="H49:K49"/>
    <mergeCell ref="E55:H55"/>
    <mergeCell ref="E51:F51"/>
    <mergeCell ref="E53:G53"/>
    <mergeCell ref="J78:K78"/>
    <mergeCell ref="D31:L32"/>
    <mergeCell ref="E91:J91"/>
    <mergeCell ref="E93:K93"/>
    <mergeCell ref="E10:F10"/>
    <mergeCell ref="E12:F12"/>
    <mergeCell ref="G12:H12"/>
    <mergeCell ref="J12:K12"/>
    <mergeCell ref="F21:K21"/>
    <mergeCell ref="E14:F14"/>
    <mergeCell ref="J14:K14"/>
    <mergeCell ref="F20:J20"/>
    <mergeCell ref="F16:H16"/>
    <mergeCell ref="J16:K16"/>
    <mergeCell ref="N12:O13"/>
    <mergeCell ref="F22:I22"/>
    <mergeCell ref="F23:G23"/>
    <mergeCell ref="D112:K112"/>
    <mergeCell ref="H57:K57"/>
    <mergeCell ref="H53:K53"/>
    <mergeCell ref="H51:K51"/>
    <mergeCell ref="J83:K83"/>
    <mergeCell ref="E58:F58"/>
    <mergeCell ref="E57:G57"/>
    <mergeCell ref="E61:G61"/>
    <mergeCell ref="E63:K63"/>
    <mergeCell ref="E64:K64"/>
    <mergeCell ref="E65:K65"/>
    <mergeCell ref="G87:K87"/>
    <mergeCell ref="J104:K104"/>
  </mergeCells>
  <conditionalFormatting sqref="G103 K105">
    <cfRule type="expression" dxfId="119" priority="6">
      <formula>E104</formula>
    </cfRule>
  </conditionalFormatting>
  <conditionalFormatting sqref="K103">
    <cfRule type="expression" dxfId="118" priority="175">
      <formula>H104</formula>
    </cfRule>
  </conditionalFormatting>
  <conditionalFormatting sqref="J109">
    <cfRule type="expression" dxfId="117" priority="3">
      <formula>#REF!</formula>
    </cfRule>
  </conditionalFormatting>
  <conditionalFormatting sqref="J109:K109 N102:P106">
    <cfRule type="expression" dxfId="116" priority="2">
      <formula>$H$109=""</formula>
    </cfRule>
  </conditionalFormatting>
  <conditionalFormatting sqref="D87:K109 N99:P110">
    <cfRule type="expression" dxfId="115" priority="1">
      <formula>$H$85=""</formula>
    </cfRule>
  </conditionalFormatting>
  <dataValidations count="7">
    <dataValidation type="list" allowBlank="1" showInputMessage="1" showErrorMessage="1" sqref="H51:K51">
      <formula1>VPFunktSchule</formula1>
    </dataValidation>
    <dataValidation allowBlank="1" showInputMessage="1" sqref="J83"/>
    <dataValidation operator="greaterThan" allowBlank="1" showInputMessage="1" showErrorMessage="1" errorTitle="Fehler" error="Pensum als Ganzzahl angeben" sqref="J109 K105 K107:K108"/>
    <dataValidation type="date" operator="greaterThan" allowBlank="1" showInputMessage="1" showErrorMessage="1" errorTitle="Fehler" error="Geben Sie ein gültiges Datum dd.mm.yyyy ein!" sqref="L52 L45 G45 G78:G80 K80">
      <formula1>1</formula1>
    </dataValidation>
    <dataValidation type="list" allowBlank="1" showInputMessage="1" showErrorMessage="1" sqref="J45:K45">
      <formula1>AnstellungsartVP</formula1>
    </dataValidation>
    <dataValidation operator="greaterThan" allowBlank="1" showInputMessage="1" showErrorMessage="1" errorTitle="Fehler" error="Geben Sie ein gültiges Datum dd.mm.yyyy ein!" sqref="G81 K81"/>
    <dataValidation type="decimal" allowBlank="1" showInputMessage="1" showErrorMessage="1" errorTitle="Fehler" error="Geben Sie einen Wert zwischen 1% und 100% ein." sqref="G43">
      <formula1>0.01</formula1>
      <formula2>1</formula2>
    </dataValidation>
  </dataValidations>
  <hyperlinks>
    <hyperlink ref="N29" location="Pensenberechnung!A1" display="Pensenberechnung"/>
    <hyperlink ref="N12:O13" location="_A_Grunddaten" display="Zurück zu Grunddaten"/>
  </hyperlinks>
  <printOptions horizontalCentered="1"/>
  <pageMargins left="0.70866141732283472" right="0.70866141732283472" top="0.74803149606299213" bottom="0.74803149606299213" header="0.31496062992125984" footer="0.31496062992125984"/>
  <pageSetup paperSize="9" scale="89" fitToHeight="0" orientation="portrait" r:id="rId1"/>
  <headerFooter>
    <oddFooter>Seite &amp;P von &amp;N</oddFooter>
  </headerFooter>
  <rowBreaks count="1" manualBreakCount="1">
    <brk id="70" max="16383" man="1"/>
  </rowBreaks>
  <ignoredErrors>
    <ignoredError sqref="K109"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403458" r:id="rId4" name="Check Box 2">
              <controlPr defaultSize="0" autoFill="0" autoLine="0" autoPict="0">
                <anchor>
                  <from>
                    <xdr:col>8</xdr:col>
                    <xdr:colOff>285750</xdr:colOff>
                    <xdr:row>45</xdr:row>
                    <xdr:rowOff>104775</xdr:rowOff>
                  </from>
                  <to>
                    <xdr:col>10</xdr:col>
                    <xdr:colOff>762000</xdr:colOff>
                    <xdr:row>47</xdr:row>
                    <xdr:rowOff>19050</xdr:rowOff>
                  </to>
                </anchor>
              </controlPr>
            </control>
          </mc:Choice>
        </mc:AlternateContent>
        <mc:AlternateContent xmlns:mc="http://schemas.openxmlformats.org/markup-compatibility/2006">
          <mc:Choice Requires="x14">
            <control shapeId="403460" r:id="rId5" name="Check Box 4">
              <controlPr defaultSize="0" autoFill="0" autoLine="0" autoPict="0">
                <anchor>
                  <from>
                    <xdr:col>4</xdr:col>
                    <xdr:colOff>76200</xdr:colOff>
                    <xdr:row>53</xdr:row>
                    <xdr:rowOff>123825</xdr:rowOff>
                  </from>
                  <to>
                    <xdr:col>7</xdr:col>
                    <xdr:colOff>85725</xdr:colOff>
                    <xdr:row>55</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Stammdaten_DropDown!$E$92:$E$99</xm:f>
          </x14:formula1>
          <xm:sqref>H85:K85</xm:sqref>
        </x14:dataValidation>
        <x14:dataValidation type="list" allowBlank="1" showInputMessage="1" showErrorMessage="1">
          <x14:formula1>
            <xm:f>Stammdaten_DropDown!$E$102:$E$103</xm:f>
          </x14:formula1>
          <xm:sqref>H109</xm:sqref>
        </x14:dataValidation>
        <x14:dataValidation type="list" operator="greaterThan" allowBlank="1" showInputMessage="1" showErrorMessage="1" errorTitle="Fehler" error="Pensum als Ganzzahl angeben">
          <x14:formula1>
            <xm:f>Stammdaten_DropDown!$E$106:$E$109</xm:f>
          </x14:formula1>
          <xm:sqref>K109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5">
    <pageSetUpPr fitToPage="1"/>
  </sheetPr>
  <dimension ref="A1:X46"/>
  <sheetViews>
    <sheetView zoomScaleNormal="100" workbookViewId="0">
      <selection activeCell="J17" sqref="J17:K17"/>
    </sheetView>
  </sheetViews>
  <sheetFormatPr baseColWidth="10" defaultColWidth="11.5703125" defaultRowHeight="12.75" x14ac:dyDescent="0.2"/>
  <cols>
    <col min="1" max="1" width="3.5703125" style="93" customWidth="1"/>
    <col min="2" max="2" width="1.42578125" style="196" customWidth="1"/>
    <col min="3" max="3" width="0.5703125" style="196" customWidth="1"/>
    <col min="4" max="4" width="3.5703125" style="93" customWidth="1"/>
    <col min="5" max="5" width="11.5703125" style="93"/>
    <col min="6" max="6" width="7.7109375" style="93" customWidth="1"/>
    <col min="7" max="7" width="5.28515625" style="93" customWidth="1"/>
    <col min="8" max="8" width="9.7109375" style="93" customWidth="1"/>
    <col min="9" max="9" width="6.7109375" style="93" customWidth="1"/>
    <col min="10" max="10" width="9.5703125" style="93" customWidth="1"/>
    <col min="11" max="11" width="3.28515625" style="93" customWidth="1"/>
    <col min="12" max="12" width="2.42578125" style="93" customWidth="1"/>
    <col min="13" max="13" width="9.28515625" style="93" customWidth="1"/>
    <col min="14" max="14" width="11.7109375" style="93" customWidth="1"/>
    <col min="15" max="15" width="12.140625" style="93" customWidth="1"/>
    <col min="16" max="16" width="2.7109375" style="93" customWidth="1"/>
    <col min="17" max="17" width="3.5703125" style="93" customWidth="1"/>
    <col min="18" max="18" width="11.5703125" style="93"/>
    <col min="19" max="19" width="4.5703125" style="93" customWidth="1"/>
    <col min="20" max="20" width="6" style="93" customWidth="1"/>
    <col min="21" max="23" width="8.28515625" style="93" customWidth="1"/>
    <col min="24" max="24" width="4.5703125" style="93" customWidth="1"/>
    <col min="25" max="16384" width="11.5703125" style="93"/>
  </cols>
  <sheetData>
    <row r="1" spans="1:24" s="46" customFormat="1" ht="5.0999999999999996" customHeight="1" x14ac:dyDescent="0.2">
      <c r="B1" s="196"/>
      <c r="C1" s="196"/>
    </row>
    <row r="2" spans="1:24" s="46" customFormat="1" ht="45" customHeight="1" x14ac:dyDescent="0.2">
      <c r="B2" s="420"/>
      <c r="C2" s="196"/>
      <c r="D2" s="1167" t="s">
        <v>1154</v>
      </c>
      <c r="E2" s="1167"/>
      <c r="F2" s="1167"/>
      <c r="G2" s="1167"/>
      <c r="H2" s="1167"/>
      <c r="I2" s="1167"/>
      <c r="J2" s="1167"/>
      <c r="K2" s="1167"/>
      <c r="L2" s="1167"/>
      <c r="M2" s="1167"/>
      <c r="N2" s="96"/>
      <c r="O2" s="96"/>
      <c r="P2" s="96"/>
    </row>
    <row r="3" spans="1:24" s="46" customFormat="1" ht="10.5" customHeight="1" x14ac:dyDescent="0.2">
      <c r="K3" s="96"/>
      <c r="L3" s="96"/>
      <c r="M3" s="96"/>
      <c r="N3" s="96"/>
      <c r="O3" s="96"/>
      <c r="P3" s="96"/>
    </row>
    <row r="4" spans="1:24" s="46" customFormat="1" ht="6.75" customHeight="1" x14ac:dyDescent="0.2">
      <c r="A4" s="98"/>
      <c r="B4" s="210"/>
      <c r="C4" s="210"/>
      <c r="D4" s="210"/>
      <c r="E4" s="210"/>
      <c r="F4" s="422"/>
      <c r="G4" s="422"/>
      <c r="H4" s="210"/>
      <c r="I4" s="423"/>
      <c r="J4" s="423"/>
      <c r="K4" s="424"/>
      <c r="L4" s="424"/>
      <c r="M4" s="423"/>
      <c r="N4" s="423"/>
      <c r="O4" s="423"/>
      <c r="P4" s="423"/>
      <c r="Q4" s="423"/>
      <c r="R4" s="197"/>
    </row>
    <row r="5" spans="1:24" s="46" customFormat="1" ht="6.75" customHeight="1" x14ac:dyDescent="0.2">
      <c r="A5" s="98"/>
      <c r="B5" s="210"/>
      <c r="C5" s="98"/>
      <c r="D5" s="98"/>
      <c r="E5" s="98"/>
      <c r="F5" s="94"/>
      <c r="G5" s="94"/>
      <c r="H5" s="98"/>
      <c r="I5" s="97"/>
      <c r="J5" s="97"/>
      <c r="K5" s="237"/>
      <c r="L5" s="237"/>
      <c r="M5" s="97"/>
      <c r="N5" s="97"/>
      <c r="O5" s="97"/>
      <c r="P5" s="97"/>
      <c r="Q5" s="97"/>
      <c r="R5" s="98"/>
    </row>
    <row r="6" spans="1:24" s="46" customFormat="1" ht="5.0999999999999996" customHeight="1" x14ac:dyDescent="0.2">
      <c r="B6" s="210"/>
      <c r="D6" s="47"/>
      <c r="E6" s="48"/>
      <c r="F6" s="89"/>
      <c r="G6" s="89"/>
      <c r="H6" s="49"/>
      <c r="I6" s="48"/>
      <c r="J6" s="48"/>
      <c r="K6" s="48"/>
      <c r="L6" s="48"/>
      <c r="M6" s="48"/>
      <c r="N6" s="48"/>
      <c r="O6" s="48"/>
      <c r="P6" s="48"/>
      <c r="Q6" s="90"/>
    </row>
    <row r="7" spans="1:24" s="46" customFormat="1" x14ac:dyDescent="0.2">
      <c r="B7" s="210"/>
      <c r="D7" s="50"/>
      <c r="E7" s="94" t="s">
        <v>771</v>
      </c>
      <c r="F7" s="96"/>
      <c r="G7" s="96"/>
      <c r="H7" s="95"/>
      <c r="I7" s="96"/>
      <c r="J7" s="96"/>
      <c r="K7" s="96"/>
      <c r="L7" s="96"/>
      <c r="M7" s="96"/>
      <c r="N7" s="96"/>
      <c r="O7" s="96"/>
      <c r="P7" s="96"/>
      <c r="Q7" s="52"/>
    </row>
    <row r="8" spans="1:24" s="46" customFormat="1" x14ac:dyDescent="0.2">
      <c r="B8" s="210"/>
      <c r="C8" s="98"/>
      <c r="D8" s="50"/>
      <c r="E8" s="97"/>
      <c r="F8" s="97"/>
      <c r="G8" s="97"/>
      <c r="H8" s="237"/>
      <c r="I8" s="97"/>
      <c r="J8" s="97"/>
      <c r="K8" s="97"/>
      <c r="L8" s="97"/>
      <c r="M8" s="97"/>
      <c r="N8" s="97"/>
      <c r="O8" s="97"/>
      <c r="P8" s="97"/>
      <c r="Q8" s="52"/>
    </row>
    <row r="9" spans="1:24" s="46" customFormat="1" x14ac:dyDescent="0.2">
      <c r="B9" s="209"/>
      <c r="C9" s="196"/>
      <c r="D9" s="50"/>
      <c r="E9" s="97" t="s">
        <v>974</v>
      </c>
      <c r="F9" s="97"/>
      <c r="G9" s="97"/>
      <c r="H9" s="652" t="str">
        <f>IF(MAAnrede&lt;&gt;"",MAAnrede,"")</f>
        <v/>
      </c>
      <c r="I9" s="97"/>
      <c r="J9" s="97"/>
      <c r="K9" s="97"/>
      <c r="L9" s="745" t="s">
        <v>763</v>
      </c>
      <c r="O9" s="444" t="str">
        <f>IF(MAPersID&lt;&gt;"",MAPersID,"")</f>
        <v/>
      </c>
      <c r="P9" s="97"/>
      <c r="Q9" s="52"/>
    </row>
    <row r="10" spans="1:24" s="46" customFormat="1" x14ac:dyDescent="0.2">
      <c r="B10" s="210"/>
      <c r="C10" s="98"/>
      <c r="D10" s="50"/>
      <c r="E10" s="97"/>
      <c r="F10" s="97"/>
      <c r="G10" s="97"/>
      <c r="H10" s="237"/>
      <c r="I10" s="97"/>
      <c r="J10" s="97"/>
      <c r="K10" s="97"/>
      <c r="L10" s="745"/>
      <c r="N10" s="97"/>
      <c r="O10" s="97"/>
      <c r="P10" s="97"/>
      <c r="Q10" s="52"/>
      <c r="S10" s="1155" t="s">
        <v>1040</v>
      </c>
      <c r="T10" s="1163"/>
      <c r="U10" s="1163"/>
      <c r="V10" s="1163"/>
      <c r="W10" s="1163"/>
      <c r="X10" s="1156"/>
    </row>
    <row r="11" spans="1:24" s="46" customFormat="1" x14ac:dyDescent="0.2">
      <c r="B11" s="209"/>
      <c r="C11" s="196"/>
      <c r="D11" s="50"/>
      <c r="E11" s="97" t="s">
        <v>757</v>
      </c>
      <c r="F11" s="97"/>
      <c r="G11" s="97"/>
      <c r="H11" s="1168" t="str">
        <f>IF(MAName&lt;&gt;"",MAName,"")</f>
        <v/>
      </c>
      <c r="I11" s="1168"/>
      <c r="J11" s="1168"/>
      <c r="K11" s="97"/>
      <c r="L11" s="745" t="s">
        <v>758</v>
      </c>
      <c r="N11" s="1168" t="str">
        <f>IF(MAVorname&lt;&gt;"",MAVorname,"")</f>
        <v/>
      </c>
      <c r="O11" s="1168"/>
      <c r="P11" s="97"/>
      <c r="Q11" s="52"/>
      <c r="S11" s="1157"/>
      <c r="T11" s="1164"/>
      <c r="U11" s="1164"/>
      <c r="V11" s="1164"/>
      <c r="W11" s="1164"/>
      <c r="X11" s="1158"/>
    </row>
    <row r="12" spans="1:24" s="46" customFormat="1" x14ac:dyDescent="0.2">
      <c r="B12" s="209"/>
      <c r="C12" s="196"/>
      <c r="D12" s="50"/>
      <c r="E12" s="97"/>
      <c r="F12" s="97"/>
      <c r="G12" s="97"/>
      <c r="H12" s="97"/>
      <c r="I12" s="97"/>
      <c r="J12" s="97"/>
      <c r="K12" s="97"/>
      <c r="L12" s="745"/>
      <c r="N12" s="97"/>
      <c r="O12" s="97"/>
      <c r="P12" s="97"/>
      <c r="Q12" s="52"/>
    </row>
    <row r="13" spans="1:24" s="46" customFormat="1" x14ac:dyDescent="0.2">
      <c r="B13" s="209"/>
      <c r="C13" s="196"/>
      <c r="D13" s="50"/>
      <c r="E13" s="97" t="s">
        <v>764</v>
      </c>
      <c r="F13" s="97"/>
      <c r="G13" s="97"/>
      <c r="H13" s="1168" t="str">
        <f>IF(MAVertragsNr&lt;&gt;"",MAVertragsNr,"")</f>
        <v/>
      </c>
      <c r="I13" s="1168"/>
      <c r="J13" s="607"/>
      <c r="K13" s="425"/>
      <c r="L13" s="745" t="s">
        <v>761</v>
      </c>
      <c r="O13" s="480" t="str">
        <f>IF(MAGeburtsdatum&lt;&gt;"",MAGeburtsdatum,"")</f>
        <v/>
      </c>
      <c r="P13" s="97"/>
      <c r="Q13" s="52"/>
      <c r="S13" s="1155" t="s">
        <v>1189</v>
      </c>
      <c r="T13" s="1163"/>
      <c r="U13" s="1163"/>
      <c r="V13" s="1163"/>
      <c r="W13" s="1163"/>
      <c r="X13" s="1156"/>
    </row>
    <row r="14" spans="1:24" s="46" customFormat="1" x14ac:dyDescent="0.2">
      <c r="B14" s="209"/>
      <c r="C14" s="196"/>
      <c r="D14" s="50"/>
      <c r="E14" s="97"/>
      <c r="F14" s="97"/>
      <c r="G14" s="97"/>
      <c r="H14" s="237"/>
      <c r="I14" s="97"/>
      <c r="J14" s="97"/>
      <c r="K14" s="97"/>
      <c r="L14" s="745"/>
      <c r="N14" s="97"/>
      <c r="O14" s="97"/>
      <c r="P14" s="97"/>
      <c r="Q14" s="52"/>
      <c r="S14" s="1157"/>
      <c r="T14" s="1164"/>
      <c r="U14" s="1164"/>
      <c r="V14" s="1164"/>
      <c r="W14" s="1164"/>
      <c r="X14" s="1158"/>
    </row>
    <row r="15" spans="1:24" s="46" customFormat="1" x14ac:dyDescent="0.2">
      <c r="B15" s="209"/>
      <c r="C15" s="196"/>
      <c r="D15" s="50"/>
      <c r="E15" s="51" t="s">
        <v>1212</v>
      </c>
      <c r="F15" s="51"/>
      <c r="G15" s="51"/>
      <c r="I15" s="51"/>
      <c r="J15" s="1166"/>
      <c r="K15" s="1166"/>
      <c r="L15" s="746" t="s">
        <v>1197</v>
      </c>
      <c r="N15" s="51"/>
      <c r="O15" s="660">
        <f>IFERROR(YEAR(BeginnArbeitsdauer)-YEAR(MAGeburtsdatum),"")</f>
        <v>0</v>
      </c>
      <c r="P15" s="51"/>
      <c r="Q15" s="52"/>
    </row>
    <row r="16" spans="1:24" s="46" customFormat="1" x14ac:dyDescent="0.2">
      <c r="B16" s="210"/>
      <c r="C16" s="98"/>
      <c r="D16" s="50"/>
      <c r="E16" s="773"/>
      <c r="F16" s="646"/>
      <c r="G16" s="646"/>
      <c r="H16" s="647"/>
      <c r="I16" s="646"/>
      <c r="J16" s="646"/>
      <c r="K16" s="646"/>
      <c r="L16" s="747"/>
      <c r="N16" s="646"/>
      <c r="O16" s="646"/>
      <c r="P16" s="646"/>
      <c r="Q16" s="53"/>
      <c r="S16" s="1155" t="s">
        <v>1190</v>
      </c>
      <c r="T16" s="1163"/>
      <c r="U16" s="1163"/>
      <c r="V16" s="1163"/>
      <c r="W16" s="1163"/>
      <c r="X16" s="1156"/>
    </row>
    <row r="17" spans="2:24" s="46" customFormat="1" ht="12.75" customHeight="1" x14ac:dyDescent="0.2">
      <c r="B17" s="210"/>
      <c r="C17" s="98"/>
      <c r="D17" s="50"/>
      <c r="E17" s="659" t="s">
        <v>1148</v>
      </c>
      <c r="F17" s="51"/>
      <c r="G17" s="1149"/>
      <c r="H17" s="1149"/>
      <c r="I17" s="608" t="s">
        <v>7</v>
      </c>
      <c r="J17" s="1149"/>
      <c r="K17" s="1149"/>
      <c r="L17" s="746" t="s">
        <v>1174</v>
      </c>
      <c r="N17" s="51"/>
      <c r="O17" s="649">
        <f>Tage_Anstellung</f>
        <v>0</v>
      </c>
      <c r="P17" s="648"/>
      <c r="Q17" s="53"/>
      <c r="S17" s="1157"/>
      <c r="T17" s="1164"/>
      <c r="U17" s="1164"/>
      <c r="V17" s="1164"/>
      <c r="W17" s="1164"/>
      <c r="X17" s="1158"/>
    </row>
    <row r="18" spans="2:24" s="46" customFormat="1" x14ac:dyDescent="0.2">
      <c r="B18" s="210"/>
      <c r="C18" s="98"/>
      <c r="D18" s="50"/>
      <c r="E18" s="51"/>
      <c r="F18" s="51"/>
      <c r="G18" s="51"/>
      <c r="H18" s="51"/>
      <c r="I18" s="51"/>
      <c r="J18" s="51"/>
      <c r="K18" s="51"/>
      <c r="L18" s="746"/>
      <c r="N18" s="51"/>
      <c r="O18" s="51"/>
      <c r="P18" s="45"/>
      <c r="Q18" s="53"/>
    </row>
    <row r="19" spans="2:24" s="46" customFormat="1" x14ac:dyDescent="0.2">
      <c r="B19" s="210"/>
      <c r="C19" s="98"/>
      <c r="D19" s="50"/>
      <c r="E19" s="51" t="s">
        <v>1175</v>
      </c>
      <c r="F19" s="51"/>
      <c r="G19" s="51"/>
      <c r="I19" s="51"/>
      <c r="J19" s="660">
        <f>Schulferien_wArbeitsdauer</f>
        <v>0</v>
      </c>
      <c r="L19" s="748" t="s">
        <v>1222</v>
      </c>
      <c r="N19" s="51"/>
      <c r="O19" s="660">
        <f>Ferien_KJ</f>
        <v>0</v>
      </c>
      <c r="Q19" s="53"/>
      <c r="S19" s="1155" t="s">
        <v>1200</v>
      </c>
      <c r="T19" s="1163"/>
      <c r="U19" s="1163"/>
      <c r="V19" s="1163"/>
      <c r="W19" s="1163"/>
      <c r="X19" s="1156"/>
    </row>
    <row r="20" spans="2:24" s="46" customFormat="1" x14ac:dyDescent="0.2">
      <c r="B20" s="210"/>
      <c r="C20" s="98"/>
      <c r="D20" s="50"/>
      <c r="E20" s="51"/>
      <c r="F20" s="51"/>
      <c r="G20" s="51"/>
      <c r="H20" s="51"/>
      <c r="I20" s="51"/>
      <c r="L20" s="746"/>
      <c r="N20" s="51"/>
      <c r="O20" s="51"/>
      <c r="P20" s="51"/>
      <c r="Q20" s="53"/>
      <c r="S20" s="1157"/>
      <c r="T20" s="1164"/>
      <c r="U20" s="1164"/>
      <c r="V20" s="1164"/>
      <c r="W20" s="1164"/>
      <c r="X20" s="1158"/>
    </row>
    <row r="21" spans="2:24" s="46" customFormat="1" x14ac:dyDescent="0.2">
      <c r="B21" s="210"/>
      <c r="C21" s="98"/>
      <c r="D21" s="50"/>
      <c r="E21" s="51" t="s">
        <v>1173</v>
      </c>
      <c r="F21" s="51"/>
      <c r="G21" s="51"/>
      <c r="H21" s="51"/>
      <c r="I21" s="51"/>
      <c r="J21" s="660">
        <f>Tage_ohne_Schulferien</f>
        <v>0</v>
      </c>
      <c r="L21" s="746" t="s">
        <v>1223</v>
      </c>
      <c r="N21" s="51"/>
      <c r="O21" s="666">
        <f>Ferien_pro_Rata+Ferien_WE</f>
        <v>0</v>
      </c>
      <c r="Q21" s="53"/>
    </row>
    <row r="22" spans="2:24" s="46" customFormat="1" x14ac:dyDescent="0.2">
      <c r="B22" s="210"/>
      <c r="C22" s="98"/>
      <c r="D22" s="50"/>
      <c r="E22" s="51"/>
      <c r="F22" s="51"/>
      <c r="G22" s="51"/>
      <c r="H22" s="51"/>
      <c r="I22" s="51"/>
      <c r="J22" s="51"/>
      <c r="L22" s="746"/>
      <c r="N22" s="51"/>
      <c r="O22" s="51"/>
      <c r="P22" s="51"/>
      <c r="Q22" s="53"/>
      <c r="S22" s="1155" t="s">
        <v>1201</v>
      </c>
      <c r="T22" s="1163"/>
      <c r="U22" s="1163"/>
      <c r="V22" s="1163"/>
      <c r="W22" s="1163"/>
      <c r="X22" s="1156"/>
    </row>
    <row r="23" spans="2:24" s="46" customFormat="1" x14ac:dyDescent="0.2">
      <c r="B23" s="210"/>
      <c r="C23" s="98"/>
      <c r="D23" s="50"/>
      <c r="E23" s="661"/>
      <c r="F23" s="51"/>
      <c r="G23" s="51"/>
      <c r="H23" s="51"/>
      <c r="I23" s="51"/>
      <c r="J23" s="51" t="s">
        <v>1224</v>
      </c>
      <c r="L23" s="749"/>
      <c r="N23" s="51"/>
      <c r="O23" s="666">
        <f>Tage_Anstellungen_oFerien</f>
        <v>0</v>
      </c>
      <c r="Q23" s="53"/>
      <c r="S23" s="1157"/>
      <c r="T23" s="1164"/>
      <c r="U23" s="1164"/>
      <c r="V23" s="1164"/>
      <c r="W23" s="1164"/>
      <c r="X23" s="1158"/>
    </row>
    <row r="24" spans="2:24" s="46" customFormat="1" x14ac:dyDescent="0.2">
      <c r="B24" s="210"/>
      <c r="C24" s="98"/>
      <c r="D24" s="50"/>
      <c r="E24" s="51"/>
      <c r="F24" s="51"/>
      <c r="G24" s="51"/>
      <c r="H24" s="51"/>
      <c r="I24" s="51"/>
      <c r="J24" s="51"/>
      <c r="K24" s="51"/>
      <c r="L24" s="746"/>
      <c r="N24" s="51"/>
      <c r="O24" s="51"/>
      <c r="P24" s="646"/>
      <c r="Q24" s="53"/>
    </row>
    <row r="25" spans="2:24" s="46" customFormat="1" x14ac:dyDescent="0.2">
      <c r="B25" s="210"/>
      <c r="C25" s="98"/>
      <c r="D25" s="50"/>
      <c r="E25" s="51" t="s">
        <v>1152</v>
      </c>
      <c r="F25" s="51"/>
      <c r="G25" s="51"/>
      <c r="H25" s="51"/>
      <c r="I25" s="51"/>
      <c r="J25" s="666">
        <f>Stundenansatz_Woche</f>
        <v>0</v>
      </c>
      <c r="K25" s="51"/>
      <c r="L25" s="746" t="s">
        <v>1153</v>
      </c>
      <c r="N25" s="51"/>
      <c r="O25" s="666">
        <f>Stundenansatz_Tag</f>
        <v>0</v>
      </c>
      <c r="P25" s="646"/>
      <c r="Q25" s="53"/>
    </row>
    <row r="26" spans="2:24" s="46" customFormat="1" x14ac:dyDescent="0.2">
      <c r="B26" s="210"/>
      <c r="C26" s="98"/>
      <c r="D26" s="50"/>
      <c r="E26" s="51"/>
      <c r="F26" s="51"/>
      <c r="G26" s="51"/>
      <c r="H26" s="51"/>
      <c r="I26" s="51"/>
      <c r="J26" s="51"/>
      <c r="K26" s="51"/>
      <c r="L26" s="746"/>
      <c r="N26" s="51"/>
      <c r="O26" s="51"/>
      <c r="P26" s="646"/>
      <c r="Q26" s="53"/>
    </row>
    <row r="27" spans="2:24" s="46" customFormat="1" x14ac:dyDescent="0.2">
      <c r="B27" s="210"/>
      <c r="C27" s="98"/>
      <c r="D27" s="50"/>
      <c r="E27" s="1165" t="str">
        <f>IF(OR(BeginnArbeitsdauer="",EndeArbeitsdauer="",MAGeburtsdatum=""),"Ein Datumswert fehlt","")</f>
        <v>Ein Datumswert fehlt</v>
      </c>
      <c r="F27" s="1165"/>
      <c r="G27" s="1165"/>
      <c r="H27" s="1165"/>
      <c r="I27" s="92"/>
      <c r="J27" s="92"/>
      <c r="K27" s="92"/>
      <c r="L27" s="750" t="s">
        <v>1145</v>
      </c>
      <c r="N27" s="51"/>
      <c r="O27" s="667">
        <f>Pensum</f>
        <v>0</v>
      </c>
      <c r="P27" s="92"/>
      <c r="Q27" s="53"/>
    </row>
    <row r="28" spans="2:24" s="46" customFormat="1" ht="8.1" customHeight="1" x14ac:dyDescent="0.2">
      <c r="B28" s="210"/>
      <c r="C28" s="98"/>
      <c r="D28" s="54"/>
      <c r="E28" s="229"/>
      <c r="F28" s="229"/>
      <c r="G28" s="229"/>
      <c r="H28" s="229"/>
      <c r="I28" s="229"/>
      <c r="J28" s="229"/>
      <c r="K28" s="229"/>
      <c r="L28" s="229"/>
      <c r="M28" s="229"/>
      <c r="N28" s="229"/>
      <c r="O28" s="229"/>
      <c r="P28" s="229"/>
      <c r="Q28" s="57"/>
    </row>
    <row r="29" spans="2:24" s="46" customFormat="1" x14ac:dyDescent="0.2">
      <c r="B29" s="210"/>
      <c r="C29" s="98"/>
      <c r="E29" s="93"/>
      <c r="F29" s="93"/>
      <c r="G29" s="93"/>
      <c r="H29" s="93"/>
      <c r="I29" s="93"/>
      <c r="J29" s="93"/>
      <c r="K29" s="93"/>
      <c r="L29" s="93"/>
      <c r="M29" s="93"/>
      <c r="N29" s="93"/>
      <c r="O29" s="93"/>
      <c r="P29" s="93"/>
    </row>
    <row r="30" spans="2:24" s="46" customFormat="1" x14ac:dyDescent="0.2">
      <c r="B30" s="93"/>
      <c r="C30" s="196"/>
      <c r="E30" s="93"/>
      <c r="F30" s="93"/>
      <c r="G30" s="93"/>
      <c r="H30" s="93"/>
      <c r="I30" s="93"/>
      <c r="J30" s="93"/>
      <c r="K30" s="93"/>
      <c r="L30" s="93"/>
      <c r="M30" s="93"/>
      <c r="N30" s="93"/>
      <c r="O30" s="93"/>
      <c r="P30" s="93"/>
    </row>
    <row r="31" spans="2:24" s="46" customFormat="1" x14ac:dyDescent="0.2">
      <c r="B31" s="93"/>
      <c r="C31" s="196"/>
      <c r="E31" s="93"/>
      <c r="F31" s="93"/>
      <c r="G31" s="93"/>
      <c r="H31" s="93"/>
      <c r="I31" s="93"/>
      <c r="J31" s="93"/>
      <c r="K31" s="93"/>
      <c r="L31" s="93"/>
      <c r="M31" s="93"/>
      <c r="N31" s="93"/>
      <c r="O31" s="93"/>
      <c r="P31" s="93"/>
    </row>
    <row r="32" spans="2:24" s="46" customFormat="1" x14ac:dyDescent="0.2">
      <c r="B32" s="93"/>
      <c r="C32" s="196"/>
      <c r="E32" s="93"/>
      <c r="F32" s="93"/>
      <c r="G32" s="93"/>
      <c r="H32" s="93"/>
      <c r="I32" s="93"/>
      <c r="J32" s="93"/>
      <c r="K32" s="93"/>
      <c r="L32" s="93"/>
      <c r="M32" s="93"/>
      <c r="N32" s="93"/>
      <c r="O32" s="93"/>
      <c r="P32" s="93"/>
    </row>
    <row r="33" spans="1:22" s="46" customFormat="1" x14ac:dyDescent="0.2">
      <c r="B33" s="93"/>
      <c r="C33" s="196"/>
      <c r="E33" s="93"/>
      <c r="F33" s="93"/>
      <c r="G33" s="93"/>
      <c r="H33" s="93"/>
      <c r="I33" s="93"/>
      <c r="J33" s="93"/>
      <c r="K33" s="93"/>
      <c r="L33" s="93"/>
      <c r="M33" s="93"/>
      <c r="N33" s="93"/>
      <c r="O33" s="93"/>
      <c r="P33" s="93"/>
    </row>
    <row r="34" spans="1:22" s="46" customFormat="1" x14ac:dyDescent="0.2">
      <c r="B34" s="93"/>
      <c r="C34" s="196"/>
      <c r="E34" s="93"/>
      <c r="F34" s="93"/>
      <c r="G34" s="93"/>
      <c r="H34" s="93"/>
      <c r="I34" s="93"/>
      <c r="J34" s="93"/>
      <c r="K34" s="93"/>
      <c r="L34" s="93"/>
      <c r="M34" s="93"/>
      <c r="N34" s="93"/>
      <c r="O34" s="93"/>
      <c r="P34" s="93"/>
    </row>
    <row r="35" spans="1:22" s="46" customFormat="1" x14ac:dyDescent="0.2">
      <c r="B35" s="93"/>
      <c r="C35" s="196"/>
      <c r="E35" s="93"/>
      <c r="F35" s="93"/>
      <c r="G35" s="93"/>
      <c r="H35" s="93"/>
      <c r="I35" s="93"/>
      <c r="J35" s="93"/>
      <c r="K35" s="93"/>
      <c r="L35" s="93"/>
      <c r="M35" s="93"/>
      <c r="N35" s="93"/>
      <c r="O35" s="93"/>
      <c r="P35" s="93"/>
    </row>
    <row r="36" spans="1:22" s="46" customFormat="1" x14ac:dyDescent="0.2">
      <c r="B36" s="93"/>
      <c r="C36" s="196"/>
      <c r="E36" s="93"/>
      <c r="F36" s="93"/>
      <c r="G36" s="93"/>
      <c r="H36" s="93"/>
      <c r="I36" s="93"/>
      <c r="J36" s="93"/>
      <c r="K36" s="93"/>
      <c r="L36" s="93"/>
      <c r="M36" s="93"/>
      <c r="N36" s="93"/>
      <c r="O36" s="93"/>
      <c r="P36" s="93"/>
    </row>
    <row r="37" spans="1:22" s="46" customFormat="1" x14ac:dyDescent="0.2">
      <c r="B37" s="93"/>
      <c r="C37" s="196"/>
      <c r="E37" s="93"/>
      <c r="F37" s="93"/>
      <c r="G37" s="93"/>
      <c r="H37" s="93"/>
      <c r="I37" s="93"/>
      <c r="J37" s="93"/>
      <c r="K37" s="93"/>
      <c r="L37" s="93"/>
      <c r="M37" s="93"/>
      <c r="N37" s="93"/>
      <c r="O37" s="93"/>
      <c r="P37" s="93"/>
    </row>
    <row r="38" spans="1:22" s="46" customFormat="1" x14ac:dyDescent="0.2">
      <c r="B38" s="93"/>
      <c r="C38" s="196"/>
      <c r="D38" s="93"/>
      <c r="E38" s="93"/>
      <c r="F38" s="93"/>
      <c r="G38" s="93"/>
      <c r="H38" s="93"/>
      <c r="I38" s="93"/>
      <c r="J38" s="93"/>
      <c r="K38" s="93"/>
      <c r="L38" s="93"/>
      <c r="M38" s="93"/>
      <c r="N38" s="93"/>
      <c r="O38" s="93"/>
      <c r="P38" s="93"/>
      <c r="Q38" s="93"/>
    </row>
    <row r="39" spans="1:22" s="196" customFormat="1" x14ac:dyDescent="0.2">
      <c r="A39" s="93"/>
      <c r="B39" s="93"/>
      <c r="D39" s="93"/>
      <c r="E39" s="93"/>
      <c r="F39" s="93"/>
      <c r="G39" s="93"/>
      <c r="H39" s="93"/>
      <c r="I39" s="93"/>
      <c r="J39" s="93"/>
      <c r="K39" s="93"/>
      <c r="L39" s="93"/>
      <c r="M39" s="93"/>
      <c r="N39" s="93"/>
      <c r="O39" s="93"/>
      <c r="P39" s="93"/>
      <c r="Q39" s="93"/>
      <c r="R39" s="93"/>
      <c r="S39" s="93"/>
      <c r="T39" s="93"/>
      <c r="U39" s="93"/>
      <c r="V39" s="93"/>
    </row>
    <row r="40" spans="1:22" s="196" customFormat="1" x14ac:dyDescent="0.2">
      <c r="A40" s="93"/>
      <c r="B40" s="93"/>
      <c r="D40" s="93"/>
      <c r="E40" s="93"/>
      <c r="F40" s="93"/>
      <c r="G40" s="93"/>
      <c r="H40" s="93"/>
      <c r="I40" s="93"/>
      <c r="J40" s="93"/>
      <c r="K40" s="93"/>
      <c r="L40" s="93"/>
      <c r="M40" s="93"/>
      <c r="N40" s="93"/>
      <c r="O40" s="93"/>
      <c r="P40" s="93"/>
      <c r="Q40" s="93"/>
      <c r="R40" s="93"/>
      <c r="S40" s="93"/>
      <c r="T40" s="93"/>
      <c r="U40" s="93"/>
      <c r="V40" s="93"/>
    </row>
    <row r="41" spans="1:22" s="196" customFormat="1" x14ac:dyDescent="0.2">
      <c r="A41" s="93"/>
      <c r="B41" s="93"/>
      <c r="D41" s="93"/>
      <c r="E41" s="93"/>
      <c r="F41" s="93"/>
      <c r="G41" s="93"/>
      <c r="H41" s="93"/>
      <c r="I41" s="93"/>
      <c r="J41" s="93"/>
      <c r="K41" s="93"/>
      <c r="L41" s="93"/>
      <c r="M41" s="93"/>
      <c r="N41" s="93"/>
      <c r="O41" s="93"/>
      <c r="P41" s="93"/>
      <c r="Q41" s="93"/>
      <c r="R41" s="93"/>
      <c r="S41" s="93"/>
      <c r="T41" s="93"/>
      <c r="U41" s="93"/>
      <c r="V41" s="93"/>
    </row>
    <row r="42" spans="1:22" s="196" customFormat="1" x14ac:dyDescent="0.2">
      <c r="A42" s="93"/>
      <c r="B42" s="93"/>
      <c r="D42" s="93"/>
      <c r="E42" s="93"/>
      <c r="F42" s="93"/>
      <c r="G42" s="93"/>
      <c r="H42" s="93"/>
      <c r="I42" s="93"/>
      <c r="J42" s="93"/>
      <c r="K42" s="93"/>
      <c r="L42" s="93"/>
      <c r="M42" s="93"/>
      <c r="N42" s="93"/>
      <c r="O42" s="93"/>
      <c r="P42" s="93"/>
      <c r="Q42" s="93"/>
      <c r="R42" s="93"/>
      <c r="S42" s="93"/>
      <c r="T42" s="93"/>
      <c r="U42" s="93"/>
      <c r="V42" s="93"/>
    </row>
    <row r="43" spans="1:22" s="196" customFormat="1" x14ac:dyDescent="0.2">
      <c r="A43" s="93"/>
      <c r="B43" s="93"/>
      <c r="D43" s="93"/>
      <c r="E43" s="93"/>
      <c r="F43" s="93"/>
      <c r="G43" s="93"/>
      <c r="H43" s="93"/>
      <c r="I43" s="93"/>
      <c r="J43" s="93"/>
      <c r="K43" s="93"/>
      <c r="L43" s="93"/>
      <c r="M43" s="93"/>
      <c r="N43" s="93"/>
      <c r="O43" s="93"/>
      <c r="P43" s="93"/>
      <c r="Q43" s="93"/>
      <c r="R43" s="93"/>
      <c r="S43" s="93"/>
      <c r="T43" s="93"/>
      <c r="U43" s="93"/>
      <c r="V43" s="93"/>
    </row>
    <row r="44" spans="1:22" s="196" customFormat="1" x14ac:dyDescent="0.2">
      <c r="A44" s="93"/>
      <c r="B44" s="93"/>
      <c r="D44" s="93"/>
      <c r="E44" s="93"/>
      <c r="F44" s="93"/>
      <c r="G44" s="93"/>
      <c r="H44" s="93"/>
      <c r="I44" s="93"/>
      <c r="J44" s="93"/>
      <c r="K44" s="93"/>
      <c r="L44" s="93"/>
      <c r="M44" s="93"/>
      <c r="N44" s="93"/>
      <c r="O44" s="93"/>
      <c r="P44" s="93"/>
      <c r="Q44" s="93"/>
      <c r="R44" s="93"/>
      <c r="S44" s="93"/>
      <c r="T44" s="93"/>
      <c r="U44" s="93"/>
      <c r="V44" s="93"/>
    </row>
    <row r="45" spans="1:22" s="196" customFormat="1" x14ac:dyDescent="0.2">
      <c r="A45" s="93"/>
      <c r="B45" s="93"/>
      <c r="D45" s="93"/>
      <c r="E45" s="93"/>
      <c r="F45" s="93"/>
      <c r="G45" s="93"/>
      <c r="H45" s="93"/>
      <c r="I45" s="93"/>
      <c r="J45" s="93"/>
      <c r="K45" s="93"/>
      <c r="L45" s="93"/>
      <c r="M45" s="93"/>
      <c r="N45" s="93"/>
      <c r="O45" s="93"/>
      <c r="P45" s="93"/>
      <c r="Q45" s="93"/>
      <c r="R45" s="93"/>
      <c r="S45" s="93"/>
      <c r="T45" s="93"/>
      <c r="U45" s="93"/>
      <c r="V45" s="93"/>
    </row>
    <row r="46" spans="1:22" s="196" customFormat="1" x14ac:dyDescent="0.2">
      <c r="A46" s="93"/>
      <c r="B46" s="93"/>
      <c r="D46" s="93"/>
      <c r="E46" s="93"/>
      <c r="F46" s="93"/>
      <c r="G46" s="93"/>
      <c r="H46" s="93"/>
      <c r="I46" s="93"/>
      <c r="J46" s="93"/>
      <c r="K46" s="93"/>
      <c r="L46" s="93"/>
      <c r="M46" s="93"/>
      <c r="N46" s="93"/>
      <c r="O46" s="93"/>
      <c r="P46" s="93"/>
      <c r="Q46" s="93"/>
      <c r="R46" s="93"/>
      <c r="S46" s="93"/>
      <c r="T46" s="93"/>
      <c r="U46" s="93"/>
      <c r="V46" s="93"/>
    </row>
  </sheetData>
  <sheetProtection algorithmName="SHA-512" hashValue="Uqi75eYf4+QQz2vSGzzcpi2XMDMLRetdMcK4Rj9M4VLtYlPrctpmGxvmwPCo+nTaPlnBEhtMMdrUDBqSVVxipw==" saltValue="eVvT2wXMGIjgtkRuZ4HgNw==" spinCount="100000" sheet="1"/>
  <mergeCells count="13">
    <mergeCell ref="S19:X20"/>
    <mergeCell ref="S22:X23"/>
    <mergeCell ref="E27:H27"/>
    <mergeCell ref="J15:K15"/>
    <mergeCell ref="D2:M2"/>
    <mergeCell ref="G17:H17"/>
    <mergeCell ref="J17:K17"/>
    <mergeCell ref="S10:X11"/>
    <mergeCell ref="N11:O11"/>
    <mergeCell ref="H13:I13"/>
    <mergeCell ref="S13:X14"/>
    <mergeCell ref="S16:X17"/>
    <mergeCell ref="H11:J11"/>
  </mergeCells>
  <conditionalFormatting sqref="E27:H27">
    <cfRule type="expression" dxfId="114" priority="1">
      <formula>OR(BeginnArbeitsdauer="",EndeArbeitsdauer="",MAGeburtsdatum="")</formula>
    </cfRule>
  </conditionalFormatting>
  <hyperlinks>
    <hyperlink ref="S10:U11" location="Grunddaten!A1" tooltip="Zurück zu Grunddaten" display="Zurück zu Grunddaten"/>
    <hyperlink ref="S13:U14" location="Grunddaten!A1" tooltip="Zurück zu Grunddaten" display="Zurück zu Grunddaten"/>
    <hyperlink ref="S16:U17" location="Grunddaten!A1" tooltip="Zurück zu Grunddaten" display="Zurück zu Grunddaten"/>
    <hyperlink ref="S13:X14" location="'VP Anstellung'!A1" tooltip="Zurück zu Grunddaten" display="Zurück zu VP Anstellung"/>
    <hyperlink ref="S16:X17" location="'VP Zusätzlicher Vertrag'!A1" tooltip="Zurück zu Grunddaten" display="Zurück zu VP Zusätzlicher Vertrag"/>
    <hyperlink ref="S19:U20" location="Grunddaten!A1" tooltip="Zurück zu Grunddaten" display="Zurück zu Grunddaten"/>
    <hyperlink ref="S19:X20" location="'VP Vertragsaenderung'!A1" tooltip="Zurück zu Grunddaten" display="Zurück zu VP Vertragsänderung"/>
    <hyperlink ref="S22:U23" location="Grunddaten!A1" tooltip="Zurück zu Grunddaten" display="Zurück zu Grunddaten"/>
    <hyperlink ref="S22:X23" location="'Ferienplan Pensenberechnung'!A1" tooltip="Zurück zu Grunddaten" display="Zum hinterlegten Ferienplan"/>
  </hyperlinks>
  <pageMargins left="0.7" right="0.7" top="0.78740157499999996" bottom="0.78740157499999996" header="0.3" footer="0.3"/>
  <pageSetup paperSize="9" scale="85" fitToHeight="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6"/>
  <dimension ref="A2:M35"/>
  <sheetViews>
    <sheetView topLeftCell="C1" zoomScaleNormal="100" workbookViewId="0">
      <selection activeCell="N36" sqref="N36"/>
    </sheetView>
  </sheetViews>
  <sheetFormatPr baseColWidth="10" defaultColWidth="11.5703125" defaultRowHeight="12.75" x14ac:dyDescent="0.2"/>
  <cols>
    <col min="1" max="1" width="11.5703125" style="213"/>
    <col min="2" max="3" width="13.85546875" style="213" customWidth="1"/>
    <col min="4" max="5" width="13.7109375" style="671" bestFit="1" customWidth="1"/>
    <col min="6" max="6" width="18.28515625" style="213" bestFit="1" customWidth="1"/>
    <col min="7" max="7" width="11.5703125" style="213"/>
    <col min="8" max="8" width="12.85546875" style="213" customWidth="1"/>
    <col min="9" max="11" width="9.140625" style="213" customWidth="1"/>
    <col min="12" max="12" width="10.140625" style="213" customWidth="1"/>
    <col min="13" max="13" width="11.5703125" style="693"/>
    <col min="14" max="16384" width="11.5703125" style="213"/>
  </cols>
  <sheetData>
    <row r="2" spans="1:13" x14ac:dyDescent="0.2">
      <c r="B2" s="212" t="s">
        <v>1149</v>
      </c>
      <c r="C2" s="687" t="str">
        <f>IF(BeginnArbeitsdauer&lt;&gt;"",BeginnArbeitsdauer,"")</f>
        <v/>
      </c>
      <c r="D2" s="673" t="s">
        <v>1150</v>
      </c>
      <c r="E2" s="687" t="str">
        <f>IF(EndeArbeitsdauer&lt;&gt;"",EndeArbeitsdauer,"")</f>
        <v/>
      </c>
    </row>
    <row r="3" spans="1:13" x14ac:dyDescent="0.2">
      <c r="C3" s="670"/>
    </row>
    <row r="4" spans="1:13" ht="43.9" customHeight="1" x14ac:dyDescent="0.2">
      <c r="A4" s="672" t="s">
        <v>1167</v>
      </c>
      <c r="B4" s="672" t="s">
        <v>1158</v>
      </c>
      <c r="C4" s="672" t="s">
        <v>1159</v>
      </c>
      <c r="D4" s="672" t="s">
        <v>1160</v>
      </c>
      <c r="E4" s="672" t="s">
        <v>1161</v>
      </c>
      <c r="F4" s="672" t="s">
        <v>1162</v>
      </c>
      <c r="M4" s="213"/>
    </row>
    <row r="5" spans="1:13" x14ac:dyDescent="0.2">
      <c r="A5" s="1169" t="s">
        <v>1166</v>
      </c>
      <c r="B5" s="690">
        <v>44382</v>
      </c>
      <c r="C5" s="690">
        <v>44424</v>
      </c>
      <c r="D5" s="688">
        <f t="shared" ref="D5:D35" si="0">IFERROR(MAX(MIN(_xlfn.DAYS(C5,BeginnArbeitsdauer),_xlfn.DAYS(C5,B5)),0),"")</f>
        <v>42</v>
      </c>
      <c r="E5" s="688">
        <f t="shared" ref="E5:E35" si="1">IFERROR(MIN(MAX(_xlfn.DAYS(C5,EndeArbeitsdauer),0),_xlfn.DAYS(C5,B5)),"")</f>
        <v>42</v>
      </c>
      <c r="F5" s="689">
        <f>IFERROR(D5-E5,"")</f>
        <v>0</v>
      </c>
      <c r="H5" s="1155" t="s">
        <v>1202</v>
      </c>
      <c r="I5" s="1163"/>
      <c r="J5" s="1163"/>
      <c r="K5" s="1156"/>
      <c r="M5" s="213"/>
    </row>
    <row r="6" spans="1:13" x14ac:dyDescent="0.2">
      <c r="A6" s="1169"/>
      <c r="B6" s="687">
        <v>44473</v>
      </c>
      <c r="C6" s="687">
        <v>44487</v>
      </c>
      <c r="D6" s="688">
        <f t="shared" si="0"/>
        <v>14</v>
      </c>
      <c r="E6" s="688">
        <f t="shared" si="1"/>
        <v>14</v>
      </c>
      <c r="F6" s="689">
        <f t="shared" ref="F6:F35" si="2">IFERROR(D6-E6,"")</f>
        <v>0</v>
      </c>
      <c r="H6" s="1157"/>
      <c r="I6" s="1164"/>
      <c r="J6" s="1164"/>
      <c r="K6" s="1158"/>
      <c r="M6" s="213"/>
    </row>
    <row r="7" spans="1:13" x14ac:dyDescent="0.2">
      <c r="A7" s="1169"/>
      <c r="B7" s="687">
        <v>44550</v>
      </c>
      <c r="C7" s="687">
        <v>44564</v>
      </c>
      <c r="D7" s="688">
        <f t="shared" si="0"/>
        <v>14</v>
      </c>
      <c r="E7" s="688">
        <f t="shared" si="1"/>
        <v>14</v>
      </c>
      <c r="F7" s="689">
        <f t="shared" si="2"/>
        <v>0</v>
      </c>
    </row>
    <row r="8" spans="1:13" x14ac:dyDescent="0.2">
      <c r="A8" s="1169"/>
      <c r="B8" s="687">
        <v>44620</v>
      </c>
      <c r="C8" s="687">
        <v>44634</v>
      </c>
      <c r="D8" s="688">
        <f t="shared" si="0"/>
        <v>14</v>
      </c>
      <c r="E8" s="688">
        <f t="shared" si="1"/>
        <v>14</v>
      </c>
      <c r="F8" s="689">
        <f t="shared" si="2"/>
        <v>0</v>
      </c>
      <c r="H8" s="709"/>
      <c r="I8" s="684"/>
      <c r="J8" s="684"/>
      <c r="K8" s="684"/>
      <c r="L8" s="684"/>
      <c r="M8" s="694"/>
    </row>
    <row r="9" spans="1:13" x14ac:dyDescent="0.2">
      <c r="A9" s="1169"/>
      <c r="B9" s="687">
        <v>44662</v>
      </c>
      <c r="C9" s="687">
        <v>44676</v>
      </c>
      <c r="D9" s="688">
        <f t="shared" si="0"/>
        <v>14</v>
      </c>
      <c r="E9" s="688">
        <f t="shared" si="1"/>
        <v>14</v>
      </c>
      <c r="F9" s="689">
        <f t="shared" si="2"/>
        <v>0</v>
      </c>
      <c r="H9" s="691" t="s">
        <v>1178</v>
      </c>
      <c r="I9" s="685"/>
      <c r="J9" s="1165" t="str">
        <f>IF(OR(C2="",E2="",MAGeburtsdatum=""),"Ein Datumswert fehlt","")</f>
        <v>Ein Datumswert fehlt</v>
      </c>
      <c r="K9" s="1165"/>
      <c r="L9" s="1165"/>
      <c r="M9" s="1170"/>
    </row>
    <row r="10" spans="1:13" x14ac:dyDescent="0.2">
      <c r="A10" s="1169"/>
      <c r="B10" s="687">
        <v>44746</v>
      </c>
      <c r="C10" s="687">
        <v>44788</v>
      </c>
      <c r="D10" s="688">
        <f t="shared" si="0"/>
        <v>42</v>
      </c>
      <c r="E10" s="688">
        <f t="shared" si="1"/>
        <v>42</v>
      </c>
      <c r="F10" s="689">
        <f t="shared" si="2"/>
        <v>0</v>
      </c>
      <c r="H10" s="692"/>
      <c r="I10" s="685"/>
      <c r="J10" s="685"/>
      <c r="K10" s="685"/>
      <c r="L10" s="685"/>
      <c r="M10" s="695"/>
    </row>
    <row r="11" spans="1:13" x14ac:dyDescent="0.2">
      <c r="A11" s="1169" t="s">
        <v>1168</v>
      </c>
      <c r="B11" s="687">
        <v>44837</v>
      </c>
      <c r="C11" s="687">
        <v>44851</v>
      </c>
      <c r="D11" s="688">
        <f t="shared" si="0"/>
        <v>14</v>
      </c>
      <c r="E11" s="688">
        <f t="shared" si="1"/>
        <v>14</v>
      </c>
      <c r="F11" s="689">
        <f t="shared" si="2"/>
        <v>0</v>
      </c>
      <c r="H11" s="785" t="s">
        <v>1219</v>
      </c>
      <c r="I11" s="685"/>
      <c r="J11" s="685"/>
      <c r="K11" s="685"/>
      <c r="L11" s="685"/>
      <c r="M11" s="696">
        <f>IFERROR(IF(BeginnArbeitsdauer=EndeArbeitsdauer,0,_xlfn.DAYS(EndeArbeitsdauer,BeginnArbeitsdauer)+1),0)</f>
        <v>0</v>
      </c>
    </row>
    <row r="12" spans="1:13" x14ac:dyDescent="0.2">
      <c r="A12" s="1169"/>
      <c r="B12" s="687">
        <v>44921</v>
      </c>
      <c r="C12" s="687">
        <v>44935</v>
      </c>
      <c r="D12" s="688">
        <f t="shared" si="0"/>
        <v>14</v>
      </c>
      <c r="E12" s="688">
        <f t="shared" si="1"/>
        <v>14</v>
      </c>
      <c r="F12" s="689">
        <f t="shared" si="2"/>
        <v>0</v>
      </c>
      <c r="H12" s="785"/>
      <c r="I12" s="685"/>
      <c r="J12" s="685"/>
      <c r="K12" s="685"/>
      <c r="L12" s="685"/>
      <c r="M12" s="695"/>
    </row>
    <row r="13" spans="1:13" x14ac:dyDescent="0.2">
      <c r="A13" s="1169"/>
      <c r="B13" s="687">
        <v>44977</v>
      </c>
      <c r="C13" s="687">
        <v>44991</v>
      </c>
      <c r="D13" s="688">
        <f t="shared" si="0"/>
        <v>14</v>
      </c>
      <c r="E13" s="688">
        <f t="shared" si="1"/>
        <v>14</v>
      </c>
      <c r="F13" s="689">
        <f t="shared" si="2"/>
        <v>0</v>
      </c>
      <c r="H13" s="785" t="s">
        <v>1216</v>
      </c>
      <c r="I13" s="685"/>
      <c r="J13" s="685"/>
      <c r="K13" s="685"/>
      <c r="L13" s="685"/>
      <c r="M13" s="697">
        <f>IF(MAGeburtsdatum&lt;&gt;"",IF(AlterFerienanspruch&gt;59,'Ferienplan Pensenberechnung'!K35,IF(AlterFerienanspruch&lt;50,'Ferienplan Pensenberechnung'!I35,'Ferienplan Pensenberechnung'!J35)),0)</f>
        <v>0</v>
      </c>
    </row>
    <row r="14" spans="1:13" x14ac:dyDescent="0.2">
      <c r="A14" s="1169"/>
      <c r="B14" s="687">
        <v>45019</v>
      </c>
      <c r="C14" s="687">
        <v>45033</v>
      </c>
      <c r="D14" s="688">
        <f t="shared" si="0"/>
        <v>14</v>
      </c>
      <c r="E14" s="688">
        <f t="shared" si="1"/>
        <v>14</v>
      </c>
      <c r="F14" s="689">
        <f t="shared" si="2"/>
        <v>0</v>
      </c>
      <c r="H14" s="784" t="s">
        <v>1217</v>
      </c>
      <c r="I14" s="685"/>
      <c r="J14" s="685"/>
      <c r="K14" s="685"/>
      <c r="L14" s="685"/>
      <c r="M14" s="697">
        <f>IFERROR(Tage_Anstellung/365*Ferien_KJ,0)</f>
        <v>0</v>
      </c>
    </row>
    <row r="15" spans="1:13" x14ac:dyDescent="0.2">
      <c r="A15" s="1169"/>
      <c r="B15" s="687">
        <v>45110</v>
      </c>
      <c r="C15" s="687">
        <v>45152</v>
      </c>
      <c r="D15" s="688">
        <f t="shared" si="0"/>
        <v>42</v>
      </c>
      <c r="E15" s="688">
        <f t="shared" si="1"/>
        <v>42</v>
      </c>
      <c r="F15" s="689">
        <f t="shared" si="2"/>
        <v>0</v>
      </c>
      <c r="H15" s="784" t="s">
        <v>1218</v>
      </c>
      <c r="I15" s="685"/>
      <c r="J15" s="685"/>
      <c r="K15" s="685"/>
      <c r="L15" s="685"/>
      <c r="M15" s="697">
        <f>Ferien_pro_Rata/5*2</f>
        <v>0</v>
      </c>
    </row>
    <row r="16" spans="1:13" x14ac:dyDescent="0.2">
      <c r="A16" s="1169" t="s">
        <v>1169</v>
      </c>
      <c r="B16" s="687">
        <v>45201</v>
      </c>
      <c r="C16" s="687">
        <v>45215</v>
      </c>
      <c r="D16" s="688">
        <f t="shared" si="0"/>
        <v>14</v>
      </c>
      <c r="E16" s="688">
        <f t="shared" si="1"/>
        <v>14</v>
      </c>
      <c r="F16" s="689">
        <f t="shared" si="2"/>
        <v>0</v>
      </c>
      <c r="H16" s="786" t="s">
        <v>1176</v>
      </c>
      <c r="I16" s="685"/>
      <c r="J16" s="685"/>
      <c r="K16" s="685"/>
      <c r="L16" s="685"/>
      <c r="M16" s="789">
        <f>IFERROR(Tage_Anstellung-Ferien_pro_Rata-Ferien_WE,0)</f>
        <v>0</v>
      </c>
    </row>
    <row r="17" spans="1:13" x14ac:dyDescent="0.2">
      <c r="A17" s="1169"/>
      <c r="B17" s="687">
        <v>45285</v>
      </c>
      <c r="C17" s="687">
        <v>45299</v>
      </c>
      <c r="D17" s="688">
        <f t="shared" si="0"/>
        <v>14</v>
      </c>
      <c r="E17" s="688">
        <f t="shared" si="1"/>
        <v>14</v>
      </c>
      <c r="F17" s="689">
        <f t="shared" si="2"/>
        <v>0</v>
      </c>
      <c r="H17" s="787"/>
      <c r="I17" s="685"/>
      <c r="J17" s="685"/>
      <c r="K17" s="685"/>
      <c r="L17" s="685"/>
      <c r="M17" s="697"/>
    </row>
    <row r="18" spans="1:13" x14ac:dyDescent="0.2">
      <c r="A18" s="1169"/>
      <c r="B18" s="687">
        <v>45334</v>
      </c>
      <c r="C18" s="687">
        <v>45348</v>
      </c>
      <c r="D18" s="688">
        <f t="shared" si="0"/>
        <v>14</v>
      </c>
      <c r="E18" s="688">
        <f t="shared" si="1"/>
        <v>14</v>
      </c>
      <c r="F18" s="689">
        <f t="shared" si="2"/>
        <v>0</v>
      </c>
      <c r="H18" s="785" t="s">
        <v>1207</v>
      </c>
      <c r="I18" s="685"/>
      <c r="J18" s="685"/>
      <c r="K18" s="685"/>
      <c r="L18" s="685"/>
      <c r="M18" s="697">
        <f>SUM(F5:F35)</f>
        <v>0</v>
      </c>
    </row>
    <row r="19" spans="1:13" x14ac:dyDescent="0.2">
      <c r="A19" s="1169"/>
      <c r="B19" s="687">
        <v>45376</v>
      </c>
      <c r="C19" s="687">
        <v>45390</v>
      </c>
      <c r="D19" s="688">
        <f t="shared" si="0"/>
        <v>14</v>
      </c>
      <c r="E19" s="688">
        <f t="shared" si="1"/>
        <v>14</v>
      </c>
      <c r="F19" s="689">
        <f t="shared" si="2"/>
        <v>0</v>
      </c>
      <c r="H19" s="786" t="s">
        <v>1220</v>
      </c>
      <c r="I19" s="685"/>
      <c r="J19" s="685"/>
      <c r="K19" s="685"/>
      <c r="L19" s="685"/>
      <c r="M19" s="789">
        <f>Tage_Anstellung-Schulferien_wArbeitsdauer</f>
        <v>0</v>
      </c>
    </row>
    <row r="20" spans="1:13" x14ac:dyDescent="0.2">
      <c r="A20" s="1169"/>
      <c r="B20" s="687">
        <v>45474</v>
      </c>
      <c r="C20" s="687">
        <v>45516</v>
      </c>
      <c r="D20" s="688">
        <f t="shared" si="0"/>
        <v>42</v>
      </c>
      <c r="E20" s="688">
        <f t="shared" si="1"/>
        <v>42</v>
      </c>
      <c r="F20" s="689">
        <f t="shared" si="2"/>
        <v>0</v>
      </c>
      <c r="H20" s="785"/>
      <c r="I20" s="685"/>
      <c r="J20" s="685"/>
      <c r="K20" s="685"/>
      <c r="L20" s="685"/>
      <c r="M20" s="695"/>
    </row>
    <row r="21" spans="1:13" x14ac:dyDescent="0.2">
      <c r="A21" s="1169" t="s">
        <v>1170</v>
      </c>
      <c r="B21" s="687">
        <v>45565</v>
      </c>
      <c r="C21" s="687">
        <v>45579</v>
      </c>
      <c r="D21" s="688">
        <f t="shared" si="0"/>
        <v>14</v>
      </c>
      <c r="E21" s="688">
        <f t="shared" si="1"/>
        <v>14</v>
      </c>
      <c r="F21" s="689">
        <f t="shared" si="2"/>
        <v>0</v>
      </c>
      <c r="H21" s="786" t="s">
        <v>1163</v>
      </c>
      <c r="I21" s="685"/>
      <c r="J21" s="685"/>
      <c r="K21" s="685"/>
      <c r="L21" s="685"/>
      <c r="M21" s="790">
        <f>IF(ISERROR(Tage_ohne_Schulferien/Tage_Anstellungen_oFerien),0,Tage_ohne_Schulferien/Tage_Anstellungen_oFerien)</f>
        <v>0</v>
      </c>
    </row>
    <row r="22" spans="1:13" x14ac:dyDescent="0.2">
      <c r="A22" s="1169"/>
      <c r="B22" s="687">
        <v>45649</v>
      </c>
      <c r="C22" s="687">
        <v>45663</v>
      </c>
      <c r="D22" s="688">
        <f t="shared" si="0"/>
        <v>14</v>
      </c>
      <c r="E22" s="688">
        <f t="shared" si="1"/>
        <v>14</v>
      </c>
      <c r="F22" s="689">
        <f t="shared" si="2"/>
        <v>0</v>
      </c>
      <c r="H22" s="785"/>
      <c r="I22" s="685"/>
      <c r="J22" s="685"/>
      <c r="K22" s="685"/>
      <c r="L22" s="685"/>
      <c r="M22" s="697"/>
    </row>
    <row r="23" spans="1:13" x14ac:dyDescent="0.2">
      <c r="A23" s="1169"/>
      <c r="B23" s="687">
        <v>45719</v>
      </c>
      <c r="C23" s="687">
        <v>45733</v>
      </c>
      <c r="D23" s="688">
        <f t="shared" si="0"/>
        <v>14</v>
      </c>
      <c r="E23" s="688">
        <f t="shared" si="1"/>
        <v>14</v>
      </c>
      <c r="F23" s="689">
        <f t="shared" si="2"/>
        <v>0</v>
      </c>
      <c r="H23" s="785" t="s">
        <v>1221</v>
      </c>
      <c r="I23" s="685"/>
      <c r="J23" s="685"/>
      <c r="K23" s="685"/>
      <c r="L23" s="685"/>
      <c r="M23" s="697">
        <f>Gepl_Wochenstunden</f>
        <v>0</v>
      </c>
    </row>
    <row r="24" spans="1:13" x14ac:dyDescent="0.2">
      <c r="A24" s="1169"/>
      <c r="B24" s="687">
        <v>45761</v>
      </c>
      <c r="C24" s="687">
        <v>45775</v>
      </c>
      <c r="D24" s="688">
        <f t="shared" si="0"/>
        <v>14</v>
      </c>
      <c r="E24" s="688">
        <f t="shared" si="1"/>
        <v>14</v>
      </c>
      <c r="F24" s="689">
        <f t="shared" si="2"/>
        <v>0</v>
      </c>
      <c r="H24" s="786" t="s">
        <v>1152</v>
      </c>
      <c r="I24" s="685"/>
      <c r="J24" s="685"/>
      <c r="K24" s="685"/>
      <c r="L24" s="685"/>
      <c r="M24" s="789">
        <f>Gepl_Wochenstunden*Umrechnungsfaktor_Tage</f>
        <v>0</v>
      </c>
    </row>
    <row r="25" spans="1:13" x14ac:dyDescent="0.2">
      <c r="A25" s="1169"/>
      <c r="B25" s="687">
        <v>45838</v>
      </c>
      <c r="C25" s="687">
        <v>45880</v>
      </c>
      <c r="D25" s="688">
        <f t="shared" si="0"/>
        <v>42</v>
      </c>
      <c r="E25" s="688">
        <f t="shared" si="1"/>
        <v>42</v>
      </c>
      <c r="F25" s="689">
        <f t="shared" si="2"/>
        <v>0</v>
      </c>
      <c r="H25" s="784" t="s">
        <v>1164</v>
      </c>
      <c r="I25" s="685"/>
      <c r="J25" s="685"/>
      <c r="K25" s="685"/>
      <c r="L25" s="685"/>
      <c r="M25" s="697">
        <f>Stundenansatz_Woche/5</f>
        <v>0</v>
      </c>
    </row>
    <row r="26" spans="1:13" x14ac:dyDescent="0.2">
      <c r="A26" s="1169" t="s">
        <v>1171</v>
      </c>
      <c r="B26" s="687">
        <v>45929</v>
      </c>
      <c r="C26" s="687">
        <v>45943</v>
      </c>
      <c r="D26" s="688">
        <f t="shared" si="0"/>
        <v>14</v>
      </c>
      <c r="E26" s="688">
        <f t="shared" si="1"/>
        <v>14</v>
      </c>
      <c r="F26" s="689">
        <f t="shared" si="2"/>
        <v>0</v>
      </c>
      <c r="H26" s="784" t="s">
        <v>1165</v>
      </c>
      <c r="I26" s="685"/>
      <c r="J26" s="685"/>
      <c r="K26" s="685"/>
      <c r="L26" s="685"/>
      <c r="M26" s="697">
        <f>ROUND(Stundenansatz_Tag_ungerundet*20,0)/20</f>
        <v>0</v>
      </c>
    </row>
    <row r="27" spans="1:13" x14ac:dyDescent="0.2">
      <c r="A27" s="1169"/>
      <c r="B27" s="687">
        <v>46013</v>
      </c>
      <c r="C27" s="687">
        <v>46027</v>
      </c>
      <c r="D27" s="688">
        <f t="shared" si="0"/>
        <v>14</v>
      </c>
      <c r="E27" s="688">
        <f t="shared" si="1"/>
        <v>14</v>
      </c>
      <c r="F27" s="689">
        <f t="shared" si="2"/>
        <v>0</v>
      </c>
      <c r="H27" s="785"/>
      <c r="I27" s="685"/>
      <c r="J27" s="685"/>
      <c r="K27" s="685"/>
      <c r="L27" s="685"/>
      <c r="M27" s="697"/>
    </row>
    <row r="28" spans="1:13" x14ac:dyDescent="0.2">
      <c r="A28" s="1169"/>
      <c r="B28" s="687">
        <v>46069</v>
      </c>
      <c r="C28" s="687">
        <v>46083</v>
      </c>
      <c r="D28" s="688">
        <f t="shared" si="0"/>
        <v>14</v>
      </c>
      <c r="E28" s="688">
        <f t="shared" si="1"/>
        <v>14</v>
      </c>
      <c r="F28" s="689">
        <f t="shared" si="2"/>
        <v>0</v>
      </c>
      <c r="H28" s="785" t="s">
        <v>1177</v>
      </c>
      <c r="I28" s="685"/>
      <c r="J28" s="685"/>
      <c r="K28" s="685"/>
      <c r="L28" s="685"/>
      <c r="M28" s="697">
        <v>42</v>
      </c>
    </row>
    <row r="29" spans="1:13" x14ac:dyDescent="0.2">
      <c r="A29" s="1169"/>
      <c r="B29" s="687">
        <v>46111</v>
      </c>
      <c r="C29" s="687">
        <v>46125</v>
      </c>
      <c r="D29" s="688">
        <f t="shared" si="0"/>
        <v>14</v>
      </c>
      <c r="E29" s="688">
        <f t="shared" si="1"/>
        <v>14</v>
      </c>
      <c r="F29" s="689">
        <f t="shared" si="2"/>
        <v>0</v>
      </c>
      <c r="H29" s="786" t="s">
        <v>1145</v>
      </c>
      <c r="I29" s="685"/>
      <c r="J29" s="685"/>
      <c r="K29" s="685"/>
      <c r="L29" s="685"/>
      <c r="M29" s="788">
        <f>ROUND(Stundenansatz_Woche/Stunden_Vollpensum*10000,0)/10000</f>
        <v>0</v>
      </c>
    </row>
    <row r="30" spans="1:13" x14ac:dyDescent="0.2">
      <c r="A30" s="1169"/>
      <c r="B30" s="687">
        <v>46202</v>
      </c>
      <c r="C30" s="687">
        <v>46244</v>
      </c>
      <c r="D30" s="688">
        <f t="shared" si="0"/>
        <v>42</v>
      </c>
      <c r="E30" s="688">
        <f t="shared" si="1"/>
        <v>42</v>
      </c>
      <c r="F30" s="689">
        <f t="shared" si="2"/>
        <v>0</v>
      </c>
      <c r="H30" s="674"/>
      <c r="I30" s="686"/>
      <c r="J30" s="686"/>
      <c r="K30" s="686"/>
      <c r="L30" s="686"/>
      <c r="M30" s="698"/>
    </row>
    <row r="31" spans="1:13" x14ac:dyDescent="0.2">
      <c r="A31" s="1169" t="s">
        <v>1172</v>
      </c>
      <c r="B31" s="687">
        <v>46293</v>
      </c>
      <c r="C31" s="687">
        <v>46307</v>
      </c>
      <c r="D31" s="688">
        <f t="shared" si="0"/>
        <v>14</v>
      </c>
      <c r="E31" s="688">
        <f t="shared" si="1"/>
        <v>14</v>
      </c>
      <c r="F31" s="689">
        <f t="shared" si="2"/>
        <v>0</v>
      </c>
    </row>
    <row r="32" spans="1:13" x14ac:dyDescent="0.2">
      <c r="A32" s="1169"/>
      <c r="B32" s="687">
        <v>46377</v>
      </c>
      <c r="C32" s="687">
        <v>46391</v>
      </c>
      <c r="D32" s="688">
        <f t="shared" si="0"/>
        <v>14</v>
      </c>
      <c r="E32" s="688">
        <f t="shared" si="1"/>
        <v>14</v>
      </c>
      <c r="F32" s="689">
        <f t="shared" si="2"/>
        <v>0</v>
      </c>
      <c r="H32" s="46" t="s">
        <v>1198</v>
      </c>
      <c r="I32" s="46"/>
      <c r="J32" s="46"/>
      <c r="K32" s="46"/>
      <c r="L32" s="46"/>
      <c r="M32" s="699"/>
    </row>
    <row r="33" spans="1:13" x14ac:dyDescent="0.2">
      <c r="A33" s="1169"/>
      <c r="B33" s="687">
        <v>46426</v>
      </c>
      <c r="C33" s="687">
        <v>46440</v>
      </c>
      <c r="D33" s="688">
        <f t="shared" si="0"/>
        <v>14</v>
      </c>
      <c r="E33" s="688">
        <f t="shared" si="1"/>
        <v>14</v>
      </c>
      <c r="F33" s="689">
        <f t="shared" si="2"/>
        <v>0</v>
      </c>
      <c r="H33" s="46"/>
      <c r="I33" s="46"/>
      <c r="J33" s="46"/>
      <c r="K33" s="46"/>
      <c r="L33" s="46"/>
      <c r="M33" s="699"/>
    </row>
    <row r="34" spans="1:13" x14ac:dyDescent="0.2">
      <c r="A34" s="1169"/>
      <c r="B34" s="687">
        <v>46468</v>
      </c>
      <c r="C34" s="687">
        <v>46482</v>
      </c>
      <c r="D34" s="688">
        <f t="shared" si="0"/>
        <v>14</v>
      </c>
      <c r="E34" s="688">
        <f t="shared" si="1"/>
        <v>14</v>
      </c>
      <c r="F34" s="689">
        <f t="shared" si="2"/>
        <v>0</v>
      </c>
      <c r="H34" s="663" t="s">
        <v>1147</v>
      </c>
      <c r="I34" s="664" t="s">
        <v>1194</v>
      </c>
      <c r="J34" s="664" t="s">
        <v>1196</v>
      </c>
      <c r="K34" s="664" t="s">
        <v>1195</v>
      </c>
      <c r="L34" s="682"/>
      <c r="M34" s="699"/>
    </row>
    <row r="35" spans="1:13" x14ac:dyDescent="0.2">
      <c r="A35" s="1169"/>
      <c r="B35" s="687">
        <v>46573</v>
      </c>
      <c r="C35" s="687">
        <v>46615</v>
      </c>
      <c r="D35" s="688">
        <f t="shared" si="0"/>
        <v>42</v>
      </c>
      <c r="E35" s="688">
        <f t="shared" si="1"/>
        <v>42</v>
      </c>
      <c r="F35" s="689">
        <f t="shared" si="2"/>
        <v>0</v>
      </c>
      <c r="H35" s="665" t="s">
        <v>1151</v>
      </c>
      <c r="I35" s="662">
        <v>25</v>
      </c>
      <c r="J35" s="662">
        <v>27</v>
      </c>
      <c r="K35" s="662">
        <v>30</v>
      </c>
      <c r="L35" s="683"/>
      <c r="M35" s="699"/>
    </row>
  </sheetData>
  <sheetProtection algorithmName="SHA-512" hashValue="KrGDHA27CNT6ERw7Piw4Kj/uqyCUn3tU/tyvKr2q0cHv5gI4SsLzAFRsbeSGf4Ppp89GaiK9QQJy9My1/RptrQ==" saltValue="Ud3OMequXSFTW2YOaRhDuw==" spinCount="100000" sheet="1" objects="1" scenarios="1"/>
  <mergeCells count="8">
    <mergeCell ref="A5:A10"/>
    <mergeCell ref="H5:K6"/>
    <mergeCell ref="A31:A35"/>
    <mergeCell ref="A11:A15"/>
    <mergeCell ref="A16:A20"/>
    <mergeCell ref="A21:A25"/>
    <mergeCell ref="A26:A30"/>
    <mergeCell ref="J9:M9"/>
  </mergeCells>
  <conditionalFormatting sqref="J9:M9">
    <cfRule type="expression" dxfId="113" priority="1">
      <formula>OR($C$2="",$E$2="",MAGeburtsdatum="")</formula>
    </cfRule>
  </conditionalFormatting>
  <hyperlinks>
    <hyperlink ref="H5:K6" location="Pensenberechnung!A1" display="Zurück zur Pensenberechnung"/>
  </hyperlinks>
  <pageMargins left="0.7" right="0.7" top="0.78740157499999996" bottom="0.78740157499999996" header="0.3" footer="0.3"/>
  <pageSetup paperSize="9" scale="84"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pageSetUpPr fitToPage="1"/>
  </sheetPr>
  <dimension ref="A1:X48"/>
  <sheetViews>
    <sheetView topLeftCell="A4" zoomScaleNormal="100" workbookViewId="0">
      <selection activeCell="O15" sqref="O15"/>
    </sheetView>
  </sheetViews>
  <sheetFormatPr baseColWidth="10" defaultColWidth="11.5703125" defaultRowHeight="12.75" x14ac:dyDescent="0.2"/>
  <cols>
    <col min="1" max="1" width="3.5703125" style="93" customWidth="1"/>
    <col min="2" max="2" width="1.42578125" style="196" customWidth="1"/>
    <col min="3" max="3" width="0.5703125" style="196" customWidth="1"/>
    <col min="4" max="4" width="3.5703125" style="93" customWidth="1"/>
    <col min="5" max="5" width="11.5703125" style="93"/>
    <col min="6" max="6" width="10.5703125" style="93" customWidth="1"/>
    <col min="7" max="7" width="5.28515625" style="93" customWidth="1"/>
    <col min="8" max="8" width="9.7109375" style="93" customWidth="1"/>
    <col min="9" max="9" width="6.7109375" style="93" customWidth="1"/>
    <col min="10" max="10" width="9.5703125" style="93" customWidth="1"/>
    <col min="11" max="11" width="3.28515625" style="93" customWidth="1"/>
    <col min="12" max="12" width="2.140625" style="93" customWidth="1"/>
    <col min="13" max="13" width="8.140625" style="93" customWidth="1"/>
    <col min="14" max="14" width="8.5703125" style="93" customWidth="1"/>
    <col min="15" max="15" width="12.140625" style="93" customWidth="1"/>
    <col min="16" max="16" width="2.7109375" style="93" customWidth="1"/>
    <col min="17" max="17" width="3.5703125" style="93" customWidth="1"/>
    <col min="18" max="18" width="11.5703125" style="93"/>
    <col min="19" max="24" width="4.5703125" style="93" customWidth="1"/>
    <col min="25" max="16384" width="11.5703125" style="93"/>
  </cols>
  <sheetData>
    <row r="1" spans="1:24" s="46" customFormat="1" ht="5.0999999999999996" customHeight="1" x14ac:dyDescent="0.2">
      <c r="B1" s="196"/>
      <c r="C1" s="196"/>
    </row>
    <row r="2" spans="1:24" s="46" customFormat="1" ht="45" customHeight="1" x14ac:dyDescent="0.2">
      <c r="B2" s="420"/>
      <c r="C2" s="196"/>
      <c r="D2" s="1167" t="s">
        <v>1078</v>
      </c>
      <c r="E2" s="1167"/>
      <c r="F2" s="1167"/>
      <c r="G2" s="1167"/>
      <c r="H2" s="1167"/>
      <c r="I2" s="1167"/>
      <c r="J2" s="421"/>
      <c r="K2" s="96"/>
      <c r="L2" s="96"/>
      <c r="M2" s="96"/>
      <c r="N2" s="96"/>
      <c r="O2" s="96"/>
      <c r="P2" s="96"/>
    </row>
    <row r="3" spans="1:24" s="46" customFormat="1" ht="10.5" customHeight="1" x14ac:dyDescent="0.2">
      <c r="K3" s="96"/>
      <c r="L3" s="96"/>
      <c r="M3" s="96"/>
      <c r="N3" s="96"/>
      <c r="O3" s="96"/>
      <c r="P3" s="96"/>
    </row>
    <row r="4" spans="1:24" s="46" customFormat="1" ht="6.75" customHeight="1" x14ac:dyDescent="0.2">
      <c r="A4" s="98"/>
      <c r="B4" s="210"/>
      <c r="C4" s="210"/>
      <c r="D4" s="210"/>
      <c r="E4" s="210"/>
      <c r="F4" s="422"/>
      <c r="G4" s="422"/>
      <c r="H4" s="210"/>
      <c r="I4" s="423"/>
      <c r="J4" s="423"/>
      <c r="K4" s="424"/>
      <c r="L4" s="424"/>
      <c r="M4" s="423"/>
      <c r="N4" s="423"/>
      <c r="O4" s="423"/>
      <c r="P4" s="423"/>
      <c r="Q4" s="423"/>
      <c r="R4" s="197"/>
    </row>
    <row r="5" spans="1:24" s="46" customFormat="1" ht="6.75" customHeight="1" x14ac:dyDescent="0.2">
      <c r="A5" s="98"/>
      <c r="B5" s="210"/>
      <c r="C5" s="98"/>
      <c r="D5" s="98"/>
      <c r="E5" s="98"/>
      <c r="F5" s="94"/>
      <c r="G5" s="94"/>
      <c r="H5" s="98"/>
      <c r="I5" s="97"/>
      <c r="J5" s="97"/>
      <c r="K5" s="237"/>
      <c r="L5" s="237"/>
      <c r="M5" s="97"/>
      <c r="N5" s="97"/>
      <c r="O5" s="97"/>
      <c r="P5" s="97"/>
      <c r="Q5" s="97"/>
      <c r="R5" s="98"/>
    </row>
    <row r="6" spans="1:24" s="46" customFormat="1" ht="5.0999999999999996" customHeight="1" x14ac:dyDescent="0.2">
      <c r="B6" s="210"/>
      <c r="D6" s="47"/>
      <c r="E6" s="48"/>
      <c r="F6" s="89"/>
      <c r="G6" s="89"/>
      <c r="H6" s="49"/>
      <c r="I6" s="48"/>
      <c r="J6" s="48"/>
      <c r="K6" s="48"/>
      <c r="L6" s="48"/>
      <c r="M6" s="48"/>
      <c r="N6" s="48"/>
      <c r="O6" s="48"/>
      <c r="P6" s="48"/>
      <c r="Q6" s="90"/>
    </row>
    <row r="7" spans="1:24" s="46" customFormat="1" x14ac:dyDescent="0.2">
      <c r="B7" s="210"/>
      <c r="D7" s="50"/>
      <c r="E7" s="94" t="s">
        <v>771</v>
      </c>
      <c r="F7" s="96"/>
      <c r="G7" s="96"/>
      <c r="H7" s="95"/>
      <c r="I7" s="96"/>
      <c r="J7" s="96"/>
      <c r="K7" s="96"/>
      <c r="L7" s="96"/>
      <c r="M7" s="96"/>
      <c r="N7" s="96"/>
      <c r="O7" s="96"/>
      <c r="P7" s="96"/>
      <c r="Q7" s="52"/>
    </row>
    <row r="8" spans="1:24" s="46" customFormat="1" x14ac:dyDescent="0.2">
      <c r="B8" s="210"/>
      <c r="C8" s="98"/>
      <c r="D8" s="50"/>
      <c r="E8" s="97"/>
      <c r="F8" s="97"/>
      <c r="G8" s="97"/>
      <c r="H8" s="237"/>
      <c r="I8" s="97"/>
      <c r="J8" s="97"/>
      <c r="K8" s="97"/>
      <c r="L8" s="97"/>
      <c r="M8" s="97"/>
      <c r="N8" s="97"/>
      <c r="O8" s="97"/>
      <c r="P8" s="97"/>
      <c r="Q8" s="52"/>
    </row>
    <row r="9" spans="1:24" s="46" customFormat="1" x14ac:dyDescent="0.2">
      <c r="B9" s="209"/>
      <c r="C9" s="196"/>
      <c r="D9" s="50"/>
      <c r="E9" s="97" t="s">
        <v>974</v>
      </c>
      <c r="F9" s="97"/>
      <c r="G9" s="97"/>
      <c r="H9" s="652" t="str">
        <f>IF(MAAnrede&lt;&gt;"",MAAnrede,"")</f>
        <v/>
      </c>
      <c r="I9" s="97"/>
      <c r="J9" s="97"/>
      <c r="K9" s="97"/>
      <c r="L9" s="97"/>
      <c r="M9" s="97"/>
      <c r="N9" s="97"/>
      <c r="O9" s="97"/>
      <c r="P9" s="97"/>
      <c r="Q9" s="52"/>
    </row>
    <row r="10" spans="1:24" s="46" customFormat="1" x14ac:dyDescent="0.2">
      <c r="B10" s="210"/>
      <c r="C10" s="98"/>
      <c r="D10" s="50"/>
      <c r="E10" s="97"/>
      <c r="F10" s="97"/>
      <c r="G10" s="97"/>
      <c r="H10" s="237"/>
      <c r="I10" s="97"/>
      <c r="J10" s="97"/>
      <c r="K10" s="97"/>
      <c r="L10" s="97"/>
      <c r="M10" s="97"/>
      <c r="N10" s="97"/>
      <c r="O10" s="97"/>
      <c r="P10" s="97"/>
      <c r="Q10" s="52"/>
      <c r="S10" s="1155" t="s">
        <v>1040</v>
      </c>
      <c r="T10" s="1163"/>
      <c r="U10" s="1163"/>
      <c r="V10" s="1163"/>
      <c r="W10" s="1163"/>
      <c r="X10" s="1156"/>
    </row>
    <row r="11" spans="1:24" s="46" customFormat="1" x14ac:dyDescent="0.2">
      <c r="B11" s="209"/>
      <c r="C11" s="196"/>
      <c r="D11" s="50"/>
      <c r="E11" s="97" t="s">
        <v>757</v>
      </c>
      <c r="F11" s="97"/>
      <c r="G11" s="97"/>
      <c r="H11" s="1168" t="str">
        <f>IF(MAName&lt;&gt;"",MAName,"")</f>
        <v/>
      </c>
      <c r="I11" s="1168"/>
      <c r="J11" s="1168"/>
      <c r="K11" s="97"/>
      <c r="L11" s="425" t="s">
        <v>758</v>
      </c>
      <c r="N11" s="1168" t="str">
        <f>IF(MAVorname&lt;&gt;"",MAVorname,"")</f>
        <v/>
      </c>
      <c r="O11" s="1168"/>
      <c r="P11" s="97"/>
      <c r="Q11" s="52"/>
      <c r="S11" s="1157"/>
      <c r="T11" s="1164"/>
      <c r="U11" s="1164"/>
      <c r="V11" s="1164"/>
      <c r="W11" s="1164"/>
      <c r="X11" s="1158"/>
    </row>
    <row r="12" spans="1:24" s="46" customFormat="1" x14ac:dyDescent="0.2">
      <c r="B12" s="209"/>
      <c r="C12" s="196"/>
      <c r="D12" s="50"/>
      <c r="E12" s="97"/>
      <c r="F12" s="97"/>
      <c r="G12" s="97"/>
      <c r="H12" s="97"/>
      <c r="I12" s="97"/>
      <c r="J12" s="97"/>
      <c r="K12" s="97"/>
      <c r="L12" s="425"/>
      <c r="N12" s="97"/>
      <c r="O12" s="97"/>
      <c r="P12" s="97"/>
      <c r="Q12" s="52"/>
    </row>
    <row r="13" spans="1:24" s="46" customFormat="1" x14ac:dyDescent="0.2">
      <c r="B13" s="209"/>
      <c r="C13" s="196"/>
      <c r="D13" s="50"/>
      <c r="E13" s="97" t="s">
        <v>764</v>
      </c>
      <c r="F13" s="97"/>
      <c r="G13" s="97"/>
      <c r="H13" s="1168" t="str">
        <f>IF(MAVertragsNr&lt;&gt;"",MAVertragsNr,"")</f>
        <v/>
      </c>
      <c r="I13" s="1168"/>
      <c r="J13" s="1168"/>
      <c r="K13" s="425"/>
      <c r="L13" s="425" t="s">
        <v>763</v>
      </c>
      <c r="O13" s="444" t="str">
        <f>IF(MAPersID&lt;&gt;"",MAPersID,"")</f>
        <v/>
      </c>
      <c r="P13" s="97"/>
      <c r="Q13" s="52"/>
    </row>
    <row r="14" spans="1:24" s="46" customFormat="1" x14ac:dyDescent="0.2">
      <c r="B14" s="209"/>
      <c r="C14" s="196"/>
      <c r="D14" s="50"/>
      <c r="E14" s="97"/>
      <c r="F14" s="97"/>
      <c r="G14" s="97"/>
      <c r="H14" s="237"/>
      <c r="I14" s="97"/>
      <c r="J14" s="97"/>
      <c r="K14" s="97"/>
      <c r="L14" s="425"/>
      <c r="N14" s="97"/>
      <c r="O14" s="97"/>
      <c r="P14" s="97"/>
      <c r="Q14" s="52"/>
    </row>
    <row r="15" spans="1:24" s="46" customFormat="1" x14ac:dyDescent="0.2">
      <c r="B15" s="209"/>
      <c r="C15" s="196"/>
      <c r="D15" s="50"/>
      <c r="F15" s="97"/>
      <c r="G15" s="97"/>
      <c r="H15" s="97" t="s">
        <v>765</v>
      </c>
      <c r="J15" s="484"/>
      <c r="L15" s="751" t="s">
        <v>809</v>
      </c>
      <c r="O15" s="484"/>
      <c r="P15" s="97"/>
      <c r="Q15" s="52"/>
    </row>
    <row r="16" spans="1:24" s="46" customFormat="1" x14ac:dyDescent="0.2">
      <c r="B16" s="210"/>
      <c r="C16" s="98"/>
      <c r="D16" s="50"/>
      <c r="E16" s="97"/>
      <c r="K16" s="427" t="e">
        <f>MATCH($J$15,LohntabelleM!$A$4:$A$31,0)</f>
        <v>#N/A</v>
      </c>
      <c r="L16" s="427"/>
      <c r="M16" s="427"/>
      <c r="N16" s="427"/>
      <c r="O16" s="427" t="e">
        <f>MATCH($O$15,LohntabelleM!B3:AE3,0)</f>
        <v>#N/A</v>
      </c>
      <c r="Q16" s="53"/>
    </row>
    <row r="17" spans="2:17" s="46" customFormat="1" ht="3.6" customHeight="1" x14ac:dyDescent="0.2">
      <c r="B17" s="210"/>
      <c r="C17" s="98"/>
      <c r="D17" s="50"/>
      <c r="E17" s="97"/>
      <c r="H17" s="47"/>
      <c r="I17" s="102"/>
      <c r="J17" s="102"/>
      <c r="K17" s="90"/>
      <c r="L17" s="45"/>
      <c r="M17" s="47"/>
      <c r="N17" s="102"/>
      <c r="O17" s="102"/>
      <c r="P17" s="90"/>
      <c r="Q17" s="53"/>
    </row>
    <row r="18" spans="2:17" s="46" customFormat="1" x14ac:dyDescent="0.2">
      <c r="B18" s="210"/>
      <c r="C18" s="98"/>
      <c r="D18" s="50"/>
      <c r="E18" s="97"/>
      <c r="H18" s="1173" t="s">
        <v>1074</v>
      </c>
      <c r="I18" s="1174"/>
      <c r="J18" s="1174"/>
      <c r="K18" s="1175"/>
      <c r="L18" s="45"/>
      <c r="M18" s="1173" t="s">
        <v>1075</v>
      </c>
      <c r="N18" s="1174"/>
      <c r="O18" s="1174"/>
      <c r="P18" s="1175"/>
      <c r="Q18" s="53"/>
    </row>
    <row r="19" spans="2:17" s="46" customFormat="1" x14ac:dyDescent="0.2">
      <c r="B19" s="210"/>
      <c r="C19" s="98"/>
      <c r="D19" s="50"/>
      <c r="E19" s="97"/>
      <c r="F19" s="97"/>
      <c r="G19" s="97"/>
      <c r="H19" s="428"/>
      <c r="I19" s="51"/>
      <c r="J19" s="51"/>
      <c r="K19" s="53"/>
      <c r="L19" s="51"/>
      <c r="M19" s="202"/>
      <c r="N19" s="51"/>
      <c r="O19" s="51"/>
      <c r="P19" s="53"/>
      <c r="Q19" s="53"/>
    </row>
    <row r="20" spans="2:17" s="46" customFormat="1" x14ac:dyDescent="0.2">
      <c r="B20" s="210"/>
      <c r="C20" s="98"/>
      <c r="D20" s="50"/>
      <c r="E20" s="97" t="s">
        <v>1070</v>
      </c>
      <c r="H20" s="50"/>
      <c r="I20" s="485"/>
      <c r="K20" s="53"/>
      <c r="L20" s="51"/>
      <c r="M20" s="1176"/>
      <c r="N20" s="1177"/>
      <c r="O20" s="51"/>
      <c r="P20" s="53"/>
      <c r="Q20" s="53"/>
    </row>
    <row r="21" spans="2:17" s="46" customFormat="1" x14ac:dyDescent="0.2">
      <c r="B21" s="210"/>
      <c r="C21" s="98"/>
      <c r="D21" s="50"/>
      <c r="E21" s="97"/>
      <c r="F21" s="97"/>
      <c r="G21" s="97"/>
      <c r="H21" s="428"/>
      <c r="I21" s="51"/>
      <c r="J21" s="51"/>
      <c r="K21" s="53"/>
      <c r="L21" s="51"/>
      <c r="M21" s="202"/>
      <c r="N21" s="51"/>
      <c r="O21" s="51"/>
      <c r="P21" s="53"/>
      <c r="Q21" s="53"/>
    </row>
    <row r="22" spans="2:17" s="46" customFormat="1" x14ac:dyDescent="0.2">
      <c r="B22" s="210"/>
      <c r="C22" s="98"/>
      <c r="D22" s="50"/>
      <c r="E22" s="97" t="s">
        <v>1071</v>
      </c>
      <c r="H22" s="429"/>
      <c r="I22" s="1172" t="str">
        <f>IFERROR(INDEX(LohntabelleM!$B$4:$AE$31,Lohnrechner!$K$16,Lohnrechner!$O$16),"")</f>
        <v/>
      </c>
      <c r="J22" s="1172"/>
      <c r="K22" s="52"/>
      <c r="L22" s="45"/>
      <c r="M22" s="202"/>
      <c r="N22" s="1172" t="str" cm="1">
        <f t="array" ref="N22">IFERROR(INDEX(LohntabelleM!$B$4:$AE$31,Lohnrechner!$K$16,Lohnrechner!$O$16),"")</f>
        <v/>
      </c>
      <c r="O22" s="1172"/>
      <c r="P22" s="53"/>
      <c r="Q22" s="53"/>
    </row>
    <row r="23" spans="2:17" s="46" customFormat="1" x14ac:dyDescent="0.2">
      <c r="B23" s="210"/>
      <c r="C23" s="98"/>
      <c r="D23" s="50"/>
      <c r="E23" s="97"/>
      <c r="F23" s="97"/>
      <c r="G23" s="97"/>
      <c r="H23" s="202"/>
      <c r="I23" s="51"/>
      <c r="J23" s="51"/>
      <c r="K23" s="53"/>
      <c r="L23" s="51"/>
      <c r="M23" s="431"/>
      <c r="N23" s="55"/>
      <c r="O23" s="55"/>
      <c r="P23" s="57"/>
      <c r="Q23" s="53"/>
    </row>
    <row r="24" spans="2:17" s="46" customFormat="1" x14ac:dyDescent="0.2">
      <c r="B24" s="210"/>
      <c r="C24" s="98"/>
      <c r="D24" s="50"/>
      <c r="E24" s="97" t="s">
        <v>1072</v>
      </c>
      <c r="F24" s="97"/>
      <c r="G24" s="97"/>
      <c r="H24" s="429"/>
      <c r="I24" s="1172" t="str">
        <f>IF(I22="","",$I$22*$I$20)</f>
        <v/>
      </c>
      <c r="J24" s="1172"/>
      <c r="K24" s="53"/>
      <c r="L24" s="51"/>
      <c r="M24" s="51"/>
      <c r="N24" s="45"/>
      <c r="O24" s="45"/>
      <c r="P24" s="51"/>
      <c r="Q24" s="53"/>
    </row>
    <row r="25" spans="2:17" s="46" customFormat="1" x14ac:dyDescent="0.2">
      <c r="B25" s="210"/>
      <c r="C25" s="98"/>
      <c r="D25" s="50"/>
      <c r="E25" s="97"/>
      <c r="F25" s="97"/>
      <c r="G25" s="97"/>
      <c r="H25" s="429"/>
      <c r="I25" s="51"/>
      <c r="J25" s="51"/>
      <c r="K25" s="53"/>
      <c r="L25" s="51"/>
      <c r="M25" s="51"/>
      <c r="N25" s="45"/>
      <c r="O25" s="45"/>
      <c r="P25" s="51"/>
      <c r="Q25" s="53"/>
    </row>
    <row r="26" spans="2:17" s="46" customFormat="1" x14ac:dyDescent="0.2">
      <c r="B26" s="210"/>
      <c r="C26" s="98"/>
      <c r="D26" s="50"/>
      <c r="E26" s="97" t="s">
        <v>1073</v>
      </c>
      <c r="F26" s="97"/>
      <c r="G26" s="97"/>
      <c r="H26" s="429"/>
      <c r="I26" s="1172" t="str">
        <f>IF(I24="","",I24/182.7)</f>
        <v/>
      </c>
      <c r="J26" s="1172"/>
      <c r="K26" s="53"/>
      <c r="L26" s="51"/>
      <c r="M26" s="51"/>
      <c r="N26" s="45"/>
      <c r="O26" s="45"/>
      <c r="P26" s="51"/>
      <c r="Q26" s="53"/>
    </row>
    <row r="27" spans="2:17" s="46" customFormat="1" x14ac:dyDescent="0.2">
      <c r="B27" s="210"/>
      <c r="C27" s="98"/>
      <c r="D27" s="50"/>
      <c r="E27" s="426"/>
      <c r="F27" s="97"/>
      <c r="G27" s="97"/>
      <c r="H27" s="430"/>
      <c r="I27" s="55"/>
      <c r="J27" s="55"/>
      <c r="K27" s="57"/>
      <c r="L27" s="51"/>
      <c r="M27" s="51"/>
      <c r="N27" s="45"/>
      <c r="O27" s="45"/>
      <c r="P27" s="45"/>
      <c r="Q27" s="53"/>
    </row>
    <row r="28" spans="2:17" s="46" customFormat="1" ht="8.1" customHeight="1" x14ac:dyDescent="0.2">
      <c r="B28" s="210"/>
      <c r="C28" s="98"/>
      <c r="D28" s="54"/>
      <c r="E28" s="55"/>
      <c r="F28" s="55"/>
      <c r="G28" s="55"/>
      <c r="H28" s="56"/>
      <c r="I28" s="55"/>
      <c r="J28" s="55"/>
      <c r="K28" s="55"/>
      <c r="L28" s="55"/>
      <c r="M28" s="55"/>
      <c r="N28" s="55"/>
      <c r="O28" s="55"/>
      <c r="P28" s="55"/>
      <c r="Q28" s="57"/>
    </row>
    <row r="29" spans="2:17" s="46" customFormat="1" x14ac:dyDescent="0.2">
      <c r="B29" s="210"/>
      <c r="C29" s="98"/>
      <c r="E29" s="98"/>
      <c r="F29" s="98"/>
      <c r="G29" s="98"/>
      <c r="H29" s="99"/>
      <c r="I29" s="98"/>
      <c r="J29" s="98"/>
      <c r="K29" s="98"/>
      <c r="L29" s="98"/>
      <c r="M29" s="98"/>
      <c r="N29" s="98"/>
      <c r="O29" s="98"/>
      <c r="P29" s="98"/>
    </row>
    <row r="30" spans="2:17" s="46" customFormat="1" ht="64.349999999999994" customHeight="1" x14ac:dyDescent="0.2">
      <c r="B30" s="210"/>
      <c r="C30" s="196"/>
      <c r="D30" s="1171" t="s">
        <v>966</v>
      </c>
      <c r="E30" s="1171"/>
      <c r="F30" s="1171"/>
      <c r="G30" s="1171"/>
      <c r="H30" s="1171"/>
      <c r="I30" s="1171"/>
      <c r="J30" s="1171"/>
      <c r="K30" s="1171"/>
      <c r="L30" s="1171"/>
      <c r="M30" s="1171"/>
      <c r="N30" s="1171"/>
      <c r="O30" s="1171"/>
      <c r="P30" s="432"/>
    </row>
    <row r="31" spans="2:17" s="46" customFormat="1" ht="17.25" customHeight="1" x14ac:dyDescent="0.2">
      <c r="B31" s="210"/>
      <c r="C31" s="196"/>
      <c r="D31" s="1171"/>
      <c r="E31" s="1171"/>
      <c r="F31" s="1171"/>
      <c r="G31" s="1171"/>
      <c r="H31" s="1171"/>
      <c r="I31" s="1171"/>
      <c r="J31" s="1171"/>
      <c r="K31" s="1171"/>
      <c r="L31" s="1171"/>
      <c r="M31" s="1171"/>
      <c r="N31" s="1171"/>
      <c r="O31" s="1171"/>
      <c r="P31" s="432"/>
    </row>
    <row r="32" spans="2:17" s="46" customFormat="1" x14ac:dyDescent="0.2">
      <c r="B32" s="93"/>
      <c r="C32" s="196"/>
    </row>
    <row r="33" spans="1:22" s="46" customFormat="1" x14ac:dyDescent="0.2">
      <c r="B33" s="93"/>
      <c r="C33" s="196"/>
    </row>
    <row r="34" spans="1:22" s="46" customFormat="1" x14ac:dyDescent="0.2">
      <c r="B34" s="93"/>
      <c r="C34" s="196"/>
    </row>
    <row r="35" spans="1:22" s="46" customFormat="1" x14ac:dyDescent="0.2">
      <c r="B35" s="93"/>
      <c r="C35" s="196"/>
    </row>
    <row r="36" spans="1:22" s="46" customFormat="1" x14ac:dyDescent="0.2">
      <c r="B36" s="93"/>
      <c r="C36" s="196"/>
    </row>
    <row r="37" spans="1:22" s="46" customFormat="1" x14ac:dyDescent="0.2">
      <c r="B37" s="93"/>
      <c r="C37" s="196"/>
    </row>
    <row r="38" spans="1:22" s="46" customFormat="1" x14ac:dyDescent="0.2">
      <c r="B38" s="93"/>
      <c r="C38" s="196"/>
    </row>
    <row r="39" spans="1:22" s="46" customFormat="1" x14ac:dyDescent="0.2">
      <c r="B39" s="93"/>
      <c r="C39" s="196"/>
      <c r="E39" s="98"/>
      <c r="F39" s="98"/>
      <c r="G39" s="98"/>
      <c r="H39" s="99"/>
      <c r="I39" s="98"/>
      <c r="J39" s="98"/>
      <c r="K39" s="98"/>
      <c r="L39" s="98"/>
      <c r="M39" s="98"/>
      <c r="N39" s="98"/>
      <c r="O39" s="98"/>
      <c r="P39" s="98"/>
    </row>
    <row r="40" spans="1:22" s="46" customFormat="1" x14ac:dyDescent="0.2">
      <c r="B40" s="93"/>
      <c r="C40" s="196"/>
      <c r="D40" s="93"/>
      <c r="E40" s="93"/>
      <c r="F40" s="93"/>
      <c r="G40" s="93"/>
      <c r="H40" s="93"/>
      <c r="I40" s="93"/>
      <c r="J40" s="93"/>
      <c r="K40" s="93"/>
      <c r="L40" s="93"/>
      <c r="M40" s="93"/>
      <c r="N40" s="93"/>
      <c r="O40" s="93"/>
      <c r="P40" s="93"/>
      <c r="Q40" s="93"/>
    </row>
    <row r="41" spans="1:22" s="196" customFormat="1" x14ac:dyDescent="0.2">
      <c r="A41" s="93"/>
      <c r="B41" s="93"/>
      <c r="D41" s="93"/>
      <c r="E41" s="93"/>
      <c r="F41" s="93"/>
      <c r="G41" s="93"/>
      <c r="H41" s="93"/>
      <c r="I41" s="93"/>
      <c r="J41" s="93"/>
      <c r="K41" s="93"/>
      <c r="L41" s="93"/>
      <c r="M41" s="93"/>
      <c r="N41" s="93"/>
      <c r="O41" s="93"/>
      <c r="P41" s="93"/>
      <c r="Q41" s="93"/>
      <c r="R41" s="93"/>
      <c r="S41" s="93"/>
      <c r="T41" s="93"/>
      <c r="U41" s="93"/>
      <c r="V41" s="93"/>
    </row>
    <row r="42" spans="1:22" s="196" customFormat="1" x14ac:dyDescent="0.2">
      <c r="A42" s="93"/>
      <c r="B42" s="93"/>
      <c r="D42" s="93"/>
      <c r="E42" s="93"/>
      <c r="F42" s="93"/>
      <c r="G42" s="93"/>
      <c r="H42" s="93"/>
      <c r="I42" s="93"/>
      <c r="J42" s="93"/>
      <c r="K42" s="93"/>
      <c r="L42" s="93"/>
      <c r="M42" s="93"/>
      <c r="N42" s="93"/>
      <c r="O42" s="93"/>
      <c r="P42" s="93"/>
      <c r="Q42" s="93"/>
      <c r="R42" s="93"/>
      <c r="S42" s="93"/>
      <c r="T42" s="93"/>
      <c r="U42" s="93"/>
      <c r="V42" s="93"/>
    </row>
    <row r="43" spans="1:22" s="196" customFormat="1" x14ac:dyDescent="0.2">
      <c r="A43" s="93"/>
      <c r="B43" s="93"/>
      <c r="D43" s="93"/>
      <c r="E43" s="93"/>
      <c r="F43" s="93"/>
      <c r="G43" s="93"/>
      <c r="H43" s="93"/>
      <c r="I43" s="93"/>
      <c r="J43" s="93"/>
      <c r="K43" s="93"/>
      <c r="L43" s="93"/>
      <c r="M43" s="93"/>
      <c r="N43" s="93"/>
      <c r="O43" s="93"/>
      <c r="P43" s="93"/>
      <c r="Q43" s="93"/>
      <c r="R43" s="93"/>
      <c r="S43" s="93"/>
      <c r="T43" s="93"/>
      <c r="U43" s="93"/>
      <c r="V43" s="93"/>
    </row>
    <row r="44" spans="1:22" s="196" customFormat="1" x14ac:dyDescent="0.2">
      <c r="A44" s="93"/>
      <c r="B44" s="93"/>
      <c r="D44" s="93"/>
      <c r="E44" s="93"/>
      <c r="F44" s="93"/>
      <c r="G44" s="93"/>
      <c r="H44" s="93"/>
      <c r="I44" s="93"/>
      <c r="J44" s="93"/>
      <c r="K44" s="93"/>
      <c r="L44" s="93"/>
      <c r="M44" s="93"/>
      <c r="N44" s="93"/>
      <c r="O44" s="93"/>
      <c r="P44" s="93"/>
      <c r="Q44" s="93"/>
      <c r="R44" s="93"/>
      <c r="S44" s="93"/>
      <c r="T44" s="93"/>
      <c r="U44" s="93"/>
      <c r="V44" s="93"/>
    </row>
    <row r="45" spans="1:22" s="196" customFormat="1" x14ac:dyDescent="0.2">
      <c r="A45" s="93"/>
      <c r="B45" s="93"/>
      <c r="D45" s="93"/>
      <c r="E45" s="93"/>
      <c r="F45" s="93"/>
      <c r="G45" s="93"/>
      <c r="H45" s="93"/>
      <c r="I45" s="93"/>
      <c r="J45" s="93"/>
      <c r="K45" s="93"/>
      <c r="L45" s="93"/>
      <c r="M45" s="93"/>
      <c r="N45" s="93"/>
      <c r="O45" s="93"/>
      <c r="P45" s="93"/>
      <c r="Q45" s="93"/>
      <c r="R45" s="93"/>
      <c r="S45" s="93"/>
      <c r="T45" s="93"/>
      <c r="U45" s="93"/>
      <c r="V45" s="93"/>
    </row>
    <row r="46" spans="1:22" s="196" customFormat="1" x14ac:dyDescent="0.2">
      <c r="A46" s="93"/>
      <c r="B46" s="93"/>
      <c r="D46" s="93"/>
      <c r="E46" s="93"/>
      <c r="F46" s="93"/>
      <c r="G46" s="93"/>
      <c r="H46" s="93"/>
      <c r="I46" s="93"/>
      <c r="J46" s="93"/>
      <c r="K46" s="93"/>
      <c r="L46" s="93"/>
      <c r="M46" s="93"/>
      <c r="N46" s="93"/>
      <c r="O46" s="93"/>
      <c r="P46" s="93"/>
      <c r="Q46" s="93"/>
      <c r="R46" s="93"/>
      <c r="S46" s="93"/>
      <c r="T46" s="93"/>
      <c r="U46" s="93"/>
      <c r="V46" s="93"/>
    </row>
    <row r="47" spans="1:22" s="196" customFormat="1" x14ac:dyDescent="0.2">
      <c r="A47" s="93"/>
      <c r="B47" s="93"/>
      <c r="D47" s="93"/>
      <c r="E47" s="93"/>
      <c r="F47" s="93"/>
      <c r="G47" s="93"/>
      <c r="H47" s="93"/>
      <c r="I47" s="93"/>
      <c r="J47" s="93"/>
      <c r="K47" s="93"/>
      <c r="L47" s="93"/>
      <c r="M47" s="93"/>
      <c r="N47" s="93"/>
      <c r="O47" s="93"/>
      <c r="P47" s="93"/>
      <c r="Q47" s="93"/>
      <c r="R47" s="93"/>
      <c r="S47" s="93"/>
      <c r="T47" s="93"/>
      <c r="U47" s="93"/>
      <c r="V47" s="93"/>
    </row>
    <row r="48" spans="1:22" s="196" customFormat="1" x14ac:dyDescent="0.2">
      <c r="A48" s="93"/>
      <c r="B48" s="93"/>
      <c r="D48" s="93"/>
      <c r="E48" s="93"/>
      <c r="F48" s="93"/>
      <c r="G48" s="93"/>
      <c r="H48" s="93"/>
      <c r="I48" s="93"/>
      <c r="J48" s="93"/>
      <c r="K48" s="93"/>
      <c r="L48" s="93"/>
      <c r="M48" s="93"/>
      <c r="N48" s="93"/>
      <c r="O48" s="93"/>
      <c r="P48" s="93"/>
      <c r="Q48" s="93"/>
      <c r="R48" s="93"/>
      <c r="S48" s="93"/>
      <c r="T48" s="93"/>
      <c r="U48" s="93"/>
      <c r="V48" s="93"/>
    </row>
  </sheetData>
  <sheetProtection algorithmName="SHA-512" hashValue="ZrPiw+hOG65gias6DrKna8EIWRf26OGAgBiAiQC1ZzUl/TbmeK2MIm01lRNJZmI+jKsEkaR96D3DfwD0tQ0EiQ==" saltValue="Jq4+ILXD3MGUQzzsu1bNZA==" spinCount="100000" sheet="1" objects="1" scenarios="1"/>
  <protectedRanges>
    <protectedRange algorithmName="SHA-512" hashValue="uEJvk/2e2QpbancF0lR8jCPdKxzEVJJ5aayplGbzaZlwzzwUYsmFEi4dwgf1k/SEjdyBk39FQLg0Uxn7RY+Q1g==" saltValue="RJF8eqWwUQtLf8J2bVKzAg==" spinCount="100000" sqref="I20 O15 J15" name="LohnrechnerSchutz"/>
  </protectedRanges>
  <mergeCells count="13">
    <mergeCell ref="S10:X11"/>
    <mergeCell ref="D30:O31"/>
    <mergeCell ref="N22:O22"/>
    <mergeCell ref="I26:J26"/>
    <mergeCell ref="D2:I2"/>
    <mergeCell ref="M18:P18"/>
    <mergeCell ref="H18:K18"/>
    <mergeCell ref="M20:N20"/>
    <mergeCell ref="N11:O11"/>
    <mergeCell ref="I22:J22"/>
    <mergeCell ref="I24:J24"/>
    <mergeCell ref="H11:J11"/>
    <mergeCell ref="H13:J13"/>
  </mergeCells>
  <dataValidations count="5">
    <dataValidation type="decimal" operator="greaterThan" allowBlank="1" showInputMessage="1" showErrorMessage="1" errorTitle="Fehler" error="Pensum als Ganzzahl angeben" sqref="N23">
      <formula1>0</formula1>
    </dataValidation>
    <dataValidation operator="greaterThan" allowBlank="1" showInputMessage="1" errorTitle="Fehler" error="Pensum als Ganzzahl angeben" sqref="O24:P27 H18 P15 I17"/>
    <dataValidation type="list" operator="greaterThan" allowBlank="1" showInputMessage="1" errorTitle="Fehler" error="Pensum als Ganzzahl angeben" sqref="O15">
      <formula1>Erfahrungswert</formula1>
    </dataValidation>
    <dataValidation type="list" operator="greaterThan" allowBlank="1" showInputMessage="1" errorTitle="Fehler" error="Pensum als Ganzzahl angeben" sqref="J15">
      <formula1>Lohnband</formula1>
    </dataValidation>
    <dataValidation type="decimal" allowBlank="1" showInputMessage="1" showErrorMessage="1" errorTitle="Fehler" error="Muss zwischen 0 und 100% liegen" sqref="K20 I20">
      <formula1>0</formula1>
      <formula2>1</formula2>
    </dataValidation>
  </dataValidations>
  <hyperlinks>
    <hyperlink ref="S10:U11" location="Grunddaten!A1" tooltip="Zurück zu Grunddaten" display="Zurück zu Grunddaten"/>
  </hyperlinks>
  <pageMargins left="0.7" right="0.7" top="0.78740157499999996" bottom="0.78740157499999996" header="0.3" footer="0.3"/>
  <pageSetup paperSize="9" scale="86" fitToHeight="0" orientation="portrait" r:id="rId1"/>
  <ignoredErrors>
    <ignoredError sqref="K16 O16" evalError="1"/>
  </ignoredErrors>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pageSetUpPr fitToPage="1"/>
  </sheetPr>
  <dimension ref="A1:S101"/>
  <sheetViews>
    <sheetView showGridLines="0" topLeftCell="A49" zoomScaleNormal="100" workbookViewId="0">
      <selection activeCell="D83" sqref="D83:E84"/>
    </sheetView>
  </sheetViews>
  <sheetFormatPr baseColWidth="10" defaultColWidth="11.42578125" defaultRowHeight="12.75" x14ac:dyDescent="0.2"/>
  <cols>
    <col min="1" max="1" width="3" style="103" customWidth="1"/>
    <col min="2" max="2" width="6.5703125" style="103" customWidth="1"/>
    <col min="3" max="3" width="3" style="103" customWidth="1"/>
    <col min="4" max="4" width="13" style="103" customWidth="1"/>
    <col min="5" max="5" width="35.5703125" style="103" customWidth="1"/>
    <col min="6" max="6" width="16.5703125" style="103" customWidth="1"/>
    <col min="7" max="7" width="6.5703125" style="103" customWidth="1"/>
    <col min="8" max="8" width="3.5703125" style="103" customWidth="1"/>
    <col min="9" max="9" width="9.5703125" style="136" bestFit="1" customWidth="1"/>
    <col min="10" max="10" width="8.140625" style="137" bestFit="1" customWidth="1"/>
    <col min="11" max="11" width="8.7109375" style="195" customWidth="1"/>
    <col min="12" max="12" width="5.5703125" style="103" customWidth="1"/>
    <col min="13" max="13" width="3.7109375" style="852" customWidth="1"/>
    <col min="14" max="14" width="5.5703125" style="103" customWidth="1"/>
    <col min="15" max="15" width="9.5703125" style="103" customWidth="1"/>
    <col min="16" max="16" width="71.42578125" style="103" customWidth="1"/>
    <col min="17" max="17" width="11.42578125" style="853" hidden="1" customWidth="1"/>
    <col min="18" max="18" width="12.140625" style="121" hidden="1" customWidth="1"/>
    <col min="19" max="19" width="19" style="121" customWidth="1"/>
    <col min="20" max="16384" width="11.42578125" style="103"/>
  </cols>
  <sheetData>
    <row r="1" spans="1:19" ht="13.9" customHeight="1" x14ac:dyDescent="0.25">
      <c r="F1" s="107"/>
      <c r="G1" s="108"/>
      <c r="H1" s="101"/>
      <c r="I1" s="109"/>
      <c r="J1" s="109"/>
      <c r="K1" s="109"/>
      <c r="L1" s="101"/>
      <c r="M1" s="873"/>
      <c r="N1" s="2" t="s">
        <v>343</v>
      </c>
    </row>
    <row r="2" spans="1:19" ht="13.9" customHeight="1" x14ac:dyDescent="0.2">
      <c r="F2" s="110"/>
      <c r="G2" s="111"/>
      <c r="H2" s="101"/>
      <c r="I2" s="109"/>
      <c r="J2" s="109"/>
      <c r="K2" s="109"/>
      <c r="M2" s="873"/>
      <c r="N2" s="112" t="str">
        <f>IF(M6="ok",IF(Q2&lt;&gt;"","Achtung mehrere A1/A2-Varianten, zutreffende Variante mit Ankreuzen wählen","Zutreffende Zeile im gelben Feld ankreuzen"),"")</f>
        <v/>
      </c>
      <c r="O2" s="112"/>
      <c r="P2" s="112"/>
      <c r="Q2" s="853" t="str">
        <f>IFERROR(IF(VLOOKUP(M5,'MU-Daten'!B:N,13,0)&lt;&gt;"","x",""),"")</f>
        <v/>
      </c>
    </row>
    <row r="3" spans="1:19" ht="13.9" customHeight="1" x14ac:dyDescent="0.2">
      <c r="F3" s="110"/>
      <c r="G3" s="111"/>
      <c r="H3" s="101"/>
      <c r="I3" s="109"/>
      <c r="J3" s="109"/>
      <c r="K3" s="109"/>
      <c r="M3" s="873"/>
      <c r="N3" s="112"/>
      <c r="O3" s="112"/>
      <c r="P3" s="112"/>
    </row>
    <row r="4" spans="1:19" ht="21" customHeight="1" x14ac:dyDescent="0.25">
      <c r="A4" s="114" t="s">
        <v>812</v>
      </c>
      <c r="F4" s="104"/>
      <c r="G4" s="101"/>
      <c r="H4" s="101"/>
      <c r="I4" s="109"/>
      <c r="J4" s="109"/>
      <c r="K4" s="109"/>
      <c r="L4" s="101"/>
      <c r="M4" s="874"/>
      <c r="N4" s="139"/>
      <c r="O4" s="115" t="s">
        <v>282</v>
      </c>
      <c r="P4" s="115"/>
      <c r="Q4" s="853" t="str">
        <f>CONCATENATE(IF(N5&lt;&gt;"",IF(OR(N6&lt;&gt;"",N7&lt;&gt;""),"Fehler",""),IF(AND(N6&lt;&gt;"",N7&lt;&gt;""),"Fehler","")),IF(AND(O6="",N6&lt;&gt;""),"Fehler",""),IF(AND(O7="",N7&lt;&gt;""),"Fehler",""))</f>
        <v/>
      </c>
    </row>
    <row r="5" spans="1:19" ht="12.4" customHeight="1" x14ac:dyDescent="0.25">
      <c r="A5" s="116"/>
      <c r="B5" s="117"/>
      <c r="C5" s="117"/>
      <c r="D5" s="117"/>
      <c r="E5" s="116"/>
      <c r="F5" s="117"/>
      <c r="G5" s="117"/>
      <c r="H5" s="117"/>
      <c r="I5" s="118"/>
      <c r="J5" s="119"/>
      <c r="K5" s="120"/>
      <c r="L5" s="121"/>
      <c r="M5" s="873" t="str">
        <f>CONCATENATE("M",I6)</f>
        <v>M</v>
      </c>
      <c r="N5" s="486" t="str">
        <f>IF(O5="","",IF(O6="","x",""))</f>
        <v/>
      </c>
      <c r="O5" s="1202" t="str">
        <f>IF(M$6="?","",IF(M$6="ok",CONCATENATE("A1=",VLOOKUP(M$5,'MU-Daten'!B:L,11,0),"/ A2=",Q5,"")))</f>
        <v/>
      </c>
      <c r="P5" s="1203"/>
      <c r="Q5" s="854" t="str">
        <f>IF(M$6="ok",VLOOKUP(M$5,'MU-Daten'!B:K,10,0),"")</f>
        <v/>
      </c>
    </row>
    <row r="6" spans="1:19" ht="12.4" customHeight="1" x14ac:dyDescent="0.2">
      <c r="A6" s="122" t="s">
        <v>707</v>
      </c>
      <c r="E6" s="567"/>
      <c r="F6" s="122" t="s">
        <v>0</v>
      </c>
      <c r="I6" s="1204"/>
      <c r="J6" s="1204"/>
      <c r="K6" s="1204"/>
      <c r="M6" s="873" t="str">
        <f>IF(I6&lt;&gt;"",IF(M5=VLOOKUP(M5,'MU-Daten'!B:B,1,0),"ok","?"),"?")</f>
        <v>?</v>
      </c>
      <c r="N6" s="486"/>
      <c r="O6" s="1202" t="str">
        <f>IFERROR(IF(Q2&lt;&gt;"",CONCATENATE("Variante 1: A1 =",VLOOKUP(M$5,'MU-Daten'!B:S,18,0),"/ A2 =",VLOOKUP(M$5,'MU-Daten'!B:O,14,0),""),""),"")</f>
        <v/>
      </c>
      <c r="P6" s="1203"/>
      <c r="Q6" s="854" t="str">
        <f>IF(Q2&lt;&gt;"",VLOOKUP(M$5,'MU-Daten'!B:O,14),"")</f>
        <v/>
      </c>
    </row>
    <row r="7" spans="1:19" s="117" customFormat="1" ht="12.4" customHeight="1" x14ac:dyDescent="0.2">
      <c r="A7" s="122" t="s">
        <v>757</v>
      </c>
      <c r="B7" s="103"/>
      <c r="C7" s="103"/>
      <c r="D7" s="103"/>
      <c r="E7" s="201" t="str">
        <f>IF(MAName&lt;&gt;"",MAName,"")</f>
        <v/>
      </c>
      <c r="F7" s="122" t="s">
        <v>1</v>
      </c>
      <c r="G7" s="1211"/>
      <c r="H7" s="1211"/>
      <c r="I7" s="1211"/>
      <c r="J7" s="1211"/>
      <c r="K7" s="1211"/>
      <c r="M7" s="873"/>
      <c r="N7" s="486"/>
      <c r="O7" s="1202" t="str">
        <f>IF(Q2&lt;&gt;"",CONCATENATE(IF(VLOOKUP(M$5,'MU-Daten'!B:Q,16,0)&lt;&gt;"",CONCATENATE("Variante 2: A1 =",VLOOKUP(M$5,'MU-Daten'!B:T,19,0),"/ A2 =",Q7,""),""),""),"")</f>
        <v/>
      </c>
      <c r="P7" s="1203"/>
      <c r="Q7" s="854" t="str">
        <f>IF(Q2&lt;&gt;"",VLOOKUP(M$5,'MU-Daten'!B:R,17),"")</f>
        <v/>
      </c>
      <c r="R7" s="121"/>
      <c r="S7" s="121"/>
    </row>
    <row r="8" spans="1:19" ht="12.4" customHeight="1" x14ac:dyDescent="0.2">
      <c r="A8" s="122" t="s">
        <v>758</v>
      </c>
      <c r="E8" s="201" t="str">
        <f>IF(MAVorname&lt;&gt;"",MAVorname,"")</f>
        <v/>
      </c>
      <c r="F8" s="123" t="s">
        <v>594</v>
      </c>
      <c r="G8" s="1224" t="str">
        <f>IF(M6="ok",VLOOKUP(M5,'MU-Daten'!B:K,6,0),"MU ungültig/fehlt")</f>
        <v>MU ungültig/fehlt</v>
      </c>
      <c r="H8" s="1224"/>
      <c r="I8" s="1224"/>
      <c r="J8" s="1224"/>
      <c r="K8" s="1224"/>
      <c r="L8" s="101"/>
      <c r="M8" s="875"/>
      <c r="N8" s="105" t="str">
        <f>IF(Q4&lt;&gt;"","Nur eine gültige Variante ankreuzen !","")</f>
        <v/>
      </c>
      <c r="O8" s="105"/>
      <c r="P8" s="105"/>
    </row>
    <row r="9" spans="1:19" ht="12.4" customHeight="1" x14ac:dyDescent="0.2">
      <c r="A9" s="122"/>
      <c r="I9" s="125" t="s">
        <v>2</v>
      </c>
      <c r="J9" s="126" t="s">
        <v>3</v>
      </c>
      <c r="K9" s="126" t="s">
        <v>4</v>
      </c>
      <c r="M9" s="873"/>
      <c r="N9" s="2" t="s">
        <v>587</v>
      </c>
      <c r="O9" s="3"/>
      <c r="P9" s="3"/>
      <c r="Q9" s="855"/>
    </row>
    <row r="10" spans="1:19" ht="12.4" customHeight="1" x14ac:dyDescent="0.2">
      <c r="E10" s="127" t="s">
        <v>5</v>
      </c>
      <c r="F10" s="128"/>
      <c r="G10" s="128"/>
      <c r="H10" s="129"/>
      <c r="I10" s="487">
        <v>1</v>
      </c>
      <c r="J10" s="488">
        <v>1</v>
      </c>
      <c r="K10" s="489">
        <v>2024</v>
      </c>
      <c r="L10" s="765"/>
      <c r="M10" s="873"/>
      <c r="N10" s="2" t="s">
        <v>280</v>
      </c>
      <c r="O10" s="3"/>
      <c r="P10" s="3"/>
      <c r="Q10" s="856" t="s">
        <v>65</v>
      </c>
    </row>
    <row r="11" spans="1:19" ht="12.4" customHeight="1" x14ac:dyDescent="0.2">
      <c r="E11" s="127" t="s">
        <v>275</v>
      </c>
      <c r="F11" s="128"/>
      <c r="G11" s="128"/>
      <c r="H11" s="129"/>
      <c r="I11" s="130"/>
      <c r="J11" s="131">
        <f>SUM(M27:M56)-(K11*12)</f>
        <v>0</v>
      </c>
      <c r="K11" s="132">
        <f>INT(SUM(M27:M56)/12)</f>
        <v>0</v>
      </c>
      <c r="M11" s="873"/>
      <c r="N11" s="3" t="str">
        <f>IF(Q36&gt;200,"Nur eine Zeile/Ausbildungsvariante ankreuzen!","(Zutreffende Zeile im gelben Feld ankreuzen und ggf. erforderliche A1 Wert bei Varianten anpassen)")</f>
        <v>(Zutreffende Zeile im gelben Feld ankreuzen und ggf. erforderliche A1 Wert bei Varianten anpassen)</v>
      </c>
      <c r="O11" s="3"/>
      <c r="P11" s="3"/>
    </row>
    <row r="12" spans="1:19" ht="12.4" customHeight="1" x14ac:dyDescent="0.2">
      <c r="E12" s="127" t="s">
        <v>274</v>
      </c>
      <c r="F12" s="128"/>
      <c r="G12" s="128"/>
      <c r="H12" s="129"/>
      <c r="I12" s="133">
        <f>I10</f>
        <v>1</v>
      </c>
      <c r="J12" s="134">
        <f>K10*12+J10-J11-K11*12-K12*12</f>
        <v>1</v>
      </c>
      <c r="K12" s="135">
        <f>INT((K10*12+J10-K11*12-J11-1/12)/12)</f>
        <v>2024</v>
      </c>
      <c r="M12" s="873"/>
      <c r="N12" s="4"/>
      <c r="O12" s="5" t="s">
        <v>73</v>
      </c>
      <c r="P12" s="4" t="s">
        <v>282</v>
      </c>
      <c r="Q12" s="151" t="str">
        <f>IF(N12&lt;&gt;"",ROW(N12)-26+100,"")</f>
        <v/>
      </c>
    </row>
    <row r="13" spans="1:19" ht="12.4" customHeight="1" x14ac:dyDescent="0.2">
      <c r="I13" s="103"/>
      <c r="J13" s="136"/>
      <c r="K13" s="137"/>
      <c r="M13" s="873"/>
      <c r="N13" s="490"/>
      <c r="O13" s="138">
        <f>'A1-Texte'!A1</f>
        <v>0</v>
      </c>
      <c r="P13" s="139" t="str">
        <f>'A1-Texte'!B1</f>
        <v>Ohne obligatorische Schulbildung</v>
      </c>
      <c r="Q13" s="151" t="str">
        <f>IF(N13&lt;&gt;"",ROW(N13)-12+100,"")</f>
        <v/>
      </c>
      <c r="R13" s="121" t="str">
        <f>IF(N13&lt;&gt;0,VLOOKUP(O13,Bewertungstabelle!$A$2:$B$32,2,0),"")</f>
        <v/>
      </c>
      <c r="S13" s="121">
        <f>IF(R13="",0,1)</f>
        <v>0</v>
      </c>
    </row>
    <row r="14" spans="1:19" ht="12.4" customHeight="1" x14ac:dyDescent="0.2">
      <c r="E14" s="140" t="str">
        <f>CONCATENATE("Geburtsdatum",IF(I14&lt;&gt;"",CONCATENATE(" (Alter 18 ab ",MONTH(CONCATENATE("01.",J14,".",K14)),".",YEAR(CONCATENATE("01.",J14,".",K14))+18,")"),""))</f>
        <v>Geburtsdatum (Alter 18 ab 1.1918)</v>
      </c>
      <c r="F14" s="128"/>
      <c r="G14" s="128"/>
      <c r="H14" s="129"/>
      <c r="I14" s="198">
        <f>DAY(MAGeburtsdatum)</f>
        <v>0</v>
      </c>
      <c r="J14" s="199">
        <f>MONTH(MAGeburtsdatum)</f>
        <v>1</v>
      </c>
      <c r="K14" s="200">
        <f>YEAR(MAGeburtsdatum)</f>
        <v>1900</v>
      </c>
      <c r="M14" s="873"/>
      <c r="N14" s="490"/>
      <c r="O14" s="138">
        <f>'A1-Texte'!A2</f>
        <v>0.5</v>
      </c>
      <c r="P14" s="139" t="str">
        <f>'A1-Texte'!B2</f>
        <v>Oblig. Schulbildung und kurze Einarbeitung (weniger als 3 Monate)</v>
      </c>
      <c r="Q14" s="151" t="str">
        <f t="shared" ref="Q14:Q34" si="0">IF(N14&lt;&gt;"",ROW(N14)-12+100,"")</f>
        <v/>
      </c>
      <c r="R14" s="121" t="str">
        <f>IF(N14&lt;&gt;0,VLOOKUP(O14,Bewertungstabelle!$A$2:$B$32,2,0),"")</f>
        <v/>
      </c>
      <c r="S14" s="121">
        <f t="shared" ref="S14:S34" si="1">IF(R14="",0,1)</f>
        <v>0</v>
      </c>
    </row>
    <row r="15" spans="1:19" ht="12.4" customHeight="1" x14ac:dyDescent="0.2">
      <c r="E15" s="127"/>
      <c r="F15" s="128"/>
      <c r="G15" s="128"/>
      <c r="H15" s="129"/>
      <c r="I15" s="128"/>
      <c r="J15" s="128"/>
      <c r="K15" s="128"/>
      <c r="M15" s="873"/>
      <c r="N15" s="490"/>
      <c r="O15" s="138">
        <f>'A1-Texte'!A3</f>
        <v>1</v>
      </c>
      <c r="P15" s="139" t="str">
        <f>'A1-Texte'!B3</f>
        <v>Oblig. Schulbildung und Einarbeitung (3 Monate)</v>
      </c>
      <c r="Q15" s="151" t="str">
        <f t="shared" si="0"/>
        <v/>
      </c>
      <c r="R15" s="121" t="str">
        <f>IF(N15&lt;&gt;0,VLOOKUP(O15,Bewertungstabelle!$A$2:$B$32,2,0),"")</f>
        <v/>
      </c>
      <c r="S15" s="121">
        <f t="shared" si="1"/>
        <v>0</v>
      </c>
    </row>
    <row r="16" spans="1:19" ht="12.4" customHeight="1" x14ac:dyDescent="0.2">
      <c r="I16" s="103"/>
      <c r="J16" s="103"/>
      <c r="K16" s="103"/>
      <c r="M16" s="873"/>
      <c r="N16" s="490"/>
      <c r="O16" s="138">
        <f>'A1-Texte'!A4</f>
        <v>1.5</v>
      </c>
      <c r="P16" s="139" t="str">
        <f>'A1-Texte'!B4</f>
        <v>Oblig. Schulbildung und Einarbeitung (6 Monate)</v>
      </c>
      <c r="Q16" s="151" t="str">
        <f t="shared" si="0"/>
        <v/>
      </c>
      <c r="R16" s="121" t="str">
        <f>IF(N16&lt;&gt;0,VLOOKUP(O16,Bewertungstabelle!$A$2:$B$32,2,0),"")</f>
        <v/>
      </c>
      <c r="S16" s="121">
        <f t="shared" si="1"/>
        <v>0</v>
      </c>
    </row>
    <row r="17" spans="1:19" ht="12.4" customHeight="1" x14ac:dyDescent="0.2">
      <c r="A17" s="127" t="s">
        <v>1825</v>
      </c>
      <c r="B17" s="141"/>
      <c r="C17" s="141"/>
      <c r="D17" s="142"/>
      <c r="E17" s="1221" t="str">
        <f>IF(OR(N5&lt;&gt;"",Q4&lt;&gt;""),VLOOKUP(M$5,'MU-Daten'!B:L,11,0),IF(N6&lt;&gt;"",VLOOKUP(M5,'MU-Daten'!B:S,18,0),IF(N7&lt;&gt;"",VLOOKUP(M5,'MU-Daten'!B:T,19,0),"")))</f>
        <v/>
      </c>
      <c r="F17" s="1222"/>
      <c r="G17" s="1222"/>
      <c r="H17" s="1222"/>
      <c r="I17" s="1222"/>
      <c r="J17" s="1222"/>
      <c r="K17" s="1223"/>
      <c r="M17" s="873"/>
      <c r="N17" s="490"/>
      <c r="O17" s="138">
        <f>'A1-Texte'!A5</f>
        <v>2</v>
      </c>
      <c r="P17" s="139" t="str">
        <f>'A1-Texte'!B5</f>
        <v>Oblig. Schulbildung und 1 Jahr Fachausbildung (intern oder extern)</v>
      </c>
      <c r="Q17" s="151" t="str">
        <f t="shared" si="0"/>
        <v/>
      </c>
      <c r="R17" s="121" t="str">
        <f>IF(N17&lt;&gt;0,VLOOKUP(O17,Bewertungstabelle!$A$2:$B$32,2,0),"")</f>
        <v/>
      </c>
      <c r="S17" s="121">
        <f t="shared" si="1"/>
        <v>0</v>
      </c>
    </row>
    <row r="18" spans="1:19" ht="12.4" customHeight="1" x14ac:dyDescent="0.2">
      <c r="B18" s="143" t="s">
        <v>6</v>
      </c>
      <c r="C18" s="143"/>
      <c r="D18" s="143" t="s">
        <v>7</v>
      </c>
      <c r="J18" s="136"/>
      <c r="K18" s="103"/>
      <c r="M18" s="873"/>
      <c r="N18" s="490"/>
      <c r="O18" s="138">
        <f>'A1-Texte'!A6</f>
        <v>3</v>
      </c>
      <c r="P18" s="139" t="str">
        <f>'A1-Texte'!B6</f>
        <v>Anlehre</v>
      </c>
      <c r="Q18" s="151" t="str">
        <f t="shared" si="0"/>
        <v/>
      </c>
      <c r="R18" s="121" t="str">
        <f>IF(N18&lt;&gt;0,VLOOKUP(O18,Bewertungstabelle!$A$2:$B$32,2,0),"")</f>
        <v/>
      </c>
      <c r="S18" s="121">
        <f t="shared" si="1"/>
        <v>0</v>
      </c>
    </row>
    <row r="19" spans="1:19" ht="12.4" customHeight="1" x14ac:dyDescent="0.2">
      <c r="A19" s="125" t="s">
        <v>3</v>
      </c>
      <c r="B19" s="125" t="s">
        <v>4</v>
      </c>
      <c r="C19" s="125" t="s">
        <v>3</v>
      </c>
      <c r="D19" s="125" t="s">
        <v>4</v>
      </c>
      <c r="E19" s="144" t="s">
        <v>595</v>
      </c>
      <c r="H19" s="145"/>
      <c r="I19" s="126" t="str">
        <f>IF(AND(SUM(J20:K24)&gt;0,SUM(J20:K24)&lt;1000),"Total: ","")</f>
        <v/>
      </c>
      <c r="J19" s="146" t="str">
        <f>IF(I19&lt;&gt;"",SUM(J20:J24)+INT((SUM(K20:K24)+0.001)/12),"J")</f>
        <v>J</v>
      </c>
      <c r="K19" s="147" t="str">
        <f>IF(I19&lt;&gt;"",SUM(J20:J24)*12+SUM(K20:K24)-J19*12,"Mt")</f>
        <v>Mt</v>
      </c>
      <c r="M19" s="873"/>
      <c r="N19" s="490"/>
      <c r="O19" s="138">
        <f>'A1-Texte'!A7</f>
        <v>3.5</v>
      </c>
      <c r="P19" s="148" t="str">
        <f>'A1-Texte'!B7</f>
        <v>Anlehre+1 Jahr interne Ausbildung oder 3 Jahre Fachausbildung (ohne eidg. Anerkennung)</v>
      </c>
      <c r="Q19" s="151" t="str">
        <f t="shared" si="0"/>
        <v/>
      </c>
      <c r="R19" s="121" t="str">
        <f>IF(N19&lt;&gt;0,VLOOKUP(O19,Bewertungstabelle!$A$2:$B$32,2,0),"")</f>
        <v/>
      </c>
      <c r="S19" s="121">
        <f t="shared" si="1"/>
        <v>0</v>
      </c>
    </row>
    <row r="20" spans="1:19" ht="12.4" customHeight="1" x14ac:dyDescent="0.2">
      <c r="A20" s="491"/>
      <c r="B20" s="492"/>
      <c r="C20" s="491"/>
      <c r="D20" s="492"/>
      <c r="E20" s="1207"/>
      <c r="F20" s="1208"/>
      <c r="G20" s="1208"/>
      <c r="H20" s="1208"/>
      <c r="I20" s="1209"/>
      <c r="J20" s="149">
        <f>INT(D20-B20+C20/12-A20/12+1/12)</f>
        <v>0</v>
      </c>
      <c r="K20" s="150">
        <f>IF(A20&gt;0,(D20-B20+C20/12-A20/12+1/12-INT(D20-B20+C20/12-A20/12+1/12))*12,0)</f>
        <v>0</v>
      </c>
      <c r="M20" s="873"/>
      <c r="N20" s="490"/>
      <c r="O20" s="138">
        <f>'A1-Texte'!A8</f>
        <v>4</v>
      </c>
      <c r="P20" s="139" t="str">
        <f>'A1-Texte'!B8</f>
        <v>Eidg. Berufsattest EBA, Gymnasiale Maturität, Fachmittelschulabschluss</v>
      </c>
      <c r="Q20" s="151" t="str">
        <f t="shared" si="0"/>
        <v/>
      </c>
      <c r="R20" s="121" t="str">
        <f>IF(N20&lt;&gt;0,VLOOKUP(O20,Bewertungstabelle!$A$2:$B$32,2,0),"")</f>
        <v/>
      </c>
      <c r="S20" s="121">
        <f t="shared" si="1"/>
        <v>0</v>
      </c>
    </row>
    <row r="21" spans="1:19" ht="12.4" customHeight="1" x14ac:dyDescent="0.2">
      <c r="A21" s="493"/>
      <c r="B21" s="494"/>
      <c r="C21" s="493"/>
      <c r="D21" s="494"/>
      <c r="E21" s="1210"/>
      <c r="F21" s="1211"/>
      <c r="G21" s="1211"/>
      <c r="H21" s="1211"/>
      <c r="I21" s="1212"/>
      <c r="J21" s="149">
        <f>INT(D21-B21+C21/12-A21/12+1/12)</f>
        <v>0</v>
      </c>
      <c r="K21" s="150">
        <f>IF(A21&gt;0,(D21-B21+C21/12-A21/12+1/12-INT(D21-B21+C21/12-A21/12+1/12))*12,0)</f>
        <v>0</v>
      </c>
      <c r="M21" s="873"/>
      <c r="N21" s="490"/>
      <c r="O21" s="138">
        <f>'A1-Texte'!A9</f>
        <v>5</v>
      </c>
      <c r="P21" s="139" t="str">
        <f>'A1-Texte'!B9</f>
        <v>Eidg. Fähigkeitszeugnis EFZ (3-4 Jahre)</v>
      </c>
      <c r="Q21" s="151" t="str">
        <f t="shared" si="0"/>
        <v/>
      </c>
      <c r="R21" s="121" t="str">
        <f>IF(N21&lt;&gt;0,VLOOKUP(O21,Bewertungstabelle!$A$2:$B$32,2,0),"")</f>
        <v/>
      </c>
      <c r="S21" s="121">
        <f t="shared" si="1"/>
        <v>0</v>
      </c>
    </row>
    <row r="22" spans="1:19" ht="12.4" customHeight="1" x14ac:dyDescent="0.2">
      <c r="A22" s="493"/>
      <c r="B22" s="494"/>
      <c r="C22" s="493"/>
      <c r="D22" s="494"/>
      <c r="E22" s="1210"/>
      <c r="F22" s="1211"/>
      <c r="G22" s="1211"/>
      <c r="H22" s="1211"/>
      <c r="I22" s="1212"/>
      <c r="J22" s="149">
        <f>INT(D22-B22+C22/12-A22/12+1/12)</f>
        <v>0</v>
      </c>
      <c r="K22" s="150">
        <f>IF(A22&gt;0,(D22-B22+C22/12-A22/12+1/12-INT(D22-B22+C22/12-A22/12+1/12))*12,0)</f>
        <v>0</v>
      </c>
      <c r="M22" s="873"/>
      <c r="N22" s="490"/>
      <c r="O22" s="138">
        <f>'A1-Texte'!A10</f>
        <v>5.5</v>
      </c>
      <c r="P22" s="139" t="str">
        <f>'A1-Texte'!B10</f>
        <v>Eidg. Berufsprüfung/Eidg. Fachausweis, Handels- und Informatikmittelschulabschluss</v>
      </c>
      <c r="Q22" s="151" t="str">
        <f t="shared" si="0"/>
        <v/>
      </c>
      <c r="R22" s="121" t="str">
        <f>IF(N22&lt;&gt;0,VLOOKUP(O22,Bewertungstabelle!$A$2:$B$32,2,0),"")</f>
        <v/>
      </c>
      <c r="S22" s="121">
        <f t="shared" si="1"/>
        <v>0</v>
      </c>
    </row>
    <row r="23" spans="1:19" ht="12.4" customHeight="1" x14ac:dyDescent="0.2">
      <c r="A23" s="493"/>
      <c r="B23" s="495"/>
      <c r="C23" s="493"/>
      <c r="D23" s="495"/>
      <c r="E23" s="1210"/>
      <c r="F23" s="1211"/>
      <c r="G23" s="1211"/>
      <c r="H23" s="1211"/>
      <c r="I23" s="1212"/>
      <c r="J23" s="149">
        <f>INT(D23-B23+C23/12-A23/12+1/12)</f>
        <v>0</v>
      </c>
      <c r="K23" s="150">
        <f>IF(A23&gt;0,(D23-B23+C23/12-A23/12+1/12-INT(D23-B23+C23/12-A23/12+1/12))*12,0)</f>
        <v>0</v>
      </c>
      <c r="M23" s="873"/>
      <c r="N23" s="490"/>
      <c r="O23" s="138">
        <f>'A1-Texte'!A11</f>
        <v>6</v>
      </c>
      <c r="P23" s="139" t="str">
        <f>'A1-Texte'!B11</f>
        <v>Eidg. Berufsprüfung/Eidg. Fachausweis B</v>
      </c>
      <c r="Q23" s="151" t="str">
        <f t="shared" si="0"/>
        <v/>
      </c>
      <c r="R23" s="121" t="str">
        <f>IF(N23&lt;&gt;0,VLOOKUP(O23,Bewertungstabelle!$A$2:$B$32,2,0),"")</f>
        <v/>
      </c>
      <c r="S23" s="121">
        <f t="shared" si="1"/>
        <v>0</v>
      </c>
    </row>
    <row r="24" spans="1:19" ht="12.4" customHeight="1" x14ac:dyDescent="0.2">
      <c r="A24" s="496"/>
      <c r="B24" s="497"/>
      <c r="C24" s="496"/>
      <c r="D24" s="497"/>
      <c r="E24" s="1213"/>
      <c r="F24" s="1186"/>
      <c r="G24" s="1186"/>
      <c r="H24" s="1186"/>
      <c r="I24" s="1187"/>
      <c r="J24" s="149">
        <f>INT(D24-B24+C24/12-A24/12+1/12)</f>
        <v>0</v>
      </c>
      <c r="K24" s="150">
        <f>IF(A24&gt;0,(D24-B24+C24/12-A24/12+1/12-INT(D24-B24+C24/12-A24/12+1/12))*12,0)</f>
        <v>0</v>
      </c>
      <c r="M24" s="873"/>
      <c r="N24" s="490"/>
      <c r="O24" s="138">
        <f>'A1-Texte'!A12</f>
        <v>6.5</v>
      </c>
      <c r="P24" s="139" t="str">
        <f>'A1-Texte'!B12</f>
        <v>Diplom Höhere Fachschulen (HF)</v>
      </c>
      <c r="Q24" s="151" t="str">
        <f t="shared" si="0"/>
        <v/>
      </c>
      <c r="R24" s="121" t="str">
        <f>IF(N24&lt;&gt;0,VLOOKUP(O24,Bewertungstabelle!$A$2:$B$32,2,0),"")</f>
        <v/>
      </c>
      <c r="S24" s="121">
        <f t="shared" si="1"/>
        <v>0</v>
      </c>
    </row>
    <row r="25" spans="1:19" ht="12.4" customHeight="1" x14ac:dyDescent="0.2">
      <c r="A25" s="152"/>
      <c r="B25" s="152"/>
      <c r="C25" s="152"/>
      <c r="D25" s="152"/>
      <c r="E25" s="122" t="str">
        <f>IF(ISERROR(IF(B27&lt;&gt;0,IF(MONTH(CONCATENATE("01.",A27,".",B27))+YEAR(CONCATENATE("01.",A27,".",B27))*12&lt;MONTH(CONCATENATE("01.",J14,".",K14))+YEAR(CONCATENATE("01.",J14,".",K14))*12+216,"x",""),"")),"",IF(B27&lt;&gt;0,IF(MONTH(CONCATENATE("01.",A27,".",B27))+YEAR(CONCATENATE("01.",A27,".",B27))*12&lt;MONTH(CONCATENATE("01.",J14,".",K14))+YEAR(CONCATENATE("01.",J14,".",K14))*12+216,"keine Anrechnung von Erfahrung vor dem 18. Altersjahr",""),""))</f>
        <v/>
      </c>
      <c r="F25" s="122"/>
      <c r="G25" s="122"/>
      <c r="H25" s="122"/>
      <c r="I25" s="153"/>
      <c r="J25" s="153"/>
      <c r="K25" s="154" t="s">
        <v>276</v>
      </c>
      <c r="M25" s="873" t="str">
        <f>IF(B27&lt;&gt;0,IF(MONTH(L16)+YEAR(L16)*12&lt;MONTH(K16)+YEAR(K16)*12+216,"keine Anrechnung von Erfahrung vor dem 18. Altersjahr",""),"")</f>
        <v/>
      </c>
      <c r="N25" s="490"/>
      <c r="O25" s="138">
        <f>'A1-Texte'!A13</f>
        <v>7</v>
      </c>
      <c r="P25" s="139" t="str">
        <f>'A1-Texte'!B13</f>
        <v>Eidg. Diplom, höhere Fachprüfung oder Diplom HF und NDS HF</v>
      </c>
      <c r="Q25" s="151" t="str">
        <f t="shared" si="0"/>
        <v/>
      </c>
      <c r="R25" s="121" t="str">
        <f>IF(N25&lt;&gt;0,VLOOKUP(O25,Bewertungstabelle!$A$2:$B$32,2,0),"")</f>
        <v/>
      </c>
      <c r="S25" s="121">
        <f t="shared" si="1"/>
        <v>0</v>
      </c>
    </row>
    <row r="26" spans="1:19" ht="12.4" customHeight="1" x14ac:dyDescent="0.2">
      <c r="A26" s="126" t="s">
        <v>3</v>
      </c>
      <c r="B26" s="125" t="s">
        <v>4</v>
      </c>
      <c r="C26" s="126" t="s">
        <v>3</v>
      </c>
      <c r="D26" s="125" t="s">
        <v>4</v>
      </c>
      <c r="E26" s="155" t="s">
        <v>14</v>
      </c>
      <c r="F26" s="153" t="s">
        <v>8</v>
      </c>
      <c r="G26" s="126" t="s">
        <v>4</v>
      </c>
      <c r="H26" s="126" t="s">
        <v>3</v>
      </c>
      <c r="I26" s="126" t="s">
        <v>4</v>
      </c>
      <c r="J26" s="126" t="s">
        <v>3</v>
      </c>
      <c r="K26" s="156" t="s">
        <v>277</v>
      </c>
      <c r="M26" s="873"/>
      <c r="N26" s="490"/>
      <c r="O26" s="138">
        <f>'A1-Texte'!A14</f>
        <v>7.5</v>
      </c>
      <c r="P26" s="139" t="str">
        <f>'A1-Texte'!B14</f>
        <v>Eidg. Diplom, höhere Fachprüfung und funktionsspezifische Zusatzausbildung</v>
      </c>
      <c r="Q26" s="151" t="str">
        <f t="shared" si="0"/>
        <v/>
      </c>
      <c r="R26" s="121" t="str">
        <f>IF(N26&lt;&gt;0,VLOOKUP(O26,Bewertungstabelle!$A$2:$B$32,2,0),"")</f>
        <v/>
      </c>
      <c r="S26" s="121">
        <f t="shared" si="1"/>
        <v>0</v>
      </c>
    </row>
    <row r="27" spans="1:19" ht="12.4" customHeight="1" x14ac:dyDescent="0.2">
      <c r="A27" s="493"/>
      <c r="B27" s="495"/>
      <c r="C27" s="493"/>
      <c r="D27" s="495"/>
      <c r="E27" s="498"/>
      <c r="F27" s="499"/>
      <c r="G27" s="157">
        <f t="shared" ref="G27:G56" si="2">INT(D27-B27+C27/12-A27/12+1/12)</f>
        <v>0</v>
      </c>
      <c r="H27" s="158">
        <f t="shared" ref="H27:H56" si="3">IF(A27&gt;0,(D27-B27+C27/12-A27/12+1/12-INT(D27-B27+C27/12-A27/12+1/12))*12,0)</f>
        <v>0</v>
      </c>
      <c r="I27" s="159">
        <f t="shared" ref="I27:I56" si="4">INT(((G27*12+H27)*F27)/12)</f>
        <v>0</v>
      </c>
      <c r="J27" s="160">
        <f t="shared" ref="J27:J56" si="5">F27*(G27*12+H27)-I27*12</f>
        <v>0</v>
      </c>
      <c r="K27" s="500"/>
      <c r="M27" s="873">
        <f>IF(K27&lt;&gt;"",G27*12+H27,0)</f>
        <v>0</v>
      </c>
      <c r="N27" s="490"/>
      <c r="O27" s="138">
        <f>'A1-Texte'!A15</f>
        <v>8</v>
      </c>
      <c r="P27" s="139" t="str">
        <f>'A1-Texte'!B15</f>
        <v>Bachelor (alt Fachhochschulabschluss)</v>
      </c>
      <c r="Q27" s="151" t="str">
        <f t="shared" si="0"/>
        <v/>
      </c>
      <c r="R27" s="121" t="str">
        <f>IF(N27&lt;&gt;0,VLOOKUP(O27,Bewertungstabelle!$A$2:$B$32,2,0),"")</f>
        <v/>
      </c>
      <c r="S27" s="121">
        <f t="shared" si="1"/>
        <v>0</v>
      </c>
    </row>
    <row r="28" spans="1:19" ht="12.4" customHeight="1" x14ac:dyDescent="0.2">
      <c r="A28" s="493"/>
      <c r="B28" s="495"/>
      <c r="C28" s="493"/>
      <c r="D28" s="495"/>
      <c r="E28" s="498"/>
      <c r="F28" s="499"/>
      <c r="G28" s="161">
        <f t="shared" si="2"/>
        <v>0</v>
      </c>
      <c r="H28" s="69">
        <f t="shared" si="3"/>
        <v>0</v>
      </c>
      <c r="I28" s="162">
        <f t="shared" si="4"/>
        <v>0</v>
      </c>
      <c r="J28" s="163">
        <f t="shared" si="5"/>
        <v>0</v>
      </c>
      <c r="K28" s="500"/>
      <c r="M28" s="873">
        <f t="shared" ref="M28:M56" si="6">IF(K28&lt;&gt;"",G28*12+H28,0)</f>
        <v>0</v>
      </c>
      <c r="N28" s="490"/>
      <c r="O28" s="138">
        <f>'A1-Texte'!A16</f>
        <v>8.5</v>
      </c>
      <c r="P28" s="139" t="str">
        <f>'A1-Texte'!B16</f>
        <v>Bachelor und funktionsspezifische Zusatzausbildung</v>
      </c>
      <c r="Q28" s="151" t="str">
        <f t="shared" si="0"/>
        <v/>
      </c>
      <c r="R28" s="121" t="str">
        <f>IF(N28&lt;&gt;0,VLOOKUP(O28,Bewertungstabelle!$A$2:$B$32,2,0),"")</f>
        <v/>
      </c>
      <c r="S28" s="121">
        <f t="shared" si="1"/>
        <v>0</v>
      </c>
    </row>
    <row r="29" spans="1:19" ht="12.4" customHeight="1" x14ac:dyDescent="0.2">
      <c r="A29" s="493"/>
      <c r="B29" s="495"/>
      <c r="C29" s="493"/>
      <c r="D29" s="495"/>
      <c r="E29" s="498"/>
      <c r="F29" s="499"/>
      <c r="G29" s="161">
        <f t="shared" si="2"/>
        <v>0</v>
      </c>
      <c r="H29" s="69">
        <f t="shared" si="3"/>
        <v>0</v>
      </c>
      <c r="I29" s="162">
        <f t="shared" si="4"/>
        <v>0</v>
      </c>
      <c r="J29" s="163">
        <f t="shared" si="5"/>
        <v>0</v>
      </c>
      <c r="K29" s="500"/>
      <c r="M29" s="873">
        <f t="shared" si="6"/>
        <v>0</v>
      </c>
      <c r="N29" s="490"/>
      <c r="O29" s="138">
        <f>'A1-Texte'!A17</f>
        <v>9</v>
      </c>
      <c r="P29" s="139" t="str">
        <f>'A1-Texte'!B17</f>
        <v xml:space="preserve">Bachelor und MAS (Nachdiplomstudium) </v>
      </c>
      <c r="Q29" s="151" t="str">
        <f t="shared" si="0"/>
        <v/>
      </c>
      <c r="R29" s="121" t="str">
        <f>IF(N29&lt;&gt;0,VLOOKUP(O29,Bewertungstabelle!$A$2:$B$32,2,0),"")</f>
        <v/>
      </c>
      <c r="S29" s="121">
        <f t="shared" si="1"/>
        <v>0</v>
      </c>
    </row>
    <row r="30" spans="1:19" ht="12.4" customHeight="1" x14ac:dyDescent="0.2">
      <c r="A30" s="493"/>
      <c r="B30" s="495"/>
      <c r="C30" s="493"/>
      <c r="D30" s="495"/>
      <c r="E30" s="498"/>
      <c r="F30" s="499"/>
      <c r="G30" s="161">
        <f t="shared" si="2"/>
        <v>0</v>
      </c>
      <c r="H30" s="69">
        <f t="shared" si="3"/>
        <v>0</v>
      </c>
      <c r="I30" s="162">
        <f t="shared" si="4"/>
        <v>0</v>
      </c>
      <c r="J30" s="163">
        <f t="shared" si="5"/>
        <v>0</v>
      </c>
      <c r="K30" s="500"/>
      <c r="M30" s="873">
        <f t="shared" si="6"/>
        <v>0</v>
      </c>
      <c r="N30" s="490"/>
      <c r="O30" s="138">
        <f>'A1-Texte'!A18</f>
        <v>9.5</v>
      </c>
      <c r="P30" s="139" t="str">
        <f>'A1-Texte'!B18</f>
        <v>Master (Hochschulabschluss)</v>
      </c>
      <c r="Q30" s="151" t="str">
        <f t="shared" si="0"/>
        <v/>
      </c>
      <c r="R30" s="121" t="str">
        <f>IF(N30&lt;&gt;0,VLOOKUP(O30,Bewertungstabelle!$A$2:$B$32,2,0),"")</f>
        <v/>
      </c>
      <c r="S30" s="121">
        <f t="shared" si="1"/>
        <v>0</v>
      </c>
    </row>
    <row r="31" spans="1:19" ht="12.4" customHeight="1" x14ac:dyDescent="0.2">
      <c r="A31" s="493"/>
      <c r="B31" s="495"/>
      <c r="C31" s="493"/>
      <c r="D31" s="495"/>
      <c r="E31" s="498"/>
      <c r="F31" s="499"/>
      <c r="G31" s="161">
        <f t="shared" si="2"/>
        <v>0</v>
      </c>
      <c r="H31" s="69">
        <f t="shared" si="3"/>
        <v>0</v>
      </c>
      <c r="I31" s="162">
        <f t="shared" si="4"/>
        <v>0</v>
      </c>
      <c r="J31" s="163">
        <f t="shared" si="5"/>
        <v>0</v>
      </c>
      <c r="K31" s="500"/>
      <c r="M31" s="873">
        <f t="shared" si="6"/>
        <v>0</v>
      </c>
      <c r="N31" s="490"/>
      <c r="O31" s="138">
        <f>'A1-Texte'!A19</f>
        <v>10</v>
      </c>
      <c r="P31" s="139" t="str">
        <f>'A1-Texte'!B19</f>
        <v>Master (Hochschulabschluss) und funktionsspezifische Zusatzausbildung</v>
      </c>
      <c r="Q31" s="151" t="str">
        <f t="shared" si="0"/>
        <v/>
      </c>
      <c r="R31" s="121" t="str">
        <f>IF(N31&lt;&gt;0,VLOOKUP(O31,Bewertungstabelle!$A$2:$B$32,2,0),"")</f>
        <v/>
      </c>
      <c r="S31" s="121">
        <f t="shared" si="1"/>
        <v>0</v>
      </c>
    </row>
    <row r="32" spans="1:19" ht="12.4" customHeight="1" x14ac:dyDescent="0.2">
      <c r="A32" s="493"/>
      <c r="B32" s="495"/>
      <c r="C32" s="493"/>
      <c r="D32" s="495"/>
      <c r="E32" s="498"/>
      <c r="F32" s="499"/>
      <c r="G32" s="161">
        <f t="shared" si="2"/>
        <v>0</v>
      </c>
      <c r="H32" s="69">
        <f t="shared" si="3"/>
        <v>0</v>
      </c>
      <c r="I32" s="162">
        <f t="shared" si="4"/>
        <v>0</v>
      </c>
      <c r="J32" s="163">
        <f t="shared" si="5"/>
        <v>0</v>
      </c>
      <c r="K32" s="500"/>
      <c r="M32" s="873">
        <f t="shared" si="6"/>
        <v>0</v>
      </c>
      <c r="N32" s="490"/>
      <c r="O32" s="138">
        <f>'A1-Texte'!A20</f>
        <v>10.5</v>
      </c>
      <c r="P32" s="139" t="str">
        <f>'A1-Texte'!B20</f>
        <v>Master (Hochschulabschluss) und MAS (Nachdiplomstudium)</v>
      </c>
      <c r="Q32" s="151" t="str">
        <f t="shared" si="0"/>
        <v/>
      </c>
      <c r="R32" s="121" t="str">
        <f>IF(N32&lt;&gt;0,VLOOKUP(O32,Bewertungstabelle!$A$2:$B$32,2,0),"")</f>
        <v/>
      </c>
      <c r="S32" s="121">
        <f t="shared" si="1"/>
        <v>0</v>
      </c>
    </row>
    <row r="33" spans="1:19" ht="12.4" customHeight="1" x14ac:dyDescent="0.2">
      <c r="A33" s="493"/>
      <c r="B33" s="495"/>
      <c r="C33" s="493"/>
      <c r="D33" s="495"/>
      <c r="E33" s="498"/>
      <c r="F33" s="499"/>
      <c r="G33" s="161">
        <f t="shared" si="2"/>
        <v>0</v>
      </c>
      <c r="H33" s="69">
        <f t="shared" si="3"/>
        <v>0</v>
      </c>
      <c r="I33" s="162">
        <f t="shared" si="4"/>
        <v>0</v>
      </c>
      <c r="J33" s="163">
        <f t="shared" si="5"/>
        <v>0</v>
      </c>
      <c r="K33" s="500"/>
      <c r="M33" s="873">
        <f t="shared" si="6"/>
        <v>0</v>
      </c>
      <c r="N33" s="490"/>
      <c r="O33" s="138">
        <f>'A1-Texte'!A21</f>
        <v>11</v>
      </c>
      <c r="P33" s="139" t="str">
        <f>'A1-Texte'!B21</f>
        <v>Master (Hochschulabschluss) und 2 MAS oder FMH-Abschluss</v>
      </c>
      <c r="Q33" s="151" t="str">
        <f t="shared" si="0"/>
        <v/>
      </c>
      <c r="R33" s="121" t="str">
        <f>IF(N33&lt;&gt;0,VLOOKUP(O33,Bewertungstabelle!$A$2:$B$32,2,0),"")</f>
        <v/>
      </c>
      <c r="S33" s="121">
        <f t="shared" si="1"/>
        <v>0</v>
      </c>
    </row>
    <row r="34" spans="1:19" ht="12.4" customHeight="1" x14ac:dyDescent="0.2">
      <c r="A34" s="493"/>
      <c r="B34" s="495"/>
      <c r="C34" s="493"/>
      <c r="D34" s="495"/>
      <c r="E34" s="498"/>
      <c r="F34" s="499"/>
      <c r="G34" s="161">
        <f t="shared" si="2"/>
        <v>0</v>
      </c>
      <c r="H34" s="69">
        <f t="shared" si="3"/>
        <v>0</v>
      </c>
      <c r="I34" s="162">
        <f t="shared" si="4"/>
        <v>0</v>
      </c>
      <c r="J34" s="163">
        <f t="shared" si="5"/>
        <v>0</v>
      </c>
      <c r="K34" s="500"/>
      <c r="M34" s="873">
        <f t="shared" si="6"/>
        <v>0</v>
      </c>
      <c r="N34" s="490"/>
      <c r="O34" s="138">
        <f>'A1-Texte'!A22</f>
        <v>12.5</v>
      </c>
      <c r="P34" s="139" t="str">
        <f>'A1-Texte'!B22</f>
        <v>Dissertation oder zwei verschiedene Master (Hochschulabschluss)</v>
      </c>
      <c r="Q34" s="151" t="str">
        <f t="shared" si="0"/>
        <v/>
      </c>
      <c r="R34" s="121" t="str">
        <f>IF(N34&lt;&gt;0,VLOOKUP(O34,Bewertungstabelle!$A$2:$B$32,2,0),"")</f>
        <v/>
      </c>
      <c r="S34" s="121">
        <f t="shared" si="1"/>
        <v>0</v>
      </c>
    </row>
    <row r="35" spans="1:19" ht="12.4" customHeight="1" x14ac:dyDescent="0.2">
      <c r="A35" s="493"/>
      <c r="B35" s="495"/>
      <c r="C35" s="493"/>
      <c r="D35" s="495"/>
      <c r="E35" s="498"/>
      <c r="F35" s="499"/>
      <c r="G35" s="161">
        <f t="shared" si="2"/>
        <v>0</v>
      </c>
      <c r="H35" s="69">
        <f t="shared" si="3"/>
        <v>0</v>
      </c>
      <c r="I35" s="162">
        <f t="shared" si="4"/>
        <v>0</v>
      </c>
      <c r="J35" s="163">
        <f t="shared" si="5"/>
        <v>0</v>
      </c>
      <c r="K35" s="500"/>
      <c r="M35" s="873">
        <f t="shared" si="6"/>
        <v>0</v>
      </c>
      <c r="N35" s="164"/>
      <c r="O35" s="164"/>
      <c r="P35" s="164"/>
      <c r="Q35" s="151"/>
    </row>
    <row r="36" spans="1:19" ht="12.4" customHeight="1" x14ac:dyDescent="0.2">
      <c r="A36" s="493"/>
      <c r="B36" s="495"/>
      <c r="C36" s="493"/>
      <c r="D36" s="495"/>
      <c r="E36" s="498"/>
      <c r="F36" s="499"/>
      <c r="G36" s="161">
        <f t="shared" si="2"/>
        <v>0</v>
      </c>
      <c r="H36" s="69">
        <f t="shared" si="3"/>
        <v>0</v>
      </c>
      <c r="I36" s="162">
        <f t="shared" si="4"/>
        <v>0</v>
      </c>
      <c r="J36" s="163">
        <f t="shared" si="5"/>
        <v>0</v>
      </c>
      <c r="K36" s="500"/>
      <c r="M36" s="873">
        <f t="shared" si="6"/>
        <v>0</v>
      </c>
      <c r="N36" s="165" t="s">
        <v>285</v>
      </c>
      <c r="O36" s="164"/>
      <c r="P36" s="164"/>
      <c r="Q36" s="151">
        <f>IF(SUM(Q12:Q34)=0,101,SUM(Q12:Q34))</f>
        <v>101</v>
      </c>
      <c r="R36" s="121">
        <f>SUM(R12:R34)</f>
        <v>0</v>
      </c>
      <c r="S36" s="121">
        <f>SUM(S13:S34)</f>
        <v>0</v>
      </c>
    </row>
    <row r="37" spans="1:19" ht="12.4" customHeight="1" x14ac:dyDescent="0.2">
      <c r="A37" s="493"/>
      <c r="B37" s="495"/>
      <c r="C37" s="493"/>
      <c r="D37" s="495"/>
      <c r="E37" s="498"/>
      <c r="F37" s="499"/>
      <c r="G37" s="161">
        <f t="shared" si="2"/>
        <v>0</v>
      </c>
      <c r="H37" s="69">
        <f t="shared" si="3"/>
        <v>0</v>
      </c>
      <c r="I37" s="162">
        <f t="shared" si="4"/>
        <v>0</v>
      </c>
      <c r="J37" s="163">
        <f t="shared" si="5"/>
        <v>0</v>
      </c>
      <c r="K37" s="500"/>
      <c r="M37" s="873">
        <f t="shared" si="6"/>
        <v>0</v>
      </c>
      <c r="N37" s="166" t="s">
        <v>281</v>
      </c>
      <c r="O37" s="167" t="str">
        <f>IF(OR(N5&lt;&gt;"",Q4&lt;&gt;""),VLOOKUP(M$5,'MU-Daten'!B:J,9,0),IF(N6&lt;&gt;"",VLOOKUP(M5,'MU-Daten'!B:N,13,0),IF(N7&lt;&gt;"",VLOOKUP(M5,'MU-Daten'!B:Q,16,0),"")))</f>
        <v/>
      </c>
      <c r="P37" s="168" t="str">
        <f>E17</f>
        <v/>
      </c>
      <c r="Q37" s="169" t="e">
        <f ca="1">O37-INDIRECT(CONCATENATE("O",12+Q36-100))</f>
        <v>#VALUE!</v>
      </c>
      <c r="R37" s="121">
        <f>IFERROR(VLOOKUP(O37,Bewertungstabelle!A2:B32,2,0),0)</f>
        <v>0</v>
      </c>
    </row>
    <row r="38" spans="1:19" ht="12.4" customHeight="1" x14ac:dyDescent="0.2">
      <c r="A38" s="493"/>
      <c r="B38" s="495"/>
      <c r="C38" s="493"/>
      <c r="D38" s="495"/>
      <c r="E38" s="498"/>
      <c r="F38" s="499"/>
      <c r="G38" s="161">
        <f t="shared" si="2"/>
        <v>0</v>
      </c>
      <c r="H38" s="69">
        <f t="shared" si="3"/>
        <v>0</v>
      </c>
      <c r="I38" s="162">
        <f t="shared" si="4"/>
        <v>0</v>
      </c>
      <c r="J38" s="163">
        <f t="shared" si="5"/>
        <v>0</v>
      </c>
      <c r="K38" s="500"/>
      <c r="M38" s="873">
        <f t="shared" si="6"/>
        <v>0</v>
      </c>
      <c r="N38" s="6"/>
      <c r="O38" s="3"/>
      <c r="P38" s="3"/>
      <c r="Q38" s="151" t="e">
        <f ca="1">INDIRECT(CONCATENATE("Bewertungstabelle!B",2*O39+2))-INDIRECT(CONCATENATE("Bewertungstabelle!B",2*O40+2))</f>
        <v>#VALUE!</v>
      </c>
      <c r="R38" s="121">
        <f>R36-R37</f>
        <v>0</v>
      </c>
      <c r="S38" s="121">
        <f>IFERROR(VLOOKUP(R38,Bewertungstabelle!C2:D56,2,0),0)</f>
        <v>0</v>
      </c>
    </row>
    <row r="39" spans="1:19" ht="12.4" customHeight="1" x14ac:dyDescent="0.2">
      <c r="A39" s="493"/>
      <c r="B39" s="495"/>
      <c r="C39" s="493"/>
      <c r="D39" s="495"/>
      <c r="E39" s="498"/>
      <c r="F39" s="499"/>
      <c r="G39" s="161">
        <f t="shared" si="2"/>
        <v>0</v>
      </c>
      <c r="H39" s="69">
        <f t="shared" si="3"/>
        <v>0</v>
      </c>
      <c r="I39" s="162">
        <f t="shared" si="4"/>
        <v>0</v>
      </c>
      <c r="J39" s="163">
        <f t="shared" si="5"/>
        <v>0</v>
      </c>
      <c r="K39" s="500"/>
      <c r="M39" s="873">
        <f t="shared" si="6"/>
        <v>0</v>
      </c>
      <c r="N39" s="164"/>
      <c r="O39" s="170" t="e">
        <f ca="1">IF(Q37&gt;=0,O37,"")</f>
        <v>#VALUE!</v>
      </c>
      <c r="P39" s="164" t="e">
        <f ca="1">IF(Q37&lt;0,"Nur Berechnung von fehlender Ausbildung!",CONCATENATE("=Soll A1-Wert     (",INDIRECT(CONCATENATE("Bewertungstabelle!B",2*O39+2))," AW-Punkte)"))</f>
        <v>#VALUE!</v>
      </c>
      <c r="Q39" s="151"/>
    </row>
    <row r="40" spans="1:19" ht="12.4" customHeight="1" x14ac:dyDescent="0.2">
      <c r="A40" s="493"/>
      <c r="B40" s="495"/>
      <c r="C40" s="493"/>
      <c r="D40" s="495"/>
      <c r="E40" s="498"/>
      <c r="F40" s="499"/>
      <c r="G40" s="161">
        <f t="shared" si="2"/>
        <v>0</v>
      </c>
      <c r="H40" s="69">
        <f t="shared" si="3"/>
        <v>0</v>
      </c>
      <c r="I40" s="162">
        <f t="shared" si="4"/>
        <v>0</v>
      </c>
      <c r="J40" s="163">
        <f t="shared" si="5"/>
        <v>0</v>
      </c>
      <c r="K40" s="500"/>
      <c r="M40" s="873">
        <f t="shared" si="6"/>
        <v>0</v>
      </c>
      <c r="N40" s="164"/>
      <c r="O40" s="170" t="e">
        <f ca="1">IF(Q37&gt;=0,INDIRECT(CONCATENATE("O",12+Q36-100,"")),"")</f>
        <v>#VALUE!</v>
      </c>
      <c r="P40" s="164" t="e">
        <f ca="1">IF(Q37&lt;0,"Nur Berechnung von fehlender Ausbildung!",CONCATENATE("=IST  A1-Wert     (",INDIRECT(CONCATENATE("Bewertungstabelle!B",2*O40+2))," AW-Punkte)"))</f>
        <v>#VALUE!</v>
      </c>
      <c r="Q40" s="151"/>
    </row>
    <row r="41" spans="1:19" ht="12.4" customHeight="1" x14ac:dyDescent="0.2">
      <c r="A41" s="493"/>
      <c r="B41" s="495"/>
      <c r="C41" s="493"/>
      <c r="D41" s="495"/>
      <c r="E41" s="498"/>
      <c r="F41" s="499"/>
      <c r="G41" s="161">
        <f t="shared" si="2"/>
        <v>0</v>
      </c>
      <c r="H41" s="69">
        <f t="shared" si="3"/>
        <v>0</v>
      </c>
      <c r="I41" s="162">
        <f t="shared" si="4"/>
        <v>0</v>
      </c>
      <c r="J41" s="163">
        <f t="shared" si="5"/>
        <v>0</v>
      </c>
      <c r="K41" s="500"/>
      <c r="M41" s="873">
        <f t="shared" si="6"/>
        <v>0</v>
      </c>
      <c r="N41" s="164"/>
      <c r="O41" s="164"/>
      <c r="P41" s="164"/>
      <c r="Q41" s="151"/>
    </row>
    <row r="42" spans="1:19" x14ac:dyDescent="0.2">
      <c r="A42" s="493"/>
      <c r="B42" s="495"/>
      <c r="C42" s="493"/>
      <c r="D42" s="495"/>
      <c r="E42" s="498"/>
      <c r="F42" s="499"/>
      <c r="G42" s="161">
        <f t="shared" si="2"/>
        <v>0</v>
      </c>
      <c r="H42" s="69">
        <f t="shared" si="3"/>
        <v>0</v>
      </c>
      <c r="I42" s="162">
        <f t="shared" si="4"/>
        <v>0</v>
      </c>
      <c r="J42" s="163">
        <f t="shared" si="5"/>
        <v>0</v>
      </c>
      <c r="K42" s="500"/>
      <c r="M42" s="873">
        <f t="shared" si="6"/>
        <v>0</v>
      </c>
      <c r="N42" s="164"/>
      <c r="O42" s="865" t="str">
        <f ca="1">IFERROR(VLOOKUP(Q38,Bewertungstabelle!C2:D56,2),"")</f>
        <v/>
      </c>
      <c r="P42" s="866" t="str">
        <f ca="1">IFERROR(IF(Q37&lt;0,"Nur Berechnung von fehlender Ausbildung!"," =Zusätzlicher  A2-Abzug resp. zus. erforderliche Erfahrungsjahre"),"")</f>
        <v/>
      </c>
      <c r="Q42" s="151"/>
    </row>
    <row r="43" spans="1:19" x14ac:dyDescent="0.2">
      <c r="A43" s="493"/>
      <c r="B43" s="495"/>
      <c r="C43" s="493"/>
      <c r="D43" s="495"/>
      <c r="E43" s="498"/>
      <c r="F43" s="499"/>
      <c r="G43" s="161">
        <f t="shared" si="2"/>
        <v>0</v>
      </c>
      <c r="H43" s="69">
        <f t="shared" si="3"/>
        <v>0</v>
      </c>
      <c r="I43" s="162">
        <f t="shared" si="4"/>
        <v>0</v>
      </c>
      <c r="J43" s="163">
        <f t="shared" si="5"/>
        <v>0</v>
      </c>
      <c r="K43" s="500"/>
      <c r="M43" s="873">
        <f t="shared" si="6"/>
        <v>0</v>
      </c>
      <c r="O43" s="195"/>
      <c r="P43" s="864"/>
      <c r="Q43" s="151"/>
    </row>
    <row r="44" spans="1:19" x14ac:dyDescent="0.2">
      <c r="A44" s="493"/>
      <c r="B44" s="495"/>
      <c r="C44" s="493"/>
      <c r="D44" s="495"/>
      <c r="E44" s="498"/>
      <c r="F44" s="499"/>
      <c r="G44" s="161">
        <f t="shared" si="2"/>
        <v>0</v>
      </c>
      <c r="H44" s="69">
        <f t="shared" si="3"/>
        <v>0</v>
      </c>
      <c r="I44" s="162">
        <f t="shared" si="4"/>
        <v>0</v>
      </c>
      <c r="J44" s="163">
        <f t="shared" si="5"/>
        <v>0</v>
      </c>
      <c r="K44" s="500"/>
      <c r="M44" s="873">
        <f t="shared" si="6"/>
        <v>0</v>
      </c>
      <c r="Q44" s="151"/>
    </row>
    <row r="45" spans="1:19" x14ac:dyDescent="0.2">
      <c r="A45" s="493"/>
      <c r="B45" s="495"/>
      <c r="C45" s="493"/>
      <c r="D45" s="495"/>
      <c r="E45" s="498"/>
      <c r="F45" s="499"/>
      <c r="G45" s="161">
        <f t="shared" ref="G45:G54" si="7">INT(D45-B45+C45/12-A45/12+1/12)</f>
        <v>0</v>
      </c>
      <c r="H45" s="69">
        <f t="shared" ref="H45:H54" si="8">IF(A45&gt;0,(D45-B45+C45/12-A45/12+1/12-INT(D45-B45+C45/12-A45/12+1/12))*12,0)</f>
        <v>0</v>
      </c>
      <c r="I45" s="162">
        <f t="shared" ref="I45:I54" si="9">INT(((G45*12+H45)*F45)/12)</f>
        <v>0</v>
      </c>
      <c r="J45" s="163">
        <f t="shared" ref="J45:J54" si="10">F45*(G45*12+H45)-I45*12</f>
        <v>0</v>
      </c>
      <c r="K45" s="500"/>
      <c r="M45" s="873">
        <f t="shared" si="6"/>
        <v>0</v>
      </c>
      <c r="N45" s="868" t="s">
        <v>1827</v>
      </c>
      <c r="Q45" s="151"/>
    </row>
    <row r="46" spans="1:19" x14ac:dyDescent="0.2">
      <c r="A46" s="493"/>
      <c r="B46" s="495"/>
      <c r="C46" s="493"/>
      <c r="D46" s="495"/>
      <c r="E46" s="498"/>
      <c r="F46" s="499"/>
      <c r="G46" s="161">
        <f t="shared" si="7"/>
        <v>0</v>
      </c>
      <c r="H46" s="69">
        <f t="shared" si="8"/>
        <v>0</v>
      </c>
      <c r="I46" s="162">
        <f t="shared" si="9"/>
        <v>0</v>
      </c>
      <c r="J46" s="163">
        <f t="shared" si="10"/>
        <v>0</v>
      </c>
      <c r="K46" s="500"/>
      <c r="M46" s="873">
        <f t="shared" si="6"/>
        <v>0</v>
      </c>
      <c r="N46" s="868" t="s">
        <v>1828</v>
      </c>
      <c r="Q46" s="857"/>
    </row>
    <row r="47" spans="1:19" x14ac:dyDescent="0.2">
      <c r="A47" s="493"/>
      <c r="B47" s="495"/>
      <c r="C47" s="493"/>
      <c r="D47" s="495"/>
      <c r="E47" s="498"/>
      <c r="F47" s="499"/>
      <c r="G47" s="161">
        <f t="shared" si="7"/>
        <v>0</v>
      </c>
      <c r="H47" s="69">
        <f t="shared" si="8"/>
        <v>0</v>
      </c>
      <c r="I47" s="162">
        <f t="shared" si="9"/>
        <v>0</v>
      </c>
      <c r="J47" s="163">
        <f t="shared" si="10"/>
        <v>0</v>
      </c>
      <c r="K47" s="500"/>
      <c r="M47" s="873">
        <f t="shared" si="6"/>
        <v>0</v>
      </c>
      <c r="N47" s="113"/>
      <c r="Q47" s="151"/>
    </row>
    <row r="48" spans="1:19" x14ac:dyDescent="0.2">
      <c r="A48" s="493"/>
      <c r="B48" s="495"/>
      <c r="C48" s="493"/>
      <c r="D48" s="495"/>
      <c r="E48" s="498"/>
      <c r="F48" s="499"/>
      <c r="G48" s="161">
        <f t="shared" si="7"/>
        <v>0</v>
      </c>
      <c r="H48" s="69">
        <f t="shared" si="8"/>
        <v>0</v>
      </c>
      <c r="I48" s="162">
        <f t="shared" si="9"/>
        <v>0</v>
      </c>
      <c r="J48" s="163">
        <f t="shared" si="10"/>
        <v>0</v>
      </c>
      <c r="K48" s="500"/>
      <c r="M48" s="873">
        <f t="shared" si="6"/>
        <v>0</v>
      </c>
      <c r="Q48" s="857"/>
    </row>
    <row r="49" spans="1:19" x14ac:dyDescent="0.2">
      <c r="A49" s="493"/>
      <c r="B49" s="495"/>
      <c r="C49" s="493"/>
      <c r="D49" s="495"/>
      <c r="E49" s="498"/>
      <c r="F49" s="499"/>
      <c r="G49" s="161">
        <f t="shared" si="7"/>
        <v>0</v>
      </c>
      <c r="H49" s="69">
        <f t="shared" si="8"/>
        <v>0</v>
      </c>
      <c r="I49" s="162">
        <f t="shared" si="9"/>
        <v>0</v>
      </c>
      <c r="J49" s="163">
        <f t="shared" si="10"/>
        <v>0</v>
      </c>
      <c r="K49" s="500"/>
      <c r="M49" s="873">
        <f>IF(K49&lt;&gt;"",G49*12+H49,0)</f>
        <v>0</v>
      </c>
      <c r="N49" s="113"/>
      <c r="Q49" s="151"/>
    </row>
    <row r="50" spans="1:19" x14ac:dyDescent="0.2">
      <c r="A50" s="493"/>
      <c r="B50" s="495"/>
      <c r="C50" s="493"/>
      <c r="D50" s="495"/>
      <c r="E50" s="498"/>
      <c r="F50" s="499"/>
      <c r="G50" s="161">
        <f t="shared" si="7"/>
        <v>0</v>
      </c>
      <c r="H50" s="69">
        <f t="shared" si="8"/>
        <v>0</v>
      </c>
      <c r="I50" s="162">
        <f t="shared" si="9"/>
        <v>0</v>
      </c>
      <c r="J50" s="163">
        <f t="shared" si="10"/>
        <v>0</v>
      </c>
      <c r="K50" s="500"/>
      <c r="M50" s="873">
        <f>IF(K50&lt;&gt;"",G50*12+H50,0)</f>
        <v>0</v>
      </c>
      <c r="Q50" s="857"/>
    </row>
    <row r="51" spans="1:19" x14ac:dyDescent="0.2">
      <c r="A51" s="493"/>
      <c r="B51" s="495"/>
      <c r="C51" s="493"/>
      <c r="D51" s="495"/>
      <c r="E51" s="498"/>
      <c r="F51" s="499"/>
      <c r="G51" s="161">
        <f t="shared" si="7"/>
        <v>0</v>
      </c>
      <c r="H51" s="69">
        <f t="shared" si="8"/>
        <v>0</v>
      </c>
      <c r="I51" s="162">
        <f t="shared" si="9"/>
        <v>0</v>
      </c>
      <c r="J51" s="163">
        <f t="shared" si="10"/>
        <v>0</v>
      </c>
      <c r="K51" s="500"/>
      <c r="M51" s="873">
        <f t="shared" si="6"/>
        <v>0</v>
      </c>
      <c r="N51" s="113"/>
      <c r="Q51" s="151"/>
    </row>
    <row r="52" spans="1:19" x14ac:dyDescent="0.2">
      <c r="A52" s="493"/>
      <c r="B52" s="495"/>
      <c r="C52" s="493"/>
      <c r="D52" s="495"/>
      <c r="E52" s="498"/>
      <c r="F52" s="499"/>
      <c r="G52" s="161">
        <f t="shared" si="7"/>
        <v>0</v>
      </c>
      <c r="H52" s="69">
        <f t="shared" si="8"/>
        <v>0</v>
      </c>
      <c r="I52" s="162">
        <f t="shared" si="9"/>
        <v>0</v>
      </c>
      <c r="J52" s="163">
        <f t="shared" si="10"/>
        <v>0</v>
      </c>
      <c r="K52" s="500"/>
      <c r="M52" s="873">
        <f>IF(K52&lt;&gt;"",G52*12+H52,0)</f>
        <v>0</v>
      </c>
      <c r="Q52" s="857"/>
    </row>
    <row r="53" spans="1:19" x14ac:dyDescent="0.2">
      <c r="A53" s="493"/>
      <c r="B53" s="495"/>
      <c r="C53" s="493"/>
      <c r="D53" s="495"/>
      <c r="E53" s="498"/>
      <c r="F53" s="499"/>
      <c r="G53" s="161">
        <f t="shared" si="7"/>
        <v>0</v>
      </c>
      <c r="H53" s="69">
        <f t="shared" si="8"/>
        <v>0</v>
      </c>
      <c r="I53" s="162">
        <f t="shared" si="9"/>
        <v>0</v>
      </c>
      <c r="J53" s="163">
        <f t="shared" si="10"/>
        <v>0</v>
      </c>
      <c r="K53" s="500"/>
      <c r="M53" s="873">
        <f>IF(K53&lt;&gt;"",G53*12+H53,0)</f>
        <v>0</v>
      </c>
      <c r="N53" s="113"/>
      <c r="Q53" s="151"/>
    </row>
    <row r="54" spans="1:19" x14ac:dyDescent="0.2">
      <c r="A54" s="493"/>
      <c r="B54" s="495"/>
      <c r="C54" s="493"/>
      <c r="D54" s="495"/>
      <c r="E54" s="498"/>
      <c r="F54" s="499"/>
      <c r="G54" s="161">
        <f t="shared" si="7"/>
        <v>0</v>
      </c>
      <c r="H54" s="69">
        <f t="shared" si="8"/>
        <v>0</v>
      </c>
      <c r="I54" s="162">
        <f t="shared" si="9"/>
        <v>0</v>
      </c>
      <c r="J54" s="163">
        <f t="shared" si="10"/>
        <v>0</v>
      </c>
      <c r="K54" s="500"/>
      <c r="M54" s="873">
        <f>IF(K54&lt;&gt;"",G54*12+H54,0)</f>
        <v>0</v>
      </c>
      <c r="N54" s="113"/>
      <c r="Q54" s="857"/>
    </row>
    <row r="55" spans="1:19" x14ac:dyDescent="0.2">
      <c r="A55" s="493"/>
      <c r="B55" s="495"/>
      <c r="C55" s="493"/>
      <c r="D55" s="495"/>
      <c r="E55" s="498"/>
      <c r="F55" s="499"/>
      <c r="G55" s="161">
        <f t="shared" si="2"/>
        <v>0</v>
      </c>
      <c r="H55" s="69">
        <f t="shared" si="3"/>
        <v>0</v>
      </c>
      <c r="I55" s="162">
        <f t="shared" si="4"/>
        <v>0</v>
      </c>
      <c r="J55" s="163">
        <f t="shared" si="5"/>
        <v>0</v>
      </c>
      <c r="K55" s="500"/>
      <c r="M55" s="873">
        <f t="shared" si="6"/>
        <v>0</v>
      </c>
      <c r="N55" s="113"/>
      <c r="Q55" s="151"/>
    </row>
    <row r="56" spans="1:19" x14ac:dyDescent="0.2">
      <c r="A56" s="496"/>
      <c r="B56" s="497"/>
      <c r="C56" s="496"/>
      <c r="D56" s="497"/>
      <c r="E56" s="496"/>
      <c r="F56" s="501"/>
      <c r="G56" s="171">
        <f t="shared" si="2"/>
        <v>0</v>
      </c>
      <c r="H56" s="172">
        <f t="shared" si="3"/>
        <v>0</v>
      </c>
      <c r="I56" s="173">
        <f t="shared" si="4"/>
        <v>0</v>
      </c>
      <c r="J56" s="174">
        <f t="shared" si="5"/>
        <v>0</v>
      </c>
      <c r="K56" s="502"/>
      <c r="M56" s="873">
        <f t="shared" si="6"/>
        <v>0</v>
      </c>
      <c r="Q56" s="857"/>
    </row>
    <row r="57" spans="1:19" s="175" customFormat="1" ht="1.9" customHeight="1" x14ac:dyDescent="0.2">
      <c r="A57" s="123"/>
      <c r="B57" s="123"/>
      <c r="C57" s="123"/>
      <c r="D57" s="123"/>
      <c r="E57" s="123"/>
      <c r="F57" s="123"/>
      <c r="I57" s="176"/>
      <c r="J57" s="177"/>
      <c r="K57" s="178"/>
      <c r="M57" s="873"/>
      <c r="Q57" s="857"/>
      <c r="R57" s="858"/>
      <c r="S57" s="858"/>
    </row>
    <row r="58" spans="1:19" ht="12.4" customHeight="1" x14ac:dyDescent="0.2">
      <c r="A58" s="123"/>
      <c r="B58" s="123"/>
      <c r="C58" s="123"/>
      <c r="D58" s="123"/>
      <c r="E58" s="123"/>
      <c r="F58" s="123"/>
      <c r="G58" s="123"/>
      <c r="H58" s="123"/>
      <c r="I58" s="162">
        <f>SUM(I27:I57)</f>
        <v>0</v>
      </c>
      <c r="J58" s="163">
        <f>SUM(J27:J57)</f>
        <v>0</v>
      </c>
      <c r="K58" s="179">
        <f>IF(SUM(M27:M56)&gt;0,CONCATENATE(K11,"J/",J11,"Mt."),0)</f>
        <v>0</v>
      </c>
      <c r="M58" s="873"/>
      <c r="N58" s="112" t="str">
        <f>IF(K58&gt;0,"= Anzahl angerechnete Monate für Dienstjubiläum/Treueprämie","")</f>
        <v/>
      </c>
      <c r="Q58" s="857"/>
    </row>
    <row r="59" spans="1:19" ht="12.4" customHeight="1" x14ac:dyDescent="0.2">
      <c r="C59" s="126"/>
      <c r="D59" s="125"/>
      <c r="E59" s="101"/>
      <c r="I59" s="180">
        <f>I58+INT(J58/12)</f>
        <v>0</v>
      </c>
      <c r="J59" s="181">
        <f>ROUND(+I58*12+J58-I59*12,0)</f>
        <v>0</v>
      </c>
      <c r="K59" s="103"/>
      <c r="M59" s="873"/>
      <c r="Q59" s="859"/>
    </row>
    <row r="60" spans="1:19" x14ac:dyDescent="0.2">
      <c r="A60" s="130" t="s">
        <v>278</v>
      </c>
      <c r="B60" s="182"/>
      <c r="C60" s="128"/>
      <c r="D60" s="128"/>
      <c r="E60" s="183" t="str">
        <f>IF(M6&lt;&gt;"ok","A2-Wert-Ermittlung gem. Richtlinie",CONCATENATE("A2-Wert aus MU ",I6," =",IF(M6="ok",I60,"")))</f>
        <v>A2-Wert-Ermittlung gem. Richtlinie</v>
      </c>
      <c r="F60" s="184" t="s">
        <v>9</v>
      </c>
      <c r="G60" s="185" t="s">
        <v>10</v>
      </c>
      <c r="H60" s="129"/>
      <c r="I60" s="106" t="str">
        <f>IFERROR(IF(OR(N5&lt;&gt;"",Q4&lt;&gt;""),Q5,IF(N6&lt;&gt;"",Q6,IF(N7&lt;&gt;"",Q7,""))),"")</f>
        <v/>
      </c>
      <c r="J60" s="160"/>
      <c r="K60" s="103"/>
      <c r="M60" s="873"/>
      <c r="Q60" s="859"/>
    </row>
    <row r="61" spans="1:19" x14ac:dyDescent="0.2">
      <c r="A61" s="127" t="s">
        <v>269</v>
      </c>
      <c r="B61" s="128"/>
      <c r="C61" s="128"/>
      <c r="D61" s="128"/>
      <c r="E61" s="503"/>
      <c r="F61" s="1218" t="s">
        <v>1117</v>
      </c>
      <c r="G61" s="1219"/>
      <c r="H61" s="1220"/>
      <c r="I61" s="504"/>
      <c r="J61" s="505"/>
      <c r="K61" s="187"/>
      <c r="M61" s="873"/>
      <c r="Q61" s="121"/>
    </row>
    <row r="62" spans="1:19" x14ac:dyDescent="0.2">
      <c r="A62" s="127" t="s">
        <v>13</v>
      </c>
      <c r="B62" s="128"/>
      <c r="C62" s="128"/>
      <c r="D62" s="128"/>
      <c r="E62" s="503" t="s">
        <v>753</v>
      </c>
      <c r="F62" s="1218" t="s">
        <v>1118</v>
      </c>
      <c r="G62" s="1219"/>
      <c r="H62" s="1220"/>
      <c r="I62" s="506">
        <f>IFERROR(IF(S36=0,0,IF(Q38&lt;=0,0,O42)),0)</f>
        <v>0</v>
      </c>
      <c r="J62" s="507"/>
      <c r="K62" s="187"/>
      <c r="L62" s="187"/>
      <c r="M62" s="873"/>
      <c r="Q62" s="121"/>
    </row>
    <row r="63" spans="1:19" x14ac:dyDescent="0.2">
      <c r="E63" s="127"/>
      <c r="F63" s="128"/>
      <c r="G63" s="186" t="s">
        <v>810</v>
      </c>
      <c r="H63" s="129"/>
      <c r="I63" s="162" t="str">
        <f>IFERROR(INT(((I59-I60+I61-I62)*12+J59)/12),"")</f>
        <v/>
      </c>
      <c r="J63" s="569" t="str">
        <f>IFERROR(((I59-I60+I61-I62)*12+J59+J61-J62)-(I63*12),"")</f>
        <v/>
      </c>
      <c r="K63" s="187"/>
      <c r="L63" s="187"/>
      <c r="M63" s="873"/>
      <c r="Q63" s="121"/>
    </row>
    <row r="64" spans="1:19" x14ac:dyDescent="0.2">
      <c r="E64" s="127"/>
      <c r="F64" s="128"/>
      <c r="G64" s="186" t="s">
        <v>811</v>
      </c>
      <c r="H64" s="129"/>
      <c r="I64" s="188" t="e">
        <f>IF(J63&lt;-6,I63-1,IF(J63&lt;6,I63,I63+1))</f>
        <v>#VALUE!</v>
      </c>
      <c r="J64" s="570"/>
      <c r="K64" s="187"/>
      <c r="L64" s="187"/>
      <c r="M64" s="873"/>
      <c r="Q64" s="1200" t="s">
        <v>942</v>
      </c>
      <c r="R64" s="1201"/>
    </row>
    <row r="65" spans="1:18" x14ac:dyDescent="0.2">
      <c r="E65" s="101"/>
      <c r="I65" s="568" t="s">
        <v>754</v>
      </c>
      <c r="J65" s="571" t="s">
        <v>755</v>
      </c>
      <c r="K65" s="1214" t="s">
        <v>1114</v>
      </c>
      <c r="L65" s="1215"/>
      <c r="M65" s="873"/>
      <c r="N65" s="1199" t="s">
        <v>1826</v>
      </c>
      <c r="O65" s="1199"/>
      <c r="P65" s="1199"/>
      <c r="Q65" s="867">
        <v>1</v>
      </c>
      <c r="R65" s="861">
        <v>1</v>
      </c>
    </row>
    <row r="66" spans="1:18" x14ac:dyDescent="0.2">
      <c r="E66" s="101"/>
      <c r="F66" s="1205" t="s">
        <v>1115</v>
      </c>
      <c r="G66" s="1205"/>
      <c r="H66" s="1206"/>
      <c r="I66" s="572" t="str">
        <f>IFERROR(IF(M6="ok",VLOOKUP(M5,'MU-Daten'!B:H,7,0),""),"")</f>
        <v/>
      </c>
      <c r="J66" s="573" t="str">
        <f>IFERROR(IF(I64&gt;26,27,IF(I64&gt;-1,I64+1,IF(I64=-1,"A",IF(I64=-2,"B","C")))),"")</f>
        <v/>
      </c>
      <c r="K66" s="1216"/>
      <c r="L66" s="1217"/>
      <c r="M66" s="873"/>
      <c r="N66" s="1199"/>
      <c r="O66" s="1199"/>
      <c r="P66" s="1199"/>
      <c r="Q66" s="867">
        <v>2</v>
      </c>
      <c r="R66" s="861">
        <v>2</v>
      </c>
    </row>
    <row r="67" spans="1:18" x14ac:dyDescent="0.2">
      <c r="E67" s="101"/>
      <c r="I67" s="568" t="s">
        <v>754</v>
      </c>
      <c r="J67" s="571" t="s">
        <v>755</v>
      </c>
      <c r="K67" s="870" t="s">
        <v>754</v>
      </c>
      <c r="L67" s="871" t="s">
        <v>755</v>
      </c>
      <c r="M67" s="873"/>
      <c r="N67" s="1199"/>
      <c r="O67" s="1199"/>
      <c r="P67" s="1199"/>
      <c r="Q67" s="867"/>
      <c r="R67" s="861"/>
    </row>
    <row r="68" spans="1:18" x14ac:dyDescent="0.2">
      <c r="E68" s="101"/>
      <c r="F68" s="1205" t="s">
        <v>1116</v>
      </c>
      <c r="G68" s="1205"/>
      <c r="H68" s="1206"/>
      <c r="I68" s="218" t="str">
        <f>IF(ISBLANK(K68),I66,K68)</f>
        <v/>
      </c>
      <c r="J68" s="218" t="str">
        <f>IF(ISBLANK(L68),J66,L68)</f>
        <v/>
      </c>
      <c r="K68" s="869"/>
      <c r="L68" s="872"/>
      <c r="M68" s="873"/>
      <c r="N68" s="1199"/>
      <c r="O68" s="1199"/>
      <c r="P68" s="1199"/>
      <c r="Q68" s="867"/>
      <c r="R68" s="861"/>
    </row>
    <row r="69" spans="1:18" ht="12.75" customHeight="1" x14ac:dyDescent="0.2">
      <c r="D69" s="1178" t="str">
        <f>IF(BGLohnBer=100,"",CONCATENATE("Monatslohnansatz (Stand ",LohntabelleM!I1,", x13, bei 100%):"))</f>
        <v/>
      </c>
      <c r="E69" s="1179"/>
      <c r="F69" s="1179"/>
      <c r="G69" s="1179"/>
      <c r="H69" s="1180"/>
      <c r="I69" s="1183" t="str">
        <f>IFERROR(IF(I68="","",HLOOKUP(J68,LohntabelleM!$A$3:$AE$31,I68+1,FALSE)),"")</f>
        <v/>
      </c>
      <c r="J69" s="1184"/>
      <c r="K69" s="189"/>
      <c r="L69" s="217"/>
      <c r="M69" s="873"/>
      <c r="N69" s="1199"/>
      <c r="O69" s="1199"/>
      <c r="P69" s="1199"/>
      <c r="Q69" s="867">
        <v>3</v>
      </c>
      <c r="R69" s="861">
        <v>3</v>
      </c>
    </row>
    <row r="70" spans="1:18" ht="12.75" customHeight="1" x14ac:dyDescent="0.2">
      <c r="D70" s="1178" t="s">
        <v>967</v>
      </c>
      <c r="E70" s="1179"/>
      <c r="F70" s="1179"/>
      <c r="G70" s="1179"/>
      <c r="H70" s="1180"/>
      <c r="I70" s="1181">
        <v>100</v>
      </c>
      <c r="J70" s="1182"/>
      <c r="K70" s="103"/>
      <c r="L70" s="217"/>
      <c r="M70" s="873"/>
      <c r="N70" s="1199"/>
      <c r="O70" s="1199"/>
      <c r="P70" s="1199"/>
      <c r="Q70" s="867">
        <v>3</v>
      </c>
      <c r="R70" s="861">
        <v>3</v>
      </c>
    </row>
    <row r="71" spans="1:18" ht="12.75" customHeight="1" x14ac:dyDescent="0.2">
      <c r="D71" s="1178" t="str">
        <f>IF(I70=100,CONCATENATE("Monatslohnansatz (Stand ",LohntabelleM!I1,", x13, bei 100%):"),CONCATENATE("Effektiver Monatslohnansatz (Stand ",LohntabelleM!I1,", x13, bei ",BGLohnBer,"%):"))</f>
        <v>Monatslohnansatz (Stand 2024, x13, bei 100%):</v>
      </c>
      <c r="E71" s="1179"/>
      <c r="F71" s="1179"/>
      <c r="G71" s="1179"/>
      <c r="H71" s="1180"/>
      <c r="I71" s="1183" t="str">
        <f>IFERROR(I69*I70%,"")</f>
        <v/>
      </c>
      <c r="J71" s="1184"/>
      <c r="K71" s="219"/>
      <c r="L71" s="217"/>
      <c r="M71" s="873"/>
      <c r="Q71" s="860">
        <v>3</v>
      </c>
      <c r="R71" s="861">
        <v>3</v>
      </c>
    </row>
    <row r="72" spans="1:18" ht="12.75" customHeight="1" x14ac:dyDescent="0.2">
      <c r="D72" s="1194" t="s">
        <v>998</v>
      </c>
      <c r="E72" s="1195"/>
      <c r="F72" s="1195"/>
      <c r="G72" s="1195"/>
      <c r="H72" s="1196"/>
      <c r="I72" s="1197" t="str">
        <f>IFERROR(I69/182.7, "")</f>
        <v/>
      </c>
      <c r="J72" s="1198"/>
      <c r="K72" s="219"/>
      <c r="L72" s="217"/>
      <c r="M72" s="873"/>
      <c r="Q72" s="860">
        <v>3</v>
      </c>
      <c r="R72" s="861">
        <v>3</v>
      </c>
    </row>
    <row r="73" spans="1:18" x14ac:dyDescent="0.2">
      <c r="A73" s="190" t="s">
        <v>11</v>
      </c>
      <c r="B73" s="191"/>
      <c r="C73" s="191"/>
      <c r="D73" s="191"/>
      <c r="E73" s="191"/>
      <c r="F73" s="191"/>
      <c r="G73" s="191"/>
      <c r="H73" s="191"/>
      <c r="I73" s="192"/>
      <c r="J73" s="193"/>
      <c r="K73" s="103"/>
      <c r="M73" s="873"/>
      <c r="Q73" s="860">
        <v>4</v>
      </c>
      <c r="R73" s="861">
        <v>4</v>
      </c>
    </row>
    <row r="74" spans="1:18" ht="12.75" customHeight="1" x14ac:dyDescent="0.2">
      <c r="A74" s="1188" t="str">
        <f>IFERROR(CONCATENATE("Jahreslohn bei 100%: CHF ",TEXT(I69*13,"0'000.00")),"")</f>
        <v/>
      </c>
      <c r="B74" s="1189"/>
      <c r="C74" s="1189"/>
      <c r="D74" s="1189"/>
      <c r="E74" s="1189"/>
      <c r="F74" s="1189"/>
      <c r="G74" s="1189"/>
      <c r="H74" s="1189"/>
      <c r="I74" s="1189"/>
      <c r="J74" s="1189"/>
      <c r="K74" s="1190"/>
      <c r="M74" s="873"/>
      <c r="Q74" s="860">
        <v>5</v>
      </c>
      <c r="R74" s="861">
        <v>5</v>
      </c>
    </row>
    <row r="75" spans="1:18" x14ac:dyDescent="0.2">
      <c r="A75" s="1191" t="str">
        <f>IF(BGLohnBer=100,"",IFERROR(CONCATENATE("Jahreslohn gemäss Beschäftigungsgrad (",BGLohnBer,"%): CHF ",TEXT(I71*13,"0'000.00")),""))</f>
        <v/>
      </c>
      <c r="B75" s="1192"/>
      <c r="C75" s="1192"/>
      <c r="D75" s="1192"/>
      <c r="E75" s="1192"/>
      <c r="F75" s="1192"/>
      <c r="G75" s="1192"/>
      <c r="H75" s="1192"/>
      <c r="I75" s="1192"/>
      <c r="J75" s="1192"/>
      <c r="K75" s="1193"/>
      <c r="M75" s="873"/>
      <c r="Q75" s="860">
        <v>6</v>
      </c>
      <c r="R75" s="861">
        <v>6</v>
      </c>
    </row>
    <row r="76" spans="1:18" x14ac:dyDescent="0.2">
      <c r="A76" s="1185"/>
      <c r="B76" s="1186"/>
      <c r="C76" s="1186"/>
      <c r="D76" s="1186"/>
      <c r="E76" s="1186"/>
      <c r="F76" s="1186"/>
      <c r="G76" s="1186"/>
      <c r="H76" s="1186"/>
      <c r="I76" s="1186"/>
      <c r="J76" s="1186"/>
      <c r="K76" s="1187"/>
      <c r="M76" s="873"/>
      <c r="N76" s="214"/>
      <c r="Q76" s="860">
        <v>7</v>
      </c>
      <c r="R76" s="861">
        <v>7</v>
      </c>
    </row>
    <row r="77" spans="1:18" x14ac:dyDescent="0.2">
      <c r="A77" s="1185"/>
      <c r="B77" s="1186"/>
      <c r="C77" s="1186"/>
      <c r="D77" s="1186"/>
      <c r="E77" s="1186"/>
      <c r="F77" s="1186"/>
      <c r="G77" s="1186"/>
      <c r="H77" s="1186"/>
      <c r="I77" s="1186"/>
      <c r="J77" s="1186"/>
      <c r="K77" s="1187"/>
      <c r="L77" s="124"/>
      <c r="M77" s="873"/>
      <c r="Q77" s="860">
        <v>8</v>
      </c>
      <c r="R77" s="861">
        <v>8</v>
      </c>
    </row>
    <row r="78" spans="1:18" x14ac:dyDescent="0.2">
      <c r="A78" s="1185"/>
      <c r="B78" s="1186"/>
      <c r="C78" s="1186"/>
      <c r="D78" s="1186"/>
      <c r="E78" s="1186"/>
      <c r="F78" s="1186"/>
      <c r="G78" s="1186"/>
      <c r="H78" s="1186"/>
      <c r="I78" s="1186"/>
      <c r="J78" s="1186"/>
      <c r="K78" s="1187"/>
      <c r="L78" s="124"/>
      <c r="M78" s="873"/>
      <c r="Q78" s="860"/>
      <c r="R78" s="861"/>
    </row>
    <row r="79" spans="1:18" x14ac:dyDescent="0.2">
      <c r="A79" s="194" t="s">
        <v>12</v>
      </c>
      <c r="B79" s="191"/>
      <c r="C79" s="191"/>
      <c r="D79" s="191"/>
      <c r="E79" s="508">
        <f ca="1">TODAY()</f>
        <v>45547</v>
      </c>
      <c r="F79" s="191"/>
      <c r="G79" s="191"/>
      <c r="H79" s="191"/>
      <c r="I79" s="192"/>
      <c r="J79" s="192"/>
      <c r="K79" s="124"/>
      <c r="L79" s="124"/>
      <c r="M79" s="873"/>
      <c r="Q79" s="860"/>
      <c r="R79" s="861"/>
    </row>
    <row r="80" spans="1:18" x14ac:dyDescent="0.2">
      <c r="A80" s="194" t="s">
        <v>968</v>
      </c>
      <c r="B80" s="191"/>
      <c r="C80" s="191"/>
      <c r="D80" s="191"/>
      <c r="E80" s="508" t="s">
        <v>970</v>
      </c>
      <c r="F80" s="194"/>
      <c r="G80" s="191"/>
      <c r="H80" s="191"/>
      <c r="I80" s="191"/>
      <c r="J80" s="191"/>
      <c r="K80" s="124"/>
      <c r="M80" s="873"/>
      <c r="Q80" s="860">
        <v>9</v>
      </c>
      <c r="R80" s="861">
        <v>9</v>
      </c>
    </row>
    <row r="81" spans="1:18" ht="15.75" customHeight="1" x14ac:dyDescent="0.2">
      <c r="A81" s="194" t="s">
        <v>969</v>
      </c>
      <c r="B81" s="191"/>
      <c r="C81" s="191"/>
      <c r="D81" s="191"/>
      <c r="E81" s="508" t="s">
        <v>970</v>
      </c>
      <c r="F81" s="194"/>
      <c r="G81" s="191"/>
      <c r="H81" s="191"/>
      <c r="I81" s="191"/>
      <c r="J81" s="191"/>
      <c r="K81" s="124"/>
      <c r="M81" s="873"/>
      <c r="Q81" s="860">
        <v>10</v>
      </c>
      <c r="R81" s="861">
        <v>10</v>
      </c>
    </row>
    <row r="82" spans="1:18" x14ac:dyDescent="0.2">
      <c r="A82" s="58"/>
      <c r="B82" s="191"/>
      <c r="C82" s="191"/>
      <c r="D82" s="191"/>
      <c r="F82" s="191"/>
      <c r="G82" s="191"/>
      <c r="H82" s="191"/>
      <c r="I82" s="191"/>
      <c r="J82" s="192"/>
      <c r="K82" s="136"/>
      <c r="Q82" s="860">
        <v>11</v>
      </c>
      <c r="R82" s="861">
        <v>11</v>
      </c>
    </row>
    <row r="83" spans="1:18" x14ac:dyDescent="0.2">
      <c r="A83" s="509"/>
      <c r="B83" s="509"/>
      <c r="C83" s="509"/>
      <c r="D83" s="1068" t="s">
        <v>1040</v>
      </c>
      <c r="E83" s="1069"/>
      <c r="F83" s="191"/>
      <c r="G83" s="191"/>
      <c r="H83" s="191"/>
      <c r="I83" s="191"/>
      <c r="J83" s="509"/>
      <c r="K83" s="509"/>
      <c r="L83" s="509"/>
      <c r="Q83" s="860">
        <v>12</v>
      </c>
      <c r="R83" s="861">
        <v>12</v>
      </c>
    </row>
    <row r="84" spans="1:18" x14ac:dyDescent="0.2">
      <c r="D84" s="1070"/>
      <c r="E84" s="1071"/>
      <c r="F84" s="191"/>
      <c r="G84" s="191"/>
      <c r="H84" s="191"/>
      <c r="I84" s="191"/>
      <c r="Q84" s="860">
        <v>13</v>
      </c>
      <c r="R84" s="861">
        <v>13</v>
      </c>
    </row>
    <row r="85" spans="1:18" x14ac:dyDescent="0.2">
      <c r="F85" s="191"/>
      <c r="G85" s="191"/>
      <c r="H85" s="191"/>
      <c r="I85" s="191"/>
      <c r="Q85" s="860">
        <v>14</v>
      </c>
      <c r="R85" s="861">
        <v>14</v>
      </c>
    </row>
    <row r="86" spans="1:18" x14ac:dyDescent="0.2">
      <c r="F86" s="191"/>
      <c r="G86" s="191"/>
      <c r="H86" s="191"/>
      <c r="I86" s="191"/>
      <c r="Q86" s="860">
        <v>15</v>
      </c>
      <c r="R86" s="861">
        <v>15</v>
      </c>
    </row>
    <row r="87" spans="1:18" x14ac:dyDescent="0.2">
      <c r="Q87" s="860">
        <v>16</v>
      </c>
      <c r="R87" s="861">
        <v>16</v>
      </c>
    </row>
    <row r="88" spans="1:18" x14ac:dyDescent="0.2">
      <c r="Q88" s="860">
        <v>17</v>
      </c>
      <c r="R88" s="861" t="s">
        <v>937</v>
      </c>
    </row>
    <row r="89" spans="1:18" x14ac:dyDescent="0.2">
      <c r="Q89" s="860">
        <v>18</v>
      </c>
      <c r="R89" s="861" t="s">
        <v>937</v>
      </c>
    </row>
    <row r="90" spans="1:18" x14ac:dyDescent="0.2">
      <c r="Q90" s="860">
        <v>19</v>
      </c>
      <c r="R90" s="861" t="s">
        <v>938</v>
      </c>
    </row>
    <row r="91" spans="1:18" x14ac:dyDescent="0.2">
      <c r="Q91" s="860">
        <v>20</v>
      </c>
      <c r="R91" s="861" t="s">
        <v>938</v>
      </c>
    </row>
    <row r="92" spans="1:18" x14ac:dyDescent="0.2">
      <c r="Q92" s="860">
        <v>21</v>
      </c>
      <c r="R92" s="861" t="s">
        <v>939</v>
      </c>
    </row>
    <row r="93" spans="1:18" x14ac:dyDescent="0.2">
      <c r="Q93" s="860">
        <v>22</v>
      </c>
      <c r="R93" s="861" t="s">
        <v>939</v>
      </c>
    </row>
    <row r="94" spans="1:18" x14ac:dyDescent="0.2">
      <c r="Q94" s="860">
        <v>23</v>
      </c>
      <c r="R94" s="861" t="s">
        <v>940</v>
      </c>
    </row>
    <row r="95" spans="1:18" x14ac:dyDescent="0.2">
      <c r="Q95" s="860">
        <v>24</v>
      </c>
      <c r="R95" s="861" t="s">
        <v>940</v>
      </c>
    </row>
    <row r="96" spans="1:18" x14ac:dyDescent="0.2">
      <c r="Q96" s="860">
        <v>25</v>
      </c>
      <c r="R96" s="861" t="s">
        <v>941</v>
      </c>
    </row>
    <row r="97" spans="17:18" x14ac:dyDescent="0.2">
      <c r="Q97" s="860">
        <v>26</v>
      </c>
      <c r="R97" s="861" t="s">
        <v>941</v>
      </c>
    </row>
    <row r="98" spans="17:18" x14ac:dyDescent="0.2">
      <c r="Q98" s="860">
        <v>27</v>
      </c>
      <c r="R98" s="861">
        <v>27</v>
      </c>
    </row>
    <row r="99" spans="17:18" x14ac:dyDescent="0.2">
      <c r="Q99" s="860" t="s">
        <v>590</v>
      </c>
      <c r="R99" s="861" t="s">
        <v>590</v>
      </c>
    </row>
    <row r="100" spans="17:18" x14ac:dyDescent="0.2">
      <c r="Q100" s="860" t="s">
        <v>589</v>
      </c>
      <c r="R100" s="861" t="s">
        <v>589</v>
      </c>
    </row>
    <row r="101" spans="17:18" x14ac:dyDescent="0.2">
      <c r="Q101" s="862" t="s">
        <v>588</v>
      </c>
      <c r="R101" s="863" t="s">
        <v>588</v>
      </c>
    </row>
  </sheetData>
  <sheetProtection sheet="1" objects="1" scenarios="1"/>
  <protectedRanges>
    <protectedRange algorithmName="SHA-512" hashValue="gEk3j8ijIbm34vaY7LJWKRT4zzyVTAatuU5d+F/THqnb38HzYEkrLuEQKZ8PkNi1gLy1LI5GTqorjnr+usw0RA==" saltValue="0bIDaX74f4yrPhPGXuG8nA==" spinCount="100000" sqref="E6 I6 G7 N5:N7 I10:K10 N13:N34 A20:I24 A27:F56 K27:K56 E61:E62 I61:J62 I70 A76:K78 E79:E81 K68:L68" name="Eingabefelder"/>
  </protectedRanges>
  <mergeCells count="33">
    <mergeCell ref="I6:K6"/>
    <mergeCell ref="D69:H69"/>
    <mergeCell ref="F66:H66"/>
    <mergeCell ref="F68:H68"/>
    <mergeCell ref="E20:I20"/>
    <mergeCell ref="E21:I21"/>
    <mergeCell ref="E22:I22"/>
    <mergeCell ref="E23:I23"/>
    <mergeCell ref="E24:I24"/>
    <mergeCell ref="K65:L66"/>
    <mergeCell ref="I69:J69"/>
    <mergeCell ref="F61:H61"/>
    <mergeCell ref="F62:H62"/>
    <mergeCell ref="G7:K7"/>
    <mergeCell ref="E17:K17"/>
    <mergeCell ref="G8:K8"/>
    <mergeCell ref="N65:P70"/>
    <mergeCell ref="Q64:R64"/>
    <mergeCell ref="O5:P5"/>
    <mergeCell ref="O6:P6"/>
    <mergeCell ref="O7:P7"/>
    <mergeCell ref="D83:E84"/>
    <mergeCell ref="D70:H70"/>
    <mergeCell ref="I70:J70"/>
    <mergeCell ref="D71:H71"/>
    <mergeCell ref="I71:J71"/>
    <mergeCell ref="A78:K78"/>
    <mergeCell ref="A77:K77"/>
    <mergeCell ref="A76:K76"/>
    <mergeCell ref="A74:K74"/>
    <mergeCell ref="A75:K75"/>
    <mergeCell ref="D72:H72"/>
    <mergeCell ref="I72:J72"/>
  </mergeCells>
  <phoneticPr fontId="12" type="noConversion"/>
  <conditionalFormatting sqref="P13:P34">
    <cfRule type="expression" dxfId="112" priority="153" stopIfTrue="1">
      <formula>IF(N13&lt;&gt;"",TRUE,FALSE)</formula>
    </cfRule>
  </conditionalFormatting>
  <conditionalFormatting sqref="O39:O40">
    <cfRule type="cellIs" dxfId="111" priority="154" stopIfTrue="1" operator="lessThan">
      <formula>0</formula>
    </cfRule>
  </conditionalFormatting>
  <conditionalFormatting sqref="G8">
    <cfRule type="cellIs" dxfId="110" priority="155" stopIfTrue="1" operator="equal">
      <formula>"MU ungültig/fehlt"</formula>
    </cfRule>
  </conditionalFormatting>
  <conditionalFormatting sqref="A25:J25">
    <cfRule type="expression" dxfId="109" priority="156" stopIfTrue="1">
      <formula>IF($E$25&lt;&gt;"",TRUE,FALSE)</formula>
    </cfRule>
  </conditionalFormatting>
  <conditionalFormatting sqref="K58">
    <cfRule type="cellIs" dxfId="108" priority="157" stopIfTrue="1" operator="notEqual">
      <formula>0</formula>
    </cfRule>
  </conditionalFormatting>
  <conditionalFormatting sqref="A58:H58">
    <cfRule type="expression" dxfId="107" priority="158" stopIfTrue="1">
      <formula>IF($A$58&lt;&gt;"",TRUE,FALSE)</formula>
    </cfRule>
  </conditionalFormatting>
  <conditionalFormatting sqref="N2:P2">
    <cfRule type="expression" dxfId="106" priority="159" stopIfTrue="1">
      <formula>IF($O$6&lt;&gt;"",TRUE,FALSE)</formula>
    </cfRule>
  </conditionalFormatting>
  <conditionalFormatting sqref="N10:P11">
    <cfRule type="expression" dxfId="105" priority="160" stopIfTrue="1">
      <formula>IF($Q$60&gt;200,TRUE,FALSE)</formula>
    </cfRule>
  </conditionalFormatting>
  <conditionalFormatting sqref="N5:N8 O8:P8">
    <cfRule type="expression" dxfId="104" priority="161" stopIfTrue="1">
      <formula>IF($N$8&lt;&gt;"",TRUE,FALSE)</formula>
    </cfRule>
  </conditionalFormatting>
  <conditionalFormatting sqref="N13:N34">
    <cfRule type="expression" dxfId="103" priority="162" stopIfTrue="1">
      <formula>IF($Q$36&gt;200,TRUE,FALSE)</formula>
    </cfRule>
  </conditionalFormatting>
  <conditionalFormatting sqref="A32:A34 A36:A42">
    <cfRule type="expression" dxfId="102" priority="151" stopIfTrue="1">
      <formula>DATE(D31,C31,1)&gt;=DATE(B32,A32,1)</formula>
    </cfRule>
  </conditionalFormatting>
  <conditionalFormatting sqref="A32:A34 A36:A42">
    <cfRule type="expression" dxfId="101" priority="150" stopIfTrue="1">
      <formula>DATEDIF(DATE(D31,C31,1),DATE(B32,A32,1),"M")&gt;1</formula>
    </cfRule>
  </conditionalFormatting>
  <conditionalFormatting sqref="B32:B34 B36:B45">
    <cfRule type="expression" dxfId="100" priority="146" stopIfTrue="1">
      <formula>DATEDIF(DATE(D31,C31,1),DATE(B32,A32,1),"M")&gt;1</formula>
    </cfRule>
    <cfRule type="expression" dxfId="99" priority="147" stopIfTrue="1">
      <formula>DATE(D31,C31,1)&gt;=DATE(B32,A32,1)</formula>
    </cfRule>
  </conditionalFormatting>
  <conditionalFormatting sqref="C30:C34 C36:C45">
    <cfRule type="expression" dxfId="98" priority="144" stopIfTrue="1">
      <formula>DATEDIF(DATE(D30,C30,1),DATE(B31,A31,1),"M")&gt;1</formula>
    </cfRule>
    <cfRule type="expression" dxfId="97" priority="145" stopIfTrue="1">
      <formula>DATE(D30,C30,1)&gt;=DATE(B31,A31,1)</formula>
    </cfRule>
  </conditionalFormatting>
  <conditionalFormatting sqref="D30:D34 D36:D45">
    <cfRule type="expression" dxfId="96" priority="142" stopIfTrue="1">
      <formula>DATEDIF(DATE(D30,C30,1),DATE(B31,A31,1),"M")&gt;1</formula>
    </cfRule>
    <cfRule type="expression" dxfId="95" priority="143" stopIfTrue="1">
      <formula>DATE(D30,C30,1)&gt;=DATE(B31,A31,1)</formula>
    </cfRule>
  </conditionalFormatting>
  <conditionalFormatting sqref="C31">
    <cfRule type="expression" dxfId="94" priority="136" stopIfTrue="1">
      <formula>DATEDIF(DATE(D31,C31,1),DATE(B32,A32,1),"M")&gt;1</formula>
    </cfRule>
    <cfRule type="expression" dxfId="93" priority="137" stopIfTrue="1">
      <formula>DATE(D31,C31,1)&gt;=DATE(B32,A32,1)</formula>
    </cfRule>
  </conditionalFormatting>
  <conditionalFormatting sqref="D31">
    <cfRule type="expression" dxfId="92" priority="134" stopIfTrue="1">
      <formula>DATEDIF(DATE(D31,C31,1),DATE(B32,A32,1),"M")&gt;1</formula>
    </cfRule>
    <cfRule type="expression" dxfId="91" priority="135" stopIfTrue="1">
      <formula>DATE(D31,C31,1)&gt;=DATE(B32,A32,1)</formula>
    </cfRule>
  </conditionalFormatting>
  <conditionalFormatting sqref="C30">
    <cfRule type="expression" dxfId="90" priority="128" stopIfTrue="1">
      <formula>DATEDIF(DATE(D30,C30,1),DATE(B31,A31,1),"M")&gt;1</formula>
    </cfRule>
    <cfRule type="expression" dxfId="89" priority="129" stopIfTrue="1">
      <formula>DATE(D30,C30,1)&gt;=DATE(B31,A31,1)</formula>
    </cfRule>
  </conditionalFormatting>
  <conditionalFormatting sqref="D30">
    <cfRule type="expression" dxfId="88" priority="126" stopIfTrue="1">
      <formula>DATEDIF(DATE(D30,C30,1),DATE(B31,A31,1),"M")&gt;1</formula>
    </cfRule>
    <cfRule type="expression" dxfId="87" priority="127" stopIfTrue="1">
      <formula>DATE(D30,C30,1)&gt;=DATE(B31,A31,1)</formula>
    </cfRule>
  </conditionalFormatting>
  <conditionalFormatting sqref="A35">
    <cfRule type="expression" dxfId="86" priority="125" stopIfTrue="1">
      <formula>DATE(D34,C34,1)&gt;=DATE(B35,A35,1)</formula>
    </cfRule>
  </conditionalFormatting>
  <conditionalFormatting sqref="A35">
    <cfRule type="expression" dxfId="85" priority="124" stopIfTrue="1">
      <formula>DATEDIF(DATE(D34,C34,1),DATE(B35,A35,1),"M")&gt;1</formula>
    </cfRule>
  </conditionalFormatting>
  <conditionalFormatting sqref="B35">
    <cfRule type="expression" dxfId="84" priority="122" stopIfTrue="1">
      <formula>DATEDIF(DATE(D34,C34,1),DATE(B35,A35,1),"M")&gt;1</formula>
    </cfRule>
    <cfRule type="expression" dxfId="83" priority="123" stopIfTrue="1">
      <formula>DATE(D34,C34,1)&gt;=DATE(B35,A35,1)</formula>
    </cfRule>
  </conditionalFormatting>
  <conditionalFormatting sqref="C35">
    <cfRule type="expression" dxfId="82" priority="120" stopIfTrue="1">
      <formula>DATEDIF(DATE(D35,C35,1),DATE(B36,A36,1),"M")&gt;1</formula>
    </cfRule>
    <cfRule type="expression" dxfId="81" priority="121" stopIfTrue="1">
      <formula>DATE(D35,C35,1)&gt;=DATE(B36,A36,1)</formula>
    </cfRule>
  </conditionalFormatting>
  <conditionalFormatting sqref="D35">
    <cfRule type="expression" dxfId="80" priority="118" stopIfTrue="1">
      <formula>DATEDIF(DATE(D35,C35,1),DATE(B36,A36,1),"M")&gt;1</formula>
    </cfRule>
    <cfRule type="expression" dxfId="79" priority="119" stopIfTrue="1">
      <formula>DATE(D35,C35,1)&gt;=DATE(B36,A36,1)</formula>
    </cfRule>
  </conditionalFormatting>
  <conditionalFormatting sqref="M4">
    <cfRule type="expression" dxfId="78" priority="117" stopIfTrue="1">
      <formula>IF(L4&lt;&gt;"",TRUE,FALSE)</formula>
    </cfRule>
  </conditionalFormatting>
  <conditionalFormatting sqref="A57:F57">
    <cfRule type="expression" dxfId="77" priority="115" stopIfTrue="1">
      <formula>IF($A$58&lt;&gt;"",TRUE,FALSE)</formula>
    </cfRule>
  </conditionalFormatting>
  <conditionalFormatting sqref="C30">
    <cfRule type="expression" dxfId="76" priority="107" stopIfTrue="1">
      <formula>DATEDIF(DATE(D30,C30,1),DATE(B31,A31,1),"M")&gt;1</formula>
    </cfRule>
    <cfRule type="expression" dxfId="75" priority="108" stopIfTrue="1">
      <formula>DATE(D30,C30,1)&gt;=DATE(B31,A31,1)</formula>
    </cfRule>
  </conditionalFormatting>
  <conditionalFormatting sqref="C29">
    <cfRule type="expression" dxfId="74" priority="99" stopIfTrue="1">
      <formula>DATEDIF(DATE(D29,C29,1),DATE(B30,A30,1),"M")&gt;1</formula>
    </cfRule>
    <cfRule type="expression" dxfId="73" priority="100" stopIfTrue="1">
      <formula>DATE(D29,C29,1)&gt;=DATE(B30,A30,1)</formula>
    </cfRule>
  </conditionalFormatting>
  <conditionalFormatting sqref="D29">
    <cfRule type="expression" dxfId="72" priority="97" stopIfTrue="1">
      <formula>DATEDIF(DATE(D29,C29,1),DATE(B30,A30,1),"M")&gt;1</formula>
    </cfRule>
    <cfRule type="expression" dxfId="71" priority="98" stopIfTrue="1">
      <formula>DATE(D29,C29,1)&gt;=DATE(B30,A30,1)</formula>
    </cfRule>
  </conditionalFormatting>
  <conditionalFormatting sqref="A31">
    <cfRule type="expression" dxfId="70" priority="96" stopIfTrue="1">
      <formula>DATE(D30,C30,1)&gt;=DATE(B31,A31,1)</formula>
    </cfRule>
  </conditionalFormatting>
  <conditionalFormatting sqref="A31">
    <cfRule type="expression" dxfId="69" priority="95" stopIfTrue="1">
      <formula>DATEDIF(DATE(D30,C30,1),DATE(B31,A31,1),"M")&gt;1</formula>
    </cfRule>
  </conditionalFormatting>
  <conditionalFormatting sqref="B31">
    <cfRule type="expression" dxfId="68" priority="93" stopIfTrue="1">
      <formula>DATEDIF(DATE(D30,C30,1),DATE(B31,A31,1),"M")&gt;1</formula>
    </cfRule>
    <cfRule type="expression" dxfId="67" priority="94" stopIfTrue="1">
      <formula>DATE(D30,C30,1)&gt;=DATE(B31,A31,1)</formula>
    </cfRule>
  </conditionalFormatting>
  <conditionalFormatting sqref="A30">
    <cfRule type="expression" dxfId="66" priority="92" stopIfTrue="1">
      <formula>DATE(D29,C29,1)&gt;=DATE(B30,A30,1)</formula>
    </cfRule>
  </conditionalFormatting>
  <conditionalFormatting sqref="A30">
    <cfRule type="expression" dxfId="65" priority="91" stopIfTrue="1">
      <formula>DATEDIF(DATE(D29,C29,1),DATE(B30,A30,1),"M")&gt;1</formula>
    </cfRule>
  </conditionalFormatting>
  <conditionalFormatting sqref="B30">
    <cfRule type="expression" dxfId="64" priority="89" stopIfTrue="1">
      <formula>DATEDIF(DATE(D29,C29,1),DATE(B30,A30,1),"M")&gt;1</formula>
    </cfRule>
    <cfRule type="expression" dxfId="63" priority="90" stopIfTrue="1">
      <formula>DATE(D29,C29,1)&gt;=DATE(B30,A30,1)</formula>
    </cfRule>
  </conditionalFormatting>
  <conditionalFormatting sqref="A29">
    <cfRule type="expression" dxfId="62" priority="88" stopIfTrue="1">
      <formula>DATE(D28,C28,1)&gt;=DATE(B29,A29,1)</formula>
    </cfRule>
  </conditionalFormatting>
  <conditionalFormatting sqref="A29">
    <cfRule type="expression" dxfId="61" priority="87" stopIfTrue="1">
      <formula>DATEDIF(DATE(D28,C28,1),DATE(B29,A29,1),"M")&gt;1</formula>
    </cfRule>
  </conditionalFormatting>
  <conditionalFormatting sqref="B29">
    <cfRule type="expression" dxfId="60" priority="85" stopIfTrue="1">
      <formula>DATEDIF(DATE(D28,C28,1),DATE(B29,A29,1),"M")&gt;1</formula>
    </cfRule>
    <cfRule type="expression" dxfId="59" priority="86" stopIfTrue="1">
      <formula>DATE(D28,C28,1)&gt;=DATE(B29,A29,1)</formula>
    </cfRule>
  </conditionalFormatting>
  <conditionalFormatting sqref="A28">
    <cfRule type="expression" dxfId="58" priority="84" stopIfTrue="1">
      <formula>DATE(D27,C27,1)&gt;=DATE(B28,A28,1)</formula>
    </cfRule>
  </conditionalFormatting>
  <conditionalFormatting sqref="A28">
    <cfRule type="expression" dxfId="57" priority="83" stopIfTrue="1">
      <formula>DATEDIF(DATE(D27,C27,1),DATE(B28,A28,1),"M")&gt;1</formula>
    </cfRule>
  </conditionalFormatting>
  <conditionalFormatting sqref="B28">
    <cfRule type="expression" dxfId="56" priority="81" stopIfTrue="1">
      <formula>DATEDIF(DATE(D27,C27,1),DATE(B28,A28,1),"M")&gt;1</formula>
    </cfRule>
    <cfRule type="expression" dxfId="55" priority="82" stopIfTrue="1">
      <formula>DATE(D27,C27,1)&gt;=DATE(B28,A28,1)</formula>
    </cfRule>
  </conditionalFormatting>
  <conditionalFormatting sqref="A27">
    <cfRule type="expression" dxfId="54" priority="80" stopIfTrue="1">
      <formula>DATE(D26,C26,1)&gt;=DATE(B27,A27,1)</formula>
    </cfRule>
  </conditionalFormatting>
  <conditionalFormatting sqref="A27">
    <cfRule type="expression" dxfId="53" priority="79" stopIfTrue="1">
      <formula>DATEDIF(DATE(D26,C26,1),DATE(B27,A27,1),"M")&gt;1</formula>
    </cfRule>
  </conditionalFormatting>
  <conditionalFormatting sqref="B27">
    <cfRule type="expression" dxfId="52" priority="77" stopIfTrue="1">
      <formula>DATEDIF(DATE(D26,C26,1),DATE(B27,A27,1),"M")&gt;1</formula>
    </cfRule>
    <cfRule type="expression" dxfId="51" priority="78" stopIfTrue="1">
      <formula>DATE(D26,C26,1)&gt;=DATE(B27,A27,1)</formula>
    </cfRule>
  </conditionalFormatting>
  <conditionalFormatting sqref="C27">
    <cfRule type="expression" dxfId="50" priority="75" stopIfTrue="1">
      <formula>DATEDIF(DATE(D27,C27,1),DATE(B28,A28,1),"M")&gt;1</formula>
    </cfRule>
    <cfRule type="expression" dxfId="49" priority="76" stopIfTrue="1">
      <formula>DATE(D27,C27,1)&gt;=DATE(B28,A28,1)</formula>
    </cfRule>
  </conditionalFormatting>
  <conditionalFormatting sqref="D27">
    <cfRule type="expression" dxfId="48" priority="73" stopIfTrue="1">
      <formula>DATEDIF(DATE(D27,C27,1),DATE(B28,A28,1),"M")&gt;1</formula>
    </cfRule>
    <cfRule type="expression" dxfId="47" priority="74" stopIfTrue="1">
      <formula>DATE(D27,C27,1)&gt;=DATE(B28,A28,1)</formula>
    </cfRule>
  </conditionalFormatting>
  <conditionalFormatting sqref="C28">
    <cfRule type="expression" dxfId="46" priority="71" stopIfTrue="1">
      <formula>DATEDIF(DATE(D28,C28,1),DATE(B29,A29,1),"M")&gt;1</formula>
    </cfRule>
    <cfRule type="expression" dxfId="45" priority="72" stopIfTrue="1">
      <formula>DATE(D28,C28,1)&gt;=DATE(B29,A29,1)</formula>
    </cfRule>
  </conditionalFormatting>
  <conditionalFormatting sqref="D28">
    <cfRule type="expression" dxfId="44" priority="69" stopIfTrue="1">
      <formula>DATEDIF(DATE(D28,C28,1),DATE(B29,A29,1),"M")&gt;1</formula>
    </cfRule>
    <cfRule type="expression" dxfId="43" priority="70" stopIfTrue="1">
      <formula>DATE(D28,C28,1)&gt;=DATE(B29,A29,1)</formula>
    </cfRule>
  </conditionalFormatting>
  <conditionalFormatting sqref="I64">
    <cfRule type="containsErrors" dxfId="42" priority="164">
      <formula>ISERROR(I64)</formula>
    </cfRule>
  </conditionalFormatting>
  <conditionalFormatting sqref="O37:P37">
    <cfRule type="containsErrors" dxfId="41" priority="67">
      <formula>ISERROR(O37)</formula>
    </cfRule>
  </conditionalFormatting>
  <conditionalFormatting sqref="O39:P40">
    <cfRule type="containsErrors" dxfId="40" priority="66">
      <formula>ISERROR(O39)</formula>
    </cfRule>
  </conditionalFormatting>
  <conditionalFormatting sqref="O6:P6">
    <cfRule type="containsErrors" dxfId="39" priority="65">
      <formula>ISERROR(O6)</formula>
    </cfRule>
  </conditionalFormatting>
  <conditionalFormatting sqref="N8">
    <cfRule type="containsErrors" dxfId="38" priority="64">
      <formula>ISERROR(N8)</formula>
    </cfRule>
  </conditionalFormatting>
  <conditionalFormatting sqref="E17:K17">
    <cfRule type="containsErrors" dxfId="37" priority="63">
      <formula>ISERROR(E17)</formula>
    </cfRule>
  </conditionalFormatting>
  <conditionalFormatting sqref="A43:A55">
    <cfRule type="expression" dxfId="36" priority="10" stopIfTrue="1">
      <formula>DATE(D42,C42,1)&gt;=DATE(B43,A43,1)</formula>
    </cfRule>
  </conditionalFormatting>
  <conditionalFormatting sqref="A43:A55">
    <cfRule type="expression" dxfId="35" priority="9" stopIfTrue="1">
      <formula>DATEDIF(DATE(D42,C42,1),DATE(B43,A43,1),"M")&gt;1</formula>
    </cfRule>
  </conditionalFormatting>
  <conditionalFormatting sqref="B46:B55">
    <cfRule type="expression" dxfId="34" priority="7" stopIfTrue="1">
      <formula>DATEDIF(DATE(D45,C45,1),DATE(B46,A46,1),"M")&gt;1</formula>
    </cfRule>
    <cfRule type="expression" dxfId="33" priority="8" stopIfTrue="1">
      <formula>DATE(D45,C45,1)&gt;=DATE(B46,A46,1)</formula>
    </cfRule>
  </conditionalFormatting>
  <conditionalFormatting sqref="C46:C55">
    <cfRule type="expression" dxfId="32" priority="5" stopIfTrue="1">
      <formula>DATEDIF(DATE(D46,C46,1),DATE(B47,A47,1),"M")&gt;1</formula>
    </cfRule>
    <cfRule type="expression" dxfId="31" priority="6" stopIfTrue="1">
      <formula>DATE(D46,C46,1)&gt;=DATE(B47,A47,1)</formula>
    </cfRule>
  </conditionalFormatting>
  <conditionalFormatting sqref="D46:D55">
    <cfRule type="expression" dxfId="30" priority="3" stopIfTrue="1">
      <formula>DATEDIF(DATE(D46,C46,1),DATE(B47,A47,1),"M")&gt;1</formula>
    </cfRule>
    <cfRule type="expression" dxfId="29" priority="4" stopIfTrue="1">
      <formula>DATE(D46,C46,1)&gt;=DATE(B47,A47,1)</formula>
    </cfRule>
  </conditionalFormatting>
  <conditionalFormatting sqref="I69:J69">
    <cfRule type="expression" dxfId="28" priority="2">
      <formula>$I$70=100</formula>
    </cfRule>
  </conditionalFormatting>
  <conditionalFormatting sqref="N65:P70">
    <cfRule type="expression" dxfId="27" priority="1">
      <formula>OR(ISBLANK($K$68)=FALSE,ISBLANK($L$68)=FALSE)</formula>
    </cfRule>
  </conditionalFormatting>
  <dataValidations count="2">
    <dataValidation type="list" allowBlank="1" showInputMessage="1" showErrorMessage="1" sqref="K68">
      <formula1>Lohnband</formula1>
    </dataValidation>
    <dataValidation type="list" allowBlank="1" showInputMessage="1" showErrorMessage="1" sqref="L68">
      <formula1>Erfahrungswert</formula1>
    </dataValidation>
  </dataValidations>
  <hyperlinks>
    <hyperlink ref="D83:E84" location="Grunddaten!A1" display="Zurück zu Grunddaten"/>
  </hyperlinks>
  <pageMargins left="0.78740157480314965" right="0.27559055118110237" top="0.31496062992125984" bottom="0.19685039370078741" header="0" footer="0"/>
  <pageSetup paperSize="9" scale="78" fitToHeight="0" orientation="portrait" r:id="rId1"/>
  <headerFooter alignWithMargins="0">
    <oddFooter>Seite &amp;P von &amp;N</oddFooter>
  </headerFooter>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1">
    <pageSetUpPr fitToPage="1"/>
  </sheetPr>
  <dimension ref="A1:AC90"/>
  <sheetViews>
    <sheetView zoomScaleNormal="100" workbookViewId="0">
      <selection activeCell="M20" sqref="M20:S20"/>
    </sheetView>
  </sheetViews>
  <sheetFormatPr baseColWidth="10" defaultColWidth="11.5703125" defaultRowHeight="12.75" x14ac:dyDescent="0.2"/>
  <cols>
    <col min="1" max="1" width="1.5703125" style="288" customWidth="1"/>
    <col min="2" max="2" width="3.5703125" style="288" customWidth="1"/>
    <col min="3" max="13" width="4.5703125" style="288"/>
    <col min="14" max="14" width="6.5703125" style="288" customWidth="1"/>
    <col min="15" max="18" width="4.5703125" style="288"/>
    <col min="19" max="20" width="2.42578125" style="288" customWidth="1"/>
    <col min="21" max="25" width="11.5703125" style="91"/>
    <col min="26" max="26" width="22.42578125" style="91" customWidth="1"/>
    <col min="27" max="27" width="10.5703125" style="247" hidden="1" customWidth="1"/>
    <col min="28" max="28" width="4.5703125" style="247" hidden="1" customWidth="1"/>
    <col min="29" max="29" width="9.42578125" style="247" hidden="1" customWidth="1"/>
    <col min="30" max="16384" width="11.5703125" style="91"/>
  </cols>
  <sheetData>
    <row r="1" spans="1:27" ht="15.75" x14ac:dyDescent="0.25">
      <c r="A1" s="511"/>
      <c r="B1" s="511"/>
      <c r="C1" s="511"/>
      <c r="D1" s="511"/>
      <c r="E1" s="511"/>
      <c r="F1" s="511"/>
      <c r="G1" s="511"/>
      <c r="H1" s="512"/>
      <c r="I1" s="513"/>
      <c r="J1" s="511"/>
      <c r="K1" s="514"/>
      <c r="L1" s="514"/>
      <c r="M1" s="514"/>
      <c r="N1" s="511"/>
      <c r="O1" s="511"/>
      <c r="P1" s="511"/>
      <c r="Q1" s="511"/>
      <c r="R1" s="511"/>
      <c r="S1" s="511"/>
      <c r="T1" s="511"/>
    </row>
    <row r="2" spans="1:27" ht="46.15" customHeight="1" x14ac:dyDescent="0.2">
      <c r="A2" s="511"/>
      <c r="B2" s="1229" t="s">
        <v>1010</v>
      </c>
      <c r="C2" s="1229"/>
      <c r="D2" s="1229"/>
      <c r="E2" s="1229"/>
      <c r="F2" s="1229"/>
      <c r="G2" s="1229"/>
      <c r="H2" s="1229"/>
      <c r="I2" s="1229"/>
      <c r="J2" s="1229"/>
      <c r="K2" s="1229"/>
      <c r="L2" s="1229"/>
      <c r="M2" s="1229"/>
      <c r="N2" s="511"/>
      <c r="O2" s="511"/>
      <c r="P2" s="511"/>
      <c r="Q2" s="511"/>
      <c r="R2" s="511"/>
      <c r="S2" s="511"/>
      <c r="T2" s="511"/>
    </row>
    <row r="3" spans="1:27" ht="6.6" customHeight="1" x14ac:dyDescent="0.2">
      <c r="A3" s="511"/>
      <c r="B3" s="515"/>
      <c r="C3" s="516"/>
      <c r="D3" s="517"/>
      <c r="E3" s="518"/>
      <c r="F3" s="516"/>
      <c r="G3" s="516"/>
      <c r="H3" s="516"/>
      <c r="I3" s="516"/>
      <c r="J3" s="519"/>
      <c r="K3" s="519"/>
      <c r="L3" s="519"/>
      <c r="M3" s="519"/>
      <c r="N3" s="519"/>
      <c r="O3" s="519"/>
      <c r="P3" s="519"/>
      <c r="Q3" s="519"/>
      <c r="R3" s="519"/>
      <c r="S3" s="519"/>
      <c r="T3" s="520"/>
    </row>
    <row r="4" spans="1:27" x14ac:dyDescent="0.2">
      <c r="A4" s="511"/>
      <c r="B4" s="521"/>
      <c r="C4" s="522" t="s">
        <v>771</v>
      </c>
      <c r="D4" s="523"/>
      <c r="E4" s="524"/>
      <c r="F4" s="523"/>
      <c r="G4" s="523"/>
      <c r="H4" s="523"/>
      <c r="I4" s="523"/>
      <c r="J4" s="511"/>
      <c r="K4" s="511"/>
      <c r="L4" s="511"/>
      <c r="M4" s="511"/>
      <c r="N4" s="511"/>
      <c r="O4" s="511"/>
      <c r="P4" s="511"/>
      <c r="Q4" s="511"/>
      <c r="R4" s="511"/>
      <c r="S4" s="511"/>
      <c r="T4" s="525"/>
      <c r="AA4" s="470"/>
    </row>
    <row r="5" spans="1:27" x14ac:dyDescent="0.2">
      <c r="A5" s="511"/>
      <c r="B5" s="521"/>
      <c r="C5" s="526"/>
      <c r="D5" s="526"/>
      <c r="E5" s="527"/>
      <c r="F5" s="526"/>
      <c r="G5" s="526"/>
      <c r="H5" s="526"/>
      <c r="I5" s="526"/>
      <c r="J5" s="511"/>
      <c r="K5" s="511"/>
      <c r="L5" s="511"/>
      <c r="M5" s="511"/>
      <c r="N5" s="511"/>
      <c r="O5" s="511"/>
      <c r="P5" s="511"/>
      <c r="Q5" s="511"/>
      <c r="R5" s="511"/>
      <c r="S5" s="511"/>
      <c r="T5" s="525"/>
      <c r="AA5" s="325"/>
    </row>
    <row r="6" spans="1:27" x14ac:dyDescent="0.2">
      <c r="A6" s="511"/>
      <c r="B6" s="755" t="s">
        <v>974</v>
      </c>
      <c r="D6" s="526"/>
      <c r="E6" s="1230" t="str">
        <f>IF(MAAnrede&lt;&gt;"",MAAnrede,"")</f>
        <v/>
      </c>
      <c r="F6" s="1230"/>
      <c r="G6" s="526"/>
      <c r="H6" s="526"/>
      <c r="I6" s="526"/>
      <c r="J6" s="511"/>
      <c r="K6" s="511"/>
      <c r="L6" s="511"/>
      <c r="M6" s="511"/>
      <c r="N6" s="511"/>
      <c r="O6" s="511"/>
      <c r="P6" s="511"/>
      <c r="Q6" s="511"/>
      <c r="R6" s="511"/>
      <c r="S6" s="511"/>
      <c r="T6" s="525"/>
      <c r="AA6" s="325"/>
    </row>
    <row r="7" spans="1:27" x14ac:dyDescent="0.2">
      <c r="A7" s="511"/>
      <c r="B7" s="755"/>
      <c r="D7" s="526"/>
      <c r="E7" s="527"/>
      <c r="F7" s="526"/>
      <c r="G7" s="526"/>
      <c r="H7" s="526"/>
      <c r="I7" s="526"/>
      <c r="J7" s="511"/>
      <c r="K7" s="511"/>
      <c r="L7" s="511"/>
      <c r="M7" s="511"/>
      <c r="N7" s="511"/>
      <c r="O7" s="511"/>
      <c r="P7" s="511"/>
      <c r="Q7" s="511"/>
      <c r="R7" s="511"/>
      <c r="S7" s="511"/>
      <c r="T7" s="525"/>
      <c r="AA7" s="325"/>
    </row>
    <row r="8" spans="1:27" x14ac:dyDescent="0.2">
      <c r="A8" s="511"/>
      <c r="B8" s="755" t="s">
        <v>757</v>
      </c>
      <c r="D8" s="526"/>
      <c r="E8" s="1230" t="str">
        <f>IF(MAName&lt;&gt;"",MAName,"")</f>
        <v/>
      </c>
      <c r="F8" s="1230"/>
      <c r="G8" s="1230"/>
      <c r="H8" s="1230"/>
      <c r="I8" s="1230"/>
      <c r="J8" s="1230"/>
      <c r="K8" s="752" t="s">
        <v>758</v>
      </c>
      <c r="L8" s="752"/>
      <c r="M8" s="752"/>
      <c r="O8" s="1230" t="str">
        <f>IF(MAVorname&lt;&gt;"",MAVorname,"")</f>
        <v/>
      </c>
      <c r="P8" s="1230"/>
      <c r="Q8" s="1230"/>
      <c r="R8" s="1230"/>
      <c r="S8" s="511"/>
      <c r="T8" s="525"/>
      <c r="AA8" s="471"/>
    </row>
    <row r="9" spans="1:27" x14ac:dyDescent="0.2">
      <c r="A9" s="511"/>
      <c r="B9" s="755"/>
      <c r="D9" s="526"/>
      <c r="E9" s="527"/>
      <c r="F9" s="526"/>
      <c r="G9" s="526"/>
      <c r="H9" s="526"/>
      <c r="I9" s="526"/>
      <c r="J9" s="511"/>
      <c r="K9" s="753"/>
      <c r="L9" s="753"/>
      <c r="M9" s="753"/>
      <c r="O9" s="511"/>
      <c r="P9" s="511"/>
      <c r="Q9" s="511"/>
      <c r="R9" s="511"/>
      <c r="S9" s="511"/>
      <c r="T9" s="525"/>
      <c r="AA9" s="471"/>
    </row>
    <row r="10" spans="1:27" x14ac:dyDescent="0.2">
      <c r="A10" s="511"/>
      <c r="B10" s="755" t="s">
        <v>971</v>
      </c>
      <c r="D10" s="511"/>
      <c r="E10" s="1230" t="str">
        <f>IF(MAPersID&lt;&gt;"",MAPersID,"")</f>
        <v/>
      </c>
      <c r="F10" s="1230"/>
      <c r="G10" s="1230"/>
      <c r="H10" s="1230"/>
      <c r="I10" s="1230"/>
      <c r="J10" s="1230"/>
      <c r="K10" s="752" t="s">
        <v>764</v>
      </c>
      <c r="L10" s="753"/>
      <c r="M10" s="753"/>
      <c r="O10" s="1230" t="str">
        <f>IF(MAVertragsNr&lt;&gt;"",MAVertragsNr,"")</f>
        <v/>
      </c>
      <c r="P10" s="1230"/>
      <c r="Q10" s="1230"/>
      <c r="R10" s="1230"/>
      <c r="S10" s="511"/>
      <c r="T10" s="525"/>
      <c r="V10" s="1155" t="s">
        <v>1040</v>
      </c>
      <c r="W10" s="1163"/>
      <c r="X10" s="1156"/>
    </row>
    <row r="11" spans="1:27" x14ac:dyDescent="0.2">
      <c r="A11" s="511"/>
      <c r="B11" s="755"/>
      <c r="D11" s="526"/>
      <c r="E11" s="511"/>
      <c r="F11" s="526"/>
      <c r="G11" s="526"/>
      <c r="H11" s="526"/>
      <c r="I11" s="511"/>
      <c r="J11" s="511"/>
      <c r="K11" s="752"/>
      <c r="L11" s="753"/>
      <c r="M11" s="753"/>
      <c r="O11" s="526"/>
      <c r="P11" s="526"/>
      <c r="Q11" s="526"/>
      <c r="R11" s="526"/>
      <c r="S11" s="511"/>
      <c r="T11" s="525"/>
      <c r="V11" s="1157"/>
      <c r="W11" s="1164"/>
      <c r="X11" s="1158"/>
    </row>
    <row r="12" spans="1:27" x14ac:dyDescent="0.2">
      <c r="A12" s="511"/>
      <c r="B12" s="755" t="s">
        <v>761</v>
      </c>
      <c r="D12" s="526"/>
      <c r="E12" s="511"/>
      <c r="F12" s="1237">
        <f>MAGeburtsdatum</f>
        <v>0</v>
      </c>
      <c r="G12" s="1237"/>
      <c r="H12" s="1237"/>
      <c r="I12" s="511"/>
      <c r="J12" s="511"/>
      <c r="K12" s="752" t="s">
        <v>1011</v>
      </c>
      <c r="L12" s="753"/>
      <c r="M12" s="753"/>
      <c r="O12" s="1238"/>
      <c r="P12" s="1238"/>
      <c r="Q12" s="1238"/>
      <c r="R12" s="1238"/>
      <c r="S12" s="511"/>
      <c r="T12" s="525"/>
    </row>
    <row r="13" spans="1:27" s="247" customFormat="1" x14ac:dyDescent="0.2">
      <c r="A13" s="46"/>
      <c r="B13" s="50"/>
      <c r="C13" s="97"/>
      <c r="D13" s="97"/>
      <c r="E13" s="97"/>
      <c r="F13" s="46"/>
      <c r="G13" s="46"/>
      <c r="H13" s="46"/>
      <c r="I13" s="46"/>
      <c r="J13" s="46"/>
      <c r="K13" s="46"/>
      <c r="L13" s="46"/>
      <c r="M13" s="46"/>
      <c r="N13" s="46"/>
      <c r="O13" s="46"/>
      <c r="P13" s="46"/>
      <c r="Q13" s="46"/>
      <c r="R13" s="46"/>
      <c r="S13" s="46"/>
      <c r="T13" s="52"/>
    </row>
    <row r="14" spans="1:27" s="247" customFormat="1" x14ac:dyDescent="0.2">
      <c r="A14" s="46"/>
      <c r="B14" s="754" t="s">
        <v>1000</v>
      </c>
      <c r="D14" s="97"/>
      <c r="E14" s="46"/>
      <c r="F14" s="46"/>
      <c r="G14" s="1231"/>
      <c r="H14" s="1231"/>
      <c r="I14" s="1231"/>
      <c r="J14" s="1231"/>
      <c r="K14" s="1231"/>
      <c r="L14" s="1231"/>
      <c r="M14" s="1231"/>
      <c r="N14" s="1231"/>
      <c r="O14" s="1231"/>
      <c r="P14" s="1231"/>
      <c r="Q14" s="1231"/>
      <c r="R14" s="1231"/>
      <c r="S14" s="46"/>
      <c r="T14" s="52"/>
      <c r="V14" s="248" t="s">
        <v>1028</v>
      </c>
    </row>
    <row r="15" spans="1:27" ht="7.9" customHeight="1" x14ac:dyDescent="0.2">
      <c r="A15" s="511"/>
      <c r="B15" s="528"/>
      <c r="C15" s="529"/>
      <c r="D15" s="529"/>
      <c r="E15" s="529"/>
      <c r="F15" s="529"/>
      <c r="G15" s="529"/>
      <c r="H15" s="529"/>
      <c r="I15" s="530"/>
      <c r="J15" s="531"/>
      <c r="K15" s="531"/>
      <c r="L15" s="531"/>
      <c r="M15" s="531"/>
      <c r="N15" s="531"/>
      <c r="O15" s="531"/>
      <c r="P15" s="531"/>
      <c r="Q15" s="531"/>
      <c r="R15" s="531"/>
      <c r="S15" s="531"/>
      <c r="T15" s="532"/>
    </row>
    <row r="16" spans="1:27" ht="6" customHeight="1" x14ac:dyDescent="0.2">
      <c r="A16" s="511"/>
      <c r="B16" s="511"/>
      <c r="C16" s="526"/>
      <c r="D16" s="526"/>
      <c r="E16" s="527"/>
      <c r="F16" s="526"/>
      <c r="G16" s="526"/>
      <c r="H16" s="526"/>
      <c r="I16" s="526"/>
      <c r="J16" s="511"/>
      <c r="K16" s="511"/>
      <c r="L16" s="511"/>
      <c r="M16" s="511"/>
      <c r="N16" s="511"/>
      <c r="O16" s="511"/>
      <c r="P16" s="511"/>
      <c r="Q16" s="511"/>
      <c r="R16" s="511"/>
      <c r="S16" s="511"/>
      <c r="T16" s="511"/>
    </row>
    <row r="17" spans="1:26" x14ac:dyDescent="0.2">
      <c r="A17" s="511"/>
      <c r="B17" s="533"/>
      <c r="C17" s="516"/>
      <c r="D17" s="516"/>
      <c r="E17" s="516"/>
      <c r="F17" s="516"/>
      <c r="G17" s="516"/>
      <c r="H17" s="516"/>
      <c r="I17" s="516"/>
      <c r="J17" s="516"/>
      <c r="K17" s="516"/>
      <c r="L17" s="516"/>
      <c r="M17" s="516"/>
      <c r="N17" s="516"/>
      <c r="O17" s="516"/>
      <c r="P17" s="516"/>
      <c r="Q17" s="516"/>
      <c r="R17" s="516"/>
      <c r="S17" s="516"/>
      <c r="T17" s="534"/>
    </row>
    <row r="18" spans="1:26" x14ac:dyDescent="0.2">
      <c r="A18" s="511"/>
      <c r="B18" s="535"/>
      <c r="C18" s="523" t="s">
        <v>1012</v>
      </c>
      <c r="D18" s="523"/>
      <c r="E18" s="523"/>
      <c r="F18" s="523"/>
      <c r="G18" s="523"/>
      <c r="H18" s="523"/>
      <c r="I18" s="523"/>
      <c r="J18" s="1226"/>
      <c r="K18" s="1227"/>
      <c r="L18" s="523" t="s">
        <v>1013</v>
      </c>
      <c r="M18" s="1228" t="str">
        <f>IFERROR(IF(J18="","",VLOOKUP("M"&amp;J18,'MU-Daten'!B:K,6,0)),"Keine gültige MU")</f>
        <v/>
      </c>
      <c r="N18" s="1228"/>
      <c r="O18" s="1228"/>
      <c r="P18" s="1228"/>
      <c r="Q18" s="1228"/>
      <c r="R18" s="1228"/>
      <c r="S18" s="1228"/>
      <c r="T18" s="536"/>
      <c r="V18" s="248" t="s">
        <v>1028</v>
      </c>
    </row>
    <row r="19" spans="1:26" ht="13.15" customHeight="1" x14ac:dyDescent="0.2">
      <c r="A19" s="511"/>
      <c r="B19" s="535"/>
      <c r="C19" s="523"/>
      <c r="D19" s="523"/>
      <c r="E19" s="523"/>
      <c r="F19" s="523"/>
      <c r="G19" s="523"/>
      <c r="H19" s="523"/>
      <c r="I19" s="523"/>
      <c r="J19" s="523"/>
      <c r="K19" s="523"/>
      <c r="L19" s="523"/>
      <c r="M19" s="523"/>
      <c r="N19" s="523"/>
      <c r="O19" s="523"/>
      <c r="P19" s="523"/>
      <c r="Q19" s="523"/>
      <c r="R19" s="523"/>
      <c r="S19" s="523"/>
      <c r="T19" s="536"/>
      <c r="V19" s="1099" t="s">
        <v>1029</v>
      </c>
      <c r="W19" s="1099"/>
      <c r="X19" s="1099"/>
      <c r="Y19" s="1099"/>
      <c r="Z19" s="1099"/>
    </row>
    <row r="20" spans="1:26" x14ac:dyDescent="0.2">
      <c r="A20" s="511"/>
      <c r="B20" s="535"/>
      <c r="C20" s="523" t="s">
        <v>1014</v>
      </c>
      <c r="D20" s="523"/>
      <c r="E20" s="523"/>
      <c r="F20" s="523"/>
      <c r="G20" s="523"/>
      <c r="H20" s="523"/>
      <c r="I20" s="523"/>
      <c r="J20" s="1226"/>
      <c r="K20" s="1227"/>
      <c r="L20" s="523" t="s">
        <v>1013</v>
      </c>
      <c r="M20" s="1228" t="str">
        <f>IFERROR(IF(J20="","",VLOOKUP("M"&amp;J20,'MU-Daten'!B:K,6,0)),"Keine gültige MU")</f>
        <v/>
      </c>
      <c r="N20" s="1228"/>
      <c r="O20" s="1228"/>
      <c r="P20" s="1228"/>
      <c r="Q20" s="1228"/>
      <c r="R20" s="1228"/>
      <c r="S20" s="1228"/>
      <c r="T20" s="536"/>
      <c r="V20" s="1099"/>
      <c r="W20" s="1099"/>
      <c r="X20" s="1099"/>
      <c r="Y20" s="1099"/>
      <c r="Z20" s="1099"/>
    </row>
    <row r="21" spans="1:26" x14ac:dyDescent="0.2">
      <c r="A21" s="511"/>
      <c r="B21" s="535"/>
      <c r="C21" s="523"/>
      <c r="D21" s="523"/>
      <c r="E21" s="523"/>
      <c r="F21" s="523"/>
      <c r="G21" s="523"/>
      <c r="H21" s="523"/>
      <c r="I21" s="523"/>
      <c r="J21" s="523"/>
      <c r="K21" s="523"/>
      <c r="L21" s="523"/>
      <c r="M21" s="523"/>
      <c r="N21" s="523"/>
      <c r="O21" s="523"/>
      <c r="P21" s="523"/>
      <c r="Q21" s="523"/>
      <c r="R21" s="523"/>
      <c r="S21" s="523"/>
      <c r="T21" s="536"/>
      <c r="V21" s="1099"/>
      <c r="W21" s="1099"/>
      <c r="X21" s="1099"/>
      <c r="Y21" s="1099"/>
      <c r="Z21" s="1099"/>
    </row>
    <row r="22" spans="1:26" ht="13.15" customHeight="1" x14ac:dyDescent="0.2">
      <c r="A22" s="525"/>
      <c r="B22" s="535"/>
      <c r="C22" s="537" t="s">
        <v>1015</v>
      </c>
      <c r="D22" s="523"/>
      <c r="E22" s="523"/>
      <c r="F22" s="523"/>
      <c r="G22" s="523"/>
      <c r="H22" s="523"/>
      <c r="I22" s="523"/>
      <c r="J22" s="523"/>
      <c r="K22" s="523"/>
      <c r="L22" s="523"/>
      <c r="M22" s="523"/>
      <c r="N22" s="523"/>
      <c r="O22" s="523"/>
      <c r="P22" s="523"/>
      <c r="Q22" s="523"/>
      <c r="R22" s="523"/>
      <c r="S22" s="523"/>
      <c r="T22" s="536"/>
      <c r="V22" s="1099"/>
      <c r="W22" s="1099"/>
      <c r="X22" s="1099"/>
      <c r="Y22" s="1099"/>
      <c r="Z22" s="1099"/>
    </row>
    <row r="23" spans="1:26" x14ac:dyDescent="0.2">
      <c r="A23" s="525"/>
      <c r="B23" s="535"/>
      <c r="C23" s="1239" t="str">
        <f>IF(OR(J18="",J20="")," ",IF(VLOOKUP("M"&amp;J20,'MU-Daten'!B:K,2,0)&lt;&gt;VLOOKUP("M"&amp;J18,'MU-Daten'!B:K,2,0),"Unterschiedliche Funktionskette",IF(ABS(VLOOKUP("M"&amp;J20,'MU-Daten'!B:K,7,0)-VLOOKUP("M"&amp;J18,'MU-Daten'!B:K,7,0))&gt;1,"Differenz ist grösser als eine Lohnklasse","")))</f>
        <v xml:space="preserve"> </v>
      </c>
      <c r="D23" s="1239"/>
      <c r="E23" s="1239"/>
      <c r="F23" s="1239"/>
      <c r="G23" s="1239"/>
      <c r="H23" s="1239"/>
      <c r="I23" s="1239"/>
      <c r="J23" s="1239"/>
      <c r="K23" s="1239"/>
      <c r="L23" s="1239"/>
      <c r="M23" s="1239"/>
      <c r="N23" s="1239"/>
      <c r="O23" s="1239"/>
      <c r="P23" s="1239"/>
      <c r="Q23" s="1239"/>
      <c r="R23" s="1239"/>
      <c r="S23" s="1239"/>
      <c r="T23" s="536"/>
      <c r="V23" s="1099"/>
      <c r="W23" s="1099"/>
      <c r="X23" s="1099"/>
      <c r="Y23" s="1099"/>
      <c r="Z23" s="1099"/>
    </row>
    <row r="24" spans="1:26" x14ac:dyDescent="0.2">
      <c r="A24" s="525"/>
      <c r="B24" s="535"/>
      <c r="C24" s="523"/>
      <c r="D24" s="523"/>
      <c r="E24" s="523"/>
      <c r="F24" s="523"/>
      <c r="G24" s="523"/>
      <c r="H24" s="523"/>
      <c r="I24" s="523"/>
      <c r="J24" s="523"/>
      <c r="K24" s="523"/>
      <c r="L24" s="523"/>
      <c r="M24" s="523"/>
      <c r="N24" s="523"/>
      <c r="O24" s="523"/>
      <c r="P24" s="523"/>
      <c r="Q24" s="523"/>
      <c r="R24" s="523"/>
      <c r="S24" s="523"/>
      <c r="T24" s="536"/>
      <c r="V24" s="1099"/>
      <c r="W24" s="1099"/>
      <c r="X24" s="1099"/>
      <c r="Y24" s="1099"/>
      <c r="Z24" s="1099"/>
    </row>
    <row r="25" spans="1:26" x14ac:dyDescent="0.2">
      <c r="A25" s="525"/>
      <c r="B25" s="535"/>
      <c r="C25" s="523" t="s">
        <v>1016</v>
      </c>
      <c r="D25" s="523"/>
      <c r="E25" s="523"/>
      <c r="F25" s="523"/>
      <c r="G25" s="523"/>
      <c r="H25" s="523"/>
      <c r="I25" s="523" t="s">
        <v>1017</v>
      </c>
      <c r="J25" s="1240"/>
      <c r="K25" s="1240"/>
      <c r="L25" s="523"/>
      <c r="M25" s="1241" t="str">
        <f>IF(J25="","",IF(J25&lt;VLOOKUP(VLOOKUP("M"&amp;J18,'MU-Daten'!B:K,7,0),LohntabelleM!$A$4:$B$31,2,FALSE),"Lohn unterhalb Minimum Lohnband",IF(J25&gt;VLOOKUP(VLOOKUP("M"&amp;J18,'MU-Daten'!B:K,7,0),LohntabelleM!$A$4:$AE$31,31,FALSE),"Lohn über Maximum Lohnband","Lohn innerhalb Lohnbandgrenzen")))</f>
        <v/>
      </c>
      <c r="N25" s="1241"/>
      <c r="O25" s="1241"/>
      <c r="P25" s="1241"/>
      <c r="Q25" s="1241"/>
      <c r="R25" s="1241"/>
      <c r="S25" s="1241"/>
      <c r="T25" s="536"/>
      <c r="V25" s="349"/>
      <c r="W25" s="349"/>
      <c r="X25" s="349"/>
      <c r="Y25" s="349"/>
      <c r="Z25" s="349"/>
    </row>
    <row r="26" spans="1:26" x14ac:dyDescent="0.2">
      <c r="A26" s="525"/>
      <c r="B26" s="535"/>
      <c r="C26" s="523" t="s">
        <v>1018</v>
      </c>
      <c r="D26" s="523"/>
      <c r="E26" s="523"/>
      <c r="F26" s="523"/>
      <c r="G26" s="523"/>
      <c r="H26" s="523"/>
      <c r="I26" s="523"/>
      <c r="J26" s="523"/>
      <c r="K26" s="523"/>
      <c r="L26" s="523"/>
      <c r="M26" s="523"/>
      <c r="N26" s="523"/>
      <c r="O26" s="523"/>
      <c r="P26" s="523"/>
      <c r="Q26" s="523"/>
      <c r="R26" s="523"/>
      <c r="S26" s="523"/>
      <c r="T26" s="536"/>
      <c r="V26" s="349"/>
      <c r="W26" s="349"/>
      <c r="X26" s="349"/>
      <c r="Y26" s="349"/>
      <c r="Z26" s="349"/>
    </row>
    <row r="27" spans="1:26" x14ac:dyDescent="0.2">
      <c r="A27" s="511"/>
      <c r="B27" s="535"/>
      <c r="C27" s="538" t="s">
        <v>1019</v>
      </c>
      <c r="D27" s="538"/>
      <c r="E27" s="538"/>
      <c r="F27" s="538"/>
      <c r="G27" s="538"/>
      <c r="H27" s="538"/>
      <c r="I27" s="538"/>
      <c r="J27" s="1242" t="str">
        <f ca="1">IF(J18="","",IF(C23="",IF(J25&lt;VLOOKUP(VLOOKUP("M"&amp;J18,'MU-Daten'!B:K,7,0),LohntabelleM!$A$4:$B$31,2,FALSE),"C",INDEX(LohntabelleM!$B$3:$AE$3,MATCH(J25,OFFSET(LohntabelleM!$B$4:$AE$4,VLOOKUP("M"&amp;J18,'MU-Daten'!B:K,7,0)-1,0)))),""))</f>
        <v/>
      </c>
      <c r="K27" s="1242"/>
      <c r="L27" s="756" t="s">
        <v>1017</v>
      </c>
      <c r="N27" s="1243" t="str">
        <f ca="1">IF(J27="","",HLOOKUP(J27,LohntabelleM!$B$3:$AE$31,VLOOKUP("M"&amp;J18,'MU-Daten'!B:K,7,0)+1,FALSE))</f>
        <v/>
      </c>
      <c r="O27" s="1243"/>
      <c r="P27" s="523"/>
      <c r="Q27" s="523"/>
      <c r="R27" s="523"/>
      <c r="S27" s="523"/>
      <c r="T27" s="536"/>
      <c r="V27" s="349"/>
      <c r="W27" s="349"/>
      <c r="X27" s="349"/>
      <c r="Y27" s="349"/>
      <c r="Z27" s="349"/>
    </row>
    <row r="28" spans="1:26" x14ac:dyDescent="0.2">
      <c r="A28" s="525"/>
      <c r="B28" s="535"/>
      <c r="C28" s="523" t="s">
        <v>1020</v>
      </c>
      <c r="D28" s="523"/>
      <c r="E28" s="523"/>
      <c r="F28" s="523"/>
      <c r="G28" s="523"/>
      <c r="H28" s="523"/>
      <c r="I28" s="523"/>
      <c r="J28" s="1235" t="str">
        <f>IF(J18="","",IF(C23="",IF(N27=J25,J27,INDEX($AA$61:$AA$90,MATCH(INDEX($AB$61:$AB$90,MATCH(J27,$AA$61:$AA$90,0))+1,$AB$61:$AB$90,0))),""))</f>
        <v/>
      </c>
      <c r="K28" s="1235"/>
      <c r="L28" s="757" t="s">
        <v>1017</v>
      </c>
      <c r="N28" s="1236" t="str">
        <f>IF(J28="","",HLOOKUP(J28,LohntabelleM!$B$3:$AE$31,VLOOKUP("M"&amp;J18,'MU-Daten'!B:K,7,0)+1,FALSE))</f>
        <v/>
      </c>
      <c r="O28" s="1236"/>
      <c r="P28" s="523"/>
      <c r="Q28" s="523"/>
      <c r="R28" s="523"/>
      <c r="S28" s="523"/>
      <c r="T28" s="536"/>
      <c r="V28" s="247"/>
    </row>
    <row r="29" spans="1:26" x14ac:dyDescent="0.2">
      <c r="A29" s="511"/>
      <c r="B29" s="535"/>
      <c r="C29" s="523"/>
      <c r="D29" s="523"/>
      <c r="E29" s="523"/>
      <c r="F29" s="523"/>
      <c r="G29" s="523"/>
      <c r="H29" s="523"/>
      <c r="I29" s="523"/>
      <c r="J29" s="523"/>
      <c r="K29" s="523"/>
      <c r="L29" s="523"/>
      <c r="M29" s="523"/>
      <c r="N29" s="523"/>
      <c r="O29" s="523"/>
      <c r="P29" s="523"/>
      <c r="Q29" s="523"/>
      <c r="R29" s="523"/>
      <c r="S29" s="523"/>
      <c r="T29" s="536"/>
      <c r="V29" s="248" t="s">
        <v>1030</v>
      </c>
    </row>
    <row r="30" spans="1:26" ht="13.15" customHeight="1" x14ac:dyDescent="0.2">
      <c r="A30" s="511"/>
      <c r="B30" s="535"/>
      <c r="C30" s="522" t="s">
        <v>1021</v>
      </c>
      <c r="D30" s="523"/>
      <c r="E30" s="523"/>
      <c r="F30" s="523"/>
      <c r="G30" s="523"/>
      <c r="H30" s="523"/>
      <c r="I30" s="523"/>
      <c r="J30" s="523"/>
      <c r="K30" s="523"/>
      <c r="L30" s="523"/>
      <c r="M30" s="523"/>
      <c r="N30" s="523"/>
      <c r="O30" s="523"/>
      <c r="P30" s="523"/>
      <c r="Q30" s="511"/>
      <c r="R30" s="523"/>
      <c r="S30" s="523"/>
      <c r="T30" s="536"/>
      <c r="V30" s="1099" t="s">
        <v>1077</v>
      </c>
      <c r="W30" s="1099"/>
      <c r="X30" s="1099"/>
      <c r="Y30" s="1099"/>
      <c r="Z30" s="1099"/>
    </row>
    <row r="31" spans="1:26" x14ac:dyDescent="0.2">
      <c r="A31" s="511"/>
      <c r="B31" s="535"/>
      <c r="C31" s="522"/>
      <c r="D31" s="523"/>
      <c r="E31" s="523"/>
      <c r="F31" s="523"/>
      <c r="G31" s="523"/>
      <c r="H31" s="523"/>
      <c r="I31" s="523"/>
      <c r="J31" s="523"/>
      <c r="K31" s="523"/>
      <c r="L31" s="523"/>
      <c r="M31" s="523"/>
      <c r="N31" s="523"/>
      <c r="O31" s="523"/>
      <c r="P31" s="523"/>
      <c r="Q31" s="511"/>
      <c r="R31" s="523"/>
      <c r="S31" s="523"/>
      <c r="T31" s="536"/>
      <c r="V31" s="1099"/>
      <c r="W31" s="1099"/>
      <c r="X31" s="1099"/>
      <c r="Y31" s="1099"/>
      <c r="Z31" s="1099"/>
    </row>
    <row r="32" spans="1:26" x14ac:dyDescent="0.2">
      <c r="A32" s="511"/>
      <c r="B32" s="535"/>
      <c r="C32" s="523" t="s">
        <v>1022</v>
      </c>
      <c r="D32" s="523"/>
      <c r="E32" s="523"/>
      <c r="F32" s="523"/>
      <c r="G32" s="523"/>
      <c r="H32" s="523"/>
      <c r="I32" s="523"/>
      <c r="J32" s="1232" t="str">
        <f>IFERROR(VLOOKUP("M"&amp;J20,'MU-Daten'!B:H,7,0),"")</f>
        <v/>
      </c>
      <c r="K32" s="1232"/>
      <c r="L32" s="523"/>
      <c r="M32" s="523"/>
      <c r="N32" s="523"/>
      <c r="O32" s="523"/>
      <c r="P32" s="523"/>
      <c r="Q32" s="511"/>
      <c r="R32" s="523"/>
      <c r="S32" s="523"/>
      <c r="T32" s="536"/>
      <c r="V32" s="1099"/>
      <c r="W32" s="1099"/>
      <c r="X32" s="1099"/>
      <c r="Y32" s="1099"/>
      <c r="Z32" s="1099"/>
    </row>
    <row r="33" spans="1:26" x14ac:dyDescent="0.2">
      <c r="A33" s="511"/>
      <c r="B33" s="535"/>
      <c r="C33" s="522"/>
      <c r="D33" s="523"/>
      <c r="E33" s="523"/>
      <c r="F33" s="523"/>
      <c r="G33" s="523"/>
      <c r="H33" s="523"/>
      <c r="I33" s="523"/>
      <c r="J33" s="523"/>
      <c r="K33" s="523"/>
      <c r="L33" s="523"/>
      <c r="M33" s="523"/>
      <c r="N33" s="523"/>
      <c r="O33" s="523"/>
      <c r="P33" s="523"/>
      <c r="Q33" s="523" t="s">
        <v>1023</v>
      </c>
      <c r="R33" s="523"/>
      <c r="S33" s="523"/>
      <c r="T33" s="536"/>
      <c r="V33" s="1099"/>
      <c r="W33" s="1099"/>
      <c r="X33" s="1099"/>
      <c r="Y33" s="1099"/>
      <c r="Z33" s="1099"/>
    </row>
    <row r="34" spans="1:26" x14ac:dyDescent="0.2">
      <c r="A34" s="511"/>
      <c r="B34" s="535"/>
      <c r="C34" s="523" t="s">
        <v>1020</v>
      </c>
      <c r="D34" s="523"/>
      <c r="E34" s="523"/>
      <c r="F34" s="523"/>
      <c r="G34" s="523"/>
      <c r="H34" s="523"/>
      <c r="I34" s="523"/>
      <c r="J34" s="1232" t="str">
        <f>IF(J28="","",J28)</f>
        <v/>
      </c>
      <c r="K34" s="1232"/>
      <c r="L34" s="757" t="s">
        <v>1017</v>
      </c>
      <c r="N34" s="1233" t="str">
        <f>IF(J34="","",HLOOKUP(J34,LohntabelleM!$B$3:$AE$31,VLOOKUP("M"&amp;J20,'MU-Daten'!B:K,7,0)+1,FALSE))</f>
        <v/>
      </c>
      <c r="O34" s="1233"/>
      <c r="P34" s="523"/>
      <c r="Q34" s="1234" t="str">
        <f>IF(N34="","",(N34-J25)/J25)</f>
        <v/>
      </c>
      <c r="R34" s="1234"/>
      <c r="S34" s="523"/>
      <c r="T34" s="536"/>
      <c r="V34" s="1099"/>
      <c r="W34" s="1099"/>
      <c r="X34" s="1099"/>
      <c r="Y34" s="1099"/>
      <c r="Z34" s="1099"/>
    </row>
    <row r="35" spans="1:26" ht="7.9" customHeight="1" x14ac:dyDescent="0.2">
      <c r="A35" s="511"/>
      <c r="B35" s="539"/>
      <c r="C35" s="540"/>
      <c r="D35" s="540"/>
      <c r="E35" s="540"/>
      <c r="F35" s="540"/>
      <c r="G35" s="540"/>
      <c r="H35" s="540"/>
      <c r="I35" s="540"/>
      <c r="J35" s="540"/>
      <c r="K35" s="540"/>
      <c r="L35" s="540"/>
      <c r="M35" s="540"/>
      <c r="N35" s="540"/>
      <c r="O35" s="540"/>
      <c r="P35" s="540"/>
      <c r="Q35" s="540"/>
      <c r="R35" s="540"/>
      <c r="S35" s="540"/>
      <c r="T35" s="541"/>
      <c r="V35" s="1099"/>
      <c r="W35" s="1099"/>
      <c r="X35" s="1099"/>
      <c r="Y35" s="1099"/>
      <c r="Z35" s="1099"/>
    </row>
    <row r="36" spans="1:26" ht="6" customHeight="1" x14ac:dyDescent="0.2">
      <c r="A36" s="511"/>
      <c r="B36" s="511"/>
      <c r="C36" s="511"/>
      <c r="D36" s="511"/>
      <c r="E36" s="511"/>
      <c r="F36" s="511"/>
      <c r="G36" s="511"/>
      <c r="H36" s="511"/>
      <c r="I36" s="511"/>
      <c r="J36" s="511"/>
      <c r="K36" s="511"/>
      <c r="L36" s="511"/>
      <c r="M36" s="511"/>
      <c r="N36" s="511"/>
      <c r="O36" s="511"/>
      <c r="P36" s="511"/>
      <c r="Q36" s="511"/>
      <c r="R36" s="511"/>
      <c r="S36" s="511"/>
      <c r="T36" s="511"/>
      <c r="V36" s="348"/>
    </row>
    <row r="37" spans="1:26" ht="6" customHeight="1" x14ac:dyDescent="0.2">
      <c r="A37" s="511"/>
      <c r="B37" s="542"/>
      <c r="C37" s="48"/>
      <c r="D37" s="48"/>
      <c r="E37" s="48"/>
      <c r="F37" s="48"/>
      <c r="G37" s="48"/>
      <c r="H37" s="48"/>
      <c r="I37" s="48"/>
      <c r="J37" s="48"/>
      <c r="K37" s="48"/>
      <c r="L37" s="48"/>
      <c r="M37" s="48"/>
      <c r="N37" s="48"/>
      <c r="O37" s="48"/>
      <c r="P37" s="48"/>
      <c r="Q37" s="48"/>
      <c r="R37" s="48"/>
      <c r="S37" s="48"/>
      <c r="T37" s="543"/>
    </row>
    <row r="38" spans="1:26" x14ac:dyDescent="0.2">
      <c r="A38" s="511"/>
      <c r="B38" s="544"/>
      <c r="C38" s="94" t="s">
        <v>985</v>
      </c>
      <c r="D38" s="96"/>
      <c r="E38" s="96"/>
      <c r="F38" s="96"/>
      <c r="G38" s="96"/>
      <c r="H38" s="96"/>
      <c r="I38" s="96"/>
      <c r="J38" s="96"/>
      <c r="K38" s="96"/>
      <c r="L38" s="96"/>
      <c r="M38" s="96"/>
      <c r="N38" s="96"/>
      <c r="O38" s="96"/>
      <c r="P38" s="96"/>
      <c r="Q38" s="96"/>
      <c r="R38" s="96"/>
      <c r="S38" s="96"/>
      <c r="T38" s="545"/>
    </row>
    <row r="39" spans="1:26" ht="6" customHeight="1" x14ac:dyDescent="0.2">
      <c r="A39" s="511"/>
      <c r="B39" s="544"/>
      <c r="C39" s="96"/>
      <c r="D39" s="96"/>
      <c r="E39" s="96"/>
      <c r="F39" s="96"/>
      <c r="G39" s="96"/>
      <c r="H39" s="96"/>
      <c r="I39" s="96"/>
      <c r="J39" s="96"/>
      <c r="K39" s="96"/>
      <c r="L39" s="96"/>
      <c r="M39" s="96"/>
      <c r="N39" s="96"/>
      <c r="O39" s="96"/>
      <c r="P39" s="96"/>
      <c r="Q39" s="96"/>
      <c r="R39" s="96"/>
      <c r="S39" s="96"/>
      <c r="T39" s="545"/>
    </row>
    <row r="40" spans="1:26" x14ac:dyDescent="0.2">
      <c r="A40" s="511"/>
      <c r="B40" s="544"/>
      <c r="C40" s="1225"/>
      <c r="D40" s="1225"/>
      <c r="E40" s="1225"/>
      <c r="F40" s="1225"/>
      <c r="G40" s="1225"/>
      <c r="H40" s="1225"/>
      <c r="I40" s="1225"/>
      <c r="J40" s="1225"/>
      <c r="K40" s="1225"/>
      <c r="L40" s="1225"/>
      <c r="M40" s="1225"/>
      <c r="N40" s="1225"/>
      <c r="O40" s="1225"/>
      <c r="P40" s="1225"/>
      <c r="Q40" s="1225"/>
      <c r="R40" s="1225"/>
      <c r="S40" s="1225"/>
      <c r="T40" s="545"/>
    </row>
    <row r="41" spans="1:26" x14ac:dyDescent="0.2">
      <c r="A41" s="511"/>
      <c r="B41" s="544"/>
      <c r="C41" s="1225"/>
      <c r="D41" s="1225"/>
      <c r="E41" s="1225"/>
      <c r="F41" s="1225"/>
      <c r="G41" s="1225"/>
      <c r="H41" s="1225"/>
      <c r="I41" s="1225"/>
      <c r="J41" s="1225"/>
      <c r="K41" s="1225"/>
      <c r="L41" s="1225"/>
      <c r="M41" s="1225"/>
      <c r="N41" s="1225"/>
      <c r="O41" s="1225"/>
      <c r="P41" s="1225"/>
      <c r="Q41" s="1225"/>
      <c r="R41" s="1225"/>
      <c r="S41" s="1225"/>
      <c r="T41" s="545"/>
    </row>
    <row r="42" spans="1:26" x14ac:dyDescent="0.2">
      <c r="A42" s="511"/>
      <c r="B42" s="544"/>
      <c r="C42" s="1225"/>
      <c r="D42" s="1225"/>
      <c r="E42" s="1225"/>
      <c r="F42" s="1225"/>
      <c r="G42" s="1225"/>
      <c r="H42" s="1225"/>
      <c r="I42" s="1225"/>
      <c r="J42" s="1225"/>
      <c r="K42" s="1225"/>
      <c r="L42" s="1225"/>
      <c r="M42" s="1225"/>
      <c r="N42" s="1225"/>
      <c r="O42" s="1225"/>
      <c r="P42" s="1225"/>
      <c r="Q42" s="1225"/>
      <c r="R42" s="1225"/>
      <c r="S42" s="1225"/>
      <c r="T42" s="545"/>
    </row>
    <row r="43" spans="1:26" ht="7.9" customHeight="1" x14ac:dyDescent="0.2">
      <c r="A43" s="511"/>
      <c r="B43" s="546"/>
      <c r="C43" s="547"/>
      <c r="D43" s="547"/>
      <c r="E43" s="547"/>
      <c r="F43" s="547"/>
      <c r="G43" s="547"/>
      <c r="H43" s="547"/>
      <c r="I43" s="547"/>
      <c r="J43" s="547"/>
      <c r="K43" s="547"/>
      <c r="L43" s="547"/>
      <c r="M43" s="547"/>
      <c r="N43" s="547"/>
      <c r="O43" s="547"/>
      <c r="P43" s="547"/>
      <c r="Q43" s="547"/>
      <c r="R43" s="547"/>
      <c r="S43" s="547"/>
      <c r="T43" s="548"/>
    </row>
    <row r="44" spans="1:26" ht="6" customHeight="1" x14ac:dyDescent="0.2">
      <c r="A44" s="511"/>
      <c r="B44" s="96"/>
      <c r="C44" s="96"/>
      <c r="D44" s="96"/>
      <c r="E44" s="96"/>
      <c r="F44" s="96"/>
      <c r="G44" s="96"/>
      <c r="H44" s="96"/>
      <c r="I44" s="96"/>
      <c r="J44" s="96"/>
      <c r="K44" s="96"/>
      <c r="L44" s="96"/>
      <c r="M44" s="96"/>
      <c r="N44" s="96"/>
      <c r="O44" s="96"/>
      <c r="P44" s="96"/>
      <c r="Q44" s="96"/>
      <c r="R44" s="96"/>
      <c r="S44" s="549"/>
      <c r="T44" s="549"/>
    </row>
    <row r="45" spans="1:26" ht="6" customHeight="1" x14ac:dyDescent="0.2">
      <c r="A45" s="511"/>
      <c r="B45" s="542"/>
      <c r="C45" s="48"/>
      <c r="D45" s="48"/>
      <c r="E45" s="48"/>
      <c r="F45" s="48"/>
      <c r="G45" s="48"/>
      <c r="H45" s="48"/>
      <c r="I45" s="48"/>
      <c r="J45" s="48"/>
      <c r="K45" s="48"/>
      <c r="L45" s="48"/>
      <c r="M45" s="48"/>
      <c r="N45" s="48"/>
      <c r="O45" s="48"/>
      <c r="P45" s="48"/>
      <c r="Q45" s="48"/>
      <c r="R45" s="48"/>
      <c r="S45" s="48"/>
      <c r="T45" s="543"/>
    </row>
    <row r="46" spans="1:26" x14ac:dyDescent="0.2">
      <c r="A46" s="511"/>
      <c r="B46" s="544"/>
      <c r="C46" s="94" t="s">
        <v>1076</v>
      </c>
      <c r="D46" s="96"/>
      <c r="E46" s="96"/>
      <c r="F46" s="96"/>
      <c r="G46" s="96"/>
      <c r="H46" s="96"/>
      <c r="I46" s="96"/>
      <c r="J46" s="96"/>
      <c r="K46" s="96"/>
      <c r="L46" s="96"/>
      <c r="M46" s="96"/>
      <c r="N46" s="96"/>
      <c r="O46" s="96"/>
      <c r="P46" s="96"/>
      <c r="Q46" s="96"/>
      <c r="R46" s="96"/>
      <c r="S46" s="96"/>
      <c r="T46" s="545"/>
    </row>
    <row r="47" spans="1:26" ht="6" customHeight="1" x14ac:dyDescent="0.2">
      <c r="A47" s="511"/>
      <c r="B47" s="544"/>
      <c r="C47" s="96"/>
      <c r="D47" s="96"/>
      <c r="E47" s="96"/>
      <c r="F47" s="96"/>
      <c r="G47" s="96"/>
      <c r="H47" s="96"/>
      <c r="I47" s="96"/>
      <c r="J47" s="96"/>
      <c r="K47" s="96"/>
      <c r="L47" s="96"/>
      <c r="M47" s="96"/>
      <c r="N47" s="96"/>
      <c r="O47" s="96"/>
      <c r="P47" s="96"/>
      <c r="Q47" s="96"/>
      <c r="R47" s="96"/>
      <c r="S47" s="96"/>
      <c r="T47" s="545"/>
    </row>
    <row r="48" spans="1:26" x14ac:dyDescent="0.2">
      <c r="A48" s="511"/>
      <c r="B48" s="544"/>
      <c r="C48" s="1225"/>
      <c r="D48" s="1225"/>
      <c r="E48" s="1225"/>
      <c r="F48" s="1225"/>
      <c r="G48" s="1225"/>
      <c r="H48" s="1225"/>
      <c r="I48" s="1225"/>
      <c r="J48" s="1225"/>
      <c r="K48" s="1225"/>
      <c r="L48" s="1225"/>
      <c r="M48" s="1225"/>
      <c r="N48" s="1225"/>
      <c r="O48" s="1225"/>
      <c r="P48" s="1225"/>
      <c r="Q48" s="1225"/>
      <c r="R48" s="1225"/>
      <c r="S48" s="1225"/>
      <c r="T48" s="545"/>
    </row>
    <row r="49" spans="1:29" x14ac:dyDescent="0.2">
      <c r="A49" s="511"/>
      <c r="B49" s="544"/>
      <c r="C49" s="1225"/>
      <c r="D49" s="1225"/>
      <c r="E49" s="1225"/>
      <c r="F49" s="1225"/>
      <c r="G49" s="1225"/>
      <c r="H49" s="1225"/>
      <c r="I49" s="1225"/>
      <c r="J49" s="1225"/>
      <c r="K49" s="1225"/>
      <c r="L49" s="1225"/>
      <c r="M49" s="1225"/>
      <c r="N49" s="1225"/>
      <c r="O49" s="1225"/>
      <c r="P49" s="1225"/>
      <c r="Q49" s="1225"/>
      <c r="R49" s="1225"/>
      <c r="S49" s="1225"/>
      <c r="T49" s="545"/>
    </row>
    <row r="50" spans="1:29" x14ac:dyDescent="0.2">
      <c r="A50" s="511"/>
      <c r="B50" s="544"/>
      <c r="C50" s="1225"/>
      <c r="D50" s="1225"/>
      <c r="E50" s="1225"/>
      <c r="F50" s="1225"/>
      <c r="G50" s="1225"/>
      <c r="H50" s="1225"/>
      <c r="I50" s="1225"/>
      <c r="J50" s="1225"/>
      <c r="K50" s="1225"/>
      <c r="L50" s="1225"/>
      <c r="M50" s="1225"/>
      <c r="N50" s="1225"/>
      <c r="O50" s="1225"/>
      <c r="P50" s="1225"/>
      <c r="Q50" s="1225"/>
      <c r="R50" s="1225"/>
      <c r="S50" s="1225"/>
      <c r="T50" s="545"/>
    </row>
    <row r="51" spans="1:29" ht="7.9" customHeight="1" x14ac:dyDescent="0.2">
      <c r="A51" s="511"/>
      <c r="B51" s="546"/>
      <c r="C51" s="547"/>
      <c r="D51" s="547"/>
      <c r="E51" s="547"/>
      <c r="F51" s="547"/>
      <c r="G51" s="547"/>
      <c r="H51" s="547"/>
      <c r="I51" s="547"/>
      <c r="J51" s="547"/>
      <c r="K51" s="547"/>
      <c r="L51" s="547"/>
      <c r="M51" s="547"/>
      <c r="N51" s="547"/>
      <c r="O51" s="547"/>
      <c r="P51" s="547"/>
      <c r="Q51" s="547"/>
      <c r="R51" s="547"/>
      <c r="S51" s="547"/>
      <c r="T51" s="548"/>
    </row>
    <row r="60" spans="1:29" x14ac:dyDescent="0.2">
      <c r="AA60" s="247" t="s">
        <v>1032</v>
      </c>
      <c r="AC60" s="247" t="s">
        <v>1039</v>
      </c>
    </row>
    <row r="61" spans="1:29" x14ac:dyDescent="0.2">
      <c r="AA61" s="472">
        <v>1</v>
      </c>
      <c r="AB61" s="472">
        <v>4</v>
      </c>
      <c r="AC61" s="473">
        <f>AA61+2</f>
        <v>3</v>
      </c>
    </row>
    <row r="62" spans="1:29" x14ac:dyDescent="0.2">
      <c r="AA62" s="472">
        <v>2</v>
      </c>
      <c r="AB62" s="472">
        <v>5</v>
      </c>
      <c r="AC62" s="473">
        <f t="shared" ref="AC62:AC87" si="0">AA62+2</f>
        <v>4</v>
      </c>
    </row>
    <row r="63" spans="1:29" x14ac:dyDescent="0.2">
      <c r="AA63" s="472">
        <v>3</v>
      </c>
      <c r="AB63" s="472">
        <v>6</v>
      </c>
      <c r="AC63" s="473">
        <f t="shared" si="0"/>
        <v>5</v>
      </c>
    </row>
    <row r="64" spans="1:29" x14ac:dyDescent="0.2">
      <c r="AA64" s="472">
        <v>4</v>
      </c>
      <c r="AB64" s="472">
        <v>7</v>
      </c>
      <c r="AC64" s="473">
        <f t="shared" si="0"/>
        <v>6</v>
      </c>
    </row>
    <row r="65" spans="27:29" x14ac:dyDescent="0.2">
      <c r="AA65" s="472">
        <v>5</v>
      </c>
      <c r="AB65" s="472">
        <v>8</v>
      </c>
      <c r="AC65" s="473">
        <f t="shared" si="0"/>
        <v>7</v>
      </c>
    </row>
    <row r="66" spans="27:29" x14ac:dyDescent="0.2">
      <c r="AA66" s="472">
        <v>6</v>
      </c>
      <c r="AB66" s="472">
        <v>9</v>
      </c>
      <c r="AC66" s="473">
        <f t="shared" si="0"/>
        <v>8</v>
      </c>
    </row>
    <row r="67" spans="27:29" x14ac:dyDescent="0.2">
      <c r="AA67" s="472">
        <v>7</v>
      </c>
      <c r="AB67" s="472">
        <v>10</v>
      </c>
      <c r="AC67" s="473">
        <f t="shared" si="0"/>
        <v>9</v>
      </c>
    </row>
    <row r="68" spans="27:29" x14ac:dyDescent="0.2">
      <c r="AA68" s="472">
        <v>8</v>
      </c>
      <c r="AB68" s="472">
        <v>11</v>
      </c>
      <c r="AC68" s="473">
        <f t="shared" si="0"/>
        <v>10</v>
      </c>
    </row>
    <row r="69" spans="27:29" x14ac:dyDescent="0.2">
      <c r="AA69" s="472">
        <v>9</v>
      </c>
      <c r="AB69" s="472">
        <v>12</v>
      </c>
      <c r="AC69" s="473">
        <f t="shared" si="0"/>
        <v>11</v>
      </c>
    </row>
    <row r="70" spans="27:29" x14ac:dyDescent="0.2">
      <c r="AA70" s="472">
        <v>10</v>
      </c>
      <c r="AB70" s="472">
        <v>13</v>
      </c>
      <c r="AC70" s="473">
        <f t="shared" si="0"/>
        <v>12</v>
      </c>
    </row>
    <row r="71" spans="27:29" x14ac:dyDescent="0.2">
      <c r="AA71" s="472">
        <v>11</v>
      </c>
      <c r="AB71" s="472">
        <v>14</v>
      </c>
      <c r="AC71" s="473">
        <f t="shared" si="0"/>
        <v>13</v>
      </c>
    </row>
    <row r="72" spans="27:29" x14ac:dyDescent="0.2">
      <c r="AA72" s="472">
        <v>12</v>
      </c>
      <c r="AB72" s="472">
        <v>15</v>
      </c>
      <c r="AC72" s="473">
        <f t="shared" si="0"/>
        <v>14</v>
      </c>
    </row>
    <row r="73" spans="27:29" x14ac:dyDescent="0.2">
      <c r="AA73" s="472">
        <v>13</v>
      </c>
      <c r="AB73" s="472">
        <v>16</v>
      </c>
      <c r="AC73" s="473">
        <f t="shared" si="0"/>
        <v>15</v>
      </c>
    </row>
    <row r="74" spans="27:29" x14ac:dyDescent="0.2">
      <c r="AA74" s="472">
        <v>14</v>
      </c>
      <c r="AB74" s="472">
        <v>17</v>
      </c>
      <c r="AC74" s="473">
        <f t="shared" si="0"/>
        <v>16</v>
      </c>
    </row>
    <row r="75" spans="27:29" x14ac:dyDescent="0.2">
      <c r="AA75" s="472">
        <v>15</v>
      </c>
      <c r="AB75" s="472">
        <v>18</v>
      </c>
      <c r="AC75" s="473">
        <f t="shared" si="0"/>
        <v>17</v>
      </c>
    </row>
    <row r="76" spans="27:29" x14ac:dyDescent="0.2">
      <c r="AA76" s="472">
        <v>16</v>
      </c>
      <c r="AB76" s="472">
        <v>19</v>
      </c>
      <c r="AC76" s="473">
        <f t="shared" si="0"/>
        <v>18</v>
      </c>
    </row>
    <row r="77" spans="27:29" x14ac:dyDescent="0.2">
      <c r="AA77" s="472">
        <v>17</v>
      </c>
      <c r="AB77" s="472">
        <v>20</v>
      </c>
      <c r="AC77" s="473">
        <f t="shared" si="0"/>
        <v>19</v>
      </c>
    </row>
    <row r="78" spans="27:29" x14ac:dyDescent="0.2">
      <c r="AA78" s="472">
        <v>18</v>
      </c>
      <c r="AB78" s="472">
        <v>21</v>
      </c>
      <c r="AC78" s="473">
        <f t="shared" si="0"/>
        <v>20</v>
      </c>
    </row>
    <row r="79" spans="27:29" x14ac:dyDescent="0.2">
      <c r="AA79" s="472">
        <v>19</v>
      </c>
      <c r="AB79" s="472">
        <v>22</v>
      </c>
      <c r="AC79" s="473">
        <f t="shared" si="0"/>
        <v>21</v>
      </c>
    </row>
    <row r="80" spans="27:29" x14ac:dyDescent="0.2">
      <c r="AA80" s="472">
        <v>20</v>
      </c>
      <c r="AB80" s="472">
        <v>23</v>
      </c>
      <c r="AC80" s="473">
        <f t="shared" si="0"/>
        <v>22</v>
      </c>
    </row>
    <row r="81" spans="27:29" x14ac:dyDescent="0.2">
      <c r="AA81" s="472">
        <v>21</v>
      </c>
      <c r="AB81" s="472">
        <v>24</v>
      </c>
      <c r="AC81" s="473">
        <f t="shared" si="0"/>
        <v>23</v>
      </c>
    </row>
    <row r="82" spans="27:29" x14ac:dyDescent="0.2">
      <c r="AA82" s="472">
        <v>22</v>
      </c>
      <c r="AB82" s="472">
        <v>25</v>
      </c>
      <c r="AC82" s="473">
        <f t="shared" si="0"/>
        <v>24</v>
      </c>
    </row>
    <row r="83" spans="27:29" x14ac:dyDescent="0.2">
      <c r="AA83" s="472">
        <v>23</v>
      </c>
      <c r="AB83" s="472">
        <v>26</v>
      </c>
      <c r="AC83" s="473">
        <f t="shared" si="0"/>
        <v>25</v>
      </c>
    </row>
    <row r="84" spans="27:29" x14ac:dyDescent="0.2">
      <c r="AA84" s="472">
        <v>24</v>
      </c>
      <c r="AB84" s="472">
        <v>27</v>
      </c>
      <c r="AC84" s="473">
        <f t="shared" si="0"/>
        <v>26</v>
      </c>
    </row>
    <row r="85" spans="27:29" x14ac:dyDescent="0.2">
      <c r="AA85" s="472">
        <v>25</v>
      </c>
      <c r="AB85" s="472">
        <v>28</v>
      </c>
      <c r="AC85" s="473">
        <f t="shared" si="0"/>
        <v>27</v>
      </c>
    </row>
    <row r="86" spans="27:29" x14ac:dyDescent="0.2">
      <c r="AA86" s="472">
        <v>26</v>
      </c>
      <c r="AB86" s="472">
        <v>29</v>
      </c>
      <c r="AC86" s="473">
        <f t="shared" si="0"/>
        <v>28</v>
      </c>
    </row>
    <row r="87" spans="27:29" x14ac:dyDescent="0.2">
      <c r="AA87" s="472">
        <v>27</v>
      </c>
      <c r="AB87" s="472">
        <v>30</v>
      </c>
      <c r="AC87" s="473">
        <f t="shared" si="0"/>
        <v>29</v>
      </c>
    </row>
    <row r="88" spans="27:29" x14ac:dyDescent="0.2">
      <c r="AA88" s="472" t="s">
        <v>590</v>
      </c>
      <c r="AB88" s="472">
        <v>3</v>
      </c>
      <c r="AC88" s="473" t="s">
        <v>588</v>
      </c>
    </row>
    <row r="89" spans="27:29" x14ac:dyDescent="0.2">
      <c r="AA89" s="472" t="s">
        <v>589</v>
      </c>
      <c r="AB89" s="472">
        <v>2</v>
      </c>
      <c r="AC89" s="473">
        <v>1</v>
      </c>
    </row>
    <row r="90" spans="27:29" x14ac:dyDescent="0.2">
      <c r="AA90" s="472" t="s">
        <v>588</v>
      </c>
      <c r="AB90" s="472">
        <v>1</v>
      </c>
      <c r="AC90" s="473">
        <v>2</v>
      </c>
    </row>
  </sheetData>
  <sheetProtection algorithmName="SHA-512" hashValue="ejHAOiHhZJ9vDyph60hObGRl10PKfiRAPvWmV3tDpqX9iKP/lfOxQr/Bw8Stz+YFc9aNhAAGvZvY2Foy1MfY0g==" saltValue="qqNjksG3ZUf8zekNs/ROPA==" spinCount="100000" sheet="1" objects="1" scenarios="1"/>
  <protectedRanges>
    <protectedRange algorithmName="SHA-512" hashValue="AiQ/egyoraA276wXFgde3c706fCG73unb8/zyUCSyc48bmliQOH8qgGWzHy7jl/Wjk0oZjrdI74Z31Y3XGNn/A==" saltValue="837SJh/hpXSN3g7Qg/2S9g==" spinCount="100000" sqref="O12 G14 J18 J20 J25 C40:S42 C48:S50" name="Eingabefelder"/>
  </protectedRanges>
  <mergeCells count="33">
    <mergeCell ref="J28:K28"/>
    <mergeCell ref="N28:O28"/>
    <mergeCell ref="F12:H12"/>
    <mergeCell ref="O12:R12"/>
    <mergeCell ref="J18:K18"/>
    <mergeCell ref="M18:S18"/>
    <mergeCell ref="C23:S23"/>
    <mergeCell ref="J25:K25"/>
    <mergeCell ref="M25:S25"/>
    <mergeCell ref="J27:K27"/>
    <mergeCell ref="N27:O27"/>
    <mergeCell ref="V30:Z35"/>
    <mergeCell ref="J20:K20"/>
    <mergeCell ref="M20:S20"/>
    <mergeCell ref="B2:M2"/>
    <mergeCell ref="E6:F6"/>
    <mergeCell ref="E8:J8"/>
    <mergeCell ref="O8:R8"/>
    <mergeCell ref="E10:J10"/>
    <mergeCell ref="O10:R10"/>
    <mergeCell ref="G14:R14"/>
    <mergeCell ref="J32:K32"/>
    <mergeCell ref="J34:K34"/>
    <mergeCell ref="N34:O34"/>
    <mergeCell ref="Q34:R34"/>
    <mergeCell ref="V10:X11"/>
    <mergeCell ref="V19:Z24"/>
    <mergeCell ref="C42:S42"/>
    <mergeCell ref="C50:S50"/>
    <mergeCell ref="C41:S41"/>
    <mergeCell ref="C40:S40"/>
    <mergeCell ref="C49:S49"/>
    <mergeCell ref="C48:S48"/>
  </mergeCells>
  <conditionalFormatting sqref="C23:S23">
    <cfRule type="cellIs" dxfId="26" priority="11" stopIfTrue="1" operator="equal">
      <formula>" "</formula>
    </cfRule>
    <cfRule type="cellIs" dxfId="25" priority="12" stopIfTrue="1" operator="equal">
      <formula>"Unterschiedliche Funktionskette"</formula>
    </cfRule>
    <cfRule type="cellIs" dxfId="24" priority="13" stopIfTrue="1" operator="equal">
      <formula>"Differenz ist grösser als eine Lohnklasse"</formula>
    </cfRule>
  </conditionalFormatting>
  <conditionalFormatting sqref="M25:S25">
    <cfRule type="cellIs" dxfId="23" priority="9" stopIfTrue="1" operator="equal">
      <formula>"Lohn innerhalb Lohnbandgrenzen"</formula>
    </cfRule>
    <cfRule type="cellIs" dxfId="22" priority="10" stopIfTrue="1" operator="equal">
      <formula>""</formula>
    </cfRule>
  </conditionalFormatting>
  <conditionalFormatting sqref="M44 T44">
    <cfRule type="cellIs" dxfId="21" priority="3" stopIfTrue="1" operator="equal">
      <formula>"Lohn innerhalb Lohnbandgrenzen"</formula>
    </cfRule>
    <cfRule type="cellIs" dxfId="20" priority="4" stopIfTrue="1" operator="equal">
      <formula>""</formula>
    </cfRule>
  </conditionalFormatting>
  <conditionalFormatting sqref="S44">
    <cfRule type="cellIs" dxfId="19" priority="1" stopIfTrue="1" operator="equal">
      <formula>"Lohn innerhalb Lohnbandgrenzen"</formula>
    </cfRule>
    <cfRule type="cellIs" dxfId="18" priority="2" stopIfTrue="1" operator="equal">
      <formula>""</formula>
    </cfRule>
  </conditionalFormatting>
  <dataValidations count="2">
    <dataValidation type="list" allowBlank="1" showInputMessage="1" showErrorMessage="1" sqref="K65491:L65491 K131027:L131027 K196563:L196563 K262099:L262099 K327635:L327635 K393171:L393171 K458707:L458707 K524243:L524243 K589779:L589779 K655315:L655315 K720851:L720851 K786387:L786387 K851923:L851923 K917459:L917459 K982995:L982995 K65493:L65493 K131029:L131029 K196565:L196565 K262101:L262101 K327637:L327637 K393173:L393173 K458709:L458709 K524245:L524245 K589781:L589781 K655317:L655317 K720853:L720853 K786389:L786389 K851925:L851925 K917461:L917461 K982997:L982997 K65553:L65553 K131089:L131089 K196625:L196625 K262161:L262161 K327697:L327697 K393233:L393233 K458769:L458769 K524305:L524305 K589841:L589841 K655377:L655377 K720913:L720913 K786449:L786449 K851985:L851985 K917521:L917521 K983057:L983057 K65519:L65519 K131055:L131055 K196591:L196591 K262127:L262127 K327663:L327663 K393199:L393199 K458735:L458735 K524271:L524271 K589807:L589807 K655343:L655343 K720879:L720879 K786415:L786415 K851951:L851951 K917487:L917487 K983023:L983023 K65551:L65551 K131087:L131087 K196623:L196623 K262159:L262159 K327695:L327695 K393231:L393231 K458767:L458767 K524303:L524303 K589839:L589839 K655375:L655375 K720911:L720911 K786447:L786447 K851983:L851983 K917519:L917519 K983055:L983055 K65522:L65522 K131058:L131058 K196594:L196594 K262130:L262130 K327666:L327666 K393202:L393202 K458738:L458738 K524274:L524274 K589810:L589810 K655346:L655346 K720882:L720882 K786418:L786418 K851954:L851954 K917490:L917490 K983026:L983026">
      <formula1>Aus_MU</formula1>
    </dataValidation>
    <dataValidation type="date" operator="greaterThan" allowBlank="1" showInputMessage="1" showErrorMessage="1" errorTitle="Fehler" error="Geben Sie ein gültiges Datum dd.mm.yyyy ein!" sqref="E15 F12:F14">
      <formula1>1</formula1>
    </dataValidation>
  </dataValidations>
  <hyperlinks>
    <hyperlink ref="V10:X11" location="Grunddaten!A1" tooltip="Zurück zu Grunddaten" display="Zurück zu Grunddaten"/>
  </hyperlinks>
  <pageMargins left="0.70866141732283472" right="0.70866141732283472" top="0.78740157480314965" bottom="0.78740157480314965" header="0.31496062992125984" footer="0.31496062992125984"/>
  <pageSetup paperSize="9" fitToHeight="0" orientation="portrait" r:id="rId1"/>
  <headerFooter>
    <oddFooter>Seite &amp;P von &amp;N</oddFooter>
  </headerFooter>
  <drawing r:id="rId2"/>
  <legacyDrawing r:id="rId3"/>
  <extLst>
    <ext xmlns:x14="http://schemas.microsoft.com/office/spreadsheetml/2009/9/main" uri="{CCE6A557-97BC-4b89-ADB6-D9C93CAAB3DF}">
      <x14:dataValidations xmlns:xm="http://schemas.microsoft.com/office/excel/2006/main" count="2">
        <x14:dataValidation type="list" allowBlank="1" showDropDown="1" showInputMessage="1">
          <x14:formula1>
            <xm:f>'MU-Daten'!$U:$U</xm:f>
          </x14:formula1>
          <xm:sqref>J20:K20</xm:sqref>
        </x14:dataValidation>
        <x14:dataValidation type="list" allowBlank="1" showDropDown="1" showInputMessage="1">
          <x14:formula1>
            <xm:f>'MU-Daten'!$U:$U</xm:f>
          </x14:formula1>
          <xm:sqref>J18:K18</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2">
    <pageSetUpPr fitToPage="1"/>
  </sheetPr>
  <dimension ref="A1:AS86"/>
  <sheetViews>
    <sheetView zoomScaleNormal="100" workbookViewId="0">
      <selection activeCell="U8" sqref="U8:Z9"/>
    </sheetView>
  </sheetViews>
  <sheetFormatPr baseColWidth="10" defaultColWidth="4.5703125" defaultRowHeight="12.75" x14ac:dyDescent="0.2"/>
  <cols>
    <col min="1" max="1" width="2" style="288" customWidth="1"/>
    <col min="2" max="2" width="3.5703125" style="288" customWidth="1"/>
    <col min="3" max="9" width="4.5703125" style="288"/>
    <col min="10" max="10" width="4.5703125" style="288" customWidth="1"/>
    <col min="11" max="11" width="4.85546875" style="288" customWidth="1"/>
    <col min="12" max="12" width="4.5703125" style="288"/>
    <col min="13" max="13" width="5.5703125" style="288" customWidth="1"/>
    <col min="14" max="14" width="7" style="288" customWidth="1"/>
    <col min="15" max="15" width="4.5703125" style="288" customWidth="1"/>
    <col min="16" max="18" width="4.5703125" style="288"/>
    <col min="19" max="19" width="5.5703125" style="288" customWidth="1"/>
    <col min="20" max="20" width="4.5703125" style="288"/>
    <col min="21" max="21" width="7.5703125" style="288" customWidth="1"/>
    <col min="22" max="22" width="2.42578125" style="288" customWidth="1"/>
    <col min="23" max="24" width="4.5703125" style="288"/>
    <col min="25" max="36" width="4.5703125" style="334"/>
    <col min="37" max="37" width="4.5703125" style="288"/>
    <col min="38" max="38" width="5" style="288" hidden="1" customWidth="1"/>
    <col min="39" max="39" width="9.28515625" style="288" hidden="1" customWidth="1"/>
    <col min="40" max="40" width="9.140625" style="288" hidden="1" customWidth="1"/>
    <col min="41" max="41" width="0" style="288" hidden="1" customWidth="1"/>
    <col min="42" max="42" width="10.5703125" style="288" customWidth="1"/>
    <col min="43" max="43" width="4.5703125" style="288" hidden="1" customWidth="1"/>
    <col min="44" max="44" width="9.42578125" style="288" hidden="1" customWidth="1"/>
    <col min="45" max="45" width="11.42578125" style="288" hidden="1" customWidth="1"/>
    <col min="46" max="256" width="4.5703125" style="288"/>
    <col min="257" max="257" width="3.5703125" style="288" customWidth="1"/>
    <col min="258" max="276" width="4.5703125" style="288"/>
    <col min="277" max="277" width="7.5703125" style="288" customWidth="1"/>
    <col min="278" max="278" width="2.42578125" style="288" customWidth="1"/>
    <col min="279" max="297" width="4.5703125" style="288"/>
    <col min="298" max="298" width="10.5703125" style="288" customWidth="1"/>
    <col min="299" max="299" width="4.5703125" style="288"/>
    <col min="300" max="300" width="9.42578125" style="288" customWidth="1"/>
    <col min="301" max="301" width="11.42578125" style="288" customWidth="1"/>
    <col min="302" max="512" width="4.5703125" style="288"/>
    <col min="513" max="513" width="3.5703125" style="288" customWidth="1"/>
    <col min="514" max="532" width="4.5703125" style="288"/>
    <col min="533" max="533" width="7.5703125" style="288" customWidth="1"/>
    <col min="534" max="534" width="2.42578125" style="288" customWidth="1"/>
    <col min="535" max="553" width="4.5703125" style="288"/>
    <col min="554" max="554" width="10.5703125" style="288" customWidth="1"/>
    <col min="555" max="555" width="4.5703125" style="288"/>
    <col min="556" max="556" width="9.42578125" style="288" customWidth="1"/>
    <col min="557" max="557" width="11.42578125" style="288" customWidth="1"/>
    <col min="558" max="768" width="4.5703125" style="288"/>
    <col min="769" max="769" width="3.5703125" style="288" customWidth="1"/>
    <col min="770" max="788" width="4.5703125" style="288"/>
    <col min="789" max="789" width="7.5703125" style="288" customWidth="1"/>
    <col min="790" max="790" width="2.42578125" style="288" customWidth="1"/>
    <col min="791" max="809" width="4.5703125" style="288"/>
    <col min="810" max="810" width="10.5703125" style="288" customWidth="1"/>
    <col min="811" max="811" width="4.5703125" style="288"/>
    <col min="812" max="812" width="9.42578125" style="288" customWidth="1"/>
    <col min="813" max="813" width="11.42578125" style="288" customWidth="1"/>
    <col min="814" max="1024" width="4.5703125" style="288"/>
    <col min="1025" max="1025" width="3.5703125" style="288" customWidth="1"/>
    <col min="1026" max="1044" width="4.5703125" style="288"/>
    <col min="1045" max="1045" width="7.5703125" style="288" customWidth="1"/>
    <col min="1046" max="1046" width="2.42578125" style="288" customWidth="1"/>
    <col min="1047" max="1065" width="4.5703125" style="288"/>
    <col min="1066" max="1066" width="10.5703125" style="288" customWidth="1"/>
    <col min="1067" max="1067" width="4.5703125" style="288"/>
    <col min="1068" max="1068" width="9.42578125" style="288" customWidth="1"/>
    <col min="1069" max="1069" width="11.42578125" style="288" customWidth="1"/>
    <col min="1070" max="1280" width="4.5703125" style="288"/>
    <col min="1281" max="1281" width="3.5703125" style="288" customWidth="1"/>
    <col min="1282" max="1300" width="4.5703125" style="288"/>
    <col min="1301" max="1301" width="7.5703125" style="288" customWidth="1"/>
    <col min="1302" max="1302" width="2.42578125" style="288" customWidth="1"/>
    <col min="1303" max="1321" width="4.5703125" style="288"/>
    <col min="1322" max="1322" width="10.5703125" style="288" customWidth="1"/>
    <col min="1323" max="1323" width="4.5703125" style="288"/>
    <col min="1324" max="1324" width="9.42578125" style="288" customWidth="1"/>
    <col min="1325" max="1325" width="11.42578125" style="288" customWidth="1"/>
    <col min="1326" max="1536" width="4.5703125" style="288"/>
    <col min="1537" max="1537" width="3.5703125" style="288" customWidth="1"/>
    <col min="1538" max="1556" width="4.5703125" style="288"/>
    <col min="1557" max="1557" width="7.5703125" style="288" customWidth="1"/>
    <col min="1558" max="1558" width="2.42578125" style="288" customWidth="1"/>
    <col min="1559" max="1577" width="4.5703125" style="288"/>
    <col min="1578" max="1578" width="10.5703125" style="288" customWidth="1"/>
    <col min="1579" max="1579" width="4.5703125" style="288"/>
    <col min="1580" max="1580" width="9.42578125" style="288" customWidth="1"/>
    <col min="1581" max="1581" width="11.42578125" style="288" customWidth="1"/>
    <col min="1582" max="1792" width="4.5703125" style="288"/>
    <col min="1793" max="1793" width="3.5703125" style="288" customWidth="1"/>
    <col min="1794" max="1812" width="4.5703125" style="288"/>
    <col min="1813" max="1813" width="7.5703125" style="288" customWidth="1"/>
    <col min="1814" max="1814" width="2.42578125" style="288" customWidth="1"/>
    <col min="1815" max="1833" width="4.5703125" style="288"/>
    <col min="1834" max="1834" width="10.5703125" style="288" customWidth="1"/>
    <col min="1835" max="1835" width="4.5703125" style="288"/>
    <col min="1836" max="1836" width="9.42578125" style="288" customWidth="1"/>
    <col min="1837" max="1837" width="11.42578125" style="288" customWidth="1"/>
    <col min="1838" max="2048" width="4.5703125" style="288"/>
    <col min="2049" max="2049" width="3.5703125" style="288" customWidth="1"/>
    <col min="2050" max="2068" width="4.5703125" style="288"/>
    <col min="2069" max="2069" width="7.5703125" style="288" customWidth="1"/>
    <col min="2070" max="2070" width="2.42578125" style="288" customWidth="1"/>
    <col min="2071" max="2089" width="4.5703125" style="288"/>
    <col min="2090" max="2090" width="10.5703125" style="288" customWidth="1"/>
    <col min="2091" max="2091" width="4.5703125" style="288"/>
    <col min="2092" max="2092" width="9.42578125" style="288" customWidth="1"/>
    <col min="2093" max="2093" width="11.42578125" style="288" customWidth="1"/>
    <col min="2094" max="2304" width="4.5703125" style="288"/>
    <col min="2305" max="2305" width="3.5703125" style="288" customWidth="1"/>
    <col min="2306" max="2324" width="4.5703125" style="288"/>
    <col min="2325" max="2325" width="7.5703125" style="288" customWidth="1"/>
    <col min="2326" max="2326" width="2.42578125" style="288" customWidth="1"/>
    <col min="2327" max="2345" width="4.5703125" style="288"/>
    <col min="2346" max="2346" width="10.5703125" style="288" customWidth="1"/>
    <col min="2347" max="2347" width="4.5703125" style="288"/>
    <col min="2348" max="2348" width="9.42578125" style="288" customWidth="1"/>
    <col min="2349" max="2349" width="11.42578125" style="288" customWidth="1"/>
    <col min="2350" max="2560" width="4.5703125" style="288"/>
    <col min="2561" max="2561" width="3.5703125" style="288" customWidth="1"/>
    <col min="2562" max="2580" width="4.5703125" style="288"/>
    <col min="2581" max="2581" width="7.5703125" style="288" customWidth="1"/>
    <col min="2582" max="2582" width="2.42578125" style="288" customWidth="1"/>
    <col min="2583" max="2601" width="4.5703125" style="288"/>
    <col min="2602" max="2602" width="10.5703125" style="288" customWidth="1"/>
    <col min="2603" max="2603" width="4.5703125" style="288"/>
    <col min="2604" max="2604" width="9.42578125" style="288" customWidth="1"/>
    <col min="2605" max="2605" width="11.42578125" style="288" customWidth="1"/>
    <col min="2606" max="2816" width="4.5703125" style="288"/>
    <col min="2817" max="2817" width="3.5703125" style="288" customWidth="1"/>
    <col min="2818" max="2836" width="4.5703125" style="288"/>
    <col min="2837" max="2837" width="7.5703125" style="288" customWidth="1"/>
    <col min="2838" max="2838" width="2.42578125" style="288" customWidth="1"/>
    <col min="2839" max="2857" width="4.5703125" style="288"/>
    <col min="2858" max="2858" width="10.5703125" style="288" customWidth="1"/>
    <col min="2859" max="2859" width="4.5703125" style="288"/>
    <col min="2860" max="2860" width="9.42578125" style="288" customWidth="1"/>
    <col min="2861" max="2861" width="11.42578125" style="288" customWidth="1"/>
    <col min="2862" max="3072" width="4.5703125" style="288"/>
    <col min="3073" max="3073" width="3.5703125" style="288" customWidth="1"/>
    <col min="3074" max="3092" width="4.5703125" style="288"/>
    <col min="3093" max="3093" width="7.5703125" style="288" customWidth="1"/>
    <col min="3094" max="3094" width="2.42578125" style="288" customWidth="1"/>
    <col min="3095" max="3113" width="4.5703125" style="288"/>
    <col min="3114" max="3114" width="10.5703125" style="288" customWidth="1"/>
    <col min="3115" max="3115" width="4.5703125" style="288"/>
    <col min="3116" max="3116" width="9.42578125" style="288" customWidth="1"/>
    <col min="3117" max="3117" width="11.42578125" style="288" customWidth="1"/>
    <col min="3118" max="3328" width="4.5703125" style="288"/>
    <col min="3329" max="3329" width="3.5703125" style="288" customWidth="1"/>
    <col min="3330" max="3348" width="4.5703125" style="288"/>
    <col min="3349" max="3349" width="7.5703125" style="288" customWidth="1"/>
    <col min="3350" max="3350" width="2.42578125" style="288" customWidth="1"/>
    <col min="3351" max="3369" width="4.5703125" style="288"/>
    <col min="3370" max="3370" width="10.5703125" style="288" customWidth="1"/>
    <col min="3371" max="3371" width="4.5703125" style="288"/>
    <col min="3372" max="3372" width="9.42578125" style="288" customWidth="1"/>
    <col min="3373" max="3373" width="11.42578125" style="288" customWidth="1"/>
    <col min="3374" max="3584" width="4.5703125" style="288"/>
    <col min="3585" max="3585" width="3.5703125" style="288" customWidth="1"/>
    <col min="3586" max="3604" width="4.5703125" style="288"/>
    <col min="3605" max="3605" width="7.5703125" style="288" customWidth="1"/>
    <col min="3606" max="3606" width="2.42578125" style="288" customWidth="1"/>
    <col min="3607" max="3625" width="4.5703125" style="288"/>
    <col min="3626" max="3626" width="10.5703125" style="288" customWidth="1"/>
    <col min="3627" max="3627" width="4.5703125" style="288"/>
    <col min="3628" max="3628" width="9.42578125" style="288" customWidth="1"/>
    <col min="3629" max="3629" width="11.42578125" style="288" customWidth="1"/>
    <col min="3630" max="3840" width="4.5703125" style="288"/>
    <col min="3841" max="3841" width="3.5703125" style="288" customWidth="1"/>
    <col min="3842" max="3860" width="4.5703125" style="288"/>
    <col min="3861" max="3861" width="7.5703125" style="288" customWidth="1"/>
    <col min="3862" max="3862" width="2.42578125" style="288" customWidth="1"/>
    <col min="3863" max="3881" width="4.5703125" style="288"/>
    <col min="3882" max="3882" width="10.5703125" style="288" customWidth="1"/>
    <col min="3883" max="3883" width="4.5703125" style="288"/>
    <col min="3884" max="3884" width="9.42578125" style="288" customWidth="1"/>
    <col min="3885" max="3885" width="11.42578125" style="288" customWidth="1"/>
    <col min="3886" max="4096" width="4.5703125" style="288"/>
    <col min="4097" max="4097" width="3.5703125" style="288" customWidth="1"/>
    <col min="4098" max="4116" width="4.5703125" style="288"/>
    <col min="4117" max="4117" width="7.5703125" style="288" customWidth="1"/>
    <col min="4118" max="4118" width="2.42578125" style="288" customWidth="1"/>
    <col min="4119" max="4137" width="4.5703125" style="288"/>
    <col min="4138" max="4138" width="10.5703125" style="288" customWidth="1"/>
    <col min="4139" max="4139" width="4.5703125" style="288"/>
    <col min="4140" max="4140" width="9.42578125" style="288" customWidth="1"/>
    <col min="4141" max="4141" width="11.42578125" style="288" customWidth="1"/>
    <col min="4142" max="4352" width="4.5703125" style="288"/>
    <col min="4353" max="4353" width="3.5703125" style="288" customWidth="1"/>
    <col min="4354" max="4372" width="4.5703125" style="288"/>
    <col min="4373" max="4373" width="7.5703125" style="288" customWidth="1"/>
    <col min="4374" max="4374" width="2.42578125" style="288" customWidth="1"/>
    <col min="4375" max="4393" width="4.5703125" style="288"/>
    <col min="4394" max="4394" width="10.5703125" style="288" customWidth="1"/>
    <col min="4395" max="4395" width="4.5703125" style="288"/>
    <col min="4396" max="4396" width="9.42578125" style="288" customWidth="1"/>
    <col min="4397" max="4397" width="11.42578125" style="288" customWidth="1"/>
    <col min="4398" max="4608" width="4.5703125" style="288"/>
    <col min="4609" max="4609" width="3.5703125" style="288" customWidth="1"/>
    <col min="4610" max="4628" width="4.5703125" style="288"/>
    <col min="4629" max="4629" width="7.5703125" style="288" customWidth="1"/>
    <col min="4630" max="4630" width="2.42578125" style="288" customWidth="1"/>
    <col min="4631" max="4649" width="4.5703125" style="288"/>
    <col min="4650" max="4650" width="10.5703125" style="288" customWidth="1"/>
    <col min="4651" max="4651" width="4.5703125" style="288"/>
    <col min="4652" max="4652" width="9.42578125" style="288" customWidth="1"/>
    <col min="4653" max="4653" width="11.42578125" style="288" customWidth="1"/>
    <col min="4654" max="4864" width="4.5703125" style="288"/>
    <col min="4865" max="4865" width="3.5703125" style="288" customWidth="1"/>
    <col min="4866" max="4884" width="4.5703125" style="288"/>
    <col min="4885" max="4885" width="7.5703125" style="288" customWidth="1"/>
    <col min="4886" max="4886" width="2.42578125" style="288" customWidth="1"/>
    <col min="4887" max="4905" width="4.5703125" style="288"/>
    <col min="4906" max="4906" width="10.5703125" style="288" customWidth="1"/>
    <col min="4907" max="4907" width="4.5703125" style="288"/>
    <col min="4908" max="4908" width="9.42578125" style="288" customWidth="1"/>
    <col min="4909" max="4909" width="11.42578125" style="288" customWidth="1"/>
    <col min="4910" max="5120" width="4.5703125" style="288"/>
    <col min="5121" max="5121" width="3.5703125" style="288" customWidth="1"/>
    <col min="5122" max="5140" width="4.5703125" style="288"/>
    <col min="5141" max="5141" width="7.5703125" style="288" customWidth="1"/>
    <col min="5142" max="5142" width="2.42578125" style="288" customWidth="1"/>
    <col min="5143" max="5161" width="4.5703125" style="288"/>
    <col min="5162" max="5162" width="10.5703125" style="288" customWidth="1"/>
    <col min="5163" max="5163" width="4.5703125" style="288"/>
    <col min="5164" max="5164" width="9.42578125" style="288" customWidth="1"/>
    <col min="5165" max="5165" width="11.42578125" style="288" customWidth="1"/>
    <col min="5166" max="5376" width="4.5703125" style="288"/>
    <col min="5377" max="5377" width="3.5703125" style="288" customWidth="1"/>
    <col min="5378" max="5396" width="4.5703125" style="288"/>
    <col min="5397" max="5397" width="7.5703125" style="288" customWidth="1"/>
    <col min="5398" max="5398" width="2.42578125" style="288" customWidth="1"/>
    <col min="5399" max="5417" width="4.5703125" style="288"/>
    <col min="5418" max="5418" width="10.5703125" style="288" customWidth="1"/>
    <col min="5419" max="5419" width="4.5703125" style="288"/>
    <col min="5420" max="5420" width="9.42578125" style="288" customWidth="1"/>
    <col min="5421" max="5421" width="11.42578125" style="288" customWidth="1"/>
    <col min="5422" max="5632" width="4.5703125" style="288"/>
    <col min="5633" max="5633" width="3.5703125" style="288" customWidth="1"/>
    <col min="5634" max="5652" width="4.5703125" style="288"/>
    <col min="5653" max="5653" width="7.5703125" style="288" customWidth="1"/>
    <col min="5654" max="5654" width="2.42578125" style="288" customWidth="1"/>
    <col min="5655" max="5673" width="4.5703125" style="288"/>
    <col min="5674" max="5674" width="10.5703125" style="288" customWidth="1"/>
    <col min="5675" max="5675" width="4.5703125" style="288"/>
    <col min="5676" max="5676" width="9.42578125" style="288" customWidth="1"/>
    <col min="5677" max="5677" width="11.42578125" style="288" customWidth="1"/>
    <col min="5678" max="5888" width="4.5703125" style="288"/>
    <col min="5889" max="5889" width="3.5703125" style="288" customWidth="1"/>
    <col min="5890" max="5908" width="4.5703125" style="288"/>
    <col min="5909" max="5909" width="7.5703125" style="288" customWidth="1"/>
    <col min="5910" max="5910" width="2.42578125" style="288" customWidth="1"/>
    <col min="5911" max="5929" width="4.5703125" style="288"/>
    <col min="5930" max="5930" width="10.5703125" style="288" customWidth="1"/>
    <col min="5931" max="5931" width="4.5703125" style="288"/>
    <col min="5932" max="5932" width="9.42578125" style="288" customWidth="1"/>
    <col min="5933" max="5933" width="11.42578125" style="288" customWidth="1"/>
    <col min="5934" max="6144" width="4.5703125" style="288"/>
    <col min="6145" max="6145" width="3.5703125" style="288" customWidth="1"/>
    <col min="6146" max="6164" width="4.5703125" style="288"/>
    <col min="6165" max="6165" width="7.5703125" style="288" customWidth="1"/>
    <col min="6166" max="6166" width="2.42578125" style="288" customWidth="1"/>
    <col min="6167" max="6185" width="4.5703125" style="288"/>
    <col min="6186" max="6186" width="10.5703125" style="288" customWidth="1"/>
    <col min="6187" max="6187" width="4.5703125" style="288"/>
    <col min="6188" max="6188" width="9.42578125" style="288" customWidth="1"/>
    <col min="6189" max="6189" width="11.42578125" style="288" customWidth="1"/>
    <col min="6190" max="6400" width="4.5703125" style="288"/>
    <col min="6401" max="6401" width="3.5703125" style="288" customWidth="1"/>
    <col min="6402" max="6420" width="4.5703125" style="288"/>
    <col min="6421" max="6421" width="7.5703125" style="288" customWidth="1"/>
    <col min="6422" max="6422" width="2.42578125" style="288" customWidth="1"/>
    <col min="6423" max="6441" width="4.5703125" style="288"/>
    <col min="6442" max="6442" width="10.5703125" style="288" customWidth="1"/>
    <col min="6443" max="6443" width="4.5703125" style="288"/>
    <col min="6444" max="6444" width="9.42578125" style="288" customWidth="1"/>
    <col min="6445" max="6445" width="11.42578125" style="288" customWidth="1"/>
    <col min="6446" max="6656" width="4.5703125" style="288"/>
    <col min="6657" max="6657" width="3.5703125" style="288" customWidth="1"/>
    <col min="6658" max="6676" width="4.5703125" style="288"/>
    <col min="6677" max="6677" width="7.5703125" style="288" customWidth="1"/>
    <col min="6678" max="6678" width="2.42578125" style="288" customWidth="1"/>
    <col min="6679" max="6697" width="4.5703125" style="288"/>
    <col min="6698" max="6698" width="10.5703125" style="288" customWidth="1"/>
    <col min="6699" max="6699" width="4.5703125" style="288"/>
    <col min="6700" max="6700" width="9.42578125" style="288" customWidth="1"/>
    <col min="6701" max="6701" width="11.42578125" style="288" customWidth="1"/>
    <col min="6702" max="6912" width="4.5703125" style="288"/>
    <col min="6913" max="6913" width="3.5703125" style="288" customWidth="1"/>
    <col min="6914" max="6932" width="4.5703125" style="288"/>
    <col min="6933" max="6933" width="7.5703125" style="288" customWidth="1"/>
    <col min="6934" max="6934" width="2.42578125" style="288" customWidth="1"/>
    <col min="6935" max="6953" width="4.5703125" style="288"/>
    <col min="6954" max="6954" width="10.5703125" style="288" customWidth="1"/>
    <col min="6955" max="6955" width="4.5703125" style="288"/>
    <col min="6956" max="6956" width="9.42578125" style="288" customWidth="1"/>
    <col min="6957" max="6957" width="11.42578125" style="288" customWidth="1"/>
    <col min="6958" max="7168" width="4.5703125" style="288"/>
    <col min="7169" max="7169" width="3.5703125" style="288" customWidth="1"/>
    <col min="7170" max="7188" width="4.5703125" style="288"/>
    <col min="7189" max="7189" width="7.5703125" style="288" customWidth="1"/>
    <col min="7190" max="7190" width="2.42578125" style="288" customWidth="1"/>
    <col min="7191" max="7209" width="4.5703125" style="288"/>
    <col min="7210" max="7210" width="10.5703125" style="288" customWidth="1"/>
    <col min="7211" max="7211" width="4.5703125" style="288"/>
    <col min="7212" max="7212" width="9.42578125" style="288" customWidth="1"/>
    <col min="7213" max="7213" width="11.42578125" style="288" customWidth="1"/>
    <col min="7214" max="7424" width="4.5703125" style="288"/>
    <col min="7425" max="7425" width="3.5703125" style="288" customWidth="1"/>
    <col min="7426" max="7444" width="4.5703125" style="288"/>
    <col min="7445" max="7445" width="7.5703125" style="288" customWidth="1"/>
    <col min="7446" max="7446" width="2.42578125" style="288" customWidth="1"/>
    <col min="7447" max="7465" width="4.5703125" style="288"/>
    <col min="7466" max="7466" width="10.5703125" style="288" customWidth="1"/>
    <col min="7467" max="7467" width="4.5703125" style="288"/>
    <col min="7468" max="7468" width="9.42578125" style="288" customWidth="1"/>
    <col min="7469" max="7469" width="11.42578125" style="288" customWidth="1"/>
    <col min="7470" max="7680" width="4.5703125" style="288"/>
    <col min="7681" max="7681" width="3.5703125" style="288" customWidth="1"/>
    <col min="7682" max="7700" width="4.5703125" style="288"/>
    <col min="7701" max="7701" width="7.5703125" style="288" customWidth="1"/>
    <col min="7702" max="7702" width="2.42578125" style="288" customWidth="1"/>
    <col min="7703" max="7721" width="4.5703125" style="288"/>
    <col min="7722" max="7722" width="10.5703125" style="288" customWidth="1"/>
    <col min="7723" max="7723" width="4.5703125" style="288"/>
    <col min="7724" max="7724" width="9.42578125" style="288" customWidth="1"/>
    <col min="7725" max="7725" width="11.42578125" style="288" customWidth="1"/>
    <col min="7726" max="7936" width="4.5703125" style="288"/>
    <col min="7937" max="7937" width="3.5703125" style="288" customWidth="1"/>
    <col min="7938" max="7956" width="4.5703125" style="288"/>
    <col min="7957" max="7957" width="7.5703125" style="288" customWidth="1"/>
    <col min="7958" max="7958" width="2.42578125" style="288" customWidth="1"/>
    <col min="7959" max="7977" width="4.5703125" style="288"/>
    <col min="7978" max="7978" width="10.5703125" style="288" customWidth="1"/>
    <col min="7979" max="7979" width="4.5703125" style="288"/>
    <col min="7980" max="7980" width="9.42578125" style="288" customWidth="1"/>
    <col min="7981" max="7981" width="11.42578125" style="288" customWidth="1"/>
    <col min="7982" max="8192" width="4.5703125" style="288"/>
    <col min="8193" max="8193" width="3.5703125" style="288" customWidth="1"/>
    <col min="8194" max="8212" width="4.5703125" style="288"/>
    <col min="8213" max="8213" width="7.5703125" style="288" customWidth="1"/>
    <col min="8214" max="8214" width="2.42578125" style="288" customWidth="1"/>
    <col min="8215" max="8233" width="4.5703125" style="288"/>
    <col min="8234" max="8234" width="10.5703125" style="288" customWidth="1"/>
    <col min="8235" max="8235" width="4.5703125" style="288"/>
    <col min="8236" max="8236" width="9.42578125" style="288" customWidth="1"/>
    <col min="8237" max="8237" width="11.42578125" style="288" customWidth="1"/>
    <col min="8238" max="8448" width="4.5703125" style="288"/>
    <col min="8449" max="8449" width="3.5703125" style="288" customWidth="1"/>
    <col min="8450" max="8468" width="4.5703125" style="288"/>
    <col min="8469" max="8469" width="7.5703125" style="288" customWidth="1"/>
    <col min="8470" max="8470" width="2.42578125" style="288" customWidth="1"/>
    <col min="8471" max="8489" width="4.5703125" style="288"/>
    <col min="8490" max="8490" width="10.5703125" style="288" customWidth="1"/>
    <col min="8491" max="8491" width="4.5703125" style="288"/>
    <col min="8492" max="8492" width="9.42578125" style="288" customWidth="1"/>
    <col min="8493" max="8493" width="11.42578125" style="288" customWidth="1"/>
    <col min="8494" max="8704" width="4.5703125" style="288"/>
    <col min="8705" max="8705" width="3.5703125" style="288" customWidth="1"/>
    <col min="8706" max="8724" width="4.5703125" style="288"/>
    <col min="8725" max="8725" width="7.5703125" style="288" customWidth="1"/>
    <col min="8726" max="8726" width="2.42578125" style="288" customWidth="1"/>
    <col min="8727" max="8745" width="4.5703125" style="288"/>
    <col min="8746" max="8746" width="10.5703125" style="288" customWidth="1"/>
    <col min="8747" max="8747" width="4.5703125" style="288"/>
    <col min="8748" max="8748" width="9.42578125" style="288" customWidth="1"/>
    <col min="8749" max="8749" width="11.42578125" style="288" customWidth="1"/>
    <col min="8750" max="8960" width="4.5703125" style="288"/>
    <col min="8961" max="8961" width="3.5703125" style="288" customWidth="1"/>
    <col min="8962" max="8980" width="4.5703125" style="288"/>
    <col min="8981" max="8981" width="7.5703125" style="288" customWidth="1"/>
    <col min="8982" max="8982" width="2.42578125" style="288" customWidth="1"/>
    <col min="8983" max="9001" width="4.5703125" style="288"/>
    <col min="9002" max="9002" width="10.5703125" style="288" customWidth="1"/>
    <col min="9003" max="9003" width="4.5703125" style="288"/>
    <col min="9004" max="9004" width="9.42578125" style="288" customWidth="1"/>
    <col min="9005" max="9005" width="11.42578125" style="288" customWidth="1"/>
    <col min="9006" max="9216" width="4.5703125" style="288"/>
    <col min="9217" max="9217" width="3.5703125" style="288" customWidth="1"/>
    <col min="9218" max="9236" width="4.5703125" style="288"/>
    <col min="9237" max="9237" width="7.5703125" style="288" customWidth="1"/>
    <col min="9238" max="9238" width="2.42578125" style="288" customWidth="1"/>
    <col min="9239" max="9257" width="4.5703125" style="288"/>
    <col min="9258" max="9258" width="10.5703125" style="288" customWidth="1"/>
    <col min="9259" max="9259" width="4.5703125" style="288"/>
    <col min="9260" max="9260" width="9.42578125" style="288" customWidth="1"/>
    <col min="9261" max="9261" width="11.42578125" style="288" customWidth="1"/>
    <col min="9262" max="9472" width="4.5703125" style="288"/>
    <col min="9473" max="9473" width="3.5703125" style="288" customWidth="1"/>
    <col min="9474" max="9492" width="4.5703125" style="288"/>
    <col min="9493" max="9493" width="7.5703125" style="288" customWidth="1"/>
    <col min="9494" max="9494" width="2.42578125" style="288" customWidth="1"/>
    <col min="9495" max="9513" width="4.5703125" style="288"/>
    <col min="9514" max="9514" width="10.5703125" style="288" customWidth="1"/>
    <col min="9515" max="9515" width="4.5703125" style="288"/>
    <col min="9516" max="9516" width="9.42578125" style="288" customWidth="1"/>
    <col min="9517" max="9517" width="11.42578125" style="288" customWidth="1"/>
    <col min="9518" max="9728" width="4.5703125" style="288"/>
    <col min="9729" max="9729" width="3.5703125" style="288" customWidth="1"/>
    <col min="9730" max="9748" width="4.5703125" style="288"/>
    <col min="9749" max="9749" width="7.5703125" style="288" customWidth="1"/>
    <col min="9750" max="9750" width="2.42578125" style="288" customWidth="1"/>
    <col min="9751" max="9769" width="4.5703125" style="288"/>
    <col min="9770" max="9770" width="10.5703125" style="288" customWidth="1"/>
    <col min="9771" max="9771" width="4.5703125" style="288"/>
    <col min="9772" max="9772" width="9.42578125" style="288" customWidth="1"/>
    <col min="9773" max="9773" width="11.42578125" style="288" customWidth="1"/>
    <col min="9774" max="9984" width="4.5703125" style="288"/>
    <col min="9985" max="9985" width="3.5703125" style="288" customWidth="1"/>
    <col min="9986" max="10004" width="4.5703125" style="288"/>
    <col min="10005" max="10005" width="7.5703125" style="288" customWidth="1"/>
    <col min="10006" max="10006" width="2.42578125" style="288" customWidth="1"/>
    <col min="10007" max="10025" width="4.5703125" style="288"/>
    <col min="10026" max="10026" width="10.5703125" style="288" customWidth="1"/>
    <col min="10027" max="10027" width="4.5703125" style="288"/>
    <col min="10028" max="10028" width="9.42578125" style="288" customWidth="1"/>
    <col min="10029" max="10029" width="11.42578125" style="288" customWidth="1"/>
    <col min="10030" max="10240" width="4.5703125" style="288"/>
    <col min="10241" max="10241" width="3.5703125" style="288" customWidth="1"/>
    <col min="10242" max="10260" width="4.5703125" style="288"/>
    <col min="10261" max="10261" width="7.5703125" style="288" customWidth="1"/>
    <col min="10262" max="10262" width="2.42578125" style="288" customWidth="1"/>
    <col min="10263" max="10281" width="4.5703125" style="288"/>
    <col min="10282" max="10282" width="10.5703125" style="288" customWidth="1"/>
    <col min="10283" max="10283" width="4.5703125" style="288"/>
    <col min="10284" max="10284" width="9.42578125" style="288" customWidth="1"/>
    <col min="10285" max="10285" width="11.42578125" style="288" customWidth="1"/>
    <col min="10286" max="10496" width="4.5703125" style="288"/>
    <col min="10497" max="10497" width="3.5703125" style="288" customWidth="1"/>
    <col min="10498" max="10516" width="4.5703125" style="288"/>
    <col min="10517" max="10517" width="7.5703125" style="288" customWidth="1"/>
    <col min="10518" max="10518" width="2.42578125" style="288" customWidth="1"/>
    <col min="10519" max="10537" width="4.5703125" style="288"/>
    <col min="10538" max="10538" width="10.5703125" style="288" customWidth="1"/>
    <col min="10539" max="10539" width="4.5703125" style="288"/>
    <col min="10540" max="10540" width="9.42578125" style="288" customWidth="1"/>
    <col min="10541" max="10541" width="11.42578125" style="288" customWidth="1"/>
    <col min="10542" max="10752" width="4.5703125" style="288"/>
    <col min="10753" max="10753" width="3.5703125" style="288" customWidth="1"/>
    <col min="10754" max="10772" width="4.5703125" style="288"/>
    <col min="10773" max="10773" width="7.5703125" style="288" customWidth="1"/>
    <col min="10774" max="10774" width="2.42578125" style="288" customWidth="1"/>
    <col min="10775" max="10793" width="4.5703125" style="288"/>
    <col min="10794" max="10794" width="10.5703125" style="288" customWidth="1"/>
    <col min="10795" max="10795" width="4.5703125" style="288"/>
    <col min="10796" max="10796" width="9.42578125" style="288" customWidth="1"/>
    <col min="10797" max="10797" width="11.42578125" style="288" customWidth="1"/>
    <col min="10798" max="11008" width="4.5703125" style="288"/>
    <col min="11009" max="11009" width="3.5703125" style="288" customWidth="1"/>
    <col min="11010" max="11028" width="4.5703125" style="288"/>
    <col min="11029" max="11029" width="7.5703125" style="288" customWidth="1"/>
    <col min="11030" max="11030" width="2.42578125" style="288" customWidth="1"/>
    <col min="11031" max="11049" width="4.5703125" style="288"/>
    <col min="11050" max="11050" width="10.5703125" style="288" customWidth="1"/>
    <col min="11051" max="11051" width="4.5703125" style="288"/>
    <col min="11052" max="11052" width="9.42578125" style="288" customWidth="1"/>
    <col min="11053" max="11053" width="11.42578125" style="288" customWidth="1"/>
    <col min="11054" max="11264" width="4.5703125" style="288"/>
    <col min="11265" max="11265" width="3.5703125" style="288" customWidth="1"/>
    <col min="11266" max="11284" width="4.5703125" style="288"/>
    <col min="11285" max="11285" width="7.5703125" style="288" customWidth="1"/>
    <col min="11286" max="11286" width="2.42578125" style="288" customWidth="1"/>
    <col min="11287" max="11305" width="4.5703125" style="288"/>
    <col min="11306" max="11306" width="10.5703125" style="288" customWidth="1"/>
    <col min="11307" max="11307" width="4.5703125" style="288"/>
    <col min="11308" max="11308" width="9.42578125" style="288" customWidth="1"/>
    <col min="11309" max="11309" width="11.42578125" style="288" customWidth="1"/>
    <col min="11310" max="11520" width="4.5703125" style="288"/>
    <col min="11521" max="11521" width="3.5703125" style="288" customWidth="1"/>
    <col min="11522" max="11540" width="4.5703125" style="288"/>
    <col min="11541" max="11541" width="7.5703125" style="288" customWidth="1"/>
    <col min="11542" max="11542" width="2.42578125" style="288" customWidth="1"/>
    <col min="11543" max="11561" width="4.5703125" style="288"/>
    <col min="11562" max="11562" width="10.5703125" style="288" customWidth="1"/>
    <col min="11563" max="11563" width="4.5703125" style="288"/>
    <col min="11564" max="11564" width="9.42578125" style="288" customWidth="1"/>
    <col min="11565" max="11565" width="11.42578125" style="288" customWidth="1"/>
    <col min="11566" max="11776" width="4.5703125" style="288"/>
    <col min="11777" max="11777" width="3.5703125" style="288" customWidth="1"/>
    <col min="11778" max="11796" width="4.5703125" style="288"/>
    <col min="11797" max="11797" width="7.5703125" style="288" customWidth="1"/>
    <col min="11798" max="11798" width="2.42578125" style="288" customWidth="1"/>
    <col min="11799" max="11817" width="4.5703125" style="288"/>
    <col min="11818" max="11818" width="10.5703125" style="288" customWidth="1"/>
    <col min="11819" max="11819" width="4.5703125" style="288"/>
    <col min="11820" max="11820" width="9.42578125" style="288" customWidth="1"/>
    <col min="11821" max="11821" width="11.42578125" style="288" customWidth="1"/>
    <col min="11822" max="12032" width="4.5703125" style="288"/>
    <col min="12033" max="12033" width="3.5703125" style="288" customWidth="1"/>
    <col min="12034" max="12052" width="4.5703125" style="288"/>
    <col min="12053" max="12053" width="7.5703125" style="288" customWidth="1"/>
    <col min="12054" max="12054" width="2.42578125" style="288" customWidth="1"/>
    <col min="12055" max="12073" width="4.5703125" style="288"/>
    <col min="12074" max="12074" width="10.5703125" style="288" customWidth="1"/>
    <col min="12075" max="12075" width="4.5703125" style="288"/>
    <col min="12076" max="12076" width="9.42578125" style="288" customWidth="1"/>
    <col min="12077" max="12077" width="11.42578125" style="288" customWidth="1"/>
    <col min="12078" max="12288" width="4.5703125" style="288"/>
    <col min="12289" max="12289" width="3.5703125" style="288" customWidth="1"/>
    <col min="12290" max="12308" width="4.5703125" style="288"/>
    <col min="12309" max="12309" width="7.5703125" style="288" customWidth="1"/>
    <col min="12310" max="12310" width="2.42578125" style="288" customWidth="1"/>
    <col min="12311" max="12329" width="4.5703125" style="288"/>
    <col min="12330" max="12330" width="10.5703125" style="288" customWidth="1"/>
    <col min="12331" max="12331" width="4.5703125" style="288"/>
    <col min="12332" max="12332" width="9.42578125" style="288" customWidth="1"/>
    <col min="12333" max="12333" width="11.42578125" style="288" customWidth="1"/>
    <col min="12334" max="12544" width="4.5703125" style="288"/>
    <col min="12545" max="12545" width="3.5703125" style="288" customWidth="1"/>
    <col min="12546" max="12564" width="4.5703125" style="288"/>
    <col min="12565" max="12565" width="7.5703125" style="288" customWidth="1"/>
    <col min="12566" max="12566" width="2.42578125" style="288" customWidth="1"/>
    <col min="12567" max="12585" width="4.5703125" style="288"/>
    <col min="12586" max="12586" width="10.5703125" style="288" customWidth="1"/>
    <col min="12587" max="12587" width="4.5703125" style="288"/>
    <col min="12588" max="12588" width="9.42578125" style="288" customWidth="1"/>
    <col min="12589" max="12589" width="11.42578125" style="288" customWidth="1"/>
    <col min="12590" max="12800" width="4.5703125" style="288"/>
    <col min="12801" max="12801" width="3.5703125" style="288" customWidth="1"/>
    <col min="12802" max="12820" width="4.5703125" style="288"/>
    <col min="12821" max="12821" width="7.5703125" style="288" customWidth="1"/>
    <col min="12822" max="12822" width="2.42578125" style="288" customWidth="1"/>
    <col min="12823" max="12841" width="4.5703125" style="288"/>
    <col min="12842" max="12842" width="10.5703125" style="288" customWidth="1"/>
    <col min="12843" max="12843" width="4.5703125" style="288"/>
    <col min="12844" max="12844" width="9.42578125" style="288" customWidth="1"/>
    <col min="12845" max="12845" width="11.42578125" style="288" customWidth="1"/>
    <col min="12846" max="13056" width="4.5703125" style="288"/>
    <col min="13057" max="13057" width="3.5703125" style="288" customWidth="1"/>
    <col min="13058" max="13076" width="4.5703125" style="288"/>
    <col min="13077" max="13077" width="7.5703125" style="288" customWidth="1"/>
    <col min="13078" max="13078" width="2.42578125" style="288" customWidth="1"/>
    <col min="13079" max="13097" width="4.5703125" style="288"/>
    <col min="13098" max="13098" width="10.5703125" style="288" customWidth="1"/>
    <col min="13099" max="13099" width="4.5703125" style="288"/>
    <col min="13100" max="13100" width="9.42578125" style="288" customWidth="1"/>
    <col min="13101" max="13101" width="11.42578125" style="288" customWidth="1"/>
    <col min="13102" max="13312" width="4.5703125" style="288"/>
    <col min="13313" max="13313" width="3.5703125" style="288" customWidth="1"/>
    <col min="13314" max="13332" width="4.5703125" style="288"/>
    <col min="13333" max="13333" width="7.5703125" style="288" customWidth="1"/>
    <col min="13334" max="13334" width="2.42578125" style="288" customWidth="1"/>
    <col min="13335" max="13353" width="4.5703125" style="288"/>
    <col min="13354" max="13354" width="10.5703125" style="288" customWidth="1"/>
    <col min="13355" max="13355" width="4.5703125" style="288"/>
    <col min="13356" max="13356" width="9.42578125" style="288" customWidth="1"/>
    <col min="13357" max="13357" width="11.42578125" style="288" customWidth="1"/>
    <col min="13358" max="13568" width="4.5703125" style="288"/>
    <col min="13569" max="13569" width="3.5703125" style="288" customWidth="1"/>
    <col min="13570" max="13588" width="4.5703125" style="288"/>
    <col min="13589" max="13589" width="7.5703125" style="288" customWidth="1"/>
    <col min="13590" max="13590" width="2.42578125" style="288" customWidth="1"/>
    <col min="13591" max="13609" width="4.5703125" style="288"/>
    <col min="13610" max="13610" width="10.5703125" style="288" customWidth="1"/>
    <col min="13611" max="13611" width="4.5703125" style="288"/>
    <col min="13612" max="13612" width="9.42578125" style="288" customWidth="1"/>
    <col min="13613" max="13613" width="11.42578125" style="288" customWidth="1"/>
    <col min="13614" max="13824" width="4.5703125" style="288"/>
    <col min="13825" max="13825" width="3.5703125" style="288" customWidth="1"/>
    <col min="13826" max="13844" width="4.5703125" style="288"/>
    <col min="13845" max="13845" width="7.5703125" style="288" customWidth="1"/>
    <col min="13846" max="13846" width="2.42578125" style="288" customWidth="1"/>
    <col min="13847" max="13865" width="4.5703125" style="288"/>
    <col min="13866" max="13866" width="10.5703125" style="288" customWidth="1"/>
    <col min="13867" max="13867" width="4.5703125" style="288"/>
    <col min="13868" max="13868" width="9.42578125" style="288" customWidth="1"/>
    <col min="13869" max="13869" width="11.42578125" style="288" customWidth="1"/>
    <col min="13870" max="14080" width="4.5703125" style="288"/>
    <col min="14081" max="14081" width="3.5703125" style="288" customWidth="1"/>
    <col min="14082" max="14100" width="4.5703125" style="288"/>
    <col min="14101" max="14101" width="7.5703125" style="288" customWidth="1"/>
    <col min="14102" max="14102" width="2.42578125" style="288" customWidth="1"/>
    <col min="14103" max="14121" width="4.5703125" style="288"/>
    <col min="14122" max="14122" width="10.5703125" style="288" customWidth="1"/>
    <col min="14123" max="14123" width="4.5703125" style="288"/>
    <col min="14124" max="14124" width="9.42578125" style="288" customWidth="1"/>
    <col min="14125" max="14125" width="11.42578125" style="288" customWidth="1"/>
    <col min="14126" max="14336" width="4.5703125" style="288"/>
    <col min="14337" max="14337" width="3.5703125" style="288" customWidth="1"/>
    <col min="14338" max="14356" width="4.5703125" style="288"/>
    <col min="14357" max="14357" width="7.5703125" style="288" customWidth="1"/>
    <col min="14358" max="14358" width="2.42578125" style="288" customWidth="1"/>
    <col min="14359" max="14377" width="4.5703125" style="288"/>
    <col min="14378" max="14378" width="10.5703125" style="288" customWidth="1"/>
    <col min="14379" max="14379" width="4.5703125" style="288"/>
    <col min="14380" max="14380" width="9.42578125" style="288" customWidth="1"/>
    <col min="14381" max="14381" width="11.42578125" style="288" customWidth="1"/>
    <col min="14382" max="14592" width="4.5703125" style="288"/>
    <col min="14593" max="14593" width="3.5703125" style="288" customWidth="1"/>
    <col min="14594" max="14612" width="4.5703125" style="288"/>
    <col min="14613" max="14613" width="7.5703125" style="288" customWidth="1"/>
    <col min="14614" max="14614" width="2.42578125" style="288" customWidth="1"/>
    <col min="14615" max="14633" width="4.5703125" style="288"/>
    <col min="14634" max="14634" width="10.5703125" style="288" customWidth="1"/>
    <col min="14635" max="14635" width="4.5703125" style="288"/>
    <col min="14636" max="14636" width="9.42578125" style="288" customWidth="1"/>
    <col min="14637" max="14637" width="11.42578125" style="288" customWidth="1"/>
    <col min="14638" max="14848" width="4.5703125" style="288"/>
    <col min="14849" max="14849" width="3.5703125" style="288" customWidth="1"/>
    <col min="14850" max="14868" width="4.5703125" style="288"/>
    <col min="14869" max="14869" width="7.5703125" style="288" customWidth="1"/>
    <col min="14870" max="14870" width="2.42578125" style="288" customWidth="1"/>
    <col min="14871" max="14889" width="4.5703125" style="288"/>
    <col min="14890" max="14890" width="10.5703125" style="288" customWidth="1"/>
    <col min="14891" max="14891" width="4.5703125" style="288"/>
    <col min="14892" max="14892" width="9.42578125" style="288" customWidth="1"/>
    <col min="14893" max="14893" width="11.42578125" style="288" customWidth="1"/>
    <col min="14894" max="15104" width="4.5703125" style="288"/>
    <col min="15105" max="15105" width="3.5703125" style="288" customWidth="1"/>
    <col min="15106" max="15124" width="4.5703125" style="288"/>
    <col min="15125" max="15125" width="7.5703125" style="288" customWidth="1"/>
    <col min="15126" max="15126" width="2.42578125" style="288" customWidth="1"/>
    <col min="15127" max="15145" width="4.5703125" style="288"/>
    <col min="15146" max="15146" width="10.5703125" style="288" customWidth="1"/>
    <col min="15147" max="15147" width="4.5703125" style="288"/>
    <col min="15148" max="15148" width="9.42578125" style="288" customWidth="1"/>
    <col min="15149" max="15149" width="11.42578125" style="288" customWidth="1"/>
    <col min="15150" max="15360" width="4.5703125" style="288"/>
    <col min="15361" max="15361" width="3.5703125" style="288" customWidth="1"/>
    <col min="15362" max="15380" width="4.5703125" style="288"/>
    <col min="15381" max="15381" width="7.5703125" style="288" customWidth="1"/>
    <col min="15382" max="15382" width="2.42578125" style="288" customWidth="1"/>
    <col min="15383" max="15401" width="4.5703125" style="288"/>
    <col min="15402" max="15402" width="10.5703125" style="288" customWidth="1"/>
    <col min="15403" max="15403" width="4.5703125" style="288"/>
    <col min="15404" max="15404" width="9.42578125" style="288" customWidth="1"/>
    <col min="15405" max="15405" width="11.42578125" style="288" customWidth="1"/>
    <col min="15406" max="15616" width="4.5703125" style="288"/>
    <col min="15617" max="15617" width="3.5703125" style="288" customWidth="1"/>
    <col min="15618" max="15636" width="4.5703125" style="288"/>
    <col min="15637" max="15637" width="7.5703125" style="288" customWidth="1"/>
    <col min="15638" max="15638" width="2.42578125" style="288" customWidth="1"/>
    <col min="15639" max="15657" width="4.5703125" style="288"/>
    <col min="15658" max="15658" width="10.5703125" style="288" customWidth="1"/>
    <col min="15659" max="15659" width="4.5703125" style="288"/>
    <col min="15660" max="15660" width="9.42578125" style="288" customWidth="1"/>
    <col min="15661" max="15661" width="11.42578125" style="288" customWidth="1"/>
    <col min="15662" max="15872" width="4.5703125" style="288"/>
    <col min="15873" max="15873" width="3.5703125" style="288" customWidth="1"/>
    <col min="15874" max="15892" width="4.5703125" style="288"/>
    <col min="15893" max="15893" width="7.5703125" style="288" customWidth="1"/>
    <col min="15894" max="15894" width="2.42578125" style="288" customWidth="1"/>
    <col min="15895" max="15913" width="4.5703125" style="288"/>
    <col min="15914" max="15914" width="10.5703125" style="288" customWidth="1"/>
    <col min="15915" max="15915" width="4.5703125" style="288"/>
    <col min="15916" max="15916" width="9.42578125" style="288" customWidth="1"/>
    <col min="15917" max="15917" width="11.42578125" style="288" customWidth="1"/>
    <col min="15918" max="16128" width="4.5703125" style="288"/>
    <col min="16129" max="16129" width="3.5703125" style="288" customWidth="1"/>
    <col min="16130" max="16148" width="4.5703125" style="288"/>
    <col min="16149" max="16149" width="7.5703125" style="288" customWidth="1"/>
    <col min="16150" max="16150" width="2.42578125" style="288" customWidth="1"/>
    <col min="16151" max="16169" width="4.5703125" style="288"/>
    <col min="16170" max="16170" width="10.5703125" style="288" customWidth="1"/>
    <col min="16171" max="16171" width="4.5703125" style="288"/>
    <col min="16172" max="16172" width="9.42578125" style="288" customWidth="1"/>
    <col min="16173" max="16173" width="11.42578125" style="288" customWidth="1"/>
    <col min="16174" max="16384" width="4.5703125" style="288"/>
  </cols>
  <sheetData>
    <row r="1" spans="1:40" ht="14.1" customHeight="1" x14ac:dyDescent="0.25">
      <c r="A1" s="511"/>
      <c r="B1" s="511"/>
      <c r="C1" s="511"/>
      <c r="D1" s="511"/>
      <c r="E1" s="511"/>
      <c r="F1" s="511"/>
      <c r="G1" s="511"/>
      <c r="H1" s="512"/>
      <c r="I1" s="513"/>
      <c r="J1" s="511"/>
      <c r="K1" s="514"/>
      <c r="L1" s="514"/>
      <c r="M1" s="514"/>
      <c r="N1" s="511"/>
      <c r="O1" s="511"/>
      <c r="P1" s="511"/>
      <c r="Q1" s="511"/>
      <c r="R1" s="511"/>
      <c r="S1" s="511"/>
    </row>
    <row r="2" spans="1:40" ht="45" customHeight="1" x14ac:dyDescent="0.2">
      <c r="A2" s="511"/>
      <c r="B2" s="1229" t="s">
        <v>1024</v>
      </c>
      <c r="C2" s="1229"/>
      <c r="D2" s="1229"/>
      <c r="E2" s="1229"/>
      <c r="F2" s="1229"/>
      <c r="G2" s="1229"/>
      <c r="H2" s="1229"/>
      <c r="I2" s="1229"/>
      <c r="J2" s="1229"/>
      <c r="K2" s="1229"/>
      <c r="L2" s="1229"/>
      <c r="M2" s="1229"/>
      <c r="N2" s="1229"/>
      <c r="O2" s="511"/>
      <c r="P2" s="511"/>
      <c r="Q2" s="511"/>
      <c r="R2" s="511"/>
      <c r="S2" s="511"/>
    </row>
    <row r="3" spans="1:40" ht="5.0999999999999996" customHeight="1" x14ac:dyDescent="0.2">
      <c r="A3" s="511"/>
      <c r="B3" s="515"/>
      <c r="C3" s="516"/>
      <c r="D3" s="517"/>
      <c r="E3" s="518"/>
      <c r="F3" s="516"/>
      <c r="G3" s="516"/>
      <c r="H3" s="516"/>
      <c r="I3" s="516"/>
      <c r="J3" s="519"/>
      <c r="K3" s="519"/>
      <c r="L3" s="519"/>
      <c r="M3" s="519"/>
      <c r="N3" s="519"/>
      <c r="O3" s="519"/>
      <c r="P3" s="519"/>
      <c r="Q3" s="519"/>
      <c r="R3" s="519"/>
      <c r="S3" s="520"/>
      <c r="X3" s="334"/>
      <c r="AJ3" s="288"/>
    </row>
    <row r="4" spans="1:40" x14ac:dyDescent="0.2">
      <c r="A4" s="511"/>
      <c r="B4" s="521"/>
      <c r="C4" s="522" t="s">
        <v>771</v>
      </c>
      <c r="D4" s="523"/>
      <c r="E4" s="524"/>
      <c r="F4" s="523"/>
      <c r="G4" s="523"/>
      <c r="H4" s="523"/>
      <c r="I4" s="523"/>
      <c r="J4" s="511"/>
      <c r="K4" s="511"/>
      <c r="L4" s="511"/>
      <c r="M4" s="511"/>
      <c r="N4" s="511"/>
      <c r="O4" s="511"/>
      <c r="P4" s="511"/>
      <c r="Q4" s="511"/>
      <c r="R4" s="511"/>
      <c r="S4" s="525"/>
      <c r="T4" s="306"/>
      <c r="AK4" s="306"/>
      <c r="AL4" s="306"/>
      <c r="AM4" s="306"/>
    </row>
    <row r="5" spans="1:40" ht="13.35" customHeight="1" x14ac:dyDescent="0.2">
      <c r="A5" s="511"/>
      <c r="B5" s="521"/>
      <c r="C5" s="526"/>
      <c r="D5" s="526"/>
      <c r="E5" s="527"/>
      <c r="F5" s="526"/>
      <c r="G5" s="526"/>
      <c r="H5" s="526"/>
      <c r="I5" s="526"/>
      <c r="J5" s="511"/>
      <c r="K5" s="511"/>
      <c r="L5" s="511"/>
      <c r="M5" s="511"/>
      <c r="N5" s="511"/>
      <c r="O5" s="511"/>
      <c r="P5" s="511"/>
      <c r="Q5" s="511"/>
      <c r="R5" s="511"/>
      <c r="S5" s="525"/>
      <c r="T5" s="317"/>
    </row>
    <row r="6" spans="1:40" x14ac:dyDescent="0.2">
      <c r="A6" s="511"/>
      <c r="B6" s="521"/>
      <c r="C6" s="526" t="s">
        <v>974</v>
      </c>
      <c r="D6" s="526"/>
      <c r="E6" s="1230" t="str">
        <f>IF(MAAnrede&lt;&gt;"",MAAnrede,"")</f>
        <v/>
      </c>
      <c r="F6" s="1230"/>
      <c r="G6" s="526"/>
      <c r="H6" s="526"/>
      <c r="I6" s="526"/>
      <c r="J6" s="511"/>
      <c r="K6" s="511"/>
      <c r="L6" s="511"/>
      <c r="M6" s="511"/>
      <c r="N6" s="511"/>
      <c r="O6" s="511"/>
      <c r="P6" s="511"/>
      <c r="Q6" s="511"/>
      <c r="R6" s="511"/>
      <c r="S6" s="525"/>
      <c r="W6" s="334"/>
      <c r="X6" s="334"/>
      <c r="AI6" s="288"/>
      <c r="AJ6" s="288"/>
      <c r="AM6" s="290"/>
      <c r="AN6" s="290"/>
    </row>
    <row r="7" spans="1:40" x14ac:dyDescent="0.2">
      <c r="A7" s="511"/>
      <c r="B7" s="521"/>
      <c r="C7" s="526"/>
      <c r="D7" s="526"/>
      <c r="E7" s="527"/>
      <c r="F7" s="526"/>
      <c r="G7" s="526"/>
      <c r="H7" s="526"/>
      <c r="I7" s="526"/>
      <c r="J7" s="511"/>
      <c r="K7" s="511"/>
      <c r="L7" s="511"/>
      <c r="M7" s="511"/>
      <c r="N7" s="511"/>
      <c r="O7" s="511"/>
      <c r="P7" s="511"/>
      <c r="Q7" s="511"/>
      <c r="R7" s="511"/>
      <c r="S7" s="525"/>
      <c r="W7" s="334"/>
      <c r="X7" s="334"/>
      <c r="AI7" s="288"/>
      <c r="AJ7" s="288"/>
      <c r="AM7" s="290"/>
      <c r="AN7" s="290"/>
    </row>
    <row r="8" spans="1:40" x14ac:dyDescent="0.2">
      <c r="A8" s="511"/>
      <c r="B8" s="521"/>
      <c r="C8" s="526" t="s">
        <v>757</v>
      </c>
      <c r="D8" s="526"/>
      <c r="E8" s="1230" t="str">
        <f>IF(MAName&lt;&gt;"",MAName,"")</f>
        <v/>
      </c>
      <c r="F8" s="1230"/>
      <c r="G8" s="1230"/>
      <c r="H8" s="1230"/>
      <c r="I8" s="1230"/>
      <c r="J8" s="1230"/>
      <c r="K8" s="511"/>
      <c r="L8" s="1247" t="s">
        <v>758</v>
      </c>
      <c r="M8" s="1247"/>
      <c r="N8" s="1247"/>
      <c r="O8" s="1230" t="str">
        <f>IF(MAVorname&lt;&gt;"",MAVorname,"")</f>
        <v/>
      </c>
      <c r="P8" s="1230"/>
      <c r="Q8" s="1230"/>
      <c r="R8" s="1230"/>
      <c r="S8" s="525"/>
      <c r="T8" s="311"/>
      <c r="U8" s="1155" t="s">
        <v>1040</v>
      </c>
      <c r="V8" s="1163"/>
      <c r="W8" s="1163"/>
      <c r="X8" s="1163"/>
      <c r="Y8" s="1163"/>
      <c r="Z8" s="1156"/>
      <c r="AK8" s="311"/>
      <c r="AL8" s="311"/>
      <c r="AM8" s="311"/>
    </row>
    <row r="9" spans="1:40" x14ac:dyDescent="0.2">
      <c r="A9" s="511"/>
      <c r="B9" s="521"/>
      <c r="C9" s="526"/>
      <c r="D9" s="526"/>
      <c r="E9" s="527"/>
      <c r="F9" s="526"/>
      <c r="G9" s="526"/>
      <c r="H9" s="526"/>
      <c r="I9" s="526"/>
      <c r="J9" s="511"/>
      <c r="K9" s="511"/>
      <c r="L9" s="511"/>
      <c r="M9" s="511"/>
      <c r="N9" s="511"/>
      <c r="O9" s="511"/>
      <c r="P9" s="511"/>
      <c r="Q9" s="511"/>
      <c r="R9" s="511"/>
      <c r="S9" s="525"/>
      <c r="T9" s="335"/>
      <c r="U9" s="1157"/>
      <c r="V9" s="1164"/>
      <c r="W9" s="1164"/>
      <c r="X9" s="1164"/>
      <c r="Y9" s="1164"/>
      <c r="Z9" s="1158"/>
    </row>
    <row r="10" spans="1:40" x14ac:dyDescent="0.2">
      <c r="A10" s="511"/>
      <c r="B10" s="521"/>
      <c r="C10" s="526" t="s">
        <v>971</v>
      </c>
      <c r="D10" s="511"/>
      <c r="E10" s="1230" t="str">
        <f>IF(MAPersID&lt;&gt;"",MAPersID,"")</f>
        <v/>
      </c>
      <c r="F10" s="1230"/>
      <c r="G10" s="1230"/>
      <c r="H10" s="1230"/>
      <c r="I10" s="1230"/>
      <c r="J10" s="1230"/>
      <c r="K10" s="511"/>
      <c r="L10" s="526" t="s">
        <v>764</v>
      </c>
      <c r="M10" s="511"/>
      <c r="N10" s="511"/>
      <c r="O10" s="1230" t="str">
        <f>IF(MAVertragsNr&lt;&gt;"",MAVertragsNr,"")</f>
        <v/>
      </c>
      <c r="P10" s="1230"/>
      <c r="Q10" s="1230"/>
      <c r="R10" s="1230"/>
      <c r="S10" s="525"/>
      <c r="Y10" s="288"/>
      <c r="Z10" s="288"/>
      <c r="AA10" s="288"/>
      <c r="AB10" s="288"/>
      <c r="AC10" s="288"/>
      <c r="AD10" s="288"/>
      <c r="AE10" s="288"/>
      <c r="AF10" s="288"/>
      <c r="AG10" s="288"/>
      <c r="AH10" s="288"/>
      <c r="AI10" s="288"/>
      <c r="AJ10" s="288"/>
    </row>
    <row r="11" spans="1:40" x14ac:dyDescent="0.2">
      <c r="A11" s="511"/>
      <c r="B11" s="521"/>
      <c r="C11" s="526"/>
      <c r="D11" s="526"/>
      <c r="E11" s="511"/>
      <c r="F11" s="526"/>
      <c r="G11" s="526"/>
      <c r="H11" s="526"/>
      <c r="I11" s="511"/>
      <c r="J11" s="511"/>
      <c r="K11" s="511"/>
      <c r="L11" s="526"/>
      <c r="M11" s="511"/>
      <c r="N11" s="511"/>
      <c r="O11" s="526"/>
      <c r="P11" s="526"/>
      <c r="Q11" s="526"/>
      <c r="R11" s="526"/>
      <c r="S11" s="525"/>
      <c r="Y11" s="288"/>
      <c r="Z11" s="288"/>
      <c r="AA11" s="288"/>
      <c r="AB11" s="288"/>
      <c r="AC11" s="288"/>
      <c r="AD11" s="288"/>
      <c r="AE11" s="288"/>
      <c r="AF11" s="288"/>
      <c r="AG11" s="288"/>
      <c r="AH11" s="288"/>
      <c r="AI11" s="288"/>
      <c r="AJ11" s="288"/>
    </row>
    <row r="12" spans="1:40" x14ac:dyDescent="0.2">
      <c r="A12" s="511"/>
      <c r="B12" s="521"/>
      <c r="C12" s="526" t="s">
        <v>761</v>
      </c>
      <c r="D12" s="526"/>
      <c r="E12" s="511"/>
      <c r="F12" s="1237">
        <f>MAGeburtsdatum</f>
        <v>0</v>
      </c>
      <c r="G12" s="1237"/>
      <c r="H12" s="1237"/>
      <c r="I12" s="511"/>
      <c r="J12" s="511"/>
      <c r="K12" s="511"/>
      <c r="L12" s="526" t="s">
        <v>1011</v>
      </c>
      <c r="M12" s="511"/>
      <c r="N12" s="511"/>
      <c r="O12" s="1238"/>
      <c r="P12" s="1238"/>
      <c r="Q12" s="1238"/>
      <c r="R12" s="1238"/>
      <c r="S12" s="525"/>
      <c r="Y12" s="288"/>
      <c r="Z12" s="288"/>
      <c r="AA12" s="288"/>
      <c r="AB12" s="288"/>
      <c r="AC12" s="288"/>
      <c r="AD12" s="288"/>
      <c r="AE12" s="288"/>
      <c r="AF12" s="288"/>
      <c r="AG12" s="288"/>
      <c r="AH12" s="288"/>
      <c r="AI12" s="288"/>
      <c r="AJ12" s="288"/>
    </row>
    <row r="13" spans="1:40" s="247" customFormat="1" x14ac:dyDescent="0.2">
      <c r="A13" s="46"/>
      <c r="B13" s="50"/>
      <c r="C13" s="97"/>
      <c r="D13" s="97"/>
      <c r="E13" s="97"/>
      <c r="F13" s="46"/>
      <c r="G13" s="46"/>
      <c r="H13" s="46"/>
      <c r="I13" s="46"/>
      <c r="J13" s="46"/>
      <c r="K13" s="46"/>
      <c r="L13" s="46"/>
      <c r="M13" s="46"/>
      <c r="N13" s="46"/>
      <c r="O13" s="46"/>
      <c r="P13" s="46"/>
      <c r="Q13" s="46"/>
      <c r="R13" s="46"/>
      <c r="S13" s="52"/>
      <c r="AL13" s="247" t="s">
        <v>755</v>
      </c>
      <c r="AM13" s="247" t="s">
        <v>765</v>
      </c>
      <c r="AN13" s="247" t="s">
        <v>1975</v>
      </c>
    </row>
    <row r="14" spans="1:40" s="247" customFormat="1" x14ac:dyDescent="0.2">
      <c r="A14" s="46"/>
      <c r="B14" s="50"/>
      <c r="C14" s="97" t="s">
        <v>1000</v>
      </c>
      <c r="D14" s="97"/>
      <c r="E14" s="46"/>
      <c r="F14" s="46"/>
      <c r="G14" s="1231"/>
      <c r="H14" s="1231"/>
      <c r="I14" s="1231"/>
      <c r="J14" s="1231"/>
      <c r="K14" s="1231"/>
      <c r="L14" s="1231"/>
      <c r="M14" s="1231"/>
      <c r="N14" s="1231"/>
      <c r="O14" s="1231"/>
      <c r="P14" s="1231"/>
      <c r="Q14" s="1231"/>
      <c r="R14" s="1231"/>
      <c r="S14" s="52"/>
      <c r="AL14" s="247" t="e">
        <f ca="1">IF(J26&lt;VLOOKUP(AM14,LohntabelleM!A4:B31,2,1),"C",INDEX(LohntabelleM!A3:AE3,MATCH(J26,OFFSET(LohntabelleM!A4:AE4,AM14-1,0))))</f>
        <v>#N/A</v>
      </c>
      <c r="AM14" s="247" t="str">
        <f>IFERROR(VLOOKUP("M"&amp;I20,'MU-Daten'!B:H,7,0),"")</f>
        <v/>
      </c>
      <c r="AN14" s="247" t="e">
        <f>IF(J26&lt;VLOOKUP(AM14,LohntabelleM!A4:B31,2,0),1,IF(J26=INDEX(LohntabelleM!A3:AE31,MATCH(AM14,LohntabelleM!A3:A31,0),MATCH(AL14,LohntabelleM!A3:AE3,0)),1,0))</f>
        <v>#N/A</v>
      </c>
    </row>
    <row r="15" spans="1:40" ht="8.1" customHeight="1" x14ac:dyDescent="0.2">
      <c r="A15" s="511"/>
      <c r="B15" s="528"/>
      <c r="C15" s="529"/>
      <c r="D15" s="529"/>
      <c r="E15" s="529"/>
      <c r="F15" s="529"/>
      <c r="G15" s="529"/>
      <c r="H15" s="529"/>
      <c r="I15" s="530"/>
      <c r="J15" s="531"/>
      <c r="K15" s="531"/>
      <c r="L15" s="531"/>
      <c r="M15" s="531"/>
      <c r="N15" s="531"/>
      <c r="O15" s="531"/>
      <c r="P15" s="531"/>
      <c r="Q15" s="531"/>
      <c r="R15" s="531"/>
      <c r="S15" s="532"/>
      <c r="T15" s="290"/>
    </row>
    <row r="16" spans="1:40" ht="6" customHeight="1" x14ac:dyDescent="0.2">
      <c r="A16" s="511"/>
      <c r="B16" s="550"/>
      <c r="C16" s="511"/>
      <c r="D16" s="511"/>
      <c r="E16" s="511"/>
      <c r="F16" s="511"/>
      <c r="G16" s="511"/>
      <c r="H16" s="511"/>
      <c r="I16" s="511"/>
      <c r="J16" s="511"/>
      <c r="K16" s="514"/>
      <c r="L16" s="514"/>
      <c r="M16" s="514"/>
      <c r="N16" s="511"/>
      <c r="O16" s="511"/>
      <c r="P16" s="511"/>
      <c r="Q16" s="511"/>
      <c r="R16" s="511"/>
      <c r="S16" s="511"/>
      <c r="U16" s="290"/>
      <c r="V16" s="290"/>
      <c r="X16" s="334"/>
      <c r="AJ16" s="288"/>
    </row>
    <row r="17" spans="1:36" ht="5.0999999999999996" customHeight="1" x14ac:dyDescent="0.2">
      <c r="A17" s="511"/>
      <c r="B17" s="533"/>
      <c r="C17" s="516"/>
      <c r="D17" s="516"/>
      <c r="E17" s="516"/>
      <c r="F17" s="516"/>
      <c r="G17" s="516"/>
      <c r="H17" s="516"/>
      <c r="I17" s="516"/>
      <c r="J17" s="516"/>
      <c r="K17" s="516"/>
      <c r="L17" s="516"/>
      <c r="M17" s="516"/>
      <c r="N17" s="516"/>
      <c r="O17" s="516"/>
      <c r="P17" s="516"/>
      <c r="Q17" s="516"/>
      <c r="R17" s="516"/>
      <c r="S17" s="534"/>
      <c r="T17" s="290"/>
      <c r="U17" s="290"/>
      <c r="V17" s="290"/>
      <c r="X17" s="334"/>
      <c r="AJ17" s="288"/>
    </row>
    <row r="18" spans="1:36" x14ac:dyDescent="0.2">
      <c r="A18" s="511"/>
      <c r="B18" s="535"/>
      <c r="C18" s="523" t="s">
        <v>1012</v>
      </c>
      <c r="D18" s="523"/>
      <c r="E18" s="523"/>
      <c r="F18" s="523"/>
      <c r="G18" s="523"/>
      <c r="H18" s="523"/>
      <c r="I18" s="1245"/>
      <c r="J18" s="1245"/>
      <c r="K18" s="523" t="s">
        <v>1013</v>
      </c>
      <c r="L18" s="1246" t="str">
        <f>IFERROR(IF(I18="","",VLOOKUP("M"&amp;I18,'MU-Daten'!B$1:K$65537,6,0)),"Keine gültige MU")</f>
        <v/>
      </c>
      <c r="M18" s="1246"/>
      <c r="N18" s="1246"/>
      <c r="O18" s="1246"/>
      <c r="P18" s="1246"/>
      <c r="Q18" s="1246"/>
      <c r="R18" s="1246"/>
      <c r="S18" s="536"/>
      <c r="T18" s="290"/>
      <c r="U18" s="311" t="s">
        <v>1028</v>
      </c>
      <c r="V18" s="306"/>
      <c r="Y18" s="306"/>
      <c r="Z18" s="306"/>
      <c r="AA18" s="306"/>
      <c r="AB18" s="306"/>
      <c r="AC18" s="306"/>
      <c r="AD18" s="306"/>
      <c r="AE18" s="306"/>
      <c r="AF18" s="306"/>
      <c r="AG18" s="306"/>
      <c r="AH18" s="306"/>
      <c r="AI18" s="306"/>
      <c r="AJ18" s="306"/>
    </row>
    <row r="19" spans="1:36" ht="16.5" customHeight="1" x14ac:dyDescent="0.2">
      <c r="A19" s="511"/>
      <c r="B19" s="535"/>
      <c r="C19" s="523"/>
      <c r="D19" s="523"/>
      <c r="E19" s="523"/>
      <c r="F19" s="523"/>
      <c r="G19" s="523"/>
      <c r="H19" s="523"/>
      <c r="I19" s="523"/>
      <c r="J19" s="523"/>
      <c r="K19" s="523"/>
      <c r="L19" s="523"/>
      <c r="M19" s="523"/>
      <c r="N19" s="523"/>
      <c r="O19" s="523"/>
      <c r="P19" s="523"/>
      <c r="Q19" s="523"/>
      <c r="R19" s="523"/>
      <c r="S19" s="536"/>
      <c r="T19" s="290"/>
      <c r="U19" s="1248" t="s">
        <v>1029</v>
      </c>
      <c r="V19" s="1248"/>
      <c r="W19" s="1248"/>
      <c r="X19" s="1248"/>
      <c r="Y19" s="1248"/>
      <c r="Z19" s="1248"/>
      <c r="AA19" s="1248"/>
      <c r="AB19" s="1248"/>
      <c r="AC19" s="1248"/>
      <c r="AD19" s="1248"/>
      <c r="AE19" s="1248"/>
      <c r="AF19" s="1248"/>
      <c r="AG19" s="1248"/>
      <c r="AH19" s="1248"/>
      <c r="AI19" s="1248"/>
      <c r="AJ19" s="1248"/>
    </row>
    <row r="20" spans="1:36" x14ac:dyDescent="0.2">
      <c r="A20" s="511"/>
      <c r="B20" s="535"/>
      <c r="C20" s="523" t="s">
        <v>1014</v>
      </c>
      <c r="D20" s="523"/>
      <c r="E20" s="523"/>
      <c r="F20" s="523"/>
      <c r="G20" s="523"/>
      <c r="H20" s="523"/>
      <c r="I20" s="1245"/>
      <c r="J20" s="1245"/>
      <c r="K20" s="523" t="s">
        <v>1013</v>
      </c>
      <c r="L20" s="1246" t="str">
        <f>IFERROR(IF(I20="","",VLOOKUP("M"&amp;I20,'MU-Daten'!B$1:K$65537,6,0)),"Keine gültige MU")</f>
        <v/>
      </c>
      <c r="M20" s="1246"/>
      <c r="N20" s="1246"/>
      <c r="O20" s="1246"/>
      <c r="P20" s="1246"/>
      <c r="Q20" s="1246"/>
      <c r="R20" s="1246"/>
      <c r="S20" s="536"/>
      <c r="T20" s="290"/>
      <c r="U20" s="1248"/>
      <c r="V20" s="1248"/>
      <c r="W20" s="1248"/>
      <c r="X20" s="1248"/>
      <c r="Y20" s="1248"/>
      <c r="Z20" s="1248"/>
      <c r="AA20" s="1248"/>
      <c r="AB20" s="1248"/>
      <c r="AC20" s="1248"/>
      <c r="AD20" s="1248"/>
      <c r="AE20" s="1248"/>
      <c r="AF20" s="1248"/>
      <c r="AG20" s="1248"/>
      <c r="AH20" s="1248"/>
      <c r="AI20" s="1248"/>
      <c r="AJ20" s="1248"/>
    </row>
    <row r="21" spans="1:36" x14ac:dyDescent="0.2">
      <c r="A21" s="511"/>
      <c r="B21" s="535"/>
      <c r="C21" s="523"/>
      <c r="D21" s="523"/>
      <c r="E21" s="523"/>
      <c r="F21" s="523"/>
      <c r="G21" s="523"/>
      <c r="H21" s="523"/>
      <c r="I21" s="523"/>
      <c r="J21" s="523"/>
      <c r="K21" s="523"/>
      <c r="L21" s="523"/>
      <c r="M21" s="523"/>
      <c r="N21" s="523"/>
      <c r="O21" s="523"/>
      <c r="P21" s="523"/>
      <c r="Q21" s="523"/>
      <c r="R21" s="523"/>
      <c r="S21" s="536"/>
      <c r="T21" s="290"/>
      <c r="U21" s="1248"/>
      <c r="V21" s="1248"/>
      <c r="W21" s="1248"/>
      <c r="X21" s="1248"/>
      <c r="Y21" s="1248"/>
      <c r="Z21" s="1248"/>
      <c r="AA21" s="1248"/>
      <c r="AB21" s="1248"/>
      <c r="AC21" s="1248"/>
      <c r="AD21" s="1248"/>
      <c r="AE21" s="1248"/>
      <c r="AF21" s="1248"/>
      <c r="AG21" s="1248"/>
      <c r="AH21" s="1248"/>
      <c r="AI21" s="1248"/>
      <c r="AJ21" s="1248"/>
    </row>
    <row r="22" spans="1:36" x14ac:dyDescent="0.2">
      <c r="A22" s="511"/>
      <c r="B22" s="535"/>
      <c r="C22" s="537" t="s">
        <v>1015</v>
      </c>
      <c r="D22" s="523"/>
      <c r="E22" s="523"/>
      <c r="F22" s="523"/>
      <c r="G22" s="523"/>
      <c r="H22" s="523"/>
      <c r="I22" s="523"/>
      <c r="J22" s="523"/>
      <c r="K22" s="523"/>
      <c r="L22" s="523"/>
      <c r="M22" s="523"/>
      <c r="N22" s="523"/>
      <c r="O22" s="523"/>
      <c r="P22" s="523"/>
      <c r="Q22" s="523"/>
      <c r="R22" s="523"/>
      <c r="S22" s="536"/>
      <c r="T22" s="290"/>
      <c r="U22" s="1248"/>
      <c r="V22" s="1248"/>
      <c r="W22" s="1248"/>
      <c r="X22" s="1248"/>
      <c r="Y22" s="1248"/>
      <c r="Z22" s="1248"/>
      <c r="AA22" s="1248"/>
      <c r="AB22" s="1248"/>
      <c r="AC22" s="1248"/>
      <c r="AD22" s="1248"/>
      <c r="AE22" s="1248"/>
      <c r="AF22" s="1248"/>
      <c r="AG22" s="1248"/>
      <c r="AH22" s="1248"/>
      <c r="AI22" s="1248"/>
      <c r="AJ22" s="1248"/>
    </row>
    <row r="23" spans="1:36" x14ac:dyDescent="0.2">
      <c r="A23" s="511"/>
      <c r="B23" s="535"/>
      <c r="C23" s="537"/>
      <c r="D23" s="523"/>
      <c r="E23" s="523"/>
      <c r="F23" s="523"/>
      <c r="G23" s="523"/>
      <c r="H23" s="523"/>
      <c r="I23" s="523"/>
      <c r="J23" s="523"/>
      <c r="K23" s="523"/>
      <c r="L23" s="523"/>
      <c r="M23" s="523"/>
      <c r="N23" s="523"/>
      <c r="O23" s="523"/>
      <c r="P23" s="523"/>
      <c r="Q23" s="523"/>
      <c r="R23" s="523"/>
      <c r="S23" s="536"/>
      <c r="T23" s="290"/>
      <c r="U23" s="1248"/>
      <c r="V23" s="1248"/>
      <c r="W23" s="1248"/>
      <c r="X23" s="1248"/>
      <c r="Y23" s="1248"/>
      <c r="Z23" s="1248"/>
      <c r="AA23" s="1248"/>
      <c r="AB23" s="1248"/>
      <c r="AC23" s="1248"/>
      <c r="AD23" s="1248"/>
      <c r="AE23" s="1248"/>
      <c r="AF23" s="1248"/>
      <c r="AG23" s="1248"/>
      <c r="AH23" s="1248"/>
      <c r="AI23" s="1248"/>
      <c r="AJ23" s="1248"/>
    </row>
    <row r="24" spans="1:36" x14ac:dyDescent="0.2">
      <c r="A24" s="511"/>
      <c r="B24" s="535"/>
      <c r="C24" s="1249" t="str">
        <f>IF(OR(I20="",I18=""),"",IF(VLOOKUP("M"&amp;I20,'MU-Daten'!B$1:K$65537,7,0) &lt; VLOOKUP("M"&amp;I18,'MU-Daten'!B$1:K$65537,7,0),"Lohnband besser als bisher","Lohnband schlechter oder gleich wie bisher"))</f>
        <v/>
      </c>
      <c r="D24" s="1249"/>
      <c r="E24" s="1249"/>
      <c r="F24" s="1249"/>
      <c r="G24" s="1249"/>
      <c r="H24" s="1249"/>
      <c r="I24" s="1249"/>
      <c r="J24" s="1249"/>
      <c r="K24" s="1249"/>
      <c r="L24" s="1249"/>
      <c r="M24" s="1249"/>
      <c r="N24" s="1249"/>
      <c r="O24" s="1249"/>
      <c r="P24" s="1249"/>
      <c r="Q24" s="1249"/>
      <c r="R24" s="1249"/>
      <c r="S24" s="536"/>
      <c r="T24" s="290"/>
      <c r="U24" s="1248"/>
      <c r="V24" s="1248"/>
      <c r="W24" s="1248"/>
      <c r="X24" s="1248"/>
      <c r="Y24" s="1248"/>
      <c r="Z24" s="1248"/>
      <c r="AA24" s="1248"/>
      <c r="AB24" s="1248"/>
      <c r="AC24" s="1248"/>
      <c r="AD24" s="1248"/>
      <c r="AE24" s="1248"/>
      <c r="AF24" s="1248"/>
      <c r="AG24" s="1248"/>
      <c r="AH24" s="1248"/>
      <c r="AI24" s="1248"/>
      <c r="AJ24" s="1248"/>
    </row>
    <row r="25" spans="1:36" x14ac:dyDescent="0.2">
      <c r="A25" s="511"/>
      <c r="B25" s="535"/>
      <c r="C25" s="523"/>
      <c r="D25" s="523"/>
      <c r="E25" s="523"/>
      <c r="F25" s="523"/>
      <c r="G25" s="523"/>
      <c r="H25" s="523"/>
      <c r="I25" s="523"/>
      <c r="J25" s="523"/>
      <c r="K25" s="523"/>
      <c r="L25" s="523"/>
      <c r="M25" s="523"/>
      <c r="N25" s="523"/>
      <c r="O25" s="523"/>
      <c r="P25" s="523"/>
      <c r="Q25" s="523"/>
      <c r="R25" s="523"/>
      <c r="S25" s="536"/>
      <c r="T25" s="290"/>
      <c r="U25" s="1248"/>
      <c r="V25" s="1248"/>
      <c r="W25" s="1248"/>
      <c r="X25" s="1248"/>
      <c r="Y25" s="1248"/>
      <c r="Z25" s="1248"/>
      <c r="AA25" s="1248"/>
      <c r="AB25" s="1248"/>
      <c r="AC25" s="1248"/>
      <c r="AD25" s="1248"/>
      <c r="AE25" s="1248"/>
      <c r="AF25" s="1248"/>
      <c r="AG25" s="1248"/>
      <c r="AH25" s="1248"/>
      <c r="AI25" s="1248"/>
      <c r="AJ25" s="1248"/>
    </row>
    <row r="26" spans="1:36" x14ac:dyDescent="0.2">
      <c r="A26" s="511"/>
      <c r="B26" s="535"/>
      <c r="C26" s="523" t="s">
        <v>1016</v>
      </c>
      <c r="D26" s="523"/>
      <c r="E26" s="523"/>
      <c r="F26" s="523"/>
      <c r="G26" s="523"/>
      <c r="H26" s="523"/>
      <c r="I26" s="523" t="s">
        <v>1017</v>
      </c>
      <c r="J26" s="1240"/>
      <c r="K26" s="1240"/>
      <c r="L26" s="511"/>
      <c r="M26" s="1250" t="str">
        <f>IF(J26="","",IF(J26&lt;VLOOKUP(VLOOKUP("M"&amp;I18,'MU-Daten'!B$1:K$65537,7,0),LohntabelleM!$A$4:$B$31,2,FALSE),"Lohn unterhalb Minimum Lohnband",IF(J26&gt;VLOOKUP(VLOOKUP("M"&amp;I18,'MU-Daten'!B$1:K$65537,7,0),LohntabelleM!$A$4:$AE$31,31,FALSE),"Lohn über Maximum Lohnband","Lohn innerhalb Lohnbandgrenzen")))</f>
        <v/>
      </c>
      <c r="N26" s="1250"/>
      <c r="O26" s="1250"/>
      <c r="P26" s="1250"/>
      <c r="Q26" s="1250"/>
      <c r="R26" s="1250"/>
      <c r="S26" s="551"/>
      <c r="T26" s="336"/>
      <c r="U26" s="311" t="s">
        <v>1030</v>
      </c>
      <c r="V26" s="334"/>
      <c r="W26" s="334"/>
      <c r="X26" s="334"/>
      <c r="AH26" s="288"/>
      <c r="AI26" s="288"/>
      <c r="AJ26" s="288"/>
    </row>
    <row r="27" spans="1:36" ht="12.75" customHeight="1" x14ac:dyDescent="0.2">
      <c r="A27" s="511"/>
      <c r="B27" s="535"/>
      <c r="C27" s="523"/>
      <c r="D27" s="523"/>
      <c r="E27" s="523"/>
      <c r="F27" s="523"/>
      <c r="G27" s="523"/>
      <c r="H27" s="523"/>
      <c r="I27" s="523"/>
      <c r="J27" s="523"/>
      <c r="K27" s="523"/>
      <c r="L27" s="511"/>
      <c r="M27" s="511"/>
      <c r="N27" s="511"/>
      <c r="O27" s="523"/>
      <c r="P27" s="523"/>
      <c r="Q27" s="523"/>
      <c r="R27" s="523"/>
      <c r="S27" s="536"/>
      <c r="T27" s="290"/>
      <c r="U27" s="1248" t="s">
        <v>1031</v>
      </c>
      <c r="V27" s="1248"/>
      <c r="W27" s="1248"/>
      <c r="X27" s="1248"/>
      <c r="Y27" s="1248"/>
      <c r="Z27" s="1248"/>
      <c r="AA27" s="1248"/>
      <c r="AB27" s="1248"/>
      <c r="AC27" s="1248"/>
      <c r="AD27" s="1248"/>
      <c r="AE27" s="1248"/>
      <c r="AF27" s="1248"/>
      <c r="AG27" s="1248"/>
      <c r="AH27" s="1248"/>
      <c r="AI27" s="1248"/>
      <c r="AJ27" s="1248"/>
    </row>
    <row r="28" spans="1:36" x14ac:dyDescent="0.2">
      <c r="A28" s="511"/>
      <c r="B28" s="535"/>
      <c r="C28" s="538" t="s">
        <v>1025</v>
      </c>
      <c r="D28" s="538"/>
      <c r="E28" s="538"/>
      <c r="F28" s="538"/>
      <c r="G28" s="538"/>
      <c r="H28" s="538"/>
      <c r="I28" s="538"/>
      <c r="J28" s="1251" t="str">
        <f ca="1">IF(I20="","",IF(J26="","",IF(C24="Lohnband besser als bisher",IF(J26&lt;VLOOKUP(VLOOKUP("M"&amp;I20,'MU-Daten'!B$1:K$65532,7,0),LohntabelleM!$A$4:$B$31,2,FALSE),"C",INDEX(LohntabelleM!$B$3:$AE$3,MATCH(J26,OFFSET(LohntabelleM!$B$4:$AE$4,VLOOKUP("M"&amp;I20,'MU-Daten'!B$1:K$65532,7,0)-1,-1)))),"")))</f>
        <v/>
      </c>
      <c r="K28" s="1251"/>
      <c r="L28" s="552"/>
      <c r="M28" s="538" t="s">
        <v>1017</v>
      </c>
      <c r="N28" s="1252" t="str">
        <f>IF(C24="Lohnband besser als bisher",IF(J28="","",ROUND(HLOOKUP(J28,LohntabelleM!$B$3:$AE$31,VLOOKUP("M"&amp;I20,'MU-Daten'!B$1:K$65537,7,0)+1,FALSE),2)),"")</f>
        <v/>
      </c>
      <c r="O28" s="1252"/>
      <c r="P28" s="538" t="str">
        <f ca="1">IF(J28="","","(im neuen Lohnband)")</f>
        <v/>
      </c>
      <c r="Q28" s="538"/>
      <c r="R28" s="538"/>
      <c r="S28" s="536"/>
      <c r="T28" s="290"/>
      <c r="U28" s="1248"/>
      <c r="V28" s="1248"/>
      <c r="W28" s="1248"/>
      <c r="X28" s="1248"/>
      <c r="Y28" s="1248"/>
      <c r="Z28" s="1248"/>
      <c r="AA28" s="1248"/>
      <c r="AB28" s="1248"/>
      <c r="AC28" s="1248"/>
      <c r="AD28" s="1248"/>
      <c r="AE28" s="1248"/>
      <c r="AF28" s="1248"/>
      <c r="AG28" s="1248"/>
      <c r="AH28" s="1248"/>
      <c r="AI28" s="1248"/>
      <c r="AJ28" s="1248"/>
    </row>
    <row r="29" spans="1:36" x14ac:dyDescent="0.2">
      <c r="A29" s="511"/>
      <c r="B29" s="535"/>
      <c r="C29" s="538" t="s">
        <v>1026</v>
      </c>
      <c r="D29" s="538"/>
      <c r="E29" s="538"/>
      <c r="F29" s="538"/>
      <c r="G29" s="538"/>
      <c r="H29" s="538"/>
      <c r="I29" s="538"/>
      <c r="J29" s="1253" t="str">
        <f>IF(J26="","",IF(C24="Lohnband besser als bisher",IF(J28="C","B",IF(J28="B","A",IF(J28="A",1,IF(J28=27,27,J28+1)))),""))</f>
        <v/>
      </c>
      <c r="K29" s="1253"/>
      <c r="L29" s="552"/>
      <c r="M29" s="538" t="s">
        <v>1017</v>
      </c>
      <c r="N29" s="1252" t="str">
        <f>IF(C24="Lohnband besser als bisher",IF(J29="","",ROUND(HLOOKUP(J29,LohntabelleM!$B$3:$Z$31,VLOOKUP("M"&amp;I20,'MU-Daten'!B$1:K$65537,7,0)+1,FALSE),2)),"")</f>
        <v/>
      </c>
      <c r="O29" s="1252"/>
      <c r="P29" s="538" t="str">
        <f>IF(J29="","","(im neuen Lohnband)")</f>
        <v/>
      </c>
      <c r="Q29" s="538"/>
      <c r="R29" s="538"/>
      <c r="S29" s="536"/>
      <c r="T29" s="290"/>
      <c r="U29" s="1248"/>
      <c r="V29" s="1248"/>
      <c r="W29" s="1248"/>
      <c r="X29" s="1248"/>
      <c r="Y29" s="1248"/>
      <c r="Z29" s="1248"/>
      <c r="AA29" s="1248"/>
      <c r="AB29" s="1248"/>
      <c r="AC29" s="1248"/>
      <c r="AD29" s="1248"/>
      <c r="AE29" s="1248"/>
      <c r="AF29" s="1248"/>
      <c r="AG29" s="1248"/>
      <c r="AH29" s="1248"/>
      <c r="AI29" s="1248"/>
      <c r="AJ29" s="1248"/>
    </row>
    <row r="30" spans="1:36" x14ac:dyDescent="0.2">
      <c r="A30" s="511"/>
      <c r="B30" s="535"/>
      <c r="C30" s="523"/>
      <c r="D30" s="523"/>
      <c r="E30" s="523"/>
      <c r="F30" s="523"/>
      <c r="G30" s="523"/>
      <c r="H30" s="523"/>
      <c r="I30" s="523"/>
      <c r="J30" s="523"/>
      <c r="K30" s="523"/>
      <c r="L30" s="523"/>
      <c r="M30" s="523"/>
      <c r="N30" s="523"/>
      <c r="O30" s="523"/>
      <c r="P30" s="523"/>
      <c r="Q30" s="523"/>
      <c r="R30" s="523"/>
      <c r="S30" s="536"/>
      <c r="T30" s="290"/>
      <c r="U30" s="1248"/>
      <c r="V30" s="1248"/>
      <c r="W30" s="1248"/>
      <c r="X30" s="1248"/>
      <c r="Y30" s="1248"/>
      <c r="Z30" s="1248"/>
      <c r="AA30" s="1248"/>
      <c r="AB30" s="1248"/>
      <c r="AC30" s="1248"/>
      <c r="AD30" s="1248"/>
      <c r="AE30" s="1248"/>
      <c r="AF30" s="1248"/>
      <c r="AG30" s="1248"/>
      <c r="AH30" s="1248"/>
      <c r="AI30" s="1248"/>
      <c r="AJ30" s="1248"/>
    </row>
    <row r="31" spans="1:36" x14ac:dyDescent="0.2">
      <c r="A31" s="511"/>
      <c r="B31" s="535"/>
      <c r="C31" s="522" t="s">
        <v>1021</v>
      </c>
      <c r="D31" s="523"/>
      <c r="E31" s="523"/>
      <c r="F31" s="523"/>
      <c r="G31" s="523"/>
      <c r="H31" s="523"/>
      <c r="I31" s="523"/>
      <c r="J31" s="523"/>
      <c r="K31" s="523"/>
      <c r="L31" s="523"/>
      <c r="M31" s="523"/>
      <c r="N31" s="523"/>
      <c r="O31" s="523"/>
      <c r="P31" s="523"/>
      <c r="Q31" s="511"/>
      <c r="R31" s="523"/>
      <c r="S31" s="536"/>
      <c r="T31" s="290"/>
      <c r="U31" s="1248"/>
      <c r="V31" s="1248"/>
      <c r="W31" s="1248"/>
      <c r="X31" s="1248"/>
      <c r="Y31" s="1248"/>
      <c r="Z31" s="1248"/>
      <c r="AA31" s="1248"/>
      <c r="AB31" s="1248"/>
      <c r="AC31" s="1248"/>
      <c r="AD31" s="1248"/>
      <c r="AE31" s="1248"/>
      <c r="AF31" s="1248"/>
      <c r="AG31" s="1248"/>
      <c r="AH31" s="1248"/>
      <c r="AI31" s="1248"/>
      <c r="AJ31" s="1248"/>
    </row>
    <row r="32" spans="1:36" x14ac:dyDescent="0.2">
      <c r="A32" s="511"/>
      <c r="B32" s="535"/>
      <c r="C32" s="522"/>
      <c r="D32" s="523"/>
      <c r="E32" s="523"/>
      <c r="F32" s="523"/>
      <c r="G32" s="523"/>
      <c r="H32" s="523"/>
      <c r="I32" s="523"/>
      <c r="J32" s="523"/>
      <c r="K32" s="523"/>
      <c r="L32" s="523"/>
      <c r="M32" s="523"/>
      <c r="N32" s="523"/>
      <c r="O32" s="523"/>
      <c r="P32" s="523"/>
      <c r="Q32" s="511"/>
      <c r="R32" s="523"/>
      <c r="S32" s="536"/>
      <c r="T32" s="290"/>
      <c r="U32" s="1248"/>
      <c r="V32" s="1248"/>
      <c r="W32" s="1248"/>
      <c r="X32" s="1248"/>
      <c r="Y32" s="1248"/>
      <c r="Z32" s="1248"/>
      <c r="AA32" s="1248"/>
      <c r="AB32" s="1248"/>
      <c r="AC32" s="1248"/>
      <c r="AD32" s="1248"/>
      <c r="AE32" s="1248"/>
      <c r="AF32" s="1248"/>
      <c r="AG32" s="1248"/>
      <c r="AH32" s="1248"/>
      <c r="AI32" s="1248"/>
      <c r="AJ32" s="1248"/>
    </row>
    <row r="33" spans="1:45" x14ac:dyDescent="0.2">
      <c r="A33" s="511"/>
      <c r="B33" s="535"/>
      <c r="C33" s="523" t="s">
        <v>1022</v>
      </c>
      <c r="D33" s="523"/>
      <c r="E33" s="523"/>
      <c r="F33" s="523"/>
      <c r="G33" s="523"/>
      <c r="H33" s="523"/>
      <c r="I33" s="523"/>
      <c r="J33" s="1232" t="str">
        <f>IFERROR(VLOOKUP("M"&amp;I20,'MU-Daten'!B:H,7,0),"")</f>
        <v/>
      </c>
      <c r="K33" s="1232"/>
      <c r="L33" s="523"/>
      <c r="M33" s="523"/>
      <c r="N33" s="523"/>
      <c r="O33" s="523"/>
      <c r="P33" s="523"/>
      <c r="Q33" s="511"/>
      <c r="R33" s="523"/>
      <c r="S33" s="536"/>
      <c r="T33" s="290"/>
    </row>
    <row r="34" spans="1:45" ht="13.35" customHeight="1" x14ac:dyDescent="0.2">
      <c r="A34" s="511"/>
      <c r="B34" s="535"/>
      <c r="C34" s="522"/>
      <c r="D34" s="523"/>
      <c r="E34" s="523"/>
      <c r="F34" s="523"/>
      <c r="G34" s="523"/>
      <c r="H34" s="523"/>
      <c r="I34" s="523"/>
      <c r="J34" s="523"/>
      <c r="K34" s="523"/>
      <c r="L34" s="523"/>
      <c r="M34" s="523"/>
      <c r="N34" s="523"/>
      <c r="O34" s="523"/>
      <c r="P34" s="523"/>
      <c r="Q34" s="523" t="s">
        <v>1023</v>
      </c>
      <c r="R34" s="523"/>
      <c r="S34" s="536"/>
      <c r="T34" s="290"/>
    </row>
    <row r="35" spans="1:45" x14ac:dyDescent="0.2">
      <c r="A35" s="511"/>
      <c r="B35" s="535"/>
      <c r="C35" s="523" t="s">
        <v>1027</v>
      </c>
      <c r="D35" s="523"/>
      <c r="E35" s="523"/>
      <c r="F35" s="523"/>
      <c r="G35" s="523"/>
      <c r="H35" s="523"/>
      <c r="I35" s="523"/>
      <c r="J35" s="1232" t="str">
        <f>IF(I20="","",J29)</f>
        <v/>
      </c>
      <c r="K35" s="1232"/>
      <c r="L35" s="523"/>
      <c r="M35" s="523" t="s">
        <v>1017</v>
      </c>
      <c r="N35" s="1233" t="str">
        <f>IF(C24 = "Lohnband besser als bisher",IF(J35="","",HLOOKUP(J35,LohntabelleM!$B$3:$Z$31,VLOOKUP("M"&amp;I20,'MU-Daten'!B$1:K$65537,7,0)+1,FALSE)),"")</f>
        <v/>
      </c>
      <c r="O35" s="1233"/>
      <c r="P35" s="523"/>
      <c r="Q35" s="1234" t="str">
        <f>IF(N35="","",IF(J26&gt;0,(N35-J26)/J26,"N/A"))</f>
        <v/>
      </c>
      <c r="R35" s="1234"/>
      <c r="S35" s="536"/>
      <c r="T35" s="290"/>
    </row>
    <row r="36" spans="1:45" ht="8.1" customHeight="1" x14ac:dyDescent="0.2">
      <c r="A36" s="511"/>
      <c r="B36" s="539"/>
      <c r="C36" s="540"/>
      <c r="D36" s="540"/>
      <c r="E36" s="540"/>
      <c r="F36" s="540"/>
      <c r="G36" s="540"/>
      <c r="H36" s="540"/>
      <c r="I36" s="540"/>
      <c r="J36" s="540"/>
      <c r="K36" s="540"/>
      <c r="L36" s="540"/>
      <c r="M36" s="540"/>
      <c r="N36" s="540"/>
      <c r="O36" s="540"/>
      <c r="P36" s="540"/>
      <c r="Q36" s="540"/>
      <c r="R36" s="540"/>
      <c r="S36" s="541"/>
      <c r="T36" s="290"/>
    </row>
    <row r="37" spans="1:45" ht="6" customHeight="1" x14ac:dyDescent="0.2">
      <c r="A37" s="511"/>
      <c r="B37" s="523"/>
      <c r="C37" s="523"/>
      <c r="D37" s="523"/>
      <c r="E37" s="523"/>
      <c r="F37" s="523"/>
      <c r="G37" s="523"/>
      <c r="H37" s="523"/>
      <c r="I37" s="523"/>
      <c r="J37" s="523"/>
      <c r="K37" s="523"/>
      <c r="L37" s="523"/>
      <c r="M37" s="523"/>
      <c r="N37" s="523"/>
      <c r="O37" s="523"/>
      <c r="P37" s="523"/>
      <c r="Q37" s="523"/>
      <c r="R37" s="523"/>
      <c r="S37" s="523"/>
      <c r="T37" s="290"/>
    </row>
    <row r="38" spans="1:45" ht="6" customHeight="1" x14ac:dyDescent="0.2">
      <c r="A38" s="511"/>
      <c r="B38" s="542"/>
      <c r="C38" s="48"/>
      <c r="D38" s="48"/>
      <c r="E38" s="48"/>
      <c r="F38" s="48"/>
      <c r="G38" s="48"/>
      <c r="H38" s="48"/>
      <c r="I38" s="48"/>
      <c r="J38" s="48"/>
      <c r="K38" s="48"/>
      <c r="L38" s="48"/>
      <c r="M38" s="48"/>
      <c r="N38" s="48"/>
      <c r="O38" s="48"/>
      <c r="P38" s="48"/>
      <c r="Q38" s="48"/>
      <c r="R38" s="48"/>
      <c r="S38" s="543"/>
      <c r="T38" s="290"/>
    </row>
    <row r="39" spans="1:45" x14ac:dyDescent="0.2">
      <c r="A39" s="511"/>
      <c r="B39" s="544"/>
      <c r="C39" s="94" t="s">
        <v>985</v>
      </c>
      <c r="D39" s="96"/>
      <c r="E39" s="96"/>
      <c r="F39" s="96"/>
      <c r="G39" s="96"/>
      <c r="H39" s="96"/>
      <c r="I39" s="96"/>
      <c r="J39" s="96"/>
      <c r="K39" s="96"/>
      <c r="L39" s="96"/>
      <c r="M39" s="96"/>
      <c r="N39" s="96"/>
      <c r="O39" s="96"/>
      <c r="P39" s="96"/>
      <c r="Q39" s="96"/>
      <c r="R39" s="96"/>
      <c r="S39" s="545"/>
    </row>
    <row r="40" spans="1:45" ht="6" customHeight="1" x14ac:dyDescent="0.2">
      <c r="A40" s="511"/>
      <c r="B40" s="544"/>
      <c r="C40" s="96"/>
      <c r="D40" s="96"/>
      <c r="E40" s="96"/>
      <c r="F40" s="96"/>
      <c r="G40" s="96"/>
      <c r="H40" s="96"/>
      <c r="I40" s="96"/>
      <c r="J40" s="96"/>
      <c r="K40" s="96"/>
      <c r="L40" s="96"/>
      <c r="M40" s="96"/>
      <c r="N40" s="96"/>
      <c r="O40" s="96"/>
      <c r="P40" s="96"/>
      <c r="Q40" s="96"/>
      <c r="R40" s="96"/>
      <c r="S40" s="545"/>
    </row>
    <row r="41" spans="1:45" x14ac:dyDescent="0.2">
      <c r="A41" s="511"/>
      <c r="B41" s="544"/>
      <c r="C41" s="1225"/>
      <c r="D41" s="1244"/>
      <c r="E41" s="1244"/>
      <c r="F41" s="1244"/>
      <c r="G41" s="1244"/>
      <c r="H41" s="1244"/>
      <c r="I41" s="1244"/>
      <c r="J41" s="1244"/>
      <c r="K41" s="1244"/>
      <c r="L41" s="1244"/>
      <c r="M41" s="1244"/>
      <c r="N41" s="1244"/>
      <c r="O41" s="1244"/>
      <c r="P41" s="1244"/>
      <c r="Q41" s="1244"/>
      <c r="R41" s="1244"/>
      <c r="S41" s="545"/>
    </row>
    <row r="42" spans="1:45" x14ac:dyDescent="0.2">
      <c r="A42" s="511"/>
      <c r="B42" s="544"/>
      <c r="C42" s="1225"/>
      <c r="D42" s="1244"/>
      <c r="E42" s="1244"/>
      <c r="F42" s="1244"/>
      <c r="G42" s="1244"/>
      <c r="H42" s="1244"/>
      <c r="I42" s="1244"/>
      <c r="J42" s="1244"/>
      <c r="K42" s="1244"/>
      <c r="L42" s="1244"/>
      <c r="M42" s="1244"/>
      <c r="N42" s="1244"/>
      <c r="O42" s="1244"/>
      <c r="P42" s="1244"/>
      <c r="Q42" s="1244"/>
      <c r="R42" s="1244"/>
      <c r="S42" s="545"/>
    </row>
    <row r="43" spans="1:45" x14ac:dyDescent="0.2">
      <c r="A43" s="511"/>
      <c r="B43" s="544"/>
      <c r="C43" s="1225"/>
      <c r="D43" s="1244"/>
      <c r="E43" s="1244"/>
      <c r="F43" s="1244"/>
      <c r="G43" s="1244"/>
      <c r="H43" s="1244"/>
      <c r="I43" s="1244"/>
      <c r="J43" s="1244"/>
      <c r="K43" s="1244"/>
      <c r="L43" s="1244"/>
      <c r="M43" s="1244"/>
      <c r="N43" s="1244"/>
      <c r="O43" s="1244"/>
      <c r="P43" s="1244"/>
      <c r="Q43" s="1244"/>
      <c r="R43" s="1244"/>
      <c r="S43" s="545"/>
    </row>
    <row r="44" spans="1:45" ht="7.9" customHeight="1" x14ac:dyDescent="0.2">
      <c r="A44" s="511"/>
      <c r="B44" s="546"/>
      <c r="C44" s="547"/>
      <c r="D44" s="547"/>
      <c r="E44" s="547"/>
      <c r="F44" s="547"/>
      <c r="G44" s="547"/>
      <c r="H44" s="547"/>
      <c r="I44" s="547"/>
      <c r="J44" s="547"/>
      <c r="K44" s="547"/>
      <c r="L44" s="547"/>
      <c r="M44" s="547"/>
      <c r="N44" s="547"/>
      <c r="O44" s="547"/>
      <c r="P44" s="547"/>
      <c r="Q44" s="547"/>
      <c r="R44" s="547"/>
      <c r="S44" s="548"/>
    </row>
    <row r="45" spans="1:45" ht="6" customHeight="1" x14ac:dyDescent="0.2">
      <c r="A45" s="511"/>
      <c r="B45" s="96"/>
      <c r="C45" s="96"/>
      <c r="D45" s="96"/>
      <c r="E45" s="96"/>
      <c r="F45" s="96"/>
      <c r="G45" s="96"/>
      <c r="H45" s="96"/>
      <c r="I45" s="96"/>
      <c r="J45" s="96"/>
      <c r="K45" s="96"/>
      <c r="L45" s="96"/>
      <c r="M45" s="96"/>
      <c r="N45" s="96"/>
      <c r="O45" s="96"/>
      <c r="P45" s="96"/>
      <c r="Q45" s="96"/>
      <c r="R45" s="96"/>
      <c r="S45" s="549"/>
    </row>
    <row r="46" spans="1:45" ht="6" customHeight="1" x14ac:dyDescent="0.2">
      <c r="A46" s="511"/>
      <c r="B46" s="542"/>
      <c r="C46" s="48"/>
      <c r="D46" s="48"/>
      <c r="E46" s="48"/>
      <c r="F46" s="48"/>
      <c r="G46" s="48"/>
      <c r="H46" s="48"/>
      <c r="I46" s="48"/>
      <c r="J46" s="48"/>
      <c r="K46" s="48"/>
      <c r="L46" s="48"/>
      <c r="M46" s="48"/>
      <c r="N46" s="48"/>
      <c r="O46" s="48"/>
      <c r="P46" s="48"/>
      <c r="Q46" s="48"/>
      <c r="R46" s="48"/>
      <c r="S46" s="543"/>
    </row>
    <row r="47" spans="1:45" x14ac:dyDescent="0.2">
      <c r="A47" s="511"/>
      <c r="B47" s="544"/>
      <c r="C47" s="94" t="s">
        <v>1076</v>
      </c>
      <c r="D47" s="96"/>
      <c r="E47" s="96"/>
      <c r="F47" s="96"/>
      <c r="G47" s="96"/>
      <c r="H47" s="96"/>
      <c r="I47" s="96"/>
      <c r="J47" s="96"/>
      <c r="K47" s="96"/>
      <c r="L47" s="96"/>
      <c r="M47" s="96"/>
      <c r="N47" s="96"/>
      <c r="O47" s="96"/>
      <c r="P47" s="96"/>
      <c r="Q47" s="96"/>
      <c r="R47" s="96"/>
      <c r="S47" s="545"/>
      <c r="AQ47" s="337"/>
      <c r="AR47" s="337"/>
      <c r="AS47" s="337"/>
    </row>
    <row r="48" spans="1:45" ht="6" customHeight="1" x14ac:dyDescent="0.2">
      <c r="A48" s="511"/>
      <c r="B48" s="544"/>
      <c r="C48" s="96"/>
      <c r="D48" s="96"/>
      <c r="E48" s="96"/>
      <c r="F48" s="96"/>
      <c r="G48" s="96"/>
      <c r="H48" s="96"/>
      <c r="I48" s="96"/>
      <c r="J48" s="96"/>
      <c r="K48" s="96"/>
      <c r="L48" s="96"/>
      <c r="M48" s="96"/>
      <c r="N48" s="96"/>
      <c r="O48" s="96"/>
      <c r="P48" s="96"/>
      <c r="Q48" s="96"/>
      <c r="R48" s="96"/>
      <c r="S48" s="545"/>
      <c r="AQ48" s="337"/>
      <c r="AR48" s="337"/>
      <c r="AS48" s="337"/>
    </row>
    <row r="49" spans="1:45" x14ac:dyDescent="0.2">
      <c r="A49" s="511"/>
      <c r="B49" s="544"/>
      <c r="C49" s="1225"/>
      <c r="D49" s="1244"/>
      <c r="E49" s="1244"/>
      <c r="F49" s="1244"/>
      <c r="G49" s="1244"/>
      <c r="H49" s="1244"/>
      <c r="I49" s="1244"/>
      <c r="J49" s="1244"/>
      <c r="K49" s="1244"/>
      <c r="L49" s="1244"/>
      <c r="M49" s="1244"/>
      <c r="N49" s="1244"/>
      <c r="O49" s="1244"/>
      <c r="P49" s="1244"/>
      <c r="Q49" s="1244"/>
      <c r="R49" s="1244"/>
      <c r="S49" s="545"/>
      <c r="AQ49" s="337"/>
      <c r="AR49" s="337"/>
      <c r="AS49" s="337"/>
    </row>
    <row r="50" spans="1:45" x14ac:dyDescent="0.2">
      <c r="A50" s="511"/>
      <c r="B50" s="544"/>
      <c r="C50" s="1225"/>
      <c r="D50" s="1244"/>
      <c r="E50" s="1244"/>
      <c r="F50" s="1244"/>
      <c r="G50" s="1244"/>
      <c r="H50" s="1244"/>
      <c r="I50" s="1244"/>
      <c r="J50" s="1244"/>
      <c r="K50" s="1244"/>
      <c r="L50" s="1244"/>
      <c r="M50" s="1244"/>
      <c r="N50" s="1244"/>
      <c r="O50" s="1244"/>
      <c r="P50" s="1244"/>
      <c r="Q50" s="1244"/>
      <c r="R50" s="1244"/>
      <c r="S50" s="545"/>
    </row>
    <row r="51" spans="1:45" x14ac:dyDescent="0.2">
      <c r="A51" s="511"/>
      <c r="B51" s="544"/>
      <c r="C51" s="1225"/>
      <c r="D51" s="1244"/>
      <c r="E51" s="1244"/>
      <c r="F51" s="1244"/>
      <c r="G51" s="1244"/>
      <c r="H51" s="1244"/>
      <c r="I51" s="1244"/>
      <c r="J51" s="1244"/>
      <c r="K51" s="1244"/>
      <c r="L51" s="1244"/>
      <c r="M51" s="1244"/>
      <c r="N51" s="1244"/>
      <c r="O51" s="1244"/>
      <c r="P51" s="1244"/>
      <c r="Q51" s="1244"/>
      <c r="R51" s="1244"/>
      <c r="S51" s="545"/>
    </row>
    <row r="52" spans="1:45" ht="7.9" customHeight="1" x14ac:dyDescent="0.2">
      <c r="A52" s="511"/>
      <c r="B52" s="546"/>
      <c r="C52" s="547"/>
      <c r="D52" s="547"/>
      <c r="E52" s="547"/>
      <c r="F52" s="547"/>
      <c r="G52" s="547"/>
      <c r="H52" s="547"/>
      <c r="I52" s="547"/>
      <c r="J52" s="547"/>
      <c r="K52" s="547"/>
      <c r="L52" s="547"/>
      <c r="M52" s="547"/>
      <c r="N52" s="547"/>
      <c r="O52" s="547"/>
      <c r="P52" s="547"/>
      <c r="Q52" s="547"/>
      <c r="R52" s="547"/>
      <c r="S52" s="548"/>
    </row>
    <row r="54" spans="1:45" x14ac:dyDescent="0.2">
      <c r="AQ54" s="474" t="s">
        <v>1032</v>
      </c>
      <c r="AR54" s="475"/>
      <c r="AS54" s="476" t="s">
        <v>1033</v>
      </c>
    </row>
    <row r="55" spans="1:45" x14ac:dyDescent="0.2">
      <c r="AQ55" s="477"/>
      <c r="AR55" s="477"/>
      <c r="AS55" s="477"/>
    </row>
    <row r="56" spans="1:45" x14ac:dyDescent="0.2">
      <c r="AQ56" s="477"/>
      <c r="AR56" s="477"/>
      <c r="AS56" s="477"/>
    </row>
    <row r="57" spans="1:45" x14ac:dyDescent="0.2">
      <c r="AQ57" s="478">
        <v>1</v>
      </c>
      <c r="AR57" s="478"/>
      <c r="AS57" s="479">
        <v>2</v>
      </c>
    </row>
    <row r="58" spans="1:45" x14ac:dyDescent="0.2">
      <c r="AQ58" s="478">
        <v>2</v>
      </c>
      <c r="AR58" s="478"/>
      <c r="AS58" s="479">
        <v>3</v>
      </c>
    </row>
    <row r="59" spans="1:45" x14ac:dyDescent="0.2">
      <c r="AQ59" s="478">
        <v>3</v>
      </c>
      <c r="AR59" s="478"/>
      <c r="AS59" s="479">
        <v>4</v>
      </c>
    </row>
    <row r="60" spans="1:45" x14ac:dyDescent="0.2">
      <c r="AQ60" s="478">
        <v>4</v>
      </c>
      <c r="AR60" s="478"/>
      <c r="AS60" s="479">
        <v>5</v>
      </c>
    </row>
    <row r="61" spans="1:45" x14ac:dyDescent="0.2">
      <c r="AQ61" s="478">
        <v>5</v>
      </c>
      <c r="AR61" s="478"/>
      <c r="AS61" s="479">
        <v>6</v>
      </c>
    </row>
    <row r="62" spans="1:45" x14ac:dyDescent="0.2">
      <c r="AQ62" s="478">
        <v>6</v>
      </c>
      <c r="AR62" s="478"/>
      <c r="AS62" s="479">
        <v>7</v>
      </c>
    </row>
    <row r="63" spans="1:45" x14ac:dyDescent="0.2">
      <c r="AQ63" s="478">
        <v>7</v>
      </c>
      <c r="AR63" s="478"/>
      <c r="AS63" s="479">
        <v>8</v>
      </c>
    </row>
    <row r="64" spans="1:45" x14ac:dyDescent="0.2">
      <c r="AQ64" s="478">
        <v>8</v>
      </c>
      <c r="AR64" s="478"/>
      <c r="AS64" s="479">
        <v>9</v>
      </c>
    </row>
    <row r="65" spans="43:45" x14ac:dyDescent="0.2">
      <c r="AQ65" s="478">
        <v>9</v>
      </c>
      <c r="AR65" s="478"/>
      <c r="AS65" s="479">
        <v>10</v>
      </c>
    </row>
    <row r="66" spans="43:45" x14ac:dyDescent="0.2">
      <c r="AQ66" s="478">
        <v>10</v>
      </c>
      <c r="AR66" s="478"/>
      <c r="AS66" s="479">
        <v>11</v>
      </c>
    </row>
    <row r="67" spans="43:45" x14ac:dyDescent="0.2">
      <c r="AQ67" s="478">
        <v>11</v>
      </c>
      <c r="AR67" s="478"/>
      <c r="AS67" s="479">
        <v>12</v>
      </c>
    </row>
    <row r="68" spans="43:45" x14ac:dyDescent="0.2">
      <c r="AQ68" s="478">
        <v>12</v>
      </c>
      <c r="AR68" s="478"/>
      <c r="AS68" s="479">
        <v>13</v>
      </c>
    </row>
    <row r="69" spans="43:45" x14ac:dyDescent="0.2">
      <c r="AQ69" s="478">
        <v>13</v>
      </c>
      <c r="AR69" s="478"/>
      <c r="AS69" s="479">
        <v>14</v>
      </c>
    </row>
    <row r="70" spans="43:45" x14ac:dyDescent="0.2">
      <c r="AQ70" s="478">
        <v>14</v>
      </c>
      <c r="AR70" s="478"/>
      <c r="AS70" s="479">
        <v>15</v>
      </c>
    </row>
    <row r="71" spans="43:45" x14ac:dyDescent="0.2">
      <c r="AQ71" s="478">
        <v>15</v>
      </c>
      <c r="AR71" s="478"/>
      <c r="AS71" s="479">
        <v>16</v>
      </c>
    </row>
    <row r="72" spans="43:45" x14ac:dyDescent="0.2">
      <c r="AQ72" s="478">
        <v>16</v>
      </c>
      <c r="AR72" s="478"/>
      <c r="AS72" s="479">
        <v>17</v>
      </c>
    </row>
    <row r="73" spans="43:45" x14ac:dyDescent="0.2">
      <c r="AQ73" s="478">
        <v>17</v>
      </c>
      <c r="AR73" s="478"/>
      <c r="AS73" s="479">
        <v>18</v>
      </c>
    </row>
    <row r="74" spans="43:45" x14ac:dyDescent="0.2">
      <c r="AQ74" s="478">
        <v>18</v>
      </c>
      <c r="AR74" s="478"/>
      <c r="AS74" s="479">
        <v>19</v>
      </c>
    </row>
    <row r="75" spans="43:45" x14ac:dyDescent="0.2">
      <c r="AQ75" s="478">
        <v>19</v>
      </c>
      <c r="AR75" s="478"/>
      <c r="AS75" s="479">
        <v>20</v>
      </c>
    </row>
    <row r="76" spans="43:45" x14ac:dyDescent="0.2">
      <c r="AQ76" s="478">
        <v>20</v>
      </c>
      <c r="AR76" s="478"/>
      <c r="AS76" s="479">
        <v>21</v>
      </c>
    </row>
    <row r="77" spans="43:45" x14ac:dyDescent="0.2">
      <c r="AQ77" s="478">
        <v>21</v>
      </c>
      <c r="AR77" s="478"/>
      <c r="AS77" s="479">
        <v>22</v>
      </c>
    </row>
    <row r="78" spans="43:45" x14ac:dyDescent="0.2">
      <c r="AQ78" s="478">
        <v>22</v>
      </c>
      <c r="AR78" s="478"/>
      <c r="AS78" s="479">
        <v>23</v>
      </c>
    </row>
    <row r="79" spans="43:45" x14ac:dyDescent="0.2">
      <c r="AQ79" s="478">
        <v>23</v>
      </c>
      <c r="AR79" s="478"/>
      <c r="AS79" s="479">
        <v>24</v>
      </c>
    </row>
    <row r="80" spans="43:45" x14ac:dyDescent="0.2">
      <c r="AQ80" s="478">
        <v>24</v>
      </c>
      <c r="AR80" s="478"/>
      <c r="AS80" s="479">
        <v>25</v>
      </c>
    </row>
    <row r="81" spans="43:45" x14ac:dyDescent="0.2">
      <c r="AQ81" s="478">
        <v>25</v>
      </c>
      <c r="AR81" s="478"/>
      <c r="AS81" s="479">
        <v>26</v>
      </c>
    </row>
    <row r="82" spans="43:45" x14ac:dyDescent="0.2">
      <c r="AQ82" s="478">
        <v>26</v>
      </c>
      <c r="AR82" s="478"/>
      <c r="AS82" s="479">
        <v>27</v>
      </c>
    </row>
    <row r="83" spans="43:45" x14ac:dyDescent="0.2">
      <c r="AQ83" s="478">
        <v>27</v>
      </c>
      <c r="AR83" s="478"/>
      <c r="AS83" s="479">
        <v>27</v>
      </c>
    </row>
    <row r="84" spans="43:45" x14ac:dyDescent="0.2">
      <c r="AQ84" s="478" t="s">
        <v>590</v>
      </c>
      <c r="AR84" s="478"/>
      <c r="AS84" s="479">
        <v>1</v>
      </c>
    </row>
    <row r="85" spans="43:45" x14ac:dyDescent="0.2">
      <c r="AQ85" s="478" t="s">
        <v>589</v>
      </c>
      <c r="AR85" s="478"/>
      <c r="AS85" s="479" t="s">
        <v>590</v>
      </c>
    </row>
    <row r="86" spans="43:45" x14ac:dyDescent="0.2">
      <c r="AQ86" s="478" t="s">
        <v>588</v>
      </c>
      <c r="AR86" s="478"/>
      <c r="AS86" s="479" t="s">
        <v>589</v>
      </c>
    </row>
  </sheetData>
  <sheetProtection algorithmName="SHA-512" hashValue="zZNGssrH/IMw1jKa1g9hr7ZrhiFW87KUKnlPUcS1zkJliJLAM4Ge4G2txyKebWttmQxzzCd/fNu3+hqvVoXsfg==" saltValue="voih/DfE/Fzm5RLzBDat9g==" spinCount="100000" sheet="1" objects="1" scenarios="1"/>
  <protectedRanges>
    <protectedRange algorithmName="SHA-512" hashValue="Tgo67N00KTp2dzMiXSnY1pAmHXgwOlHmUIA/q9IeQSuIzA+sN0YTlRLqaX50dq0X73SCkEMW6Jkli90s4gUzJQ==" saltValue="hfkOyWJaFhl8Vh0xPVhUbw==" spinCount="100000" sqref="O12 G14 I18 I20 J26 C41:R43 C49:R51" name="Eingabefelder"/>
  </protectedRanges>
  <mergeCells count="34">
    <mergeCell ref="U27:AJ32"/>
    <mergeCell ref="U8:Z9"/>
    <mergeCell ref="J33:K33"/>
    <mergeCell ref="J35:K35"/>
    <mergeCell ref="N35:O35"/>
    <mergeCell ref="Q35:R35"/>
    <mergeCell ref="U19:AJ25"/>
    <mergeCell ref="C24:R24"/>
    <mergeCell ref="J26:K26"/>
    <mergeCell ref="M26:R26"/>
    <mergeCell ref="J28:K28"/>
    <mergeCell ref="N28:O28"/>
    <mergeCell ref="J29:K29"/>
    <mergeCell ref="N29:O29"/>
    <mergeCell ref="F12:H12"/>
    <mergeCell ref="O12:R12"/>
    <mergeCell ref="I18:J18"/>
    <mergeCell ref="L18:R18"/>
    <mergeCell ref="I20:J20"/>
    <mergeCell ref="L20:R20"/>
    <mergeCell ref="B2:N2"/>
    <mergeCell ref="E6:F6"/>
    <mergeCell ref="E8:J8"/>
    <mergeCell ref="L8:N8"/>
    <mergeCell ref="O8:R8"/>
    <mergeCell ref="E10:J10"/>
    <mergeCell ref="O10:R10"/>
    <mergeCell ref="G14:R14"/>
    <mergeCell ref="C43:R43"/>
    <mergeCell ref="C51:R51"/>
    <mergeCell ref="C42:R42"/>
    <mergeCell ref="C41:R41"/>
    <mergeCell ref="C50:R50"/>
    <mergeCell ref="C49:R49"/>
  </mergeCells>
  <conditionalFormatting sqref="M26 T26">
    <cfRule type="cellIs" dxfId="17" priority="14" stopIfTrue="1" operator="equal">
      <formula>"Lohn innerhalb Lohnbandgrenzen"</formula>
    </cfRule>
    <cfRule type="cellIs" dxfId="16" priority="15" stopIfTrue="1" operator="equal">
      <formula>""</formula>
    </cfRule>
  </conditionalFormatting>
  <conditionalFormatting sqref="S26">
    <cfRule type="cellIs" dxfId="15" priority="12" stopIfTrue="1" operator="equal">
      <formula>"Lohn innerhalb Lohnbandgrenzen"</formula>
    </cfRule>
    <cfRule type="cellIs" dxfId="14" priority="13" stopIfTrue="1" operator="equal">
      <formula>""</formula>
    </cfRule>
  </conditionalFormatting>
  <conditionalFormatting sqref="C24">
    <cfRule type="expression" dxfId="13" priority="11">
      <formula>C24="Lohnband schlechter oder gleich wie bisher"</formula>
    </cfRule>
  </conditionalFormatting>
  <conditionalFormatting sqref="M45">
    <cfRule type="cellIs" dxfId="12" priority="5" stopIfTrue="1" operator="equal">
      <formula>"Lohn innerhalb Lohnbandgrenzen"</formula>
    </cfRule>
    <cfRule type="cellIs" dxfId="11" priority="6" stopIfTrue="1" operator="equal">
      <formula>""</formula>
    </cfRule>
  </conditionalFormatting>
  <conditionalFormatting sqref="S45">
    <cfRule type="cellIs" dxfId="10" priority="3" stopIfTrue="1" operator="equal">
      <formula>"Lohn innerhalb Lohnbandgrenzen"</formula>
    </cfRule>
    <cfRule type="cellIs" dxfId="9" priority="4" stopIfTrue="1" operator="equal">
      <formula>""</formula>
    </cfRule>
  </conditionalFormatting>
  <conditionalFormatting sqref="C29:R35 C28:J28 L28:R28">
    <cfRule type="expression" dxfId="8" priority="1">
      <formula>$J$26=""</formula>
    </cfRule>
  </conditionalFormatting>
  <dataValidations count="2">
    <dataValidation type="list" allowBlank="1" showInputMessage="1" showErrorMessage="1" sqref="K65494:L65494 JG65479:JH65479 TC65479:TD65479 ACY65479:ACZ65479 AMU65479:AMV65479 AWQ65479:AWR65479 BGM65479:BGN65479 BQI65479:BQJ65479 CAE65479:CAF65479 CKA65479:CKB65479 CTW65479:CTX65479 DDS65479:DDT65479 DNO65479:DNP65479 DXK65479:DXL65479 EHG65479:EHH65479 ERC65479:ERD65479 FAY65479:FAZ65479 FKU65479:FKV65479 FUQ65479:FUR65479 GEM65479:GEN65479 GOI65479:GOJ65479 GYE65479:GYF65479 HIA65479:HIB65479 HRW65479:HRX65479 IBS65479:IBT65479 ILO65479:ILP65479 IVK65479:IVL65479 JFG65479:JFH65479 JPC65479:JPD65479 JYY65479:JYZ65479 KIU65479:KIV65479 KSQ65479:KSR65479 LCM65479:LCN65479 LMI65479:LMJ65479 LWE65479:LWF65479 MGA65479:MGB65479 MPW65479:MPX65479 MZS65479:MZT65479 NJO65479:NJP65479 NTK65479:NTL65479 ODG65479:ODH65479 ONC65479:OND65479 OWY65479:OWZ65479 PGU65479:PGV65479 PQQ65479:PQR65479 QAM65479:QAN65479 QKI65479:QKJ65479 QUE65479:QUF65479 REA65479:REB65479 RNW65479:RNX65479 RXS65479:RXT65479 SHO65479:SHP65479 SRK65479:SRL65479 TBG65479:TBH65479 TLC65479:TLD65479 TUY65479:TUZ65479 UEU65479:UEV65479 UOQ65479:UOR65479 UYM65479:UYN65479 VII65479:VIJ65479 VSE65479:VSF65479 WCA65479:WCB65479 WLW65479:WLX65479 WVS65479:WVT65479 K131030:L131030 JG131015:JH131015 TC131015:TD131015 ACY131015:ACZ131015 AMU131015:AMV131015 AWQ131015:AWR131015 BGM131015:BGN131015 BQI131015:BQJ131015 CAE131015:CAF131015 CKA131015:CKB131015 CTW131015:CTX131015 DDS131015:DDT131015 DNO131015:DNP131015 DXK131015:DXL131015 EHG131015:EHH131015 ERC131015:ERD131015 FAY131015:FAZ131015 FKU131015:FKV131015 FUQ131015:FUR131015 GEM131015:GEN131015 GOI131015:GOJ131015 GYE131015:GYF131015 HIA131015:HIB131015 HRW131015:HRX131015 IBS131015:IBT131015 ILO131015:ILP131015 IVK131015:IVL131015 JFG131015:JFH131015 JPC131015:JPD131015 JYY131015:JYZ131015 KIU131015:KIV131015 KSQ131015:KSR131015 LCM131015:LCN131015 LMI131015:LMJ131015 LWE131015:LWF131015 MGA131015:MGB131015 MPW131015:MPX131015 MZS131015:MZT131015 NJO131015:NJP131015 NTK131015:NTL131015 ODG131015:ODH131015 ONC131015:OND131015 OWY131015:OWZ131015 PGU131015:PGV131015 PQQ131015:PQR131015 QAM131015:QAN131015 QKI131015:QKJ131015 QUE131015:QUF131015 REA131015:REB131015 RNW131015:RNX131015 RXS131015:RXT131015 SHO131015:SHP131015 SRK131015:SRL131015 TBG131015:TBH131015 TLC131015:TLD131015 TUY131015:TUZ131015 UEU131015:UEV131015 UOQ131015:UOR131015 UYM131015:UYN131015 VII131015:VIJ131015 VSE131015:VSF131015 WCA131015:WCB131015 WLW131015:WLX131015 WVS131015:WVT131015 K196566:L196566 JG196551:JH196551 TC196551:TD196551 ACY196551:ACZ196551 AMU196551:AMV196551 AWQ196551:AWR196551 BGM196551:BGN196551 BQI196551:BQJ196551 CAE196551:CAF196551 CKA196551:CKB196551 CTW196551:CTX196551 DDS196551:DDT196551 DNO196551:DNP196551 DXK196551:DXL196551 EHG196551:EHH196551 ERC196551:ERD196551 FAY196551:FAZ196551 FKU196551:FKV196551 FUQ196551:FUR196551 GEM196551:GEN196551 GOI196551:GOJ196551 GYE196551:GYF196551 HIA196551:HIB196551 HRW196551:HRX196551 IBS196551:IBT196551 ILO196551:ILP196551 IVK196551:IVL196551 JFG196551:JFH196551 JPC196551:JPD196551 JYY196551:JYZ196551 KIU196551:KIV196551 KSQ196551:KSR196551 LCM196551:LCN196551 LMI196551:LMJ196551 LWE196551:LWF196551 MGA196551:MGB196551 MPW196551:MPX196551 MZS196551:MZT196551 NJO196551:NJP196551 NTK196551:NTL196551 ODG196551:ODH196551 ONC196551:OND196551 OWY196551:OWZ196551 PGU196551:PGV196551 PQQ196551:PQR196551 QAM196551:QAN196551 QKI196551:QKJ196551 QUE196551:QUF196551 REA196551:REB196551 RNW196551:RNX196551 RXS196551:RXT196551 SHO196551:SHP196551 SRK196551:SRL196551 TBG196551:TBH196551 TLC196551:TLD196551 TUY196551:TUZ196551 UEU196551:UEV196551 UOQ196551:UOR196551 UYM196551:UYN196551 VII196551:VIJ196551 VSE196551:VSF196551 WCA196551:WCB196551 WLW196551:WLX196551 WVS196551:WVT196551 K262102:L262102 JG262087:JH262087 TC262087:TD262087 ACY262087:ACZ262087 AMU262087:AMV262087 AWQ262087:AWR262087 BGM262087:BGN262087 BQI262087:BQJ262087 CAE262087:CAF262087 CKA262087:CKB262087 CTW262087:CTX262087 DDS262087:DDT262087 DNO262087:DNP262087 DXK262087:DXL262087 EHG262087:EHH262087 ERC262087:ERD262087 FAY262087:FAZ262087 FKU262087:FKV262087 FUQ262087:FUR262087 GEM262087:GEN262087 GOI262087:GOJ262087 GYE262087:GYF262087 HIA262087:HIB262087 HRW262087:HRX262087 IBS262087:IBT262087 ILO262087:ILP262087 IVK262087:IVL262087 JFG262087:JFH262087 JPC262087:JPD262087 JYY262087:JYZ262087 KIU262087:KIV262087 KSQ262087:KSR262087 LCM262087:LCN262087 LMI262087:LMJ262087 LWE262087:LWF262087 MGA262087:MGB262087 MPW262087:MPX262087 MZS262087:MZT262087 NJO262087:NJP262087 NTK262087:NTL262087 ODG262087:ODH262087 ONC262087:OND262087 OWY262087:OWZ262087 PGU262087:PGV262087 PQQ262087:PQR262087 QAM262087:QAN262087 QKI262087:QKJ262087 QUE262087:QUF262087 REA262087:REB262087 RNW262087:RNX262087 RXS262087:RXT262087 SHO262087:SHP262087 SRK262087:SRL262087 TBG262087:TBH262087 TLC262087:TLD262087 TUY262087:TUZ262087 UEU262087:UEV262087 UOQ262087:UOR262087 UYM262087:UYN262087 VII262087:VIJ262087 VSE262087:VSF262087 WCA262087:WCB262087 WLW262087:WLX262087 WVS262087:WVT262087 K327638:L327638 JG327623:JH327623 TC327623:TD327623 ACY327623:ACZ327623 AMU327623:AMV327623 AWQ327623:AWR327623 BGM327623:BGN327623 BQI327623:BQJ327623 CAE327623:CAF327623 CKA327623:CKB327623 CTW327623:CTX327623 DDS327623:DDT327623 DNO327623:DNP327623 DXK327623:DXL327623 EHG327623:EHH327623 ERC327623:ERD327623 FAY327623:FAZ327623 FKU327623:FKV327623 FUQ327623:FUR327623 GEM327623:GEN327623 GOI327623:GOJ327623 GYE327623:GYF327623 HIA327623:HIB327623 HRW327623:HRX327623 IBS327623:IBT327623 ILO327623:ILP327623 IVK327623:IVL327623 JFG327623:JFH327623 JPC327623:JPD327623 JYY327623:JYZ327623 KIU327623:KIV327623 KSQ327623:KSR327623 LCM327623:LCN327623 LMI327623:LMJ327623 LWE327623:LWF327623 MGA327623:MGB327623 MPW327623:MPX327623 MZS327623:MZT327623 NJO327623:NJP327623 NTK327623:NTL327623 ODG327623:ODH327623 ONC327623:OND327623 OWY327623:OWZ327623 PGU327623:PGV327623 PQQ327623:PQR327623 QAM327623:QAN327623 QKI327623:QKJ327623 QUE327623:QUF327623 REA327623:REB327623 RNW327623:RNX327623 RXS327623:RXT327623 SHO327623:SHP327623 SRK327623:SRL327623 TBG327623:TBH327623 TLC327623:TLD327623 TUY327623:TUZ327623 UEU327623:UEV327623 UOQ327623:UOR327623 UYM327623:UYN327623 VII327623:VIJ327623 VSE327623:VSF327623 WCA327623:WCB327623 WLW327623:WLX327623 WVS327623:WVT327623 K393174:L393174 JG393159:JH393159 TC393159:TD393159 ACY393159:ACZ393159 AMU393159:AMV393159 AWQ393159:AWR393159 BGM393159:BGN393159 BQI393159:BQJ393159 CAE393159:CAF393159 CKA393159:CKB393159 CTW393159:CTX393159 DDS393159:DDT393159 DNO393159:DNP393159 DXK393159:DXL393159 EHG393159:EHH393159 ERC393159:ERD393159 FAY393159:FAZ393159 FKU393159:FKV393159 FUQ393159:FUR393159 GEM393159:GEN393159 GOI393159:GOJ393159 GYE393159:GYF393159 HIA393159:HIB393159 HRW393159:HRX393159 IBS393159:IBT393159 ILO393159:ILP393159 IVK393159:IVL393159 JFG393159:JFH393159 JPC393159:JPD393159 JYY393159:JYZ393159 KIU393159:KIV393159 KSQ393159:KSR393159 LCM393159:LCN393159 LMI393159:LMJ393159 LWE393159:LWF393159 MGA393159:MGB393159 MPW393159:MPX393159 MZS393159:MZT393159 NJO393159:NJP393159 NTK393159:NTL393159 ODG393159:ODH393159 ONC393159:OND393159 OWY393159:OWZ393159 PGU393159:PGV393159 PQQ393159:PQR393159 QAM393159:QAN393159 QKI393159:QKJ393159 QUE393159:QUF393159 REA393159:REB393159 RNW393159:RNX393159 RXS393159:RXT393159 SHO393159:SHP393159 SRK393159:SRL393159 TBG393159:TBH393159 TLC393159:TLD393159 TUY393159:TUZ393159 UEU393159:UEV393159 UOQ393159:UOR393159 UYM393159:UYN393159 VII393159:VIJ393159 VSE393159:VSF393159 WCA393159:WCB393159 WLW393159:WLX393159 WVS393159:WVT393159 K458710:L458710 JG458695:JH458695 TC458695:TD458695 ACY458695:ACZ458695 AMU458695:AMV458695 AWQ458695:AWR458695 BGM458695:BGN458695 BQI458695:BQJ458695 CAE458695:CAF458695 CKA458695:CKB458695 CTW458695:CTX458695 DDS458695:DDT458695 DNO458695:DNP458695 DXK458695:DXL458695 EHG458695:EHH458695 ERC458695:ERD458695 FAY458695:FAZ458695 FKU458695:FKV458695 FUQ458695:FUR458695 GEM458695:GEN458695 GOI458695:GOJ458695 GYE458695:GYF458695 HIA458695:HIB458695 HRW458695:HRX458695 IBS458695:IBT458695 ILO458695:ILP458695 IVK458695:IVL458695 JFG458695:JFH458695 JPC458695:JPD458695 JYY458695:JYZ458695 KIU458695:KIV458695 KSQ458695:KSR458695 LCM458695:LCN458695 LMI458695:LMJ458695 LWE458695:LWF458695 MGA458695:MGB458695 MPW458695:MPX458695 MZS458695:MZT458695 NJO458695:NJP458695 NTK458695:NTL458695 ODG458695:ODH458695 ONC458695:OND458695 OWY458695:OWZ458695 PGU458695:PGV458695 PQQ458695:PQR458695 QAM458695:QAN458695 QKI458695:QKJ458695 QUE458695:QUF458695 REA458695:REB458695 RNW458695:RNX458695 RXS458695:RXT458695 SHO458695:SHP458695 SRK458695:SRL458695 TBG458695:TBH458695 TLC458695:TLD458695 TUY458695:TUZ458695 UEU458695:UEV458695 UOQ458695:UOR458695 UYM458695:UYN458695 VII458695:VIJ458695 VSE458695:VSF458695 WCA458695:WCB458695 WLW458695:WLX458695 WVS458695:WVT458695 K524246:L524246 JG524231:JH524231 TC524231:TD524231 ACY524231:ACZ524231 AMU524231:AMV524231 AWQ524231:AWR524231 BGM524231:BGN524231 BQI524231:BQJ524231 CAE524231:CAF524231 CKA524231:CKB524231 CTW524231:CTX524231 DDS524231:DDT524231 DNO524231:DNP524231 DXK524231:DXL524231 EHG524231:EHH524231 ERC524231:ERD524231 FAY524231:FAZ524231 FKU524231:FKV524231 FUQ524231:FUR524231 GEM524231:GEN524231 GOI524231:GOJ524231 GYE524231:GYF524231 HIA524231:HIB524231 HRW524231:HRX524231 IBS524231:IBT524231 ILO524231:ILP524231 IVK524231:IVL524231 JFG524231:JFH524231 JPC524231:JPD524231 JYY524231:JYZ524231 KIU524231:KIV524231 KSQ524231:KSR524231 LCM524231:LCN524231 LMI524231:LMJ524231 LWE524231:LWF524231 MGA524231:MGB524231 MPW524231:MPX524231 MZS524231:MZT524231 NJO524231:NJP524231 NTK524231:NTL524231 ODG524231:ODH524231 ONC524231:OND524231 OWY524231:OWZ524231 PGU524231:PGV524231 PQQ524231:PQR524231 QAM524231:QAN524231 QKI524231:QKJ524231 QUE524231:QUF524231 REA524231:REB524231 RNW524231:RNX524231 RXS524231:RXT524231 SHO524231:SHP524231 SRK524231:SRL524231 TBG524231:TBH524231 TLC524231:TLD524231 TUY524231:TUZ524231 UEU524231:UEV524231 UOQ524231:UOR524231 UYM524231:UYN524231 VII524231:VIJ524231 VSE524231:VSF524231 WCA524231:WCB524231 WLW524231:WLX524231 WVS524231:WVT524231 K589782:L589782 JG589767:JH589767 TC589767:TD589767 ACY589767:ACZ589767 AMU589767:AMV589767 AWQ589767:AWR589767 BGM589767:BGN589767 BQI589767:BQJ589767 CAE589767:CAF589767 CKA589767:CKB589767 CTW589767:CTX589767 DDS589767:DDT589767 DNO589767:DNP589767 DXK589767:DXL589767 EHG589767:EHH589767 ERC589767:ERD589767 FAY589767:FAZ589767 FKU589767:FKV589767 FUQ589767:FUR589767 GEM589767:GEN589767 GOI589767:GOJ589767 GYE589767:GYF589767 HIA589767:HIB589767 HRW589767:HRX589767 IBS589767:IBT589767 ILO589767:ILP589767 IVK589767:IVL589767 JFG589767:JFH589767 JPC589767:JPD589767 JYY589767:JYZ589767 KIU589767:KIV589767 KSQ589767:KSR589767 LCM589767:LCN589767 LMI589767:LMJ589767 LWE589767:LWF589767 MGA589767:MGB589767 MPW589767:MPX589767 MZS589767:MZT589767 NJO589767:NJP589767 NTK589767:NTL589767 ODG589767:ODH589767 ONC589767:OND589767 OWY589767:OWZ589767 PGU589767:PGV589767 PQQ589767:PQR589767 QAM589767:QAN589767 QKI589767:QKJ589767 QUE589767:QUF589767 REA589767:REB589767 RNW589767:RNX589767 RXS589767:RXT589767 SHO589767:SHP589767 SRK589767:SRL589767 TBG589767:TBH589767 TLC589767:TLD589767 TUY589767:TUZ589767 UEU589767:UEV589767 UOQ589767:UOR589767 UYM589767:UYN589767 VII589767:VIJ589767 VSE589767:VSF589767 WCA589767:WCB589767 WLW589767:WLX589767 WVS589767:WVT589767 K655318:L655318 JG655303:JH655303 TC655303:TD655303 ACY655303:ACZ655303 AMU655303:AMV655303 AWQ655303:AWR655303 BGM655303:BGN655303 BQI655303:BQJ655303 CAE655303:CAF655303 CKA655303:CKB655303 CTW655303:CTX655303 DDS655303:DDT655303 DNO655303:DNP655303 DXK655303:DXL655303 EHG655303:EHH655303 ERC655303:ERD655303 FAY655303:FAZ655303 FKU655303:FKV655303 FUQ655303:FUR655303 GEM655303:GEN655303 GOI655303:GOJ655303 GYE655303:GYF655303 HIA655303:HIB655303 HRW655303:HRX655303 IBS655303:IBT655303 ILO655303:ILP655303 IVK655303:IVL655303 JFG655303:JFH655303 JPC655303:JPD655303 JYY655303:JYZ655303 KIU655303:KIV655303 KSQ655303:KSR655303 LCM655303:LCN655303 LMI655303:LMJ655303 LWE655303:LWF655303 MGA655303:MGB655303 MPW655303:MPX655303 MZS655303:MZT655303 NJO655303:NJP655303 NTK655303:NTL655303 ODG655303:ODH655303 ONC655303:OND655303 OWY655303:OWZ655303 PGU655303:PGV655303 PQQ655303:PQR655303 QAM655303:QAN655303 QKI655303:QKJ655303 QUE655303:QUF655303 REA655303:REB655303 RNW655303:RNX655303 RXS655303:RXT655303 SHO655303:SHP655303 SRK655303:SRL655303 TBG655303:TBH655303 TLC655303:TLD655303 TUY655303:TUZ655303 UEU655303:UEV655303 UOQ655303:UOR655303 UYM655303:UYN655303 VII655303:VIJ655303 VSE655303:VSF655303 WCA655303:WCB655303 WLW655303:WLX655303 WVS655303:WVT655303 K720854:L720854 JG720839:JH720839 TC720839:TD720839 ACY720839:ACZ720839 AMU720839:AMV720839 AWQ720839:AWR720839 BGM720839:BGN720839 BQI720839:BQJ720839 CAE720839:CAF720839 CKA720839:CKB720839 CTW720839:CTX720839 DDS720839:DDT720839 DNO720839:DNP720839 DXK720839:DXL720839 EHG720839:EHH720839 ERC720839:ERD720839 FAY720839:FAZ720839 FKU720839:FKV720839 FUQ720839:FUR720839 GEM720839:GEN720839 GOI720839:GOJ720839 GYE720839:GYF720839 HIA720839:HIB720839 HRW720839:HRX720839 IBS720839:IBT720839 ILO720839:ILP720839 IVK720839:IVL720839 JFG720839:JFH720839 JPC720839:JPD720839 JYY720839:JYZ720839 KIU720839:KIV720839 KSQ720839:KSR720839 LCM720839:LCN720839 LMI720839:LMJ720839 LWE720839:LWF720839 MGA720839:MGB720839 MPW720839:MPX720839 MZS720839:MZT720839 NJO720839:NJP720839 NTK720839:NTL720839 ODG720839:ODH720839 ONC720839:OND720839 OWY720839:OWZ720839 PGU720839:PGV720839 PQQ720839:PQR720839 QAM720839:QAN720839 QKI720839:QKJ720839 QUE720839:QUF720839 REA720839:REB720839 RNW720839:RNX720839 RXS720839:RXT720839 SHO720839:SHP720839 SRK720839:SRL720839 TBG720839:TBH720839 TLC720839:TLD720839 TUY720839:TUZ720839 UEU720839:UEV720839 UOQ720839:UOR720839 UYM720839:UYN720839 VII720839:VIJ720839 VSE720839:VSF720839 WCA720839:WCB720839 WLW720839:WLX720839 WVS720839:WVT720839 K786390:L786390 JG786375:JH786375 TC786375:TD786375 ACY786375:ACZ786375 AMU786375:AMV786375 AWQ786375:AWR786375 BGM786375:BGN786375 BQI786375:BQJ786375 CAE786375:CAF786375 CKA786375:CKB786375 CTW786375:CTX786375 DDS786375:DDT786375 DNO786375:DNP786375 DXK786375:DXL786375 EHG786375:EHH786375 ERC786375:ERD786375 FAY786375:FAZ786375 FKU786375:FKV786375 FUQ786375:FUR786375 GEM786375:GEN786375 GOI786375:GOJ786375 GYE786375:GYF786375 HIA786375:HIB786375 HRW786375:HRX786375 IBS786375:IBT786375 ILO786375:ILP786375 IVK786375:IVL786375 JFG786375:JFH786375 JPC786375:JPD786375 JYY786375:JYZ786375 KIU786375:KIV786375 KSQ786375:KSR786375 LCM786375:LCN786375 LMI786375:LMJ786375 LWE786375:LWF786375 MGA786375:MGB786375 MPW786375:MPX786375 MZS786375:MZT786375 NJO786375:NJP786375 NTK786375:NTL786375 ODG786375:ODH786375 ONC786375:OND786375 OWY786375:OWZ786375 PGU786375:PGV786375 PQQ786375:PQR786375 QAM786375:QAN786375 QKI786375:QKJ786375 QUE786375:QUF786375 REA786375:REB786375 RNW786375:RNX786375 RXS786375:RXT786375 SHO786375:SHP786375 SRK786375:SRL786375 TBG786375:TBH786375 TLC786375:TLD786375 TUY786375:TUZ786375 UEU786375:UEV786375 UOQ786375:UOR786375 UYM786375:UYN786375 VII786375:VIJ786375 VSE786375:VSF786375 WCA786375:WCB786375 WLW786375:WLX786375 WVS786375:WVT786375 K851926:L851926 JG851911:JH851911 TC851911:TD851911 ACY851911:ACZ851911 AMU851911:AMV851911 AWQ851911:AWR851911 BGM851911:BGN851911 BQI851911:BQJ851911 CAE851911:CAF851911 CKA851911:CKB851911 CTW851911:CTX851911 DDS851911:DDT851911 DNO851911:DNP851911 DXK851911:DXL851911 EHG851911:EHH851911 ERC851911:ERD851911 FAY851911:FAZ851911 FKU851911:FKV851911 FUQ851911:FUR851911 GEM851911:GEN851911 GOI851911:GOJ851911 GYE851911:GYF851911 HIA851911:HIB851911 HRW851911:HRX851911 IBS851911:IBT851911 ILO851911:ILP851911 IVK851911:IVL851911 JFG851911:JFH851911 JPC851911:JPD851911 JYY851911:JYZ851911 KIU851911:KIV851911 KSQ851911:KSR851911 LCM851911:LCN851911 LMI851911:LMJ851911 LWE851911:LWF851911 MGA851911:MGB851911 MPW851911:MPX851911 MZS851911:MZT851911 NJO851911:NJP851911 NTK851911:NTL851911 ODG851911:ODH851911 ONC851911:OND851911 OWY851911:OWZ851911 PGU851911:PGV851911 PQQ851911:PQR851911 QAM851911:QAN851911 QKI851911:QKJ851911 QUE851911:QUF851911 REA851911:REB851911 RNW851911:RNX851911 RXS851911:RXT851911 SHO851911:SHP851911 SRK851911:SRL851911 TBG851911:TBH851911 TLC851911:TLD851911 TUY851911:TUZ851911 UEU851911:UEV851911 UOQ851911:UOR851911 UYM851911:UYN851911 VII851911:VIJ851911 VSE851911:VSF851911 WCA851911:WCB851911 WLW851911:WLX851911 WVS851911:WVT851911 K917462:L917462 JG917447:JH917447 TC917447:TD917447 ACY917447:ACZ917447 AMU917447:AMV917447 AWQ917447:AWR917447 BGM917447:BGN917447 BQI917447:BQJ917447 CAE917447:CAF917447 CKA917447:CKB917447 CTW917447:CTX917447 DDS917447:DDT917447 DNO917447:DNP917447 DXK917447:DXL917447 EHG917447:EHH917447 ERC917447:ERD917447 FAY917447:FAZ917447 FKU917447:FKV917447 FUQ917447:FUR917447 GEM917447:GEN917447 GOI917447:GOJ917447 GYE917447:GYF917447 HIA917447:HIB917447 HRW917447:HRX917447 IBS917447:IBT917447 ILO917447:ILP917447 IVK917447:IVL917447 JFG917447:JFH917447 JPC917447:JPD917447 JYY917447:JYZ917447 KIU917447:KIV917447 KSQ917447:KSR917447 LCM917447:LCN917447 LMI917447:LMJ917447 LWE917447:LWF917447 MGA917447:MGB917447 MPW917447:MPX917447 MZS917447:MZT917447 NJO917447:NJP917447 NTK917447:NTL917447 ODG917447:ODH917447 ONC917447:OND917447 OWY917447:OWZ917447 PGU917447:PGV917447 PQQ917447:PQR917447 QAM917447:QAN917447 QKI917447:QKJ917447 QUE917447:QUF917447 REA917447:REB917447 RNW917447:RNX917447 RXS917447:RXT917447 SHO917447:SHP917447 SRK917447:SRL917447 TBG917447:TBH917447 TLC917447:TLD917447 TUY917447:TUZ917447 UEU917447:UEV917447 UOQ917447:UOR917447 UYM917447:UYN917447 VII917447:VIJ917447 VSE917447:VSF917447 WCA917447:WCB917447 WLW917447:WLX917447 WVS917447:WVT917447 K982998:L982998 JG982983:JH982983 TC982983:TD982983 ACY982983:ACZ982983 AMU982983:AMV982983 AWQ982983:AWR982983 BGM982983:BGN982983 BQI982983:BQJ982983 CAE982983:CAF982983 CKA982983:CKB982983 CTW982983:CTX982983 DDS982983:DDT982983 DNO982983:DNP982983 DXK982983:DXL982983 EHG982983:EHH982983 ERC982983:ERD982983 FAY982983:FAZ982983 FKU982983:FKV982983 FUQ982983:FUR982983 GEM982983:GEN982983 GOI982983:GOJ982983 GYE982983:GYF982983 HIA982983:HIB982983 HRW982983:HRX982983 IBS982983:IBT982983 ILO982983:ILP982983 IVK982983:IVL982983 JFG982983:JFH982983 JPC982983:JPD982983 JYY982983:JYZ982983 KIU982983:KIV982983 KSQ982983:KSR982983 LCM982983:LCN982983 LMI982983:LMJ982983 LWE982983:LWF982983 MGA982983:MGB982983 MPW982983:MPX982983 MZS982983:MZT982983 NJO982983:NJP982983 NTK982983:NTL982983 ODG982983:ODH982983 ONC982983:OND982983 OWY982983:OWZ982983 PGU982983:PGV982983 PQQ982983:PQR982983 QAM982983:QAN982983 QKI982983:QKJ982983 QUE982983:QUF982983 REA982983:REB982983 RNW982983:RNX982983 RXS982983:RXT982983 SHO982983:SHP982983 SRK982983:SRL982983 TBG982983:TBH982983 TLC982983:TLD982983 TUY982983:TUZ982983 UEU982983:UEV982983 UOQ982983:UOR982983 UYM982983:UYN982983 VII982983:VIJ982983 VSE982983:VSF982983 WCA982983:WCB982983 WLW982983:WLX982983 WVS982983:WVT982983 K65496:L65496 JG65481:JH65481 TC65481:TD65481 ACY65481:ACZ65481 AMU65481:AMV65481 AWQ65481:AWR65481 BGM65481:BGN65481 BQI65481:BQJ65481 CAE65481:CAF65481 CKA65481:CKB65481 CTW65481:CTX65481 DDS65481:DDT65481 DNO65481:DNP65481 DXK65481:DXL65481 EHG65481:EHH65481 ERC65481:ERD65481 FAY65481:FAZ65481 FKU65481:FKV65481 FUQ65481:FUR65481 GEM65481:GEN65481 GOI65481:GOJ65481 GYE65481:GYF65481 HIA65481:HIB65481 HRW65481:HRX65481 IBS65481:IBT65481 ILO65481:ILP65481 IVK65481:IVL65481 JFG65481:JFH65481 JPC65481:JPD65481 JYY65481:JYZ65481 KIU65481:KIV65481 KSQ65481:KSR65481 LCM65481:LCN65481 LMI65481:LMJ65481 LWE65481:LWF65481 MGA65481:MGB65481 MPW65481:MPX65481 MZS65481:MZT65481 NJO65481:NJP65481 NTK65481:NTL65481 ODG65481:ODH65481 ONC65481:OND65481 OWY65481:OWZ65481 PGU65481:PGV65481 PQQ65481:PQR65481 QAM65481:QAN65481 QKI65481:QKJ65481 QUE65481:QUF65481 REA65481:REB65481 RNW65481:RNX65481 RXS65481:RXT65481 SHO65481:SHP65481 SRK65481:SRL65481 TBG65481:TBH65481 TLC65481:TLD65481 TUY65481:TUZ65481 UEU65481:UEV65481 UOQ65481:UOR65481 UYM65481:UYN65481 VII65481:VIJ65481 VSE65481:VSF65481 WCA65481:WCB65481 WLW65481:WLX65481 WVS65481:WVT65481 K131032:L131032 JG131017:JH131017 TC131017:TD131017 ACY131017:ACZ131017 AMU131017:AMV131017 AWQ131017:AWR131017 BGM131017:BGN131017 BQI131017:BQJ131017 CAE131017:CAF131017 CKA131017:CKB131017 CTW131017:CTX131017 DDS131017:DDT131017 DNO131017:DNP131017 DXK131017:DXL131017 EHG131017:EHH131017 ERC131017:ERD131017 FAY131017:FAZ131017 FKU131017:FKV131017 FUQ131017:FUR131017 GEM131017:GEN131017 GOI131017:GOJ131017 GYE131017:GYF131017 HIA131017:HIB131017 HRW131017:HRX131017 IBS131017:IBT131017 ILO131017:ILP131017 IVK131017:IVL131017 JFG131017:JFH131017 JPC131017:JPD131017 JYY131017:JYZ131017 KIU131017:KIV131017 KSQ131017:KSR131017 LCM131017:LCN131017 LMI131017:LMJ131017 LWE131017:LWF131017 MGA131017:MGB131017 MPW131017:MPX131017 MZS131017:MZT131017 NJO131017:NJP131017 NTK131017:NTL131017 ODG131017:ODH131017 ONC131017:OND131017 OWY131017:OWZ131017 PGU131017:PGV131017 PQQ131017:PQR131017 QAM131017:QAN131017 QKI131017:QKJ131017 QUE131017:QUF131017 REA131017:REB131017 RNW131017:RNX131017 RXS131017:RXT131017 SHO131017:SHP131017 SRK131017:SRL131017 TBG131017:TBH131017 TLC131017:TLD131017 TUY131017:TUZ131017 UEU131017:UEV131017 UOQ131017:UOR131017 UYM131017:UYN131017 VII131017:VIJ131017 VSE131017:VSF131017 WCA131017:WCB131017 WLW131017:WLX131017 WVS131017:WVT131017 K196568:L196568 JG196553:JH196553 TC196553:TD196553 ACY196553:ACZ196553 AMU196553:AMV196553 AWQ196553:AWR196553 BGM196553:BGN196553 BQI196553:BQJ196553 CAE196553:CAF196553 CKA196553:CKB196553 CTW196553:CTX196553 DDS196553:DDT196553 DNO196553:DNP196553 DXK196553:DXL196553 EHG196553:EHH196553 ERC196553:ERD196553 FAY196553:FAZ196553 FKU196553:FKV196553 FUQ196553:FUR196553 GEM196553:GEN196553 GOI196553:GOJ196553 GYE196553:GYF196553 HIA196553:HIB196553 HRW196553:HRX196553 IBS196553:IBT196553 ILO196553:ILP196553 IVK196553:IVL196553 JFG196553:JFH196553 JPC196553:JPD196553 JYY196553:JYZ196553 KIU196553:KIV196553 KSQ196553:KSR196553 LCM196553:LCN196553 LMI196553:LMJ196553 LWE196553:LWF196553 MGA196553:MGB196553 MPW196553:MPX196553 MZS196553:MZT196553 NJO196553:NJP196553 NTK196553:NTL196553 ODG196553:ODH196553 ONC196553:OND196553 OWY196553:OWZ196553 PGU196553:PGV196553 PQQ196553:PQR196553 QAM196553:QAN196553 QKI196553:QKJ196553 QUE196553:QUF196553 REA196553:REB196553 RNW196553:RNX196553 RXS196553:RXT196553 SHO196553:SHP196553 SRK196553:SRL196553 TBG196553:TBH196553 TLC196553:TLD196553 TUY196553:TUZ196553 UEU196553:UEV196553 UOQ196553:UOR196553 UYM196553:UYN196553 VII196553:VIJ196553 VSE196553:VSF196553 WCA196553:WCB196553 WLW196553:WLX196553 WVS196553:WVT196553 K262104:L262104 JG262089:JH262089 TC262089:TD262089 ACY262089:ACZ262089 AMU262089:AMV262089 AWQ262089:AWR262089 BGM262089:BGN262089 BQI262089:BQJ262089 CAE262089:CAF262089 CKA262089:CKB262089 CTW262089:CTX262089 DDS262089:DDT262089 DNO262089:DNP262089 DXK262089:DXL262089 EHG262089:EHH262089 ERC262089:ERD262089 FAY262089:FAZ262089 FKU262089:FKV262089 FUQ262089:FUR262089 GEM262089:GEN262089 GOI262089:GOJ262089 GYE262089:GYF262089 HIA262089:HIB262089 HRW262089:HRX262089 IBS262089:IBT262089 ILO262089:ILP262089 IVK262089:IVL262089 JFG262089:JFH262089 JPC262089:JPD262089 JYY262089:JYZ262089 KIU262089:KIV262089 KSQ262089:KSR262089 LCM262089:LCN262089 LMI262089:LMJ262089 LWE262089:LWF262089 MGA262089:MGB262089 MPW262089:MPX262089 MZS262089:MZT262089 NJO262089:NJP262089 NTK262089:NTL262089 ODG262089:ODH262089 ONC262089:OND262089 OWY262089:OWZ262089 PGU262089:PGV262089 PQQ262089:PQR262089 QAM262089:QAN262089 QKI262089:QKJ262089 QUE262089:QUF262089 REA262089:REB262089 RNW262089:RNX262089 RXS262089:RXT262089 SHO262089:SHP262089 SRK262089:SRL262089 TBG262089:TBH262089 TLC262089:TLD262089 TUY262089:TUZ262089 UEU262089:UEV262089 UOQ262089:UOR262089 UYM262089:UYN262089 VII262089:VIJ262089 VSE262089:VSF262089 WCA262089:WCB262089 WLW262089:WLX262089 WVS262089:WVT262089 K327640:L327640 JG327625:JH327625 TC327625:TD327625 ACY327625:ACZ327625 AMU327625:AMV327625 AWQ327625:AWR327625 BGM327625:BGN327625 BQI327625:BQJ327625 CAE327625:CAF327625 CKA327625:CKB327625 CTW327625:CTX327625 DDS327625:DDT327625 DNO327625:DNP327625 DXK327625:DXL327625 EHG327625:EHH327625 ERC327625:ERD327625 FAY327625:FAZ327625 FKU327625:FKV327625 FUQ327625:FUR327625 GEM327625:GEN327625 GOI327625:GOJ327625 GYE327625:GYF327625 HIA327625:HIB327625 HRW327625:HRX327625 IBS327625:IBT327625 ILO327625:ILP327625 IVK327625:IVL327625 JFG327625:JFH327625 JPC327625:JPD327625 JYY327625:JYZ327625 KIU327625:KIV327625 KSQ327625:KSR327625 LCM327625:LCN327625 LMI327625:LMJ327625 LWE327625:LWF327625 MGA327625:MGB327625 MPW327625:MPX327625 MZS327625:MZT327625 NJO327625:NJP327625 NTK327625:NTL327625 ODG327625:ODH327625 ONC327625:OND327625 OWY327625:OWZ327625 PGU327625:PGV327625 PQQ327625:PQR327625 QAM327625:QAN327625 QKI327625:QKJ327625 QUE327625:QUF327625 REA327625:REB327625 RNW327625:RNX327625 RXS327625:RXT327625 SHO327625:SHP327625 SRK327625:SRL327625 TBG327625:TBH327625 TLC327625:TLD327625 TUY327625:TUZ327625 UEU327625:UEV327625 UOQ327625:UOR327625 UYM327625:UYN327625 VII327625:VIJ327625 VSE327625:VSF327625 WCA327625:WCB327625 WLW327625:WLX327625 WVS327625:WVT327625 K393176:L393176 JG393161:JH393161 TC393161:TD393161 ACY393161:ACZ393161 AMU393161:AMV393161 AWQ393161:AWR393161 BGM393161:BGN393161 BQI393161:BQJ393161 CAE393161:CAF393161 CKA393161:CKB393161 CTW393161:CTX393161 DDS393161:DDT393161 DNO393161:DNP393161 DXK393161:DXL393161 EHG393161:EHH393161 ERC393161:ERD393161 FAY393161:FAZ393161 FKU393161:FKV393161 FUQ393161:FUR393161 GEM393161:GEN393161 GOI393161:GOJ393161 GYE393161:GYF393161 HIA393161:HIB393161 HRW393161:HRX393161 IBS393161:IBT393161 ILO393161:ILP393161 IVK393161:IVL393161 JFG393161:JFH393161 JPC393161:JPD393161 JYY393161:JYZ393161 KIU393161:KIV393161 KSQ393161:KSR393161 LCM393161:LCN393161 LMI393161:LMJ393161 LWE393161:LWF393161 MGA393161:MGB393161 MPW393161:MPX393161 MZS393161:MZT393161 NJO393161:NJP393161 NTK393161:NTL393161 ODG393161:ODH393161 ONC393161:OND393161 OWY393161:OWZ393161 PGU393161:PGV393161 PQQ393161:PQR393161 QAM393161:QAN393161 QKI393161:QKJ393161 QUE393161:QUF393161 REA393161:REB393161 RNW393161:RNX393161 RXS393161:RXT393161 SHO393161:SHP393161 SRK393161:SRL393161 TBG393161:TBH393161 TLC393161:TLD393161 TUY393161:TUZ393161 UEU393161:UEV393161 UOQ393161:UOR393161 UYM393161:UYN393161 VII393161:VIJ393161 VSE393161:VSF393161 WCA393161:WCB393161 WLW393161:WLX393161 WVS393161:WVT393161 K458712:L458712 JG458697:JH458697 TC458697:TD458697 ACY458697:ACZ458697 AMU458697:AMV458697 AWQ458697:AWR458697 BGM458697:BGN458697 BQI458697:BQJ458697 CAE458697:CAF458697 CKA458697:CKB458697 CTW458697:CTX458697 DDS458697:DDT458697 DNO458697:DNP458697 DXK458697:DXL458697 EHG458697:EHH458697 ERC458697:ERD458697 FAY458697:FAZ458697 FKU458697:FKV458697 FUQ458697:FUR458697 GEM458697:GEN458697 GOI458697:GOJ458697 GYE458697:GYF458697 HIA458697:HIB458697 HRW458697:HRX458697 IBS458697:IBT458697 ILO458697:ILP458697 IVK458697:IVL458697 JFG458697:JFH458697 JPC458697:JPD458697 JYY458697:JYZ458697 KIU458697:KIV458697 KSQ458697:KSR458697 LCM458697:LCN458697 LMI458697:LMJ458697 LWE458697:LWF458697 MGA458697:MGB458697 MPW458697:MPX458697 MZS458697:MZT458697 NJO458697:NJP458697 NTK458697:NTL458697 ODG458697:ODH458697 ONC458697:OND458697 OWY458697:OWZ458697 PGU458697:PGV458697 PQQ458697:PQR458697 QAM458697:QAN458697 QKI458697:QKJ458697 QUE458697:QUF458697 REA458697:REB458697 RNW458697:RNX458697 RXS458697:RXT458697 SHO458697:SHP458697 SRK458697:SRL458697 TBG458697:TBH458697 TLC458697:TLD458697 TUY458697:TUZ458697 UEU458697:UEV458697 UOQ458697:UOR458697 UYM458697:UYN458697 VII458697:VIJ458697 VSE458697:VSF458697 WCA458697:WCB458697 WLW458697:WLX458697 WVS458697:WVT458697 K524248:L524248 JG524233:JH524233 TC524233:TD524233 ACY524233:ACZ524233 AMU524233:AMV524233 AWQ524233:AWR524233 BGM524233:BGN524233 BQI524233:BQJ524233 CAE524233:CAF524233 CKA524233:CKB524233 CTW524233:CTX524233 DDS524233:DDT524233 DNO524233:DNP524233 DXK524233:DXL524233 EHG524233:EHH524233 ERC524233:ERD524233 FAY524233:FAZ524233 FKU524233:FKV524233 FUQ524233:FUR524233 GEM524233:GEN524233 GOI524233:GOJ524233 GYE524233:GYF524233 HIA524233:HIB524233 HRW524233:HRX524233 IBS524233:IBT524233 ILO524233:ILP524233 IVK524233:IVL524233 JFG524233:JFH524233 JPC524233:JPD524233 JYY524233:JYZ524233 KIU524233:KIV524233 KSQ524233:KSR524233 LCM524233:LCN524233 LMI524233:LMJ524233 LWE524233:LWF524233 MGA524233:MGB524233 MPW524233:MPX524233 MZS524233:MZT524233 NJO524233:NJP524233 NTK524233:NTL524233 ODG524233:ODH524233 ONC524233:OND524233 OWY524233:OWZ524233 PGU524233:PGV524233 PQQ524233:PQR524233 QAM524233:QAN524233 QKI524233:QKJ524233 QUE524233:QUF524233 REA524233:REB524233 RNW524233:RNX524233 RXS524233:RXT524233 SHO524233:SHP524233 SRK524233:SRL524233 TBG524233:TBH524233 TLC524233:TLD524233 TUY524233:TUZ524233 UEU524233:UEV524233 UOQ524233:UOR524233 UYM524233:UYN524233 VII524233:VIJ524233 VSE524233:VSF524233 WCA524233:WCB524233 WLW524233:WLX524233 WVS524233:WVT524233 K589784:L589784 JG589769:JH589769 TC589769:TD589769 ACY589769:ACZ589769 AMU589769:AMV589769 AWQ589769:AWR589769 BGM589769:BGN589769 BQI589769:BQJ589769 CAE589769:CAF589769 CKA589769:CKB589769 CTW589769:CTX589769 DDS589769:DDT589769 DNO589769:DNP589769 DXK589769:DXL589769 EHG589769:EHH589769 ERC589769:ERD589769 FAY589769:FAZ589769 FKU589769:FKV589769 FUQ589769:FUR589769 GEM589769:GEN589769 GOI589769:GOJ589769 GYE589769:GYF589769 HIA589769:HIB589769 HRW589769:HRX589769 IBS589769:IBT589769 ILO589769:ILP589769 IVK589769:IVL589769 JFG589769:JFH589769 JPC589769:JPD589769 JYY589769:JYZ589769 KIU589769:KIV589769 KSQ589769:KSR589769 LCM589769:LCN589769 LMI589769:LMJ589769 LWE589769:LWF589769 MGA589769:MGB589769 MPW589769:MPX589769 MZS589769:MZT589769 NJO589769:NJP589769 NTK589769:NTL589769 ODG589769:ODH589769 ONC589769:OND589769 OWY589769:OWZ589769 PGU589769:PGV589769 PQQ589769:PQR589769 QAM589769:QAN589769 QKI589769:QKJ589769 QUE589769:QUF589769 REA589769:REB589769 RNW589769:RNX589769 RXS589769:RXT589769 SHO589769:SHP589769 SRK589769:SRL589769 TBG589769:TBH589769 TLC589769:TLD589769 TUY589769:TUZ589769 UEU589769:UEV589769 UOQ589769:UOR589769 UYM589769:UYN589769 VII589769:VIJ589769 VSE589769:VSF589769 WCA589769:WCB589769 WLW589769:WLX589769 WVS589769:WVT589769 K655320:L655320 JG655305:JH655305 TC655305:TD655305 ACY655305:ACZ655305 AMU655305:AMV655305 AWQ655305:AWR655305 BGM655305:BGN655305 BQI655305:BQJ655305 CAE655305:CAF655305 CKA655305:CKB655305 CTW655305:CTX655305 DDS655305:DDT655305 DNO655305:DNP655305 DXK655305:DXL655305 EHG655305:EHH655305 ERC655305:ERD655305 FAY655305:FAZ655305 FKU655305:FKV655305 FUQ655305:FUR655305 GEM655305:GEN655305 GOI655305:GOJ655305 GYE655305:GYF655305 HIA655305:HIB655305 HRW655305:HRX655305 IBS655305:IBT655305 ILO655305:ILP655305 IVK655305:IVL655305 JFG655305:JFH655305 JPC655305:JPD655305 JYY655305:JYZ655305 KIU655305:KIV655305 KSQ655305:KSR655305 LCM655305:LCN655305 LMI655305:LMJ655305 LWE655305:LWF655305 MGA655305:MGB655305 MPW655305:MPX655305 MZS655305:MZT655305 NJO655305:NJP655305 NTK655305:NTL655305 ODG655305:ODH655305 ONC655305:OND655305 OWY655305:OWZ655305 PGU655305:PGV655305 PQQ655305:PQR655305 QAM655305:QAN655305 QKI655305:QKJ655305 QUE655305:QUF655305 REA655305:REB655305 RNW655305:RNX655305 RXS655305:RXT655305 SHO655305:SHP655305 SRK655305:SRL655305 TBG655305:TBH655305 TLC655305:TLD655305 TUY655305:TUZ655305 UEU655305:UEV655305 UOQ655305:UOR655305 UYM655305:UYN655305 VII655305:VIJ655305 VSE655305:VSF655305 WCA655305:WCB655305 WLW655305:WLX655305 WVS655305:WVT655305 K720856:L720856 JG720841:JH720841 TC720841:TD720841 ACY720841:ACZ720841 AMU720841:AMV720841 AWQ720841:AWR720841 BGM720841:BGN720841 BQI720841:BQJ720841 CAE720841:CAF720841 CKA720841:CKB720841 CTW720841:CTX720841 DDS720841:DDT720841 DNO720841:DNP720841 DXK720841:DXL720841 EHG720841:EHH720841 ERC720841:ERD720841 FAY720841:FAZ720841 FKU720841:FKV720841 FUQ720841:FUR720841 GEM720841:GEN720841 GOI720841:GOJ720841 GYE720841:GYF720841 HIA720841:HIB720841 HRW720841:HRX720841 IBS720841:IBT720841 ILO720841:ILP720841 IVK720841:IVL720841 JFG720841:JFH720841 JPC720841:JPD720841 JYY720841:JYZ720841 KIU720841:KIV720841 KSQ720841:KSR720841 LCM720841:LCN720841 LMI720841:LMJ720841 LWE720841:LWF720841 MGA720841:MGB720841 MPW720841:MPX720841 MZS720841:MZT720841 NJO720841:NJP720841 NTK720841:NTL720841 ODG720841:ODH720841 ONC720841:OND720841 OWY720841:OWZ720841 PGU720841:PGV720841 PQQ720841:PQR720841 QAM720841:QAN720841 QKI720841:QKJ720841 QUE720841:QUF720841 REA720841:REB720841 RNW720841:RNX720841 RXS720841:RXT720841 SHO720841:SHP720841 SRK720841:SRL720841 TBG720841:TBH720841 TLC720841:TLD720841 TUY720841:TUZ720841 UEU720841:UEV720841 UOQ720841:UOR720841 UYM720841:UYN720841 VII720841:VIJ720841 VSE720841:VSF720841 WCA720841:WCB720841 WLW720841:WLX720841 WVS720841:WVT720841 K786392:L786392 JG786377:JH786377 TC786377:TD786377 ACY786377:ACZ786377 AMU786377:AMV786377 AWQ786377:AWR786377 BGM786377:BGN786377 BQI786377:BQJ786377 CAE786377:CAF786377 CKA786377:CKB786377 CTW786377:CTX786377 DDS786377:DDT786377 DNO786377:DNP786377 DXK786377:DXL786377 EHG786377:EHH786377 ERC786377:ERD786377 FAY786377:FAZ786377 FKU786377:FKV786377 FUQ786377:FUR786377 GEM786377:GEN786377 GOI786377:GOJ786377 GYE786377:GYF786377 HIA786377:HIB786377 HRW786377:HRX786377 IBS786377:IBT786377 ILO786377:ILP786377 IVK786377:IVL786377 JFG786377:JFH786377 JPC786377:JPD786377 JYY786377:JYZ786377 KIU786377:KIV786377 KSQ786377:KSR786377 LCM786377:LCN786377 LMI786377:LMJ786377 LWE786377:LWF786377 MGA786377:MGB786377 MPW786377:MPX786377 MZS786377:MZT786377 NJO786377:NJP786377 NTK786377:NTL786377 ODG786377:ODH786377 ONC786377:OND786377 OWY786377:OWZ786377 PGU786377:PGV786377 PQQ786377:PQR786377 QAM786377:QAN786377 QKI786377:QKJ786377 QUE786377:QUF786377 REA786377:REB786377 RNW786377:RNX786377 RXS786377:RXT786377 SHO786377:SHP786377 SRK786377:SRL786377 TBG786377:TBH786377 TLC786377:TLD786377 TUY786377:TUZ786377 UEU786377:UEV786377 UOQ786377:UOR786377 UYM786377:UYN786377 VII786377:VIJ786377 VSE786377:VSF786377 WCA786377:WCB786377 WLW786377:WLX786377 WVS786377:WVT786377 K851928:L851928 JG851913:JH851913 TC851913:TD851913 ACY851913:ACZ851913 AMU851913:AMV851913 AWQ851913:AWR851913 BGM851913:BGN851913 BQI851913:BQJ851913 CAE851913:CAF851913 CKA851913:CKB851913 CTW851913:CTX851913 DDS851913:DDT851913 DNO851913:DNP851913 DXK851913:DXL851913 EHG851913:EHH851913 ERC851913:ERD851913 FAY851913:FAZ851913 FKU851913:FKV851913 FUQ851913:FUR851913 GEM851913:GEN851913 GOI851913:GOJ851913 GYE851913:GYF851913 HIA851913:HIB851913 HRW851913:HRX851913 IBS851913:IBT851913 ILO851913:ILP851913 IVK851913:IVL851913 JFG851913:JFH851913 JPC851913:JPD851913 JYY851913:JYZ851913 KIU851913:KIV851913 KSQ851913:KSR851913 LCM851913:LCN851913 LMI851913:LMJ851913 LWE851913:LWF851913 MGA851913:MGB851913 MPW851913:MPX851913 MZS851913:MZT851913 NJO851913:NJP851913 NTK851913:NTL851913 ODG851913:ODH851913 ONC851913:OND851913 OWY851913:OWZ851913 PGU851913:PGV851913 PQQ851913:PQR851913 QAM851913:QAN851913 QKI851913:QKJ851913 QUE851913:QUF851913 REA851913:REB851913 RNW851913:RNX851913 RXS851913:RXT851913 SHO851913:SHP851913 SRK851913:SRL851913 TBG851913:TBH851913 TLC851913:TLD851913 TUY851913:TUZ851913 UEU851913:UEV851913 UOQ851913:UOR851913 UYM851913:UYN851913 VII851913:VIJ851913 VSE851913:VSF851913 WCA851913:WCB851913 WLW851913:WLX851913 WVS851913:WVT851913 K917464:L917464 JG917449:JH917449 TC917449:TD917449 ACY917449:ACZ917449 AMU917449:AMV917449 AWQ917449:AWR917449 BGM917449:BGN917449 BQI917449:BQJ917449 CAE917449:CAF917449 CKA917449:CKB917449 CTW917449:CTX917449 DDS917449:DDT917449 DNO917449:DNP917449 DXK917449:DXL917449 EHG917449:EHH917449 ERC917449:ERD917449 FAY917449:FAZ917449 FKU917449:FKV917449 FUQ917449:FUR917449 GEM917449:GEN917449 GOI917449:GOJ917449 GYE917449:GYF917449 HIA917449:HIB917449 HRW917449:HRX917449 IBS917449:IBT917449 ILO917449:ILP917449 IVK917449:IVL917449 JFG917449:JFH917449 JPC917449:JPD917449 JYY917449:JYZ917449 KIU917449:KIV917449 KSQ917449:KSR917449 LCM917449:LCN917449 LMI917449:LMJ917449 LWE917449:LWF917449 MGA917449:MGB917449 MPW917449:MPX917449 MZS917449:MZT917449 NJO917449:NJP917449 NTK917449:NTL917449 ODG917449:ODH917449 ONC917449:OND917449 OWY917449:OWZ917449 PGU917449:PGV917449 PQQ917449:PQR917449 QAM917449:QAN917449 QKI917449:QKJ917449 QUE917449:QUF917449 REA917449:REB917449 RNW917449:RNX917449 RXS917449:RXT917449 SHO917449:SHP917449 SRK917449:SRL917449 TBG917449:TBH917449 TLC917449:TLD917449 TUY917449:TUZ917449 UEU917449:UEV917449 UOQ917449:UOR917449 UYM917449:UYN917449 VII917449:VIJ917449 VSE917449:VSF917449 WCA917449:WCB917449 WLW917449:WLX917449 WVS917449:WVT917449 K983000:L983000 JG982985:JH982985 TC982985:TD982985 ACY982985:ACZ982985 AMU982985:AMV982985 AWQ982985:AWR982985 BGM982985:BGN982985 BQI982985:BQJ982985 CAE982985:CAF982985 CKA982985:CKB982985 CTW982985:CTX982985 DDS982985:DDT982985 DNO982985:DNP982985 DXK982985:DXL982985 EHG982985:EHH982985 ERC982985:ERD982985 FAY982985:FAZ982985 FKU982985:FKV982985 FUQ982985:FUR982985 GEM982985:GEN982985 GOI982985:GOJ982985 GYE982985:GYF982985 HIA982985:HIB982985 HRW982985:HRX982985 IBS982985:IBT982985 ILO982985:ILP982985 IVK982985:IVL982985 JFG982985:JFH982985 JPC982985:JPD982985 JYY982985:JYZ982985 KIU982985:KIV982985 KSQ982985:KSR982985 LCM982985:LCN982985 LMI982985:LMJ982985 LWE982985:LWF982985 MGA982985:MGB982985 MPW982985:MPX982985 MZS982985:MZT982985 NJO982985:NJP982985 NTK982985:NTL982985 ODG982985:ODH982985 ONC982985:OND982985 OWY982985:OWZ982985 PGU982985:PGV982985 PQQ982985:PQR982985 QAM982985:QAN982985 QKI982985:QKJ982985 QUE982985:QUF982985 REA982985:REB982985 RNW982985:RNX982985 RXS982985:RXT982985 SHO982985:SHP982985 SRK982985:SRL982985 TBG982985:TBH982985 TLC982985:TLD982985 TUY982985:TUZ982985 UEU982985:UEV982985 UOQ982985:UOR982985 UYM982985:UYN982985 VII982985:VIJ982985 VSE982985:VSF982985 WCA982985:WCB982985 WLW982985:WLX982985 WVS982985:WVT982985 WCA983014:WCB983014 WVS983014:WVT983014 K65556:L65556 JG65541:JH65541 TC65541:TD65541 ACY65541:ACZ65541 AMU65541:AMV65541 AWQ65541:AWR65541 BGM65541:BGN65541 BQI65541:BQJ65541 CAE65541:CAF65541 CKA65541:CKB65541 CTW65541:CTX65541 DDS65541:DDT65541 DNO65541:DNP65541 DXK65541:DXL65541 EHG65541:EHH65541 ERC65541:ERD65541 FAY65541:FAZ65541 FKU65541:FKV65541 FUQ65541:FUR65541 GEM65541:GEN65541 GOI65541:GOJ65541 GYE65541:GYF65541 HIA65541:HIB65541 HRW65541:HRX65541 IBS65541:IBT65541 ILO65541:ILP65541 IVK65541:IVL65541 JFG65541:JFH65541 JPC65541:JPD65541 JYY65541:JYZ65541 KIU65541:KIV65541 KSQ65541:KSR65541 LCM65541:LCN65541 LMI65541:LMJ65541 LWE65541:LWF65541 MGA65541:MGB65541 MPW65541:MPX65541 MZS65541:MZT65541 NJO65541:NJP65541 NTK65541:NTL65541 ODG65541:ODH65541 ONC65541:OND65541 OWY65541:OWZ65541 PGU65541:PGV65541 PQQ65541:PQR65541 QAM65541:QAN65541 QKI65541:QKJ65541 QUE65541:QUF65541 REA65541:REB65541 RNW65541:RNX65541 RXS65541:RXT65541 SHO65541:SHP65541 SRK65541:SRL65541 TBG65541:TBH65541 TLC65541:TLD65541 TUY65541:TUZ65541 UEU65541:UEV65541 UOQ65541:UOR65541 UYM65541:UYN65541 VII65541:VIJ65541 VSE65541:VSF65541 WCA65541:WCB65541 WLW65541:WLX65541 WVS65541:WVT65541 K131092:L131092 JG131077:JH131077 TC131077:TD131077 ACY131077:ACZ131077 AMU131077:AMV131077 AWQ131077:AWR131077 BGM131077:BGN131077 BQI131077:BQJ131077 CAE131077:CAF131077 CKA131077:CKB131077 CTW131077:CTX131077 DDS131077:DDT131077 DNO131077:DNP131077 DXK131077:DXL131077 EHG131077:EHH131077 ERC131077:ERD131077 FAY131077:FAZ131077 FKU131077:FKV131077 FUQ131077:FUR131077 GEM131077:GEN131077 GOI131077:GOJ131077 GYE131077:GYF131077 HIA131077:HIB131077 HRW131077:HRX131077 IBS131077:IBT131077 ILO131077:ILP131077 IVK131077:IVL131077 JFG131077:JFH131077 JPC131077:JPD131077 JYY131077:JYZ131077 KIU131077:KIV131077 KSQ131077:KSR131077 LCM131077:LCN131077 LMI131077:LMJ131077 LWE131077:LWF131077 MGA131077:MGB131077 MPW131077:MPX131077 MZS131077:MZT131077 NJO131077:NJP131077 NTK131077:NTL131077 ODG131077:ODH131077 ONC131077:OND131077 OWY131077:OWZ131077 PGU131077:PGV131077 PQQ131077:PQR131077 QAM131077:QAN131077 QKI131077:QKJ131077 QUE131077:QUF131077 REA131077:REB131077 RNW131077:RNX131077 RXS131077:RXT131077 SHO131077:SHP131077 SRK131077:SRL131077 TBG131077:TBH131077 TLC131077:TLD131077 TUY131077:TUZ131077 UEU131077:UEV131077 UOQ131077:UOR131077 UYM131077:UYN131077 VII131077:VIJ131077 VSE131077:VSF131077 WCA131077:WCB131077 WLW131077:WLX131077 WVS131077:WVT131077 K196628:L196628 JG196613:JH196613 TC196613:TD196613 ACY196613:ACZ196613 AMU196613:AMV196613 AWQ196613:AWR196613 BGM196613:BGN196613 BQI196613:BQJ196613 CAE196613:CAF196613 CKA196613:CKB196613 CTW196613:CTX196613 DDS196613:DDT196613 DNO196613:DNP196613 DXK196613:DXL196613 EHG196613:EHH196613 ERC196613:ERD196613 FAY196613:FAZ196613 FKU196613:FKV196613 FUQ196613:FUR196613 GEM196613:GEN196613 GOI196613:GOJ196613 GYE196613:GYF196613 HIA196613:HIB196613 HRW196613:HRX196613 IBS196613:IBT196613 ILO196613:ILP196613 IVK196613:IVL196613 JFG196613:JFH196613 JPC196613:JPD196613 JYY196613:JYZ196613 KIU196613:KIV196613 KSQ196613:KSR196613 LCM196613:LCN196613 LMI196613:LMJ196613 LWE196613:LWF196613 MGA196613:MGB196613 MPW196613:MPX196613 MZS196613:MZT196613 NJO196613:NJP196613 NTK196613:NTL196613 ODG196613:ODH196613 ONC196613:OND196613 OWY196613:OWZ196613 PGU196613:PGV196613 PQQ196613:PQR196613 QAM196613:QAN196613 QKI196613:QKJ196613 QUE196613:QUF196613 REA196613:REB196613 RNW196613:RNX196613 RXS196613:RXT196613 SHO196613:SHP196613 SRK196613:SRL196613 TBG196613:TBH196613 TLC196613:TLD196613 TUY196613:TUZ196613 UEU196613:UEV196613 UOQ196613:UOR196613 UYM196613:UYN196613 VII196613:VIJ196613 VSE196613:VSF196613 WCA196613:WCB196613 WLW196613:WLX196613 WVS196613:WVT196613 K262164:L262164 JG262149:JH262149 TC262149:TD262149 ACY262149:ACZ262149 AMU262149:AMV262149 AWQ262149:AWR262149 BGM262149:BGN262149 BQI262149:BQJ262149 CAE262149:CAF262149 CKA262149:CKB262149 CTW262149:CTX262149 DDS262149:DDT262149 DNO262149:DNP262149 DXK262149:DXL262149 EHG262149:EHH262149 ERC262149:ERD262149 FAY262149:FAZ262149 FKU262149:FKV262149 FUQ262149:FUR262149 GEM262149:GEN262149 GOI262149:GOJ262149 GYE262149:GYF262149 HIA262149:HIB262149 HRW262149:HRX262149 IBS262149:IBT262149 ILO262149:ILP262149 IVK262149:IVL262149 JFG262149:JFH262149 JPC262149:JPD262149 JYY262149:JYZ262149 KIU262149:KIV262149 KSQ262149:KSR262149 LCM262149:LCN262149 LMI262149:LMJ262149 LWE262149:LWF262149 MGA262149:MGB262149 MPW262149:MPX262149 MZS262149:MZT262149 NJO262149:NJP262149 NTK262149:NTL262149 ODG262149:ODH262149 ONC262149:OND262149 OWY262149:OWZ262149 PGU262149:PGV262149 PQQ262149:PQR262149 QAM262149:QAN262149 QKI262149:QKJ262149 QUE262149:QUF262149 REA262149:REB262149 RNW262149:RNX262149 RXS262149:RXT262149 SHO262149:SHP262149 SRK262149:SRL262149 TBG262149:TBH262149 TLC262149:TLD262149 TUY262149:TUZ262149 UEU262149:UEV262149 UOQ262149:UOR262149 UYM262149:UYN262149 VII262149:VIJ262149 VSE262149:VSF262149 WCA262149:WCB262149 WLW262149:WLX262149 WVS262149:WVT262149 K327700:L327700 JG327685:JH327685 TC327685:TD327685 ACY327685:ACZ327685 AMU327685:AMV327685 AWQ327685:AWR327685 BGM327685:BGN327685 BQI327685:BQJ327685 CAE327685:CAF327685 CKA327685:CKB327685 CTW327685:CTX327685 DDS327685:DDT327685 DNO327685:DNP327685 DXK327685:DXL327685 EHG327685:EHH327685 ERC327685:ERD327685 FAY327685:FAZ327685 FKU327685:FKV327685 FUQ327685:FUR327685 GEM327685:GEN327685 GOI327685:GOJ327685 GYE327685:GYF327685 HIA327685:HIB327685 HRW327685:HRX327685 IBS327685:IBT327685 ILO327685:ILP327685 IVK327685:IVL327685 JFG327685:JFH327685 JPC327685:JPD327685 JYY327685:JYZ327685 KIU327685:KIV327685 KSQ327685:KSR327685 LCM327685:LCN327685 LMI327685:LMJ327685 LWE327685:LWF327685 MGA327685:MGB327685 MPW327685:MPX327685 MZS327685:MZT327685 NJO327685:NJP327685 NTK327685:NTL327685 ODG327685:ODH327685 ONC327685:OND327685 OWY327685:OWZ327685 PGU327685:PGV327685 PQQ327685:PQR327685 QAM327685:QAN327685 QKI327685:QKJ327685 QUE327685:QUF327685 REA327685:REB327685 RNW327685:RNX327685 RXS327685:RXT327685 SHO327685:SHP327685 SRK327685:SRL327685 TBG327685:TBH327685 TLC327685:TLD327685 TUY327685:TUZ327685 UEU327685:UEV327685 UOQ327685:UOR327685 UYM327685:UYN327685 VII327685:VIJ327685 VSE327685:VSF327685 WCA327685:WCB327685 WLW327685:WLX327685 WVS327685:WVT327685 K393236:L393236 JG393221:JH393221 TC393221:TD393221 ACY393221:ACZ393221 AMU393221:AMV393221 AWQ393221:AWR393221 BGM393221:BGN393221 BQI393221:BQJ393221 CAE393221:CAF393221 CKA393221:CKB393221 CTW393221:CTX393221 DDS393221:DDT393221 DNO393221:DNP393221 DXK393221:DXL393221 EHG393221:EHH393221 ERC393221:ERD393221 FAY393221:FAZ393221 FKU393221:FKV393221 FUQ393221:FUR393221 GEM393221:GEN393221 GOI393221:GOJ393221 GYE393221:GYF393221 HIA393221:HIB393221 HRW393221:HRX393221 IBS393221:IBT393221 ILO393221:ILP393221 IVK393221:IVL393221 JFG393221:JFH393221 JPC393221:JPD393221 JYY393221:JYZ393221 KIU393221:KIV393221 KSQ393221:KSR393221 LCM393221:LCN393221 LMI393221:LMJ393221 LWE393221:LWF393221 MGA393221:MGB393221 MPW393221:MPX393221 MZS393221:MZT393221 NJO393221:NJP393221 NTK393221:NTL393221 ODG393221:ODH393221 ONC393221:OND393221 OWY393221:OWZ393221 PGU393221:PGV393221 PQQ393221:PQR393221 QAM393221:QAN393221 QKI393221:QKJ393221 QUE393221:QUF393221 REA393221:REB393221 RNW393221:RNX393221 RXS393221:RXT393221 SHO393221:SHP393221 SRK393221:SRL393221 TBG393221:TBH393221 TLC393221:TLD393221 TUY393221:TUZ393221 UEU393221:UEV393221 UOQ393221:UOR393221 UYM393221:UYN393221 VII393221:VIJ393221 VSE393221:VSF393221 WCA393221:WCB393221 WLW393221:WLX393221 WVS393221:WVT393221 K458772:L458772 JG458757:JH458757 TC458757:TD458757 ACY458757:ACZ458757 AMU458757:AMV458757 AWQ458757:AWR458757 BGM458757:BGN458757 BQI458757:BQJ458757 CAE458757:CAF458757 CKA458757:CKB458757 CTW458757:CTX458757 DDS458757:DDT458757 DNO458757:DNP458757 DXK458757:DXL458757 EHG458757:EHH458757 ERC458757:ERD458757 FAY458757:FAZ458757 FKU458757:FKV458757 FUQ458757:FUR458757 GEM458757:GEN458757 GOI458757:GOJ458757 GYE458757:GYF458757 HIA458757:HIB458757 HRW458757:HRX458757 IBS458757:IBT458757 ILO458757:ILP458757 IVK458757:IVL458757 JFG458757:JFH458757 JPC458757:JPD458757 JYY458757:JYZ458757 KIU458757:KIV458757 KSQ458757:KSR458757 LCM458757:LCN458757 LMI458757:LMJ458757 LWE458757:LWF458757 MGA458757:MGB458757 MPW458757:MPX458757 MZS458757:MZT458757 NJO458757:NJP458757 NTK458757:NTL458757 ODG458757:ODH458757 ONC458757:OND458757 OWY458757:OWZ458757 PGU458757:PGV458757 PQQ458757:PQR458757 QAM458757:QAN458757 QKI458757:QKJ458757 QUE458757:QUF458757 REA458757:REB458757 RNW458757:RNX458757 RXS458757:RXT458757 SHO458757:SHP458757 SRK458757:SRL458757 TBG458757:TBH458757 TLC458757:TLD458757 TUY458757:TUZ458757 UEU458757:UEV458757 UOQ458757:UOR458757 UYM458757:UYN458757 VII458757:VIJ458757 VSE458757:VSF458757 WCA458757:WCB458757 WLW458757:WLX458757 WVS458757:WVT458757 K524308:L524308 JG524293:JH524293 TC524293:TD524293 ACY524293:ACZ524293 AMU524293:AMV524293 AWQ524293:AWR524293 BGM524293:BGN524293 BQI524293:BQJ524293 CAE524293:CAF524293 CKA524293:CKB524293 CTW524293:CTX524293 DDS524293:DDT524293 DNO524293:DNP524293 DXK524293:DXL524293 EHG524293:EHH524293 ERC524293:ERD524293 FAY524293:FAZ524293 FKU524293:FKV524293 FUQ524293:FUR524293 GEM524293:GEN524293 GOI524293:GOJ524293 GYE524293:GYF524293 HIA524293:HIB524293 HRW524293:HRX524293 IBS524293:IBT524293 ILO524293:ILP524293 IVK524293:IVL524293 JFG524293:JFH524293 JPC524293:JPD524293 JYY524293:JYZ524293 KIU524293:KIV524293 KSQ524293:KSR524293 LCM524293:LCN524293 LMI524293:LMJ524293 LWE524293:LWF524293 MGA524293:MGB524293 MPW524293:MPX524293 MZS524293:MZT524293 NJO524293:NJP524293 NTK524293:NTL524293 ODG524293:ODH524293 ONC524293:OND524293 OWY524293:OWZ524293 PGU524293:PGV524293 PQQ524293:PQR524293 QAM524293:QAN524293 QKI524293:QKJ524293 QUE524293:QUF524293 REA524293:REB524293 RNW524293:RNX524293 RXS524293:RXT524293 SHO524293:SHP524293 SRK524293:SRL524293 TBG524293:TBH524293 TLC524293:TLD524293 TUY524293:TUZ524293 UEU524293:UEV524293 UOQ524293:UOR524293 UYM524293:UYN524293 VII524293:VIJ524293 VSE524293:VSF524293 WCA524293:WCB524293 WLW524293:WLX524293 WVS524293:WVT524293 K589844:L589844 JG589829:JH589829 TC589829:TD589829 ACY589829:ACZ589829 AMU589829:AMV589829 AWQ589829:AWR589829 BGM589829:BGN589829 BQI589829:BQJ589829 CAE589829:CAF589829 CKA589829:CKB589829 CTW589829:CTX589829 DDS589829:DDT589829 DNO589829:DNP589829 DXK589829:DXL589829 EHG589829:EHH589829 ERC589829:ERD589829 FAY589829:FAZ589829 FKU589829:FKV589829 FUQ589829:FUR589829 GEM589829:GEN589829 GOI589829:GOJ589829 GYE589829:GYF589829 HIA589829:HIB589829 HRW589829:HRX589829 IBS589829:IBT589829 ILO589829:ILP589829 IVK589829:IVL589829 JFG589829:JFH589829 JPC589829:JPD589829 JYY589829:JYZ589829 KIU589829:KIV589829 KSQ589829:KSR589829 LCM589829:LCN589829 LMI589829:LMJ589829 LWE589829:LWF589829 MGA589829:MGB589829 MPW589829:MPX589829 MZS589829:MZT589829 NJO589829:NJP589829 NTK589829:NTL589829 ODG589829:ODH589829 ONC589829:OND589829 OWY589829:OWZ589829 PGU589829:PGV589829 PQQ589829:PQR589829 QAM589829:QAN589829 QKI589829:QKJ589829 QUE589829:QUF589829 REA589829:REB589829 RNW589829:RNX589829 RXS589829:RXT589829 SHO589829:SHP589829 SRK589829:SRL589829 TBG589829:TBH589829 TLC589829:TLD589829 TUY589829:TUZ589829 UEU589829:UEV589829 UOQ589829:UOR589829 UYM589829:UYN589829 VII589829:VIJ589829 VSE589829:VSF589829 WCA589829:WCB589829 WLW589829:WLX589829 WVS589829:WVT589829 K655380:L655380 JG655365:JH655365 TC655365:TD655365 ACY655365:ACZ655365 AMU655365:AMV655365 AWQ655365:AWR655365 BGM655365:BGN655365 BQI655365:BQJ655365 CAE655365:CAF655365 CKA655365:CKB655365 CTW655365:CTX655365 DDS655365:DDT655365 DNO655365:DNP655365 DXK655365:DXL655365 EHG655365:EHH655365 ERC655365:ERD655365 FAY655365:FAZ655365 FKU655365:FKV655365 FUQ655365:FUR655365 GEM655365:GEN655365 GOI655365:GOJ655365 GYE655365:GYF655365 HIA655365:HIB655365 HRW655365:HRX655365 IBS655365:IBT655365 ILO655365:ILP655365 IVK655365:IVL655365 JFG655365:JFH655365 JPC655365:JPD655365 JYY655365:JYZ655365 KIU655365:KIV655365 KSQ655365:KSR655365 LCM655365:LCN655365 LMI655365:LMJ655365 LWE655365:LWF655365 MGA655365:MGB655365 MPW655365:MPX655365 MZS655365:MZT655365 NJO655365:NJP655365 NTK655365:NTL655365 ODG655365:ODH655365 ONC655365:OND655365 OWY655365:OWZ655365 PGU655365:PGV655365 PQQ655365:PQR655365 QAM655365:QAN655365 QKI655365:QKJ655365 QUE655365:QUF655365 REA655365:REB655365 RNW655365:RNX655365 RXS655365:RXT655365 SHO655365:SHP655365 SRK655365:SRL655365 TBG655365:TBH655365 TLC655365:TLD655365 TUY655365:TUZ655365 UEU655365:UEV655365 UOQ655365:UOR655365 UYM655365:UYN655365 VII655365:VIJ655365 VSE655365:VSF655365 WCA655365:WCB655365 WLW655365:WLX655365 WVS655365:WVT655365 K720916:L720916 JG720901:JH720901 TC720901:TD720901 ACY720901:ACZ720901 AMU720901:AMV720901 AWQ720901:AWR720901 BGM720901:BGN720901 BQI720901:BQJ720901 CAE720901:CAF720901 CKA720901:CKB720901 CTW720901:CTX720901 DDS720901:DDT720901 DNO720901:DNP720901 DXK720901:DXL720901 EHG720901:EHH720901 ERC720901:ERD720901 FAY720901:FAZ720901 FKU720901:FKV720901 FUQ720901:FUR720901 GEM720901:GEN720901 GOI720901:GOJ720901 GYE720901:GYF720901 HIA720901:HIB720901 HRW720901:HRX720901 IBS720901:IBT720901 ILO720901:ILP720901 IVK720901:IVL720901 JFG720901:JFH720901 JPC720901:JPD720901 JYY720901:JYZ720901 KIU720901:KIV720901 KSQ720901:KSR720901 LCM720901:LCN720901 LMI720901:LMJ720901 LWE720901:LWF720901 MGA720901:MGB720901 MPW720901:MPX720901 MZS720901:MZT720901 NJO720901:NJP720901 NTK720901:NTL720901 ODG720901:ODH720901 ONC720901:OND720901 OWY720901:OWZ720901 PGU720901:PGV720901 PQQ720901:PQR720901 QAM720901:QAN720901 QKI720901:QKJ720901 QUE720901:QUF720901 REA720901:REB720901 RNW720901:RNX720901 RXS720901:RXT720901 SHO720901:SHP720901 SRK720901:SRL720901 TBG720901:TBH720901 TLC720901:TLD720901 TUY720901:TUZ720901 UEU720901:UEV720901 UOQ720901:UOR720901 UYM720901:UYN720901 VII720901:VIJ720901 VSE720901:VSF720901 WCA720901:WCB720901 WLW720901:WLX720901 WVS720901:WVT720901 K786452:L786452 JG786437:JH786437 TC786437:TD786437 ACY786437:ACZ786437 AMU786437:AMV786437 AWQ786437:AWR786437 BGM786437:BGN786437 BQI786437:BQJ786437 CAE786437:CAF786437 CKA786437:CKB786437 CTW786437:CTX786437 DDS786437:DDT786437 DNO786437:DNP786437 DXK786437:DXL786437 EHG786437:EHH786437 ERC786437:ERD786437 FAY786437:FAZ786437 FKU786437:FKV786437 FUQ786437:FUR786437 GEM786437:GEN786437 GOI786437:GOJ786437 GYE786437:GYF786437 HIA786437:HIB786437 HRW786437:HRX786437 IBS786437:IBT786437 ILO786437:ILP786437 IVK786437:IVL786437 JFG786437:JFH786437 JPC786437:JPD786437 JYY786437:JYZ786437 KIU786437:KIV786437 KSQ786437:KSR786437 LCM786437:LCN786437 LMI786437:LMJ786437 LWE786437:LWF786437 MGA786437:MGB786437 MPW786437:MPX786437 MZS786437:MZT786437 NJO786437:NJP786437 NTK786437:NTL786437 ODG786437:ODH786437 ONC786437:OND786437 OWY786437:OWZ786437 PGU786437:PGV786437 PQQ786437:PQR786437 QAM786437:QAN786437 QKI786437:QKJ786437 QUE786437:QUF786437 REA786437:REB786437 RNW786437:RNX786437 RXS786437:RXT786437 SHO786437:SHP786437 SRK786437:SRL786437 TBG786437:TBH786437 TLC786437:TLD786437 TUY786437:TUZ786437 UEU786437:UEV786437 UOQ786437:UOR786437 UYM786437:UYN786437 VII786437:VIJ786437 VSE786437:VSF786437 WCA786437:WCB786437 WLW786437:WLX786437 WVS786437:WVT786437 K851988:L851988 JG851973:JH851973 TC851973:TD851973 ACY851973:ACZ851973 AMU851973:AMV851973 AWQ851973:AWR851973 BGM851973:BGN851973 BQI851973:BQJ851973 CAE851973:CAF851973 CKA851973:CKB851973 CTW851973:CTX851973 DDS851973:DDT851973 DNO851973:DNP851973 DXK851973:DXL851973 EHG851973:EHH851973 ERC851973:ERD851973 FAY851973:FAZ851973 FKU851973:FKV851973 FUQ851973:FUR851973 GEM851973:GEN851973 GOI851973:GOJ851973 GYE851973:GYF851973 HIA851973:HIB851973 HRW851973:HRX851973 IBS851973:IBT851973 ILO851973:ILP851973 IVK851973:IVL851973 JFG851973:JFH851973 JPC851973:JPD851973 JYY851973:JYZ851973 KIU851973:KIV851973 KSQ851973:KSR851973 LCM851973:LCN851973 LMI851973:LMJ851973 LWE851973:LWF851973 MGA851973:MGB851973 MPW851973:MPX851973 MZS851973:MZT851973 NJO851973:NJP851973 NTK851973:NTL851973 ODG851973:ODH851973 ONC851973:OND851973 OWY851973:OWZ851973 PGU851973:PGV851973 PQQ851973:PQR851973 QAM851973:QAN851973 QKI851973:QKJ851973 QUE851973:QUF851973 REA851973:REB851973 RNW851973:RNX851973 RXS851973:RXT851973 SHO851973:SHP851973 SRK851973:SRL851973 TBG851973:TBH851973 TLC851973:TLD851973 TUY851973:TUZ851973 UEU851973:UEV851973 UOQ851973:UOR851973 UYM851973:UYN851973 VII851973:VIJ851973 VSE851973:VSF851973 WCA851973:WCB851973 WLW851973:WLX851973 WVS851973:WVT851973 K917524:L917524 JG917509:JH917509 TC917509:TD917509 ACY917509:ACZ917509 AMU917509:AMV917509 AWQ917509:AWR917509 BGM917509:BGN917509 BQI917509:BQJ917509 CAE917509:CAF917509 CKA917509:CKB917509 CTW917509:CTX917509 DDS917509:DDT917509 DNO917509:DNP917509 DXK917509:DXL917509 EHG917509:EHH917509 ERC917509:ERD917509 FAY917509:FAZ917509 FKU917509:FKV917509 FUQ917509:FUR917509 GEM917509:GEN917509 GOI917509:GOJ917509 GYE917509:GYF917509 HIA917509:HIB917509 HRW917509:HRX917509 IBS917509:IBT917509 ILO917509:ILP917509 IVK917509:IVL917509 JFG917509:JFH917509 JPC917509:JPD917509 JYY917509:JYZ917509 KIU917509:KIV917509 KSQ917509:KSR917509 LCM917509:LCN917509 LMI917509:LMJ917509 LWE917509:LWF917509 MGA917509:MGB917509 MPW917509:MPX917509 MZS917509:MZT917509 NJO917509:NJP917509 NTK917509:NTL917509 ODG917509:ODH917509 ONC917509:OND917509 OWY917509:OWZ917509 PGU917509:PGV917509 PQQ917509:PQR917509 QAM917509:QAN917509 QKI917509:QKJ917509 QUE917509:QUF917509 REA917509:REB917509 RNW917509:RNX917509 RXS917509:RXT917509 SHO917509:SHP917509 SRK917509:SRL917509 TBG917509:TBH917509 TLC917509:TLD917509 TUY917509:TUZ917509 UEU917509:UEV917509 UOQ917509:UOR917509 UYM917509:UYN917509 VII917509:VIJ917509 VSE917509:VSF917509 WCA917509:WCB917509 WLW917509:WLX917509 WVS917509:WVT917509 K983060:L983060 JG983045:JH983045 TC983045:TD983045 ACY983045:ACZ983045 AMU983045:AMV983045 AWQ983045:AWR983045 BGM983045:BGN983045 BQI983045:BQJ983045 CAE983045:CAF983045 CKA983045:CKB983045 CTW983045:CTX983045 DDS983045:DDT983045 DNO983045:DNP983045 DXK983045:DXL983045 EHG983045:EHH983045 ERC983045:ERD983045 FAY983045:FAZ983045 FKU983045:FKV983045 FUQ983045:FUR983045 GEM983045:GEN983045 GOI983045:GOJ983045 GYE983045:GYF983045 HIA983045:HIB983045 HRW983045:HRX983045 IBS983045:IBT983045 ILO983045:ILP983045 IVK983045:IVL983045 JFG983045:JFH983045 JPC983045:JPD983045 JYY983045:JYZ983045 KIU983045:KIV983045 KSQ983045:KSR983045 LCM983045:LCN983045 LMI983045:LMJ983045 LWE983045:LWF983045 MGA983045:MGB983045 MPW983045:MPX983045 MZS983045:MZT983045 NJO983045:NJP983045 NTK983045:NTL983045 ODG983045:ODH983045 ONC983045:OND983045 OWY983045:OWZ983045 PGU983045:PGV983045 PQQ983045:PQR983045 QAM983045:QAN983045 QKI983045:QKJ983045 QUE983045:QUF983045 REA983045:REB983045 RNW983045:RNX983045 RXS983045:RXT983045 SHO983045:SHP983045 SRK983045:SRL983045 TBG983045:TBH983045 TLC983045:TLD983045 TUY983045:TUZ983045 UEU983045:UEV983045 UOQ983045:UOR983045 UYM983045:UYN983045 VII983045:VIJ983045 VSE983045:VSF983045 WCA983045:WCB983045 WLW983045:WLX983045 WVS983045:WVT983045 K65522:L65522 JG65507:JH65507 TC65507:TD65507 ACY65507:ACZ65507 AMU65507:AMV65507 AWQ65507:AWR65507 BGM65507:BGN65507 BQI65507:BQJ65507 CAE65507:CAF65507 CKA65507:CKB65507 CTW65507:CTX65507 DDS65507:DDT65507 DNO65507:DNP65507 DXK65507:DXL65507 EHG65507:EHH65507 ERC65507:ERD65507 FAY65507:FAZ65507 FKU65507:FKV65507 FUQ65507:FUR65507 GEM65507:GEN65507 GOI65507:GOJ65507 GYE65507:GYF65507 HIA65507:HIB65507 HRW65507:HRX65507 IBS65507:IBT65507 ILO65507:ILP65507 IVK65507:IVL65507 JFG65507:JFH65507 JPC65507:JPD65507 JYY65507:JYZ65507 KIU65507:KIV65507 KSQ65507:KSR65507 LCM65507:LCN65507 LMI65507:LMJ65507 LWE65507:LWF65507 MGA65507:MGB65507 MPW65507:MPX65507 MZS65507:MZT65507 NJO65507:NJP65507 NTK65507:NTL65507 ODG65507:ODH65507 ONC65507:OND65507 OWY65507:OWZ65507 PGU65507:PGV65507 PQQ65507:PQR65507 QAM65507:QAN65507 QKI65507:QKJ65507 QUE65507:QUF65507 REA65507:REB65507 RNW65507:RNX65507 RXS65507:RXT65507 SHO65507:SHP65507 SRK65507:SRL65507 TBG65507:TBH65507 TLC65507:TLD65507 TUY65507:TUZ65507 UEU65507:UEV65507 UOQ65507:UOR65507 UYM65507:UYN65507 VII65507:VIJ65507 VSE65507:VSF65507 WCA65507:WCB65507 WLW65507:WLX65507 WVS65507:WVT65507 K131058:L131058 JG131043:JH131043 TC131043:TD131043 ACY131043:ACZ131043 AMU131043:AMV131043 AWQ131043:AWR131043 BGM131043:BGN131043 BQI131043:BQJ131043 CAE131043:CAF131043 CKA131043:CKB131043 CTW131043:CTX131043 DDS131043:DDT131043 DNO131043:DNP131043 DXK131043:DXL131043 EHG131043:EHH131043 ERC131043:ERD131043 FAY131043:FAZ131043 FKU131043:FKV131043 FUQ131043:FUR131043 GEM131043:GEN131043 GOI131043:GOJ131043 GYE131043:GYF131043 HIA131043:HIB131043 HRW131043:HRX131043 IBS131043:IBT131043 ILO131043:ILP131043 IVK131043:IVL131043 JFG131043:JFH131043 JPC131043:JPD131043 JYY131043:JYZ131043 KIU131043:KIV131043 KSQ131043:KSR131043 LCM131043:LCN131043 LMI131043:LMJ131043 LWE131043:LWF131043 MGA131043:MGB131043 MPW131043:MPX131043 MZS131043:MZT131043 NJO131043:NJP131043 NTK131043:NTL131043 ODG131043:ODH131043 ONC131043:OND131043 OWY131043:OWZ131043 PGU131043:PGV131043 PQQ131043:PQR131043 QAM131043:QAN131043 QKI131043:QKJ131043 QUE131043:QUF131043 REA131043:REB131043 RNW131043:RNX131043 RXS131043:RXT131043 SHO131043:SHP131043 SRK131043:SRL131043 TBG131043:TBH131043 TLC131043:TLD131043 TUY131043:TUZ131043 UEU131043:UEV131043 UOQ131043:UOR131043 UYM131043:UYN131043 VII131043:VIJ131043 VSE131043:VSF131043 WCA131043:WCB131043 WLW131043:WLX131043 WVS131043:WVT131043 K196594:L196594 JG196579:JH196579 TC196579:TD196579 ACY196579:ACZ196579 AMU196579:AMV196579 AWQ196579:AWR196579 BGM196579:BGN196579 BQI196579:BQJ196579 CAE196579:CAF196579 CKA196579:CKB196579 CTW196579:CTX196579 DDS196579:DDT196579 DNO196579:DNP196579 DXK196579:DXL196579 EHG196579:EHH196579 ERC196579:ERD196579 FAY196579:FAZ196579 FKU196579:FKV196579 FUQ196579:FUR196579 GEM196579:GEN196579 GOI196579:GOJ196579 GYE196579:GYF196579 HIA196579:HIB196579 HRW196579:HRX196579 IBS196579:IBT196579 ILO196579:ILP196579 IVK196579:IVL196579 JFG196579:JFH196579 JPC196579:JPD196579 JYY196579:JYZ196579 KIU196579:KIV196579 KSQ196579:KSR196579 LCM196579:LCN196579 LMI196579:LMJ196579 LWE196579:LWF196579 MGA196579:MGB196579 MPW196579:MPX196579 MZS196579:MZT196579 NJO196579:NJP196579 NTK196579:NTL196579 ODG196579:ODH196579 ONC196579:OND196579 OWY196579:OWZ196579 PGU196579:PGV196579 PQQ196579:PQR196579 QAM196579:QAN196579 QKI196579:QKJ196579 QUE196579:QUF196579 REA196579:REB196579 RNW196579:RNX196579 RXS196579:RXT196579 SHO196579:SHP196579 SRK196579:SRL196579 TBG196579:TBH196579 TLC196579:TLD196579 TUY196579:TUZ196579 UEU196579:UEV196579 UOQ196579:UOR196579 UYM196579:UYN196579 VII196579:VIJ196579 VSE196579:VSF196579 WCA196579:WCB196579 WLW196579:WLX196579 WVS196579:WVT196579 K262130:L262130 JG262115:JH262115 TC262115:TD262115 ACY262115:ACZ262115 AMU262115:AMV262115 AWQ262115:AWR262115 BGM262115:BGN262115 BQI262115:BQJ262115 CAE262115:CAF262115 CKA262115:CKB262115 CTW262115:CTX262115 DDS262115:DDT262115 DNO262115:DNP262115 DXK262115:DXL262115 EHG262115:EHH262115 ERC262115:ERD262115 FAY262115:FAZ262115 FKU262115:FKV262115 FUQ262115:FUR262115 GEM262115:GEN262115 GOI262115:GOJ262115 GYE262115:GYF262115 HIA262115:HIB262115 HRW262115:HRX262115 IBS262115:IBT262115 ILO262115:ILP262115 IVK262115:IVL262115 JFG262115:JFH262115 JPC262115:JPD262115 JYY262115:JYZ262115 KIU262115:KIV262115 KSQ262115:KSR262115 LCM262115:LCN262115 LMI262115:LMJ262115 LWE262115:LWF262115 MGA262115:MGB262115 MPW262115:MPX262115 MZS262115:MZT262115 NJO262115:NJP262115 NTK262115:NTL262115 ODG262115:ODH262115 ONC262115:OND262115 OWY262115:OWZ262115 PGU262115:PGV262115 PQQ262115:PQR262115 QAM262115:QAN262115 QKI262115:QKJ262115 QUE262115:QUF262115 REA262115:REB262115 RNW262115:RNX262115 RXS262115:RXT262115 SHO262115:SHP262115 SRK262115:SRL262115 TBG262115:TBH262115 TLC262115:TLD262115 TUY262115:TUZ262115 UEU262115:UEV262115 UOQ262115:UOR262115 UYM262115:UYN262115 VII262115:VIJ262115 VSE262115:VSF262115 WCA262115:WCB262115 WLW262115:WLX262115 WVS262115:WVT262115 K327666:L327666 JG327651:JH327651 TC327651:TD327651 ACY327651:ACZ327651 AMU327651:AMV327651 AWQ327651:AWR327651 BGM327651:BGN327651 BQI327651:BQJ327651 CAE327651:CAF327651 CKA327651:CKB327651 CTW327651:CTX327651 DDS327651:DDT327651 DNO327651:DNP327651 DXK327651:DXL327651 EHG327651:EHH327651 ERC327651:ERD327651 FAY327651:FAZ327651 FKU327651:FKV327651 FUQ327651:FUR327651 GEM327651:GEN327651 GOI327651:GOJ327651 GYE327651:GYF327651 HIA327651:HIB327651 HRW327651:HRX327651 IBS327651:IBT327651 ILO327651:ILP327651 IVK327651:IVL327651 JFG327651:JFH327651 JPC327651:JPD327651 JYY327651:JYZ327651 KIU327651:KIV327651 KSQ327651:KSR327651 LCM327651:LCN327651 LMI327651:LMJ327651 LWE327651:LWF327651 MGA327651:MGB327651 MPW327651:MPX327651 MZS327651:MZT327651 NJO327651:NJP327651 NTK327651:NTL327651 ODG327651:ODH327651 ONC327651:OND327651 OWY327651:OWZ327651 PGU327651:PGV327651 PQQ327651:PQR327651 QAM327651:QAN327651 QKI327651:QKJ327651 QUE327651:QUF327651 REA327651:REB327651 RNW327651:RNX327651 RXS327651:RXT327651 SHO327651:SHP327651 SRK327651:SRL327651 TBG327651:TBH327651 TLC327651:TLD327651 TUY327651:TUZ327651 UEU327651:UEV327651 UOQ327651:UOR327651 UYM327651:UYN327651 VII327651:VIJ327651 VSE327651:VSF327651 WCA327651:WCB327651 WLW327651:WLX327651 WVS327651:WVT327651 K393202:L393202 JG393187:JH393187 TC393187:TD393187 ACY393187:ACZ393187 AMU393187:AMV393187 AWQ393187:AWR393187 BGM393187:BGN393187 BQI393187:BQJ393187 CAE393187:CAF393187 CKA393187:CKB393187 CTW393187:CTX393187 DDS393187:DDT393187 DNO393187:DNP393187 DXK393187:DXL393187 EHG393187:EHH393187 ERC393187:ERD393187 FAY393187:FAZ393187 FKU393187:FKV393187 FUQ393187:FUR393187 GEM393187:GEN393187 GOI393187:GOJ393187 GYE393187:GYF393187 HIA393187:HIB393187 HRW393187:HRX393187 IBS393187:IBT393187 ILO393187:ILP393187 IVK393187:IVL393187 JFG393187:JFH393187 JPC393187:JPD393187 JYY393187:JYZ393187 KIU393187:KIV393187 KSQ393187:KSR393187 LCM393187:LCN393187 LMI393187:LMJ393187 LWE393187:LWF393187 MGA393187:MGB393187 MPW393187:MPX393187 MZS393187:MZT393187 NJO393187:NJP393187 NTK393187:NTL393187 ODG393187:ODH393187 ONC393187:OND393187 OWY393187:OWZ393187 PGU393187:PGV393187 PQQ393187:PQR393187 QAM393187:QAN393187 QKI393187:QKJ393187 QUE393187:QUF393187 REA393187:REB393187 RNW393187:RNX393187 RXS393187:RXT393187 SHO393187:SHP393187 SRK393187:SRL393187 TBG393187:TBH393187 TLC393187:TLD393187 TUY393187:TUZ393187 UEU393187:UEV393187 UOQ393187:UOR393187 UYM393187:UYN393187 VII393187:VIJ393187 VSE393187:VSF393187 WCA393187:WCB393187 WLW393187:WLX393187 WVS393187:WVT393187 K458738:L458738 JG458723:JH458723 TC458723:TD458723 ACY458723:ACZ458723 AMU458723:AMV458723 AWQ458723:AWR458723 BGM458723:BGN458723 BQI458723:BQJ458723 CAE458723:CAF458723 CKA458723:CKB458723 CTW458723:CTX458723 DDS458723:DDT458723 DNO458723:DNP458723 DXK458723:DXL458723 EHG458723:EHH458723 ERC458723:ERD458723 FAY458723:FAZ458723 FKU458723:FKV458723 FUQ458723:FUR458723 GEM458723:GEN458723 GOI458723:GOJ458723 GYE458723:GYF458723 HIA458723:HIB458723 HRW458723:HRX458723 IBS458723:IBT458723 ILO458723:ILP458723 IVK458723:IVL458723 JFG458723:JFH458723 JPC458723:JPD458723 JYY458723:JYZ458723 KIU458723:KIV458723 KSQ458723:KSR458723 LCM458723:LCN458723 LMI458723:LMJ458723 LWE458723:LWF458723 MGA458723:MGB458723 MPW458723:MPX458723 MZS458723:MZT458723 NJO458723:NJP458723 NTK458723:NTL458723 ODG458723:ODH458723 ONC458723:OND458723 OWY458723:OWZ458723 PGU458723:PGV458723 PQQ458723:PQR458723 QAM458723:QAN458723 QKI458723:QKJ458723 QUE458723:QUF458723 REA458723:REB458723 RNW458723:RNX458723 RXS458723:RXT458723 SHO458723:SHP458723 SRK458723:SRL458723 TBG458723:TBH458723 TLC458723:TLD458723 TUY458723:TUZ458723 UEU458723:UEV458723 UOQ458723:UOR458723 UYM458723:UYN458723 VII458723:VIJ458723 VSE458723:VSF458723 WCA458723:WCB458723 WLW458723:WLX458723 WVS458723:WVT458723 K524274:L524274 JG524259:JH524259 TC524259:TD524259 ACY524259:ACZ524259 AMU524259:AMV524259 AWQ524259:AWR524259 BGM524259:BGN524259 BQI524259:BQJ524259 CAE524259:CAF524259 CKA524259:CKB524259 CTW524259:CTX524259 DDS524259:DDT524259 DNO524259:DNP524259 DXK524259:DXL524259 EHG524259:EHH524259 ERC524259:ERD524259 FAY524259:FAZ524259 FKU524259:FKV524259 FUQ524259:FUR524259 GEM524259:GEN524259 GOI524259:GOJ524259 GYE524259:GYF524259 HIA524259:HIB524259 HRW524259:HRX524259 IBS524259:IBT524259 ILO524259:ILP524259 IVK524259:IVL524259 JFG524259:JFH524259 JPC524259:JPD524259 JYY524259:JYZ524259 KIU524259:KIV524259 KSQ524259:KSR524259 LCM524259:LCN524259 LMI524259:LMJ524259 LWE524259:LWF524259 MGA524259:MGB524259 MPW524259:MPX524259 MZS524259:MZT524259 NJO524259:NJP524259 NTK524259:NTL524259 ODG524259:ODH524259 ONC524259:OND524259 OWY524259:OWZ524259 PGU524259:PGV524259 PQQ524259:PQR524259 QAM524259:QAN524259 QKI524259:QKJ524259 QUE524259:QUF524259 REA524259:REB524259 RNW524259:RNX524259 RXS524259:RXT524259 SHO524259:SHP524259 SRK524259:SRL524259 TBG524259:TBH524259 TLC524259:TLD524259 TUY524259:TUZ524259 UEU524259:UEV524259 UOQ524259:UOR524259 UYM524259:UYN524259 VII524259:VIJ524259 VSE524259:VSF524259 WCA524259:WCB524259 WLW524259:WLX524259 WVS524259:WVT524259 K589810:L589810 JG589795:JH589795 TC589795:TD589795 ACY589795:ACZ589795 AMU589795:AMV589795 AWQ589795:AWR589795 BGM589795:BGN589795 BQI589795:BQJ589795 CAE589795:CAF589795 CKA589795:CKB589795 CTW589795:CTX589795 DDS589795:DDT589795 DNO589795:DNP589795 DXK589795:DXL589795 EHG589795:EHH589795 ERC589795:ERD589795 FAY589795:FAZ589795 FKU589795:FKV589795 FUQ589795:FUR589795 GEM589795:GEN589795 GOI589795:GOJ589795 GYE589795:GYF589795 HIA589795:HIB589795 HRW589795:HRX589795 IBS589795:IBT589795 ILO589795:ILP589795 IVK589795:IVL589795 JFG589795:JFH589795 JPC589795:JPD589795 JYY589795:JYZ589795 KIU589795:KIV589795 KSQ589795:KSR589795 LCM589795:LCN589795 LMI589795:LMJ589795 LWE589795:LWF589795 MGA589795:MGB589795 MPW589795:MPX589795 MZS589795:MZT589795 NJO589795:NJP589795 NTK589795:NTL589795 ODG589795:ODH589795 ONC589795:OND589795 OWY589795:OWZ589795 PGU589795:PGV589795 PQQ589795:PQR589795 QAM589795:QAN589795 QKI589795:QKJ589795 QUE589795:QUF589795 REA589795:REB589795 RNW589795:RNX589795 RXS589795:RXT589795 SHO589795:SHP589795 SRK589795:SRL589795 TBG589795:TBH589795 TLC589795:TLD589795 TUY589795:TUZ589795 UEU589795:UEV589795 UOQ589795:UOR589795 UYM589795:UYN589795 VII589795:VIJ589795 VSE589795:VSF589795 WCA589795:WCB589795 WLW589795:WLX589795 WVS589795:WVT589795 K655346:L655346 JG655331:JH655331 TC655331:TD655331 ACY655331:ACZ655331 AMU655331:AMV655331 AWQ655331:AWR655331 BGM655331:BGN655331 BQI655331:BQJ655331 CAE655331:CAF655331 CKA655331:CKB655331 CTW655331:CTX655331 DDS655331:DDT655331 DNO655331:DNP655331 DXK655331:DXL655331 EHG655331:EHH655331 ERC655331:ERD655331 FAY655331:FAZ655331 FKU655331:FKV655331 FUQ655331:FUR655331 GEM655331:GEN655331 GOI655331:GOJ655331 GYE655331:GYF655331 HIA655331:HIB655331 HRW655331:HRX655331 IBS655331:IBT655331 ILO655331:ILP655331 IVK655331:IVL655331 JFG655331:JFH655331 JPC655331:JPD655331 JYY655331:JYZ655331 KIU655331:KIV655331 KSQ655331:KSR655331 LCM655331:LCN655331 LMI655331:LMJ655331 LWE655331:LWF655331 MGA655331:MGB655331 MPW655331:MPX655331 MZS655331:MZT655331 NJO655331:NJP655331 NTK655331:NTL655331 ODG655331:ODH655331 ONC655331:OND655331 OWY655331:OWZ655331 PGU655331:PGV655331 PQQ655331:PQR655331 QAM655331:QAN655331 QKI655331:QKJ655331 QUE655331:QUF655331 REA655331:REB655331 RNW655331:RNX655331 RXS655331:RXT655331 SHO655331:SHP655331 SRK655331:SRL655331 TBG655331:TBH655331 TLC655331:TLD655331 TUY655331:TUZ655331 UEU655331:UEV655331 UOQ655331:UOR655331 UYM655331:UYN655331 VII655331:VIJ655331 VSE655331:VSF655331 WCA655331:WCB655331 WLW655331:WLX655331 WVS655331:WVT655331 K720882:L720882 JG720867:JH720867 TC720867:TD720867 ACY720867:ACZ720867 AMU720867:AMV720867 AWQ720867:AWR720867 BGM720867:BGN720867 BQI720867:BQJ720867 CAE720867:CAF720867 CKA720867:CKB720867 CTW720867:CTX720867 DDS720867:DDT720867 DNO720867:DNP720867 DXK720867:DXL720867 EHG720867:EHH720867 ERC720867:ERD720867 FAY720867:FAZ720867 FKU720867:FKV720867 FUQ720867:FUR720867 GEM720867:GEN720867 GOI720867:GOJ720867 GYE720867:GYF720867 HIA720867:HIB720867 HRW720867:HRX720867 IBS720867:IBT720867 ILO720867:ILP720867 IVK720867:IVL720867 JFG720867:JFH720867 JPC720867:JPD720867 JYY720867:JYZ720867 KIU720867:KIV720867 KSQ720867:KSR720867 LCM720867:LCN720867 LMI720867:LMJ720867 LWE720867:LWF720867 MGA720867:MGB720867 MPW720867:MPX720867 MZS720867:MZT720867 NJO720867:NJP720867 NTK720867:NTL720867 ODG720867:ODH720867 ONC720867:OND720867 OWY720867:OWZ720867 PGU720867:PGV720867 PQQ720867:PQR720867 QAM720867:QAN720867 QKI720867:QKJ720867 QUE720867:QUF720867 REA720867:REB720867 RNW720867:RNX720867 RXS720867:RXT720867 SHO720867:SHP720867 SRK720867:SRL720867 TBG720867:TBH720867 TLC720867:TLD720867 TUY720867:TUZ720867 UEU720867:UEV720867 UOQ720867:UOR720867 UYM720867:UYN720867 VII720867:VIJ720867 VSE720867:VSF720867 WCA720867:WCB720867 WLW720867:WLX720867 WVS720867:WVT720867 K786418:L786418 JG786403:JH786403 TC786403:TD786403 ACY786403:ACZ786403 AMU786403:AMV786403 AWQ786403:AWR786403 BGM786403:BGN786403 BQI786403:BQJ786403 CAE786403:CAF786403 CKA786403:CKB786403 CTW786403:CTX786403 DDS786403:DDT786403 DNO786403:DNP786403 DXK786403:DXL786403 EHG786403:EHH786403 ERC786403:ERD786403 FAY786403:FAZ786403 FKU786403:FKV786403 FUQ786403:FUR786403 GEM786403:GEN786403 GOI786403:GOJ786403 GYE786403:GYF786403 HIA786403:HIB786403 HRW786403:HRX786403 IBS786403:IBT786403 ILO786403:ILP786403 IVK786403:IVL786403 JFG786403:JFH786403 JPC786403:JPD786403 JYY786403:JYZ786403 KIU786403:KIV786403 KSQ786403:KSR786403 LCM786403:LCN786403 LMI786403:LMJ786403 LWE786403:LWF786403 MGA786403:MGB786403 MPW786403:MPX786403 MZS786403:MZT786403 NJO786403:NJP786403 NTK786403:NTL786403 ODG786403:ODH786403 ONC786403:OND786403 OWY786403:OWZ786403 PGU786403:PGV786403 PQQ786403:PQR786403 QAM786403:QAN786403 QKI786403:QKJ786403 QUE786403:QUF786403 REA786403:REB786403 RNW786403:RNX786403 RXS786403:RXT786403 SHO786403:SHP786403 SRK786403:SRL786403 TBG786403:TBH786403 TLC786403:TLD786403 TUY786403:TUZ786403 UEU786403:UEV786403 UOQ786403:UOR786403 UYM786403:UYN786403 VII786403:VIJ786403 VSE786403:VSF786403 WCA786403:WCB786403 WLW786403:WLX786403 WVS786403:WVT786403 K851954:L851954 JG851939:JH851939 TC851939:TD851939 ACY851939:ACZ851939 AMU851939:AMV851939 AWQ851939:AWR851939 BGM851939:BGN851939 BQI851939:BQJ851939 CAE851939:CAF851939 CKA851939:CKB851939 CTW851939:CTX851939 DDS851939:DDT851939 DNO851939:DNP851939 DXK851939:DXL851939 EHG851939:EHH851939 ERC851939:ERD851939 FAY851939:FAZ851939 FKU851939:FKV851939 FUQ851939:FUR851939 GEM851939:GEN851939 GOI851939:GOJ851939 GYE851939:GYF851939 HIA851939:HIB851939 HRW851939:HRX851939 IBS851939:IBT851939 ILO851939:ILP851939 IVK851939:IVL851939 JFG851939:JFH851939 JPC851939:JPD851939 JYY851939:JYZ851939 KIU851939:KIV851939 KSQ851939:KSR851939 LCM851939:LCN851939 LMI851939:LMJ851939 LWE851939:LWF851939 MGA851939:MGB851939 MPW851939:MPX851939 MZS851939:MZT851939 NJO851939:NJP851939 NTK851939:NTL851939 ODG851939:ODH851939 ONC851939:OND851939 OWY851939:OWZ851939 PGU851939:PGV851939 PQQ851939:PQR851939 QAM851939:QAN851939 QKI851939:QKJ851939 QUE851939:QUF851939 REA851939:REB851939 RNW851939:RNX851939 RXS851939:RXT851939 SHO851939:SHP851939 SRK851939:SRL851939 TBG851939:TBH851939 TLC851939:TLD851939 TUY851939:TUZ851939 UEU851939:UEV851939 UOQ851939:UOR851939 UYM851939:UYN851939 VII851939:VIJ851939 VSE851939:VSF851939 WCA851939:WCB851939 WLW851939:WLX851939 WVS851939:WVT851939 K917490:L917490 JG917475:JH917475 TC917475:TD917475 ACY917475:ACZ917475 AMU917475:AMV917475 AWQ917475:AWR917475 BGM917475:BGN917475 BQI917475:BQJ917475 CAE917475:CAF917475 CKA917475:CKB917475 CTW917475:CTX917475 DDS917475:DDT917475 DNO917475:DNP917475 DXK917475:DXL917475 EHG917475:EHH917475 ERC917475:ERD917475 FAY917475:FAZ917475 FKU917475:FKV917475 FUQ917475:FUR917475 GEM917475:GEN917475 GOI917475:GOJ917475 GYE917475:GYF917475 HIA917475:HIB917475 HRW917475:HRX917475 IBS917475:IBT917475 ILO917475:ILP917475 IVK917475:IVL917475 JFG917475:JFH917475 JPC917475:JPD917475 JYY917475:JYZ917475 KIU917475:KIV917475 KSQ917475:KSR917475 LCM917475:LCN917475 LMI917475:LMJ917475 LWE917475:LWF917475 MGA917475:MGB917475 MPW917475:MPX917475 MZS917475:MZT917475 NJO917475:NJP917475 NTK917475:NTL917475 ODG917475:ODH917475 ONC917475:OND917475 OWY917475:OWZ917475 PGU917475:PGV917475 PQQ917475:PQR917475 QAM917475:QAN917475 QKI917475:QKJ917475 QUE917475:QUF917475 REA917475:REB917475 RNW917475:RNX917475 RXS917475:RXT917475 SHO917475:SHP917475 SRK917475:SRL917475 TBG917475:TBH917475 TLC917475:TLD917475 TUY917475:TUZ917475 UEU917475:UEV917475 UOQ917475:UOR917475 UYM917475:UYN917475 VII917475:VIJ917475 VSE917475:VSF917475 WCA917475:WCB917475 WLW917475:WLX917475 WVS917475:WVT917475 K983026:L983026 JG983011:JH983011 TC983011:TD983011 ACY983011:ACZ983011 AMU983011:AMV983011 AWQ983011:AWR983011 BGM983011:BGN983011 BQI983011:BQJ983011 CAE983011:CAF983011 CKA983011:CKB983011 CTW983011:CTX983011 DDS983011:DDT983011 DNO983011:DNP983011 DXK983011:DXL983011 EHG983011:EHH983011 ERC983011:ERD983011 FAY983011:FAZ983011 FKU983011:FKV983011 FUQ983011:FUR983011 GEM983011:GEN983011 GOI983011:GOJ983011 GYE983011:GYF983011 HIA983011:HIB983011 HRW983011:HRX983011 IBS983011:IBT983011 ILO983011:ILP983011 IVK983011:IVL983011 JFG983011:JFH983011 JPC983011:JPD983011 JYY983011:JYZ983011 KIU983011:KIV983011 KSQ983011:KSR983011 LCM983011:LCN983011 LMI983011:LMJ983011 LWE983011:LWF983011 MGA983011:MGB983011 MPW983011:MPX983011 MZS983011:MZT983011 NJO983011:NJP983011 NTK983011:NTL983011 ODG983011:ODH983011 ONC983011:OND983011 OWY983011:OWZ983011 PGU983011:PGV983011 PQQ983011:PQR983011 QAM983011:QAN983011 QKI983011:QKJ983011 QUE983011:QUF983011 REA983011:REB983011 RNW983011:RNX983011 RXS983011:RXT983011 SHO983011:SHP983011 SRK983011:SRL983011 TBG983011:TBH983011 TLC983011:TLD983011 TUY983011:TUZ983011 UEU983011:UEV983011 UOQ983011:UOR983011 UYM983011:UYN983011 VII983011:VIJ983011 VSE983011:VSF983011 WCA983011:WCB983011 WLW983011:WLX983011 WVS983011:WVT983011 WLW983014:WLX983014 K65554:L65554 JG65539:JH65539 TC65539:TD65539 ACY65539:ACZ65539 AMU65539:AMV65539 AWQ65539:AWR65539 BGM65539:BGN65539 BQI65539:BQJ65539 CAE65539:CAF65539 CKA65539:CKB65539 CTW65539:CTX65539 DDS65539:DDT65539 DNO65539:DNP65539 DXK65539:DXL65539 EHG65539:EHH65539 ERC65539:ERD65539 FAY65539:FAZ65539 FKU65539:FKV65539 FUQ65539:FUR65539 GEM65539:GEN65539 GOI65539:GOJ65539 GYE65539:GYF65539 HIA65539:HIB65539 HRW65539:HRX65539 IBS65539:IBT65539 ILO65539:ILP65539 IVK65539:IVL65539 JFG65539:JFH65539 JPC65539:JPD65539 JYY65539:JYZ65539 KIU65539:KIV65539 KSQ65539:KSR65539 LCM65539:LCN65539 LMI65539:LMJ65539 LWE65539:LWF65539 MGA65539:MGB65539 MPW65539:MPX65539 MZS65539:MZT65539 NJO65539:NJP65539 NTK65539:NTL65539 ODG65539:ODH65539 ONC65539:OND65539 OWY65539:OWZ65539 PGU65539:PGV65539 PQQ65539:PQR65539 QAM65539:QAN65539 QKI65539:QKJ65539 QUE65539:QUF65539 REA65539:REB65539 RNW65539:RNX65539 RXS65539:RXT65539 SHO65539:SHP65539 SRK65539:SRL65539 TBG65539:TBH65539 TLC65539:TLD65539 TUY65539:TUZ65539 UEU65539:UEV65539 UOQ65539:UOR65539 UYM65539:UYN65539 VII65539:VIJ65539 VSE65539:VSF65539 WCA65539:WCB65539 WLW65539:WLX65539 WVS65539:WVT65539 K131090:L131090 JG131075:JH131075 TC131075:TD131075 ACY131075:ACZ131075 AMU131075:AMV131075 AWQ131075:AWR131075 BGM131075:BGN131075 BQI131075:BQJ131075 CAE131075:CAF131075 CKA131075:CKB131075 CTW131075:CTX131075 DDS131075:DDT131075 DNO131075:DNP131075 DXK131075:DXL131075 EHG131075:EHH131075 ERC131075:ERD131075 FAY131075:FAZ131075 FKU131075:FKV131075 FUQ131075:FUR131075 GEM131075:GEN131075 GOI131075:GOJ131075 GYE131075:GYF131075 HIA131075:HIB131075 HRW131075:HRX131075 IBS131075:IBT131075 ILO131075:ILP131075 IVK131075:IVL131075 JFG131075:JFH131075 JPC131075:JPD131075 JYY131075:JYZ131075 KIU131075:KIV131075 KSQ131075:KSR131075 LCM131075:LCN131075 LMI131075:LMJ131075 LWE131075:LWF131075 MGA131075:MGB131075 MPW131075:MPX131075 MZS131075:MZT131075 NJO131075:NJP131075 NTK131075:NTL131075 ODG131075:ODH131075 ONC131075:OND131075 OWY131075:OWZ131075 PGU131075:PGV131075 PQQ131075:PQR131075 QAM131075:QAN131075 QKI131075:QKJ131075 QUE131075:QUF131075 REA131075:REB131075 RNW131075:RNX131075 RXS131075:RXT131075 SHO131075:SHP131075 SRK131075:SRL131075 TBG131075:TBH131075 TLC131075:TLD131075 TUY131075:TUZ131075 UEU131075:UEV131075 UOQ131075:UOR131075 UYM131075:UYN131075 VII131075:VIJ131075 VSE131075:VSF131075 WCA131075:WCB131075 WLW131075:WLX131075 WVS131075:WVT131075 K196626:L196626 JG196611:JH196611 TC196611:TD196611 ACY196611:ACZ196611 AMU196611:AMV196611 AWQ196611:AWR196611 BGM196611:BGN196611 BQI196611:BQJ196611 CAE196611:CAF196611 CKA196611:CKB196611 CTW196611:CTX196611 DDS196611:DDT196611 DNO196611:DNP196611 DXK196611:DXL196611 EHG196611:EHH196611 ERC196611:ERD196611 FAY196611:FAZ196611 FKU196611:FKV196611 FUQ196611:FUR196611 GEM196611:GEN196611 GOI196611:GOJ196611 GYE196611:GYF196611 HIA196611:HIB196611 HRW196611:HRX196611 IBS196611:IBT196611 ILO196611:ILP196611 IVK196611:IVL196611 JFG196611:JFH196611 JPC196611:JPD196611 JYY196611:JYZ196611 KIU196611:KIV196611 KSQ196611:KSR196611 LCM196611:LCN196611 LMI196611:LMJ196611 LWE196611:LWF196611 MGA196611:MGB196611 MPW196611:MPX196611 MZS196611:MZT196611 NJO196611:NJP196611 NTK196611:NTL196611 ODG196611:ODH196611 ONC196611:OND196611 OWY196611:OWZ196611 PGU196611:PGV196611 PQQ196611:PQR196611 QAM196611:QAN196611 QKI196611:QKJ196611 QUE196611:QUF196611 REA196611:REB196611 RNW196611:RNX196611 RXS196611:RXT196611 SHO196611:SHP196611 SRK196611:SRL196611 TBG196611:TBH196611 TLC196611:TLD196611 TUY196611:TUZ196611 UEU196611:UEV196611 UOQ196611:UOR196611 UYM196611:UYN196611 VII196611:VIJ196611 VSE196611:VSF196611 WCA196611:WCB196611 WLW196611:WLX196611 WVS196611:WVT196611 K262162:L262162 JG262147:JH262147 TC262147:TD262147 ACY262147:ACZ262147 AMU262147:AMV262147 AWQ262147:AWR262147 BGM262147:BGN262147 BQI262147:BQJ262147 CAE262147:CAF262147 CKA262147:CKB262147 CTW262147:CTX262147 DDS262147:DDT262147 DNO262147:DNP262147 DXK262147:DXL262147 EHG262147:EHH262147 ERC262147:ERD262147 FAY262147:FAZ262147 FKU262147:FKV262147 FUQ262147:FUR262147 GEM262147:GEN262147 GOI262147:GOJ262147 GYE262147:GYF262147 HIA262147:HIB262147 HRW262147:HRX262147 IBS262147:IBT262147 ILO262147:ILP262147 IVK262147:IVL262147 JFG262147:JFH262147 JPC262147:JPD262147 JYY262147:JYZ262147 KIU262147:KIV262147 KSQ262147:KSR262147 LCM262147:LCN262147 LMI262147:LMJ262147 LWE262147:LWF262147 MGA262147:MGB262147 MPW262147:MPX262147 MZS262147:MZT262147 NJO262147:NJP262147 NTK262147:NTL262147 ODG262147:ODH262147 ONC262147:OND262147 OWY262147:OWZ262147 PGU262147:PGV262147 PQQ262147:PQR262147 QAM262147:QAN262147 QKI262147:QKJ262147 QUE262147:QUF262147 REA262147:REB262147 RNW262147:RNX262147 RXS262147:RXT262147 SHO262147:SHP262147 SRK262147:SRL262147 TBG262147:TBH262147 TLC262147:TLD262147 TUY262147:TUZ262147 UEU262147:UEV262147 UOQ262147:UOR262147 UYM262147:UYN262147 VII262147:VIJ262147 VSE262147:VSF262147 WCA262147:WCB262147 WLW262147:WLX262147 WVS262147:WVT262147 K327698:L327698 JG327683:JH327683 TC327683:TD327683 ACY327683:ACZ327683 AMU327683:AMV327683 AWQ327683:AWR327683 BGM327683:BGN327683 BQI327683:BQJ327683 CAE327683:CAF327683 CKA327683:CKB327683 CTW327683:CTX327683 DDS327683:DDT327683 DNO327683:DNP327683 DXK327683:DXL327683 EHG327683:EHH327683 ERC327683:ERD327683 FAY327683:FAZ327683 FKU327683:FKV327683 FUQ327683:FUR327683 GEM327683:GEN327683 GOI327683:GOJ327683 GYE327683:GYF327683 HIA327683:HIB327683 HRW327683:HRX327683 IBS327683:IBT327683 ILO327683:ILP327683 IVK327683:IVL327683 JFG327683:JFH327683 JPC327683:JPD327683 JYY327683:JYZ327683 KIU327683:KIV327683 KSQ327683:KSR327683 LCM327683:LCN327683 LMI327683:LMJ327683 LWE327683:LWF327683 MGA327683:MGB327683 MPW327683:MPX327683 MZS327683:MZT327683 NJO327683:NJP327683 NTK327683:NTL327683 ODG327683:ODH327683 ONC327683:OND327683 OWY327683:OWZ327683 PGU327683:PGV327683 PQQ327683:PQR327683 QAM327683:QAN327683 QKI327683:QKJ327683 QUE327683:QUF327683 REA327683:REB327683 RNW327683:RNX327683 RXS327683:RXT327683 SHO327683:SHP327683 SRK327683:SRL327683 TBG327683:TBH327683 TLC327683:TLD327683 TUY327683:TUZ327683 UEU327683:UEV327683 UOQ327683:UOR327683 UYM327683:UYN327683 VII327683:VIJ327683 VSE327683:VSF327683 WCA327683:WCB327683 WLW327683:WLX327683 WVS327683:WVT327683 K393234:L393234 JG393219:JH393219 TC393219:TD393219 ACY393219:ACZ393219 AMU393219:AMV393219 AWQ393219:AWR393219 BGM393219:BGN393219 BQI393219:BQJ393219 CAE393219:CAF393219 CKA393219:CKB393219 CTW393219:CTX393219 DDS393219:DDT393219 DNO393219:DNP393219 DXK393219:DXL393219 EHG393219:EHH393219 ERC393219:ERD393219 FAY393219:FAZ393219 FKU393219:FKV393219 FUQ393219:FUR393219 GEM393219:GEN393219 GOI393219:GOJ393219 GYE393219:GYF393219 HIA393219:HIB393219 HRW393219:HRX393219 IBS393219:IBT393219 ILO393219:ILP393219 IVK393219:IVL393219 JFG393219:JFH393219 JPC393219:JPD393219 JYY393219:JYZ393219 KIU393219:KIV393219 KSQ393219:KSR393219 LCM393219:LCN393219 LMI393219:LMJ393219 LWE393219:LWF393219 MGA393219:MGB393219 MPW393219:MPX393219 MZS393219:MZT393219 NJO393219:NJP393219 NTK393219:NTL393219 ODG393219:ODH393219 ONC393219:OND393219 OWY393219:OWZ393219 PGU393219:PGV393219 PQQ393219:PQR393219 QAM393219:QAN393219 QKI393219:QKJ393219 QUE393219:QUF393219 REA393219:REB393219 RNW393219:RNX393219 RXS393219:RXT393219 SHO393219:SHP393219 SRK393219:SRL393219 TBG393219:TBH393219 TLC393219:TLD393219 TUY393219:TUZ393219 UEU393219:UEV393219 UOQ393219:UOR393219 UYM393219:UYN393219 VII393219:VIJ393219 VSE393219:VSF393219 WCA393219:WCB393219 WLW393219:WLX393219 WVS393219:WVT393219 K458770:L458770 JG458755:JH458755 TC458755:TD458755 ACY458755:ACZ458755 AMU458755:AMV458755 AWQ458755:AWR458755 BGM458755:BGN458755 BQI458755:BQJ458755 CAE458755:CAF458755 CKA458755:CKB458755 CTW458755:CTX458755 DDS458755:DDT458755 DNO458755:DNP458755 DXK458755:DXL458755 EHG458755:EHH458755 ERC458755:ERD458755 FAY458755:FAZ458755 FKU458755:FKV458755 FUQ458755:FUR458755 GEM458755:GEN458755 GOI458755:GOJ458755 GYE458755:GYF458755 HIA458755:HIB458755 HRW458755:HRX458755 IBS458755:IBT458755 ILO458755:ILP458755 IVK458755:IVL458755 JFG458755:JFH458755 JPC458755:JPD458755 JYY458755:JYZ458755 KIU458755:KIV458755 KSQ458755:KSR458755 LCM458755:LCN458755 LMI458755:LMJ458755 LWE458755:LWF458755 MGA458755:MGB458755 MPW458755:MPX458755 MZS458755:MZT458755 NJO458755:NJP458755 NTK458755:NTL458755 ODG458755:ODH458755 ONC458755:OND458755 OWY458755:OWZ458755 PGU458755:PGV458755 PQQ458755:PQR458755 QAM458755:QAN458755 QKI458755:QKJ458755 QUE458755:QUF458755 REA458755:REB458755 RNW458755:RNX458755 RXS458755:RXT458755 SHO458755:SHP458755 SRK458755:SRL458755 TBG458755:TBH458755 TLC458755:TLD458755 TUY458755:TUZ458755 UEU458755:UEV458755 UOQ458755:UOR458755 UYM458755:UYN458755 VII458755:VIJ458755 VSE458755:VSF458755 WCA458755:WCB458755 WLW458755:WLX458755 WVS458755:WVT458755 K524306:L524306 JG524291:JH524291 TC524291:TD524291 ACY524291:ACZ524291 AMU524291:AMV524291 AWQ524291:AWR524291 BGM524291:BGN524291 BQI524291:BQJ524291 CAE524291:CAF524291 CKA524291:CKB524291 CTW524291:CTX524291 DDS524291:DDT524291 DNO524291:DNP524291 DXK524291:DXL524291 EHG524291:EHH524291 ERC524291:ERD524291 FAY524291:FAZ524291 FKU524291:FKV524291 FUQ524291:FUR524291 GEM524291:GEN524291 GOI524291:GOJ524291 GYE524291:GYF524291 HIA524291:HIB524291 HRW524291:HRX524291 IBS524291:IBT524291 ILO524291:ILP524291 IVK524291:IVL524291 JFG524291:JFH524291 JPC524291:JPD524291 JYY524291:JYZ524291 KIU524291:KIV524291 KSQ524291:KSR524291 LCM524291:LCN524291 LMI524291:LMJ524291 LWE524291:LWF524291 MGA524291:MGB524291 MPW524291:MPX524291 MZS524291:MZT524291 NJO524291:NJP524291 NTK524291:NTL524291 ODG524291:ODH524291 ONC524291:OND524291 OWY524291:OWZ524291 PGU524291:PGV524291 PQQ524291:PQR524291 QAM524291:QAN524291 QKI524291:QKJ524291 QUE524291:QUF524291 REA524291:REB524291 RNW524291:RNX524291 RXS524291:RXT524291 SHO524291:SHP524291 SRK524291:SRL524291 TBG524291:TBH524291 TLC524291:TLD524291 TUY524291:TUZ524291 UEU524291:UEV524291 UOQ524291:UOR524291 UYM524291:UYN524291 VII524291:VIJ524291 VSE524291:VSF524291 WCA524291:WCB524291 WLW524291:WLX524291 WVS524291:WVT524291 K589842:L589842 JG589827:JH589827 TC589827:TD589827 ACY589827:ACZ589827 AMU589827:AMV589827 AWQ589827:AWR589827 BGM589827:BGN589827 BQI589827:BQJ589827 CAE589827:CAF589827 CKA589827:CKB589827 CTW589827:CTX589827 DDS589827:DDT589827 DNO589827:DNP589827 DXK589827:DXL589827 EHG589827:EHH589827 ERC589827:ERD589827 FAY589827:FAZ589827 FKU589827:FKV589827 FUQ589827:FUR589827 GEM589827:GEN589827 GOI589827:GOJ589827 GYE589827:GYF589827 HIA589827:HIB589827 HRW589827:HRX589827 IBS589827:IBT589827 ILO589827:ILP589827 IVK589827:IVL589827 JFG589827:JFH589827 JPC589827:JPD589827 JYY589827:JYZ589827 KIU589827:KIV589827 KSQ589827:KSR589827 LCM589827:LCN589827 LMI589827:LMJ589827 LWE589827:LWF589827 MGA589827:MGB589827 MPW589827:MPX589827 MZS589827:MZT589827 NJO589827:NJP589827 NTK589827:NTL589827 ODG589827:ODH589827 ONC589827:OND589827 OWY589827:OWZ589827 PGU589827:PGV589827 PQQ589827:PQR589827 QAM589827:QAN589827 QKI589827:QKJ589827 QUE589827:QUF589827 REA589827:REB589827 RNW589827:RNX589827 RXS589827:RXT589827 SHO589827:SHP589827 SRK589827:SRL589827 TBG589827:TBH589827 TLC589827:TLD589827 TUY589827:TUZ589827 UEU589827:UEV589827 UOQ589827:UOR589827 UYM589827:UYN589827 VII589827:VIJ589827 VSE589827:VSF589827 WCA589827:WCB589827 WLW589827:WLX589827 WVS589827:WVT589827 K655378:L655378 JG655363:JH655363 TC655363:TD655363 ACY655363:ACZ655363 AMU655363:AMV655363 AWQ655363:AWR655363 BGM655363:BGN655363 BQI655363:BQJ655363 CAE655363:CAF655363 CKA655363:CKB655363 CTW655363:CTX655363 DDS655363:DDT655363 DNO655363:DNP655363 DXK655363:DXL655363 EHG655363:EHH655363 ERC655363:ERD655363 FAY655363:FAZ655363 FKU655363:FKV655363 FUQ655363:FUR655363 GEM655363:GEN655363 GOI655363:GOJ655363 GYE655363:GYF655363 HIA655363:HIB655363 HRW655363:HRX655363 IBS655363:IBT655363 ILO655363:ILP655363 IVK655363:IVL655363 JFG655363:JFH655363 JPC655363:JPD655363 JYY655363:JYZ655363 KIU655363:KIV655363 KSQ655363:KSR655363 LCM655363:LCN655363 LMI655363:LMJ655363 LWE655363:LWF655363 MGA655363:MGB655363 MPW655363:MPX655363 MZS655363:MZT655363 NJO655363:NJP655363 NTK655363:NTL655363 ODG655363:ODH655363 ONC655363:OND655363 OWY655363:OWZ655363 PGU655363:PGV655363 PQQ655363:PQR655363 QAM655363:QAN655363 QKI655363:QKJ655363 QUE655363:QUF655363 REA655363:REB655363 RNW655363:RNX655363 RXS655363:RXT655363 SHO655363:SHP655363 SRK655363:SRL655363 TBG655363:TBH655363 TLC655363:TLD655363 TUY655363:TUZ655363 UEU655363:UEV655363 UOQ655363:UOR655363 UYM655363:UYN655363 VII655363:VIJ655363 VSE655363:VSF655363 WCA655363:WCB655363 WLW655363:WLX655363 WVS655363:WVT655363 K720914:L720914 JG720899:JH720899 TC720899:TD720899 ACY720899:ACZ720899 AMU720899:AMV720899 AWQ720899:AWR720899 BGM720899:BGN720899 BQI720899:BQJ720899 CAE720899:CAF720899 CKA720899:CKB720899 CTW720899:CTX720899 DDS720899:DDT720899 DNO720899:DNP720899 DXK720899:DXL720899 EHG720899:EHH720899 ERC720899:ERD720899 FAY720899:FAZ720899 FKU720899:FKV720899 FUQ720899:FUR720899 GEM720899:GEN720899 GOI720899:GOJ720899 GYE720899:GYF720899 HIA720899:HIB720899 HRW720899:HRX720899 IBS720899:IBT720899 ILO720899:ILP720899 IVK720899:IVL720899 JFG720899:JFH720899 JPC720899:JPD720899 JYY720899:JYZ720899 KIU720899:KIV720899 KSQ720899:KSR720899 LCM720899:LCN720899 LMI720899:LMJ720899 LWE720899:LWF720899 MGA720899:MGB720899 MPW720899:MPX720899 MZS720899:MZT720899 NJO720899:NJP720899 NTK720899:NTL720899 ODG720899:ODH720899 ONC720899:OND720899 OWY720899:OWZ720899 PGU720899:PGV720899 PQQ720899:PQR720899 QAM720899:QAN720899 QKI720899:QKJ720899 QUE720899:QUF720899 REA720899:REB720899 RNW720899:RNX720899 RXS720899:RXT720899 SHO720899:SHP720899 SRK720899:SRL720899 TBG720899:TBH720899 TLC720899:TLD720899 TUY720899:TUZ720899 UEU720899:UEV720899 UOQ720899:UOR720899 UYM720899:UYN720899 VII720899:VIJ720899 VSE720899:VSF720899 WCA720899:WCB720899 WLW720899:WLX720899 WVS720899:WVT720899 K786450:L786450 JG786435:JH786435 TC786435:TD786435 ACY786435:ACZ786435 AMU786435:AMV786435 AWQ786435:AWR786435 BGM786435:BGN786435 BQI786435:BQJ786435 CAE786435:CAF786435 CKA786435:CKB786435 CTW786435:CTX786435 DDS786435:DDT786435 DNO786435:DNP786435 DXK786435:DXL786435 EHG786435:EHH786435 ERC786435:ERD786435 FAY786435:FAZ786435 FKU786435:FKV786435 FUQ786435:FUR786435 GEM786435:GEN786435 GOI786435:GOJ786435 GYE786435:GYF786435 HIA786435:HIB786435 HRW786435:HRX786435 IBS786435:IBT786435 ILO786435:ILP786435 IVK786435:IVL786435 JFG786435:JFH786435 JPC786435:JPD786435 JYY786435:JYZ786435 KIU786435:KIV786435 KSQ786435:KSR786435 LCM786435:LCN786435 LMI786435:LMJ786435 LWE786435:LWF786435 MGA786435:MGB786435 MPW786435:MPX786435 MZS786435:MZT786435 NJO786435:NJP786435 NTK786435:NTL786435 ODG786435:ODH786435 ONC786435:OND786435 OWY786435:OWZ786435 PGU786435:PGV786435 PQQ786435:PQR786435 QAM786435:QAN786435 QKI786435:QKJ786435 QUE786435:QUF786435 REA786435:REB786435 RNW786435:RNX786435 RXS786435:RXT786435 SHO786435:SHP786435 SRK786435:SRL786435 TBG786435:TBH786435 TLC786435:TLD786435 TUY786435:TUZ786435 UEU786435:UEV786435 UOQ786435:UOR786435 UYM786435:UYN786435 VII786435:VIJ786435 VSE786435:VSF786435 WCA786435:WCB786435 WLW786435:WLX786435 WVS786435:WVT786435 K851986:L851986 JG851971:JH851971 TC851971:TD851971 ACY851971:ACZ851971 AMU851971:AMV851971 AWQ851971:AWR851971 BGM851971:BGN851971 BQI851971:BQJ851971 CAE851971:CAF851971 CKA851971:CKB851971 CTW851971:CTX851971 DDS851971:DDT851971 DNO851971:DNP851971 DXK851971:DXL851971 EHG851971:EHH851971 ERC851971:ERD851971 FAY851971:FAZ851971 FKU851971:FKV851971 FUQ851971:FUR851971 GEM851971:GEN851971 GOI851971:GOJ851971 GYE851971:GYF851971 HIA851971:HIB851971 HRW851971:HRX851971 IBS851971:IBT851971 ILO851971:ILP851971 IVK851971:IVL851971 JFG851971:JFH851971 JPC851971:JPD851971 JYY851971:JYZ851971 KIU851971:KIV851971 KSQ851971:KSR851971 LCM851971:LCN851971 LMI851971:LMJ851971 LWE851971:LWF851971 MGA851971:MGB851971 MPW851971:MPX851971 MZS851971:MZT851971 NJO851971:NJP851971 NTK851971:NTL851971 ODG851971:ODH851971 ONC851971:OND851971 OWY851971:OWZ851971 PGU851971:PGV851971 PQQ851971:PQR851971 QAM851971:QAN851971 QKI851971:QKJ851971 QUE851971:QUF851971 REA851971:REB851971 RNW851971:RNX851971 RXS851971:RXT851971 SHO851971:SHP851971 SRK851971:SRL851971 TBG851971:TBH851971 TLC851971:TLD851971 TUY851971:TUZ851971 UEU851971:UEV851971 UOQ851971:UOR851971 UYM851971:UYN851971 VII851971:VIJ851971 VSE851971:VSF851971 WCA851971:WCB851971 WLW851971:WLX851971 WVS851971:WVT851971 K917522:L917522 JG917507:JH917507 TC917507:TD917507 ACY917507:ACZ917507 AMU917507:AMV917507 AWQ917507:AWR917507 BGM917507:BGN917507 BQI917507:BQJ917507 CAE917507:CAF917507 CKA917507:CKB917507 CTW917507:CTX917507 DDS917507:DDT917507 DNO917507:DNP917507 DXK917507:DXL917507 EHG917507:EHH917507 ERC917507:ERD917507 FAY917507:FAZ917507 FKU917507:FKV917507 FUQ917507:FUR917507 GEM917507:GEN917507 GOI917507:GOJ917507 GYE917507:GYF917507 HIA917507:HIB917507 HRW917507:HRX917507 IBS917507:IBT917507 ILO917507:ILP917507 IVK917507:IVL917507 JFG917507:JFH917507 JPC917507:JPD917507 JYY917507:JYZ917507 KIU917507:KIV917507 KSQ917507:KSR917507 LCM917507:LCN917507 LMI917507:LMJ917507 LWE917507:LWF917507 MGA917507:MGB917507 MPW917507:MPX917507 MZS917507:MZT917507 NJO917507:NJP917507 NTK917507:NTL917507 ODG917507:ODH917507 ONC917507:OND917507 OWY917507:OWZ917507 PGU917507:PGV917507 PQQ917507:PQR917507 QAM917507:QAN917507 QKI917507:QKJ917507 QUE917507:QUF917507 REA917507:REB917507 RNW917507:RNX917507 RXS917507:RXT917507 SHO917507:SHP917507 SRK917507:SRL917507 TBG917507:TBH917507 TLC917507:TLD917507 TUY917507:TUZ917507 UEU917507:UEV917507 UOQ917507:UOR917507 UYM917507:UYN917507 VII917507:VIJ917507 VSE917507:VSF917507 WCA917507:WCB917507 WLW917507:WLX917507 WVS917507:WVT917507 K983058:L983058 JG983043:JH983043 TC983043:TD983043 ACY983043:ACZ983043 AMU983043:AMV983043 AWQ983043:AWR983043 BGM983043:BGN983043 BQI983043:BQJ983043 CAE983043:CAF983043 CKA983043:CKB983043 CTW983043:CTX983043 DDS983043:DDT983043 DNO983043:DNP983043 DXK983043:DXL983043 EHG983043:EHH983043 ERC983043:ERD983043 FAY983043:FAZ983043 FKU983043:FKV983043 FUQ983043:FUR983043 GEM983043:GEN983043 GOI983043:GOJ983043 GYE983043:GYF983043 HIA983043:HIB983043 HRW983043:HRX983043 IBS983043:IBT983043 ILO983043:ILP983043 IVK983043:IVL983043 JFG983043:JFH983043 JPC983043:JPD983043 JYY983043:JYZ983043 KIU983043:KIV983043 KSQ983043:KSR983043 LCM983043:LCN983043 LMI983043:LMJ983043 LWE983043:LWF983043 MGA983043:MGB983043 MPW983043:MPX983043 MZS983043:MZT983043 NJO983043:NJP983043 NTK983043:NTL983043 ODG983043:ODH983043 ONC983043:OND983043 OWY983043:OWZ983043 PGU983043:PGV983043 PQQ983043:PQR983043 QAM983043:QAN983043 QKI983043:QKJ983043 QUE983043:QUF983043 REA983043:REB983043 RNW983043:RNX983043 RXS983043:RXT983043 SHO983043:SHP983043 SRK983043:SRL983043 TBG983043:TBH983043 TLC983043:TLD983043 TUY983043:TUZ983043 UEU983043:UEV983043 UOQ983043:UOR983043 UYM983043:UYN983043 VII983043:VIJ983043 VSE983043:VSF983043 WCA983043:WCB983043 WLW983043:WLX983043 WVS983043:WVT983043 K65525:L65525 JG65510:JH65510 TC65510:TD65510 ACY65510:ACZ65510 AMU65510:AMV65510 AWQ65510:AWR65510 BGM65510:BGN65510 BQI65510:BQJ65510 CAE65510:CAF65510 CKA65510:CKB65510 CTW65510:CTX65510 DDS65510:DDT65510 DNO65510:DNP65510 DXK65510:DXL65510 EHG65510:EHH65510 ERC65510:ERD65510 FAY65510:FAZ65510 FKU65510:FKV65510 FUQ65510:FUR65510 GEM65510:GEN65510 GOI65510:GOJ65510 GYE65510:GYF65510 HIA65510:HIB65510 HRW65510:HRX65510 IBS65510:IBT65510 ILO65510:ILP65510 IVK65510:IVL65510 JFG65510:JFH65510 JPC65510:JPD65510 JYY65510:JYZ65510 KIU65510:KIV65510 KSQ65510:KSR65510 LCM65510:LCN65510 LMI65510:LMJ65510 LWE65510:LWF65510 MGA65510:MGB65510 MPW65510:MPX65510 MZS65510:MZT65510 NJO65510:NJP65510 NTK65510:NTL65510 ODG65510:ODH65510 ONC65510:OND65510 OWY65510:OWZ65510 PGU65510:PGV65510 PQQ65510:PQR65510 QAM65510:QAN65510 QKI65510:QKJ65510 QUE65510:QUF65510 REA65510:REB65510 RNW65510:RNX65510 RXS65510:RXT65510 SHO65510:SHP65510 SRK65510:SRL65510 TBG65510:TBH65510 TLC65510:TLD65510 TUY65510:TUZ65510 UEU65510:UEV65510 UOQ65510:UOR65510 UYM65510:UYN65510 VII65510:VIJ65510 VSE65510:VSF65510 WCA65510:WCB65510 WLW65510:WLX65510 WVS65510:WVT65510 K131061:L131061 JG131046:JH131046 TC131046:TD131046 ACY131046:ACZ131046 AMU131046:AMV131046 AWQ131046:AWR131046 BGM131046:BGN131046 BQI131046:BQJ131046 CAE131046:CAF131046 CKA131046:CKB131046 CTW131046:CTX131046 DDS131046:DDT131046 DNO131046:DNP131046 DXK131046:DXL131046 EHG131046:EHH131046 ERC131046:ERD131046 FAY131046:FAZ131046 FKU131046:FKV131046 FUQ131046:FUR131046 GEM131046:GEN131046 GOI131046:GOJ131046 GYE131046:GYF131046 HIA131046:HIB131046 HRW131046:HRX131046 IBS131046:IBT131046 ILO131046:ILP131046 IVK131046:IVL131046 JFG131046:JFH131046 JPC131046:JPD131046 JYY131046:JYZ131046 KIU131046:KIV131046 KSQ131046:KSR131046 LCM131046:LCN131046 LMI131046:LMJ131046 LWE131046:LWF131046 MGA131046:MGB131046 MPW131046:MPX131046 MZS131046:MZT131046 NJO131046:NJP131046 NTK131046:NTL131046 ODG131046:ODH131046 ONC131046:OND131046 OWY131046:OWZ131046 PGU131046:PGV131046 PQQ131046:PQR131046 QAM131046:QAN131046 QKI131046:QKJ131046 QUE131046:QUF131046 REA131046:REB131046 RNW131046:RNX131046 RXS131046:RXT131046 SHO131046:SHP131046 SRK131046:SRL131046 TBG131046:TBH131046 TLC131046:TLD131046 TUY131046:TUZ131046 UEU131046:UEV131046 UOQ131046:UOR131046 UYM131046:UYN131046 VII131046:VIJ131046 VSE131046:VSF131046 WCA131046:WCB131046 WLW131046:WLX131046 WVS131046:WVT131046 K196597:L196597 JG196582:JH196582 TC196582:TD196582 ACY196582:ACZ196582 AMU196582:AMV196582 AWQ196582:AWR196582 BGM196582:BGN196582 BQI196582:BQJ196582 CAE196582:CAF196582 CKA196582:CKB196582 CTW196582:CTX196582 DDS196582:DDT196582 DNO196582:DNP196582 DXK196582:DXL196582 EHG196582:EHH196582 ERC196582:ERD196582 FAY196582:FAZ196582 FKU196582:FKV196582 FUQ196582:FUR196582 GEM196582:GEN196582 GOI196582:GOJ196582 GYE196582:GYF196582 HIA196582:HIB196582 HRW196582:HRX196582 IBS196582:IBT196582 ILO196582:ILP196582 IVK196582:IVL196582 JFG196582:JFH196582 JPC196582:JPD196582 JYY196582:JYZ196582 KIU196582:KIV196582 KSQ196582:KSR196582 LCM196582:LCN196582 LMI196582:LMJ196582 LWE196582:LWF196582 MGA196582:MGB196582 MPW196582:MPX196582 MZS196582:MZT196582 NJO196582:NJP196582 NTK196582:NTL196582 ODG196582:ODH196582 ONC196582:OND196582 OWY196582:OWZ196582 PGU196582:PGV196582 PQQ196582:PQR196582 QAM196582:QAN196582 QKI196582:QKJ196582 QUE196582:QUF196582 REA196582:REB196582 RNW196582:RNX196582 RXS196582:RXT196582 SHO196582:SHP196582 SRK196582:SRL196582 TBG196582:TBH196582 TLC196582:TLD196582 TUY196582:TUZ196582 UEU196582:UEV196582 UOQ196582:UOR196582 UYM196582:UYN196582 VII196582:VIJ196582 VSE196582:VSF196582 WCA196582:WCB196582 WLW196582:WLX196582 WVS196582:WVT196582 K262133:L262133 JG262118:JH262118 TC262118:TD262118 ACY262118:ACZ262118 AMU262118:AMV262118 AWQ262118:AWR262118 BGM262118:BGN262118 BQI262118:BQJ262118 CAE262118:CAF262118 CKA262118:CKB262118 CTW262118:CTX262118 DDS262118:DDT262118 DNO262118:DNP262118 DXK262118:DXL262118 EHG262118:EHH262118 ERC262118:ERD262118 FAY262118:FAZ262118 FKU262118:FKV262118 FUQ262118:FUR262118 GEM262118:GEN262118 GOI262118:GOJ262118 GYE262118:GYF262118 HIA262118:HIB262118 HRW262118:HRX262118 IBS262118:IBT262118 ILO262118:ILP262118 IVK262118:IVL262118 JFG262118:JFH262118 JPC262118:JPD262118 JYY262118:JYZ262118 KIU262118:KIV262118 KSQ262118:KSR262118 LCM262118:LCN262118 LMI262118:LMJ262118 LWE262118:LWF262118 MGA262118:MGB262118 MPW262118:MPX262118 MZS262118:MZT262118 NJO262118:NJP262118 NTK262118:NTL262118 ODG262118:ODH262118 ONC262118:OND262118 OWY262118:OWZ262118 PGU262118:PGV262118 PQQ262118:PQR262118 QAM262118:QAN262118 QKI262118:QKJ262118 QUE262118:QUF262118 REA262118:REB262118 RNW262118:RNX262118 RXS262118:RXT262118 SHO262118:SHP262118 SRK262118:SRL262118 TBG262118:TBH262118 TLC262118:TLD262118 TUY262118:TUZ262118 UEU262118:UEV262118 UOQ262118:UOR262118 UYM262118:UYN262118 VII262118:VIJ262118 VSE262118:VSF262118 WCA262118:WCB262118 WLW262118:WLX262118 WVS262118:WVT262118 K327669:L327669 JG327654:JH327654 TC327654:TD327654 ACY327654:ACZ327654 AMU327654:AMV327654 AWQ327654:AWR327654 BGM327654:BGN327654 BQI327654:BQJ327654 CAE327654:CAF327654 CKA327654:CKB327654 CTW327654:CTX327654 DDS327654:DDT327654 DNO327654:DNP327654 DXK327654:DXL327654 EHG327654:EHH327654 ERC327654:ERD327654 FAY327654:FAZ327654 FKU327654:FKV327654 FUQ327654:FUR327654 GEM327654:GEN327654 GOI327654:GOJ327654 GYE327654:GYF327654 HIA327654:HIB327654 HRW327654:HRX327654 IBS327654:IBT327654 ILO327654:ILP327654 IVK327654:IVL327654 JFG327654:JFH327654 JPC327654:JPD327654 JYY327654:JYZ327654 KIU327654:KIV327654 KSQ327654:KSR327654 LCM327654:LCN327654 LMI327654:LMJ327654 LWE327654:LWF327654 MGA327654:MGB327654 MPW327654:MPX327654 MZS327654:MZT327654 NJO327654:NJP327654 NTK327654:NTL327654 ODG327654:ODH327654 ONC327654:OND327654 OWY327654:OWZ327654 PGU327654:PGV327654 PQQ327654:PQR327654 QAM327654:QAN327654 QKI327654:QKJ327654 QUE327654:QUF327654 REA327654:REB327654 RNW327654:RNX327654 RXS327654:RXT327654 SHO327654:SHP327654 SRK327654:SRL327654 TBG327654:TBH327654 TLC327654:TLD327654 TUY327654:TUZ327654 UEU327654:UEV327654 UOQ327654:UOR327654 UYM327654:UYN327654 VII327654:VIJ327654 VSE327654:VSF327654 WCA327654:WCB327654 WLW327654:WLX327654 WVS327654:WVT327654 K393205:L393205 JG393190:JH393190 TC393190:TD393190 ACY393190:ACZ393190 AMU393190:AMV393190 AWQ393190:AWR393190 BGM393190:BGN393190 BQI393190:BQJ393190 CAE393190:CAF393190 CKA393190:CKB393190 CTW393190:CTX393190 DDS393190:DDT393190 DNO393190:DNP393190 DXK393190:DXL393190 EHG393190:EHH393190 ERC393190:ERD393190 FAY393190:FAZ393190 FKU393190:FKV393190 FUQ393190:FUR393190 GEM393190:GEN393190 GOI393190:GOJ393190 GYE393190:GYF393190 HIA393190:HIB393190 HRW393190:HRX393190 IBS393190:IBT393190 ILO393190:ILP393190 IVK393190:IVL393190 JFG393190:JFH393190 JPC393190:JPD393190 JYY393190:JYZ393190 KIU393190:KIV393190 KSQ393190:KSR393190 LCM393190:LCN393190 LMI393190:LMJ393190 LWE393190:LWF393190 MGA393190:MGB393190 MPW393190:MPX393190 MZS393190:MZT393190 NJO393190:NJP393190 NTK393190:NTL393190 ODG393190:ODH393190 ONC393190:OND393190 OWY393190:OWZ393190 PGU393190:PGV393190 PQQ393190:PQR393190 QAM393190:QAN393190 QKI393190:QKJ393190 QUE393190:QUF393190 REA393190:REB393190 RNW393190:RNX393190 RXS393190:RXT393190 SHO393190:SHP393190 SRK393190:SRL393190 TBG393190:TBH393190 TLC393190:TLD393190 TUY393190:TUZ393190 UEU393190:UEV393190 UOQ393190:UOR393190 UYM393190:UYN393190 VII393190:VIJ393190 VSE393190:VSF393190 WCA393190:WCB393190 WLW393190:WLX393190 WVS393190:WVT393190 K458741:L458741 JG458726:JH458726 TC458726:TD458726 ACY458726:ACZ458726 AMU458726:AMV458726 AWQ458726:AWR458726 BGM458726:BGN458726 BQI458726:BQJ458726 CAE458726:CAF458726 CKA458726:CKB458726 CTW458726:CTX458726 DDS458726:DDT458726 DNO458726:DNP458726 DXK458726:DXL458726 EHG458726:EHH458726 ERC458726:ERD458726 FAY458726:FAZ458726 FKU458726:FKV458726 FUQ458726:FUR458726 GEM458726:GEN458726 GOI458726:GOJ458726 GYE458726:GYF458726 HIA458726:HIB458726 HRW458726:HRX458726 IBS458726:IBT458726 ILO458726:ILP458726 IVK458726:IVL458726 JFG458726:JFH458726 JPC458726:JPD458726 JYY458726:JYZ458726 KIU458726:KIV458726 KSQ458726:KSR458726 LCM458726:LCN458726 LMI458726:LMJ458726 LWE458726:LWF458726 MGA458726:MGB458726 MPW458726:MPX458726 MZS458726:MZT458726 NJO458726:NJP458726 NTK458726:NTL458726 ODG458726:ODH458726 ONC458726:OND458726 OWY458726:OWZ458726 PGU458726:PGV458726 PQQ458726:PQR458726 QAM458726:QAN458726 QKI458726:QKJ458726 QUE458726:QUF458726 REA458726:REB458726 RNW458726:RNX458726 RXS458726:RXT458726 SHO458726:SHP458726 SRK458726:SRL458726 TBG458726:TBH458726 TLC458726:TLD458726 TUY458726:TUZ458726 UEU458726:UEV458726 UOQ458726:UOR458726 UYM458726:UYN458726 VII458726:VIJ458726 VSE458726:VSF458726 WCA458726:WCB458726 WLW458726:WLX458726 WVS458726:WVT458726 K524277:L524277 JG524262:JH524262 TC524262:TD524262 ACY524262:ACZ524262 AMU524262:AMV524262 AWQ524262:AWR524262 BGM524262:BGN524262 BQI524262:BQJ524262 CAE524262:CAF524262 CKA524262:CKB524262 CTW524262:CTX524262 DDS524262:DDT524262 DNO524262:DNP524262 DXK524262:DXL524262 EHG524262:EHH524262 ERC524262:ERD524262 FAY524262:FAZ524262 FKU524262:FKV524262 FUQ524262:FUR524262 GEM524262:GEN524262 GOI524262:GOJ524262 GYE524262:GYF524262 HIA524262:HIB524262 HRW524262:HRX524262 IBS524262:IBT524262 ILO524262:ILP524262 IVK524262:IVL524262 JFG524262:JFH524262 JPC524262:JPD524262 JYY524262:JYZ524262 KIU524262:KIV524262 KSQ524262:KSR524262 LCM524262:LCN524262 LMI524262:LMJ524262 LWE524262:LWF524262 MGA524262:MGB524262 MPW524262:MPX524262 MZS524262:MZT524262 NJO524262:NJP524262 NTK524262:NTL524262 ODG524262:ODH524262 ONC524262:OND524262 OWY524262:OWZ524262 PGU524262:PGV524262 PQQ524262:PQR524262 QAM524262:QAN524262 QKI524262:QKJ524262 QUE524262:QUF524262 REA524262:REB524262 RNW524262:RNX524262 RXS524262:RXT524262 SHO524262:SHP524262 SRK524262:SRL524262 TBG524262:TBH524262 TLC524262:TLD524262 TUY524262:TUZ524262 UEU524262:UEV524262 UOQ524262:UOR524262 UYM524262:UYN524262 VII524262:VIJ524262 VSE524262:VSF524262 WCA524262:WCB524262 WLW524262:WLX524262 WVS524262:WVT524262 K589813:L589813 JG589798:JH589798 TC589798:TD589798 ACY589798:ACZ589798 AMU589798:AMV589798 AWQ589798:AWR589798 BGM589798:BGN589798 BQI589798:BQJ589798 CAE589798:CAF589798 CKA589798:CKB589798 CTW589798:CTX589798 DDS589798:DDT589798 DNO589798:DNP589798 DXK589798:DXL589798 EHG589798:EHH589798 ERC589798:ERD589798 FAY589798:FAZ589798 FKU589798:FKV589798 FUQ589798:FUR589798 GEM589798:GEN589798 GOI589798:GOJ589798 GYE589798:GYF589798 HIA589798:HIB589798 HRW589798:HRX589798 IBS589798:IBT589798 ILO589798:ILP589798 IVK589798:IVL589798 JFG589798:JFH589798 JPC589798:JPD589798 JYY589798:JYZ589798 KIU589798:KIV589798 KSQ589798:KSR589798 LCM589798:LCN589798 LMI589798:LMJ589798 LWE589798:LWF589798 MGA589798:MGB589798 MPW589798:MPX589798 MZS589798:MZT589798 NJO589798:NJP589798 NTK589798:NTL589798 ODG589798:ODH589798 ONC589798:OND589798 OWY589798:OWZ589798 PGU589798:PGV589798 PQQ589798:PQR589798 QAM589798:QAN589798 QKI589798:QKJ589798 QUE589798:QUF589798 REA589798:REB589798 RNW589798:RNX589798 RXS589798:RXT589798 SHO589798:SHP589798 SRK589798:SRL589798 TBG589798:TBH589798 TLC589798:TLD589798 TUY589798:TUZ589798 UEU589798:UEV589798 UOQ589798:UOR589798 UYM589798:UYN589798 VII589798:VIJ589798 VSE589798:VSF589798 WCA589798:WCB589798 WLW589798:WLX589798 WVS589798:WVT589798 K655349:L655349 JG655334:JH655334 TC655334:TD655334 ACY655334:ACZ655334 AMU655334:AMV655334 AWQ655334:AWR655334 BGM655334:BGN655334 BQI655334:BQJ655334 CAE655334:CAF655334 CKA655334:CKB655334 CTW655334:CTX655334 DDS655334:DDT655334 DNO655334:DNP655334 DXK655334:DXL655334 EHG655334:EHH655334 ERC655334:ERD655334 FAY655334:FAZ655334 FKU655334:FKV655334 FUQ655334:FUR655334 GEM655334:GEN655334 GOI655334:GOJ655334 GYE655334:GYF655334 HIA655334:HIB655334 HRW655334:HRX655334 IBS655334:IBT655334 ILO655334:ILP655334 IVK655334:IVL655334 JFG655334:JFH655334 JPC655334:JPD655334 JYY655334:JYZ655334 KIU655334:KIV655334 KSQ655334:KSR655334 LCM655334:LCN655334 LMI655334:LMJ655334 LWE655334:LWF655334 MGA655334:MGB655334 MPW655334:MPX655334 MZS655334:MZT655334 NJO655334:NJP655334 NTK655334:NTL655334 ODG655334:ODH655334 ONC655334:OND655334 OWY655334:OWZ655334 PGU655334:PGV655334 PQQ655334:PQR655334 QAM655334:QAN655334 QKI655334:QKJ655334 QUE655334:QUF655334 REA655334:REB655334 RNW655334:RNX655334 RXS655334:RXT655334 SHO655334:SHP655334 SRK655334:SRL655334 TBG655334:TBH655334 TLC655334:TLD655334 TUY655334:TUZ655334 UEU655334:UEV655334 UOQ655334:UOR655334 UYM655334:UYN655334 VII655334:VIJ655334 VSE655334:VSF655334 WCA655334:WCB655334 WLW655334:WLX655334 WVS655334:WVT655334 K720885:L720885 JG720870:JH720870 TC720870:TD720870 ACY720870:ACZ720870 AMU720870:AMV720870 AWQ720870:AWR720870 BGM720870:BGN720870 BQI720870:BQJ720870 CAE720870:CAF720870 CKA720870:CKB720870 CTW720870:CTX720870 DDS720870:DDT720870 DNO720870:DNP720870 DXK720870:DXL720870 EHG720870:EHH720870 ERC720870:ERD720870 FAY720870:FAZ720870 FKU720870:FKV720870 FUQ720870:FUR720870 GEM720870:GEN720870 GOI720870:GOJ720870 GYE720870:GYF720870 HIA720870:HIB720870 HRW720870:HRX720870 IBS720870:IBT720870 ILO720870:ILP720870 IVK720870:IVL720870 JFG720870:JFH720870 JPC720870:JPD720870 JYY720870:JYZ720870 KIU720870:KIV720870 KSQ720870:KSR720870 LCM720870:LCN720870 LMI720870:LMJ720870 LWE720870:LWF720870 MGA720870:MGB720870 MPW720870:MPX720870 MZS720870:MZT720870 NJO720870:NJP720870 NTK720870:NTL720870 ODG720870:ODH720870 ONC720870:OND720870 OWY720870:OWZ720870 PGU720870:PGV720870 PQQ720870:PQR720870 QAM720870:QAN720870 QKI720870:QKJ720870 QUE720870:QUF720870 REA720870:REB720870 RNW720870:RNX720870 RXS720870:RXT720870 SHO720870:SHP720870 SRK720870:SRL720870 TBG720870:TBH720870 TLC720870:TLD720870 TUY720870:TUZ720870 UEU720870:UEV720870 UOQ720870:UOR720870 UYM720870:UYN720870 VII720870:VIJ720870 VSE720870:VSF720870 WCA720870:WCB720870 WLW720870:WLX720870 WVS720870:WVT720870 K786421:L786421 JG786406:JH786406 TC786406:TD786406 ACY786406:ACZ786406 AMU786406:AMV786406 AWQ786406:AWR786406 BGM786406:BGN786406 BQI786406:BQJ786406 CAE786406:CAF786406 CKA786406:CKB786406 CTW786406:CTX786406 DDS786406:DDT786406 DNO786406:DNP786406 DXK786406:DXL786406 EHG786406:EHH786406 ERC786406:ERD786406 FAY786406:FAZ786406 FKU786406:FKV786406 FUQ786406:FUR786406 GEM786406:GEN786406 GOI786406:GOJ786406 GYE786406:GYF786406 HIA786406:HIB786406 HRW786406:HRX786406 IBS786406:IBT786406 ILO786406:ILP786406 IVK786406:IVL786406 JFG786406:JFH786406 JPC786406:JPD786406 JYY786406:JYZ786406 KIU786406:KIV786406 KSQ786406:KSR786406 LCM786406:LCN786406 LMI786406:LMJ786406 LWE786406:LWF786406 MGA786406:MGB786406 MPW786406:MPX786406 MZS786406:MZT786406 NJO786406:NJP786406 NTK786406:NTL786406 ODG786406:ODH786406 ONC786406:OND786406 OWY786406:OWZ786406 PGU786406:PGV786406 PQQ786406:PQR786406 QAM786406:QAN786406 QKI786406:QKJ786406 QUE786406:QUF786406 REA786406:REB786406 RNW786406:RNX786406 RXS786406:RXT786406 SHO786406:SHP786406 SRK786406:SRL786406 TBG786406:TBH786406 TLC786406:TLD786406 TUY786406:TUZ786406 UEU786406:UEV786406 UOQ786406:UOR786406 UYM786406:UYN786406 VII786406:VIJ786406 VSE786406:VSF786406 WCA786406:WCB786406 WLW786406:WLX786406 WVS786406:WVT786406 K851957:L851957 JG851942:JH851942 TC851942:TD851942 ACY851942:ACZ851942 AMU851942:AMV851942 AWQ851942:AWR851942 BGM851942:BGN851942 BQI851942:BQJ851942 CAE851942:CAF851942 CKA851942:CKB851942 CTW851942:CTX851942 DDS851942:DDT851942 DNO851942:DNP851942 DXK851942:DXL851942 EHG851942:EHH851942 ERC851942:ERD851942 FAY851942:FAZ851942 FKU851942:FKV851942 FUQ851942:FUR851942 GEM851942:GEN851942 GOI851942:GOJ851942 GYE851942:GYF851942 HIA851942:HIB851942 HRW851942:HRX851942 IBS851942:IBT851942 ILO851942:ILP851942 IVK851942:IVL851942 JFG851942:JFH851942 JPC851942:JPD851942 JYY851942:JYZ851942 KIU851942:KIV851942 KSQ851942:KSR851942 LCM851942:LCN851942 LMI851942:LMJ851942 LWE851942:LWF851942 MGA851942:MGB851942 MPW851942:MPX851942 MZS851942:MZT851942 NJO851942:NJP851942 NTK851942:NTL851942 ODG851942:ODH851942 ONC851942:OND851942 OWY851942:OWZ851942 PGU851942:PGV851942 PQQ851942:PQR851942 QAM851942:QAN851942 QKI851942:QKJ851942 QUE851942:QUF851942 REA851942:REB851942 RNW851942:RNX851942 RXS851942:RXT851942 SHO851942:SHP851942 SRK851942:SRL851942 TBG851942:TBH851942 TLC851942:TLD851942 TUY851942:TUZ851942 UEU851942:UEV851942 UOQ851942:UOR851942 UYM851942:UYN851942 VII851942:VIJ851942 VSE851942:VSF851942 WCA851942:WCB851942 WLW851942:WLX851942 WVS851942:WVT851942 K917493:L917493 JG917478:JH917478 TC917478:TD917478 ACY917478:ACZ917478 AMU917478:AMV917478 AWQ917478:AWR917478 BGM917478:BGN917478 BQI917478:BQJ917478 CAE917478:CAF917478 CKA917478:CKB917478 CTW917478:CTX917478 DDS917478:DDT917478 DNO917478:DNP917478 DXK917478:DXL917478 EHG917478:EHH917478 ERC917478:ERD917478 FAY917478:FAZ917478 FKU917478:FKV917478 FUQ917478:FUR917478 GEM917478:GEN917478 GOI917478:GOJ917478 GYE917478:GYF917478 HIA917478:HIB917478 HRW917478:HRX917478 IBS917478:IBT917478 ILO917478:ILP917478 IVK917478:IVL917478 JFG917478:JFH917478 JPC917478:JPD917478 JYY917478:JYZ917478 KIU917478:KIV917478 KSQ917478:KSR917478 LCM917478:LCN917478 LMI917478:LMJ917478 LWE917478:LWF917478 MGA917478:MGB917478 MPW917478:MPX917478 MZS917478:MZT917478 NJO917478:NJP917478 NTK917478:NTL917478 ODG917478:ODH917478 ONC917478:OND917478 OWY917478:OWZ917478 PGU917478:PGV917478 PQQ917478:PQR917478 QAM917478:QAN917478 QKI917478:QKJ917478 QUE917478:QUF917478 REA917478:REB917478 RNW917478:RNX917478 RXS917478:RXT917478 SHO917478:SHP917478 SRK917478:SRL917478 TBG917478:TBH917478 TLC917478:TLD917478 TUY917478:TUZ917478 UEU917478:UEV917478 UOQ917478:UOR917478 UYM917478:UYN917478 VII917478:VIJ917478 VSE917478:VSF917478 WCA917478:WCB917478 WLW917478:WLX917478 WVS917478:WVT917478 K983029:L983029 JG983014:JH983014 TC983014:TD983014 ACY983014:ACZ983014 AMU983014:AMV983014 AWQ983014:AWR983014 BGM983014:BGN983014 BQI983014:BQJ983014 CAE983014:CAF983014 CKA983014:CKB983014 CTW983014:CTX983014 DDS983014:DDT983014 DNO983014:DNP983014 DXK983014:DXL983014 EHG983014:EHH983014 ERC983014:ERD983014 FAY983014:FAZ983014 FKU983014:FKV983014 FUQ983014:FUR983014 GEM983014:GEN983014 GOI983014:GOJ983014 GYE983014:GYF983014 HIA983014:HIB983014 HRW983014:HRX983014 IBS983014:IBT983014 ILO983014:ILP983014 IVK983014:IVL983014 JFG983014:JFH983014 JPC983014:JPD983014 JYY983014:JYZ983014 KIU983014:KIV983014 KSQ983014:KSR983014 LCM983014:LCN983014 LMI983014:LMJ983014 LWE983014:LWF983014 MGA983014:MGB983014 MPW983014:MPX983014 MZS983014:MZT983014 NJO983014:NJP983014 NTK983014:NTL983014 ODG983014:ODH983014 ONC983014:OND983014 OWY983014:OWZ983014 PGU983014:PGV983014 PQQ983014:PQR983014 QAM983014:QAN983014 QKI983014:QKJ983014 QUE983014:QUF983014 REA983014:REB983014 RNW983014:RNX983014 RXS983014:RXT983014 SHO983014:SHP983014 SRK983014:SRL983014 TBG983014:TBH983014 TLC983014:TLD983014 TUY983014:TUZ983014 UEU983014:UEV983014 UOQ983014:UOR983014 UYM983014:UYN983014 VII983014:VIJ983014 VSE983014:VSF983014">
      <formula1>Aus_MU</formula1>
    </dataValidation>
    <dataValidation type="date" operator="greaterThan" allowBlank="1" showInputMessage="1" showErrorMessage="1" errorTitle="Fehler" error="Geben Sie ein gültiges Datum dd.mm.yyyy ein!" sqref="E15 F12:F14">
      <formula1>1</formula1>
    </dataValidation>
  </dataValidations>
  <hyperlinks>
    <hyperlink ref="U8:W9" location="Grunddaten!A1" tooltip="Zurück zu Grunddaten" display="Zurück zu Grunddaten"/>
  </hyperlinks>
  <pageMargins left="0.70866141732283472" right="0.70866141732283472" top="0.78740157480314965" bottom="0.78740157480314965" header="0.31496062992125984" footer="0.31496062992125984"/>
  <pageSetup paperSize="9" fitToHeight="0" orientation="portrait" r:id="rId1"/>
  <headerFooter>
    <oddFooter>Seite &amp;P von &amp;N</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DropDown="1" showInputMessage="1">
          <x14:formula1>
            <xm:f>'MU-Daten'!$U:$U</xm:f>
          </x14:formula1>
          <xm:sqref>I20:J20 I18:J18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U189"/>
  <sheetViews>
    <sheetView workbookViewId="0">
      <selection activeCell="G24" sqref="G24"/>
    </sheetView>
  </sheetViews>
  <sheetFormatPr baseColWidth="10" defaultRowHeight="12.75" x14ac:dyDescent="0.2"/>
  <cols>
    <col min="1" max="16384" width="11.42578125" style="91"/>
  </cols>
  <sheetData>
    <row r="1" spans="1:21" ht="15" x14ac:dyDescent="0.2">
      <c r="A1" s="977"/>
      <c r="B1" s="977"/>
      <c r="C1" s="977"/>
      <c r="D1" s="977"/>
      <c r="E1" s="977"/>
      <c r="F1" s="977"/>
      <c r="G1" s="977"/>
      <c r="H1" s="977"/>
      <c r="I1" s="977"/>
      <c r="J1" s="977"/>
      <c r="K1" s="977"/>
      <c r="L1" s="977"/>
      <c r="M1" s="977"/>
      <c r="N1" s="977"/>
      <c r="O1" s="977"/>
      <c r="P1" s="977"/>
      <c r="Q1" s="977"/>
      <c r="R1" s="977"/>
      <c r="S1" s="977"/>
      <c r="T1" s="977"/>
      <c r="U1" s="977"/>
    </row>
    <row r="2" spans="1:21" ht="15" x14ac:dyDescent="0.2">
      <c r="A2" s="977"/>
      <c r="B2" s="977" t="s">
        <v>2010</v>
      </c>
      <c r="C2" s="977"/>
      <c r="D2" s="977"/>
      <c r="E2" s="977"/>
      <c r="F2" s="977"/>
      <c r="G2" s="977"/>
      <c r="H2" s="977"/>
      <c r="I2" s="977"/>
      <c r="J2" s="977"/>
      <c r="K2" s="977"/>
      <c r="L2" s="977"/>
      <c r="M2" s="977"/>
      <c r="N2" s="977"/>
      <c r="O2" s="977"/>
      <c r="P2" s="977"/>
      <c r="Q2" s="977"/>
      <c r="R2" s="977"/>
      <c r="S2" s="977"/>
      <c r="T2" s="977"/>
      <c r="U2" s="977"/>
    </row>
    <row r="3" spans="1:21" ht="15" x14ac:dyDescent="0.2">
      <c r="A3" s="977"/>
      <c r="B3" s="977"/>
      <c r="C3" s="977"/>
      <c r="D3" s="977"/>
      <c r="E3" s="977"/>
      <c r="F3" s="977"/>
      <c r="G3" s="977"/>
      <c r="H3" s="977"/>
      <c r="I3" s="977"/>
      <c r="J3" s="977"/>
      <c r="K3" s="977"/>
      <c r="L3" s="977"/>
      <c r="M3" s="977"/>
      <c r="N3" s="977"/>
      <c r="O3" s="977"/>
      <c r="P3" s="977"/>
      <c r="Q3" s="977"/>
      <c r="R3" s="977"/>
      <c r="S3" s="977"/>
      <c r="T3" s="977"/>
      <c r="U3" s="977"/>
    </row>
    <row r="4" spans="1:21" ht="15" x14ac:dyDescent="0.2">
      <c r="A4" s="977"/>
      <c r="B4" s="275" t="s">
        <v>2012</v>
      </c>
      <c r="C4" s="247"/>
      <c r="D4" s="247"/>
      <c r="E4" s="247"/>
      <c r="F4" s="977"/>
      <c r="G4" s="977"/>
      <c r="H4" s="977"/>
      <c r="I4" s="977"/>
      <c r="J4" s="977"/>
      <c r="K4" s="977"/>
      <c r="L4" s="977"/>
      <c r="M4" s="977"/>
      <c r="N4" s="977"/>
      <c r="O4" s="977"/>
      <c r="P4" s="977"/>
      <c r="Q4" s="977"/>
      <c r="R4" s="977"/>
      <c r="S4" s="977"/>
      <c r="T4" s="977"/>
      <c r="U4" s="977"/>
    </row>
    <row r="5" spans="1:21" ht="15" x14ac:dyDescent="0.2">
      <c r="A5" s="977"/>
      <c r="B5" s="978" t="s">
        <v>2013</v>
      </c>
      <c r="C5" s="247"/>
      <c r="D5" s="247"/>
      <c r="E5" s="247"/>
      <c r="F5" s="977"/>
      <c r="G5" s="977"/>
      <c r="H5" s="977"/>
      <c r="I5" s="977"/>
      <c r="J5" s="977"/>
      <c r="K5" s="977"/>
      <c r="L5" s="977"/>
      <c r="M5" s="977"/>
      <c r="N5" s="977"/>
      <c r="O5" s="977"/>
      <c r="P5" s="977"/>
      <c r="Q5" s="977"/>
      <c r="R5" s="977"/>
      <c r="S5" s="977"/>
      <c r="T5" s="977"/>
      <c r="U5" s="977"/>
    </row>
    <row r="6" spans="1:21" ht="15" x14ac:dyDescent="0.2">
      <c r="A6" s="977"/>
      <c r="B6" s="978" t="s">
        <v>2014</v>
      </c>
      <c r="C6" s="247"/>
      <c r="D6" s="247"/>
      <c r="E6" s="247"/>
      <c r="F6" s="977"/>
      <c r="G6" s="977"/>
      <c r="H6" s="977"/>
      <c r="I6" s="977"/>
      <c r="J6" s="977"/>
      <c r="K6" s="977"/>
      <c r="L6" s="977"/>
      <c r="M6" s="977"/>
      <c r="N6" s="977"/>
      <c r="O6" s="977"/>
      <c r="P6" s="977"/>
      <c r="Q6" s="977"/>
      <c r="R6" s="977"/>
      <c r="S6" s="977"/>
      <c r="T6" s="977"/>
      <c r="U6" s="977"/>
    </row>
    <row r="7" spans="1:21" ht="15" x14ac:dyDescent="0.2">
      <c r="A7" s="977"/>
      <c r="B7" s="247"/>
      <c r="C7" s="247"/>
      <c r="D7" s="247"/>
      <c r="E7" s="247"/>
      <c r="F7" s="977"/>
      <c r="G7" s="977"/>
      <c r="H7" s="977"/>
      <c r="I7" s="977"/>
      <c r="J7" s="977"/>
      <c r="K7" s="977"/>
      <c r="L7" s="977"/>
      <c r="M7" s="977"/>
      <c r="N7" s="977"/>
      <c r="O7" s="977"/>
      <c r="P7" s="977"/>
      <c r="Q7" s="977"/>
      <c r="R7" s="977"/>
      <c r="S7" s="977"/>
      <c r="T7" s="977"/>
      <c r="U7" s="977"/>
    </row>
    <row r="8" spans="1:21" ht="15" x14ac:dyDescent="0.2">
      <c r="A8" s="977"/>
      <c r="B8" s="275" t="s">
        <v>2011</v>
      </c>
      <c r="C8" s="247"/>
      <c r="D8" s="247"/>
      <c r="E8" s="247"/>
      <c r="F8" s="977"/>
      <c r="G8" s="977"/>
      <c r="H8" s="977"/>
      <c r="I8" s="977"/>
      <c r="J8" s="977"/>
      <c r="K8" s="977"/>
      <c r="L8" s="977"/>
      <c r="M8" s="977"/>
      <c r="N8" s="977"/>
      <c r="O8" s="977"/>
      <c r="P8" s="977"/>
      <c r="Q8" s="977"/>
      <c r="R8" s="977"/>
      <c r="S8" s="977"/>
      <c r="T8" s="977"/>
      <c r="U8" s="977"/>
    </row>
    <row r="9" spans="1:21" ht="15" x14ac:dyDescent="0.2">
      <c r="A9" s="977"/>
      <c r="B9" s="978" t="s">
        <v>2017</v>
      </c>
      <c r="C9" s="247"/>
      <c r="D9" s="247"/>
      <c r="E9" s="247"/>
      <c r="F9" s="977"/>
      <c r="G9" s="977"/>
      <c r="H9" s="977"/>
      <c r="I9" s="977"/>
      <c r="J9" s="977"/>
      <c r="K9" s="977"/>
      <c r="L9" s="977"/>
      <c r="M9" s="977"/>
      <c r="N9" s="977"/>
      <c r="O9" s="977"/>
      <c r="P9" s="977"/>
      <c r="Q9" s="977"/>
      <c r="R9" s="977"/>
      <c r="S9" s="977"/>
      <c r="T9" s="977"/>
      <c r="U9" s="977"/>
    </row>
    <row r="10" spans="1:21" ht="15" x14ac:dyDescent="0.2">
      <c r="A10" s="977"/>
      <c r="B10" s="247"/>
      <c r="C10" s="247"/>
      <c r="D10" s="247"/>
      <c r="E10" s="247"/>
      <c r="F10" s="977"/>
      <c r="G10" s="977"/>
      <c r="H10" s="977"/>
      <c r="I10" s="977"/>
      <c r="J10" s="977"/>
      <c r="K10" s="977"/>
      <c r="L10" s="977"/>
      <c r="M10" s="977"/>
      <c r="N10" s="977"/>
      <c r="O10" s="977"/>
      <c r="P10" s="977"/>
      <c r="Q10" s="977"/>
      <c r="R10" s="977"/>
      <c r="S10" s="977"/>
      <c r="T10" s="977"/>
      <c r="U10" s="977"/>
    </row>
    <row r="11" spans="1:21" ht="15" x14ac:dyDescent="0.2">
      <c r="A11" s="977"/>
      <c r="B11" s="275" t="s">
        <v>2015</v>
      </c>
      <c r="C11" s="247"/>
      <c r="D11" s="247"/>
      <c r="E11" s="247"/>
      <c r="F11" s="977"/>
      <c r="G11" s="977"/>
      <c r="H11" s="977"/>
      <c r="I11" s="977"/>
      <c r="J11" s="977"/>
      <c r="K11" s="977"/>
      <c r="L11" s="977"/>
      <c r="M11" s="977"/>
      <c r="N11" s="977"/>
      <c r="O11" s="977"/>
      <c r="P11" s="977"/>
      <c r="Q11" s="977"/>
      <c r="R11" s="977"/>
      <c r="S11" s="977"/>
      <c r="T11" s="977"/>
      <c r="U11" s="977"/>
    </row>
    <row r="12" spans="1:21" ht="15" x14ac:dyDescent="0.2">
      <c r="A12" s="977"/>
      <c r="B12" s="978" t="s">
        <v>2016</v>
      </c>
      <c r="C12" s="247"/>
      <c r="D12" s="247"/>
      <c r="E12" s="247"/>
      <c r="F12" s="977"/>
      <c r="G12" s="977"/>
      <c r="H12" s="977"/>
      <c r="I12" s="977"/>
      <c r="J12" s="977"/>
      <c r="K12" s="977"/>
      <c r="L12" s="977"/>
      <c r="M12" s="977"/>
      <c r="N12" s="977"/>
      <c r="O12" s="977"/>
      <c r="P12" s="977"/>
      <c r="Q12" s="977"/>
      <c r="R12" s="977"/>
      <c r="S12" s="977"/>
      <c r="T12" s="977"/>
      <c r="U12" s="977"/>
    </row>
    <row r="13" spans="1:21" ht="15" x14ac:dyDescent="0.2">
      <c r="A13" s="977"/>
      <c r="B13" s="247"/>
      <c r="C13" s="247"/>
      <c r="D13" s="247"/>
      <c r="E13" s="247"/>
      <c r="F13" s="977"/>
      <c r="G13" s="977"/>
      <c r="H13" s="977"/>
      <c r="I13" s="977"/>
      <c r="J13" s="977"/>
      <c r="K13" s="977"/>
      <c r="L13" s="977"/>
      <c r="M13" s="977"/>
      <c r="N13" s="977"/>
      <c r="O13" s="977"/>
      <c r="P13" s="977"/>
      <c r="Q13" s="977"/>
      <c r="R13" s="977"/>
      <c r="S13" s="977"/>
      <c r="T13" s="977"/>
      <c r="U13" s="977"/>
    </row>
    <row r="14" spans="1:21" ht="15" x14ac:dyDescent="0.2">
      <c r="A14" s="977"/>
      <c r="B14" s="247"/>
      <c r="C14" s="247"/>
      <c r="D14" s="247"/>
      <c r="E14" s="247"/>
      <c r="F14" s="977"/>
      <c r="G14" s="977"/>
      <c r="H14" s="977"/>
      <c r="I14" s="977"/>
      <c r="J14" s="977"/>
      <c r="K14" s="977"/>
      <c r="L14" s="977"/>
      <c r="M14" s="977"/>
      <c r="N14" s="977"/>
      <c r="O14" s="977"/>
      <c r="P14" s="977"/>
      <c r="Q14" s="977"/>
      <c r="R14" s="977"/>
      <c r="S14" s="977"/>
      <c r="T14" s="977"/>
      <c r="U14" s="977"/>
    </row>
    <row r="15" spans="1:21" ht="15" x14ac:dyDescent="0.2">
      <c r="A15" s="977"/>
      <c r="B15" s="247"/>
      <c r="C15" s="247"/>
      <c r="D15" s="247"/>
      <c r="E15" s="247"/>
      <c r="F15" s="977"/>
      <c r="G15" s="977"/>
      <c r="H15" s="977"/>
      <c r="I15" s="977"/>
      <c r="J15" s="977"/>
      <c r="K15" s="977"/>
      <c r="L15" s="977"/>
      <c r="M15" s="977"/>
      <c r="N15" s="977"/>
      <c r="O15" s="977"/>
      <c r="P15" s="977"/>
      <c r="Q15" s="977"/>
      <c r="R15" s="977"/>
      <c r="S15" s="977"/>
      <c r="T15" s="977"/>
      <c r="U15" s="977"/>
    </row>
    <row r="16" spans="1:21" ht="15" x14ac:dyDescent="0.2">
      <c r="A16" s="977"/>
      <c r="B16" s="247"/>
      <c r="C16" s="247"/>
      <c r="D16" s="247"/>
      <c r="E16" s="247"/>
      <c r="F16" s="977"/>
      <c r="G16" s="977"/>
      <c r="H16" s="977"/>
      <c r="I16" s="977"/>
      <c r="J16" s="977"/>
      <c r="K16" s="977"/>
      <c r="L16" s="977"/>
      <c r="M16" s="977"/>
      <c r="N16" s="977"/>
      <c r="O16" s="977"/>
      <c r="P16" s="977"/>
      <c r="Q16" s="977"/>
      <c r="R16" s="977"/>
      <c r="S16" s="977"/>
      <c r="T16" s="977"/>
      <c r="U16" s="977"/>
    </row>
    <row r="17" spans="1:21" ht="15" x14ac:dyDescent="0.2">
      <c r="A17" s="977"/>
      <c r="B17" s="247"/>
      <c r="C17" s="247"/>
      <c r="D17" s="247"/>
      <c r="E17" s="247"/>
      <c r="F17" s="977"/>
      <c r="G17" s="977"/>
      <c r="H17" s="977"/>
      <c r="I17" s="977"/>
      <c r="J17" s="977"/>
      <c r="K17" s="977"/>
      <c r="L17" s="977"/>
      <c r="M17" s="977"/>
      <c r="N17" s="977"/>
      <c r="O17" s="977"/>
      <c r="P17" s="977"/>
      <c r="Q17" s="977"/>
      <c r="R17" s="977"/>
      <c r="S17" s="977"/>
      <c r="T17" s="977"/>
      <c r="U17" s="977"/>
    </row>
    <row r="18" spans="1:21" ht="15" x14ac:dyDescent="0.2">
      <c r="A18" s="977"/>
      <c r="B18" s="247"/>
      <c r="C18" s="247"/>
      <c r="D18" s="247"/>
      <c r="E18" s="247"/>
      <c r="F18" s="977"/>
      <c r="G18" s="977"/>
      <c r="H18" s="977"/>
      <c r="I18" s="977"/>
      <c r="J18" s="977"/>
      <c r="K18" s="977"/>
      <c r="L18" s="977"/>
      <c r="M18" s="977"/>
      <c r="N18" s="977"/>
      <c r="O18" s="977"/>
      <c r="P18" s="977"/>
      <c r="Q18" s="977"/>
      <c r="R18" s="977"/>
      <c r="S18" s="977"/>
      <c r="T18" s="977"/>
      <c r="U18" s="977"/>
    </row>
    <row r="19" spans="1:21" ht="15" x14ac:dyDescent="0.2">
      <c r="A19" s="977"/>
      <c r="B19" s="247"/>
      <c r="C19" s="247"/>
      <c r="D19" s="247"/>
      <c r="E19" s="247"/>
      <c r="F19" s="977"/>
      <c r="G19" s="977"/>
      <c r="H19" s="977"/>
      <c r="I19" s="977"/>
      <c r="J19" s="977"/>
      <c r="K19" s="977"/>
      <c r="L19" s="977"/>
      <c r="M19" s="977"/>
      <c r="N19" s="977"/>
      <c r="O19" s="977"/>
      <c r="P19" s="977"/>
      <c r="Q19" s="977"/>
      <c r="R19" s="977"/>
      <c r="S19" s="977"/>
      <c r="T19" s="977"/>
      <c r="U19" s="977"/>
    </row>
    <row r="20" spans="1:21" ht="15" x14ac:dyDescent="0.2">
      <c r="A20" s="977"/>
      <c r="B20" s="247"/>
      <c r="C20" s="247"/>
      <c r="D20" s="247"/>
      <c r="E20" s="247"/>
      <c r="F20" s="977"/>
      <c r="G20" s="977"/>
      <c r="H20" s="977"/>
      <c r="I20" s="977"/>
      <c r="J20" s="977"/>
      <c r="K20" s="977"/>
      <c r="L20" s="977"/>
      <c r="M20" s="977"/>
      <c r="N20" s="977"/>
      <c r="O20" s="977"/>
      <c r="P20" s="977"/>
      <c r="Q20" s="977"/>
      <c r="R20" s="977"/>
      <c r="S20" s="977"/>
      <c r="T20" s="977"/>
      <c r="U20" s="977"/>
    </row>
    <row r="21" spans="1:21" ht="15" x14ac:dyDescent="0.2">
      <c r="A21" s="977"/>
      <c r="B21" s="247"/>
      <c r="C21" s="247"/>
      <c r="D21" s="247"/>
      <c r="E21" s="247"/>
      <c r="F21" s="977"/>
      <c r="G21" s="977"/>
      <c r="H21" s="977"/>
      <c r="I21" s="977"/>
      <c r="J21" s="977"/>
      <c r="K21" s="977"/>
      <c r="L21" s="977"/>
      <c r="M21" s="977"/>
      <c r="N21" s="977"/>
      <c r="O21" s="977"/>
      <c r="P21" s="977"/>
      <c r="Q21" s="977"/>
      <c r="R21" s="977"/>
      <c r="S21" s="977"/>
      <c r="T21" s="977"/>
      <c r="U21" s="977"/>
    </row>
    <row r="22" spans="1:21" ht="15" x14ac:dyDescent="0.2">
      <c r="A22" s="977"/>
      <c r="B22" s="247"/>
      <c r="C22" s="247"/>
      <c r="D22" s="247"/>
      <c r="E22" s="247"/>
      <c r="F22" s="977"/>
      <c r="G22" s="977"/>
      <c r="H22" s="977"/>
      <c r="I22" s="977"/>
      <c r="J22" s="977"/>
      <c r="K22" s="977"/>
      <c r="L22" s="977"/>
      <c r="M22" s="977"/>
      <c r="N22" s="977"/>
      <c r="O22" s="977"/>
      <c r="P22" s="977"/>
      <c r="Q22" s="977"/>
      <c r="R22" s="977"/>
      <c r="S22" s="977"/>
      <c r="T22" s="977"/>
      <c r="U22" s="977"/>
    </row>
    <row r="23" spans="1:21" ht="15" x14ac:dyDescent="0.2">
      <c r="A23" s="977"/>
      <c r="B23" s="247"/>
      <c r="C23" s="247"/>
      <c r="D23" s="247"/>
      <c r="E23" s="247"/>
      <c r="F23" s="977"/>
      <c r="G23" s="977"/>
      <c r="H23" s="977"/>
      <c r="I23" s="977"/>
      <c r="J23" s="977"/>
      <c r="K23" s="977"/>
      <c r="L23" s="977"/>
      <c r="M23" s="977"/>
      <c r="N23" s="977"/>
      <c r="O23" s="977"/>
      <c r="P23" s="977"/>
      <c r="Q23" s="977"/>
      <c r="R23" s="977"/>
      <c r="S23" s="977"/>
      <c r="T23" s="977"/>
      <c r="U23" s="977"/>
    </row>
    <row r="24" spans="1:21" ht="15" x14ac:dyDescent="0.2">
      <c r="A24" s="977"/>
      <c r="B24" s="247"/>
      <c r="C24" s="247"/>
      <c r="D24" s="247"/>
      <c r="E24" s="247"/>
      <c r="F24" s="977"/>
      <c r="G24" s="977"/>
      <c r="H24" s="977"/>
      <c r="I24" s="977"/>
      <c r="J24" s="977"/>
      <c r="K24" s="977"/>
      <c r="L24" s="977"/>
      <c r="M24" s="977"/>
      <c r="N24" s="977"/>
      <c r="O24" s="977"/>
      <c r="P24" s="977"/>
      <c r="Q24" s="977"/>
      <c r="R24" s="977"/>
      <c r="S24" s="977"/>
      <c r="T24" s="977"/>
      <c r="U24" s="977"/>
    </row>
    <row r="25" spans="1:21" ht="15" x14ac:dyDescent="0.2">
      <c r="A25" s="977"/>
      <c r="B25" s="247"/>
      <c r="C25" s="247"/>
      <c r="D25" s="247"/>
      <c r="E25" s="247"/>
      <c r="F25" s="977"/>
      <c r="G25" s="977"/>
      <c r="H25" s="977"/>
      <c r="I25" s="977"/>
      <c r="J25" s="977"/>
      <c r="K25" s="977"/>
      <c r="L25" s="977"/>
      <c r="M25" s="977"/>
      <c r="N25" s="977"/>
      <c r="O25" s="977"/>
      <c r="P25" s="977"/>
      <c r="Q25" s="977"/>
      <c r="R25" s="977"/>
      <c r="S25" s="977"/>
      <c r="T25" s="977"/>
      <c r="U25" s="977"/>
    </row>
    <row r="26" spans="1:21" ht="15" x14ac:dyDescent="0.2">
      <c r="A26" s="977"/>
      <c r="B26" s="247"/>
      <c r="C26" s="247"/>
      <c r="D26" s="247"/>
      <c r="E26" s="247"/>
      <c r="F26" s="977"/>
      <c r="G26" s="977"/>
      <c r="H26" s="977"/>
      <c r="I26" s="977"/>
      <c r="J26" s="977"/>
      <c r="K26" s="977"/>
      <c r="L26" s="977"/>
      <c r="M26" s="977"/>
      <c r="N26" s="977"/>
      <c r="O26" s="977"/>
      <c r="P26" s="977"/>
      <c r="Q26" s="977"/>
      <c r="R26" s="977"/>
      <c r="S26" s="977"/>
      <c r="T26" s="977"/>
      <c r="U26" s="977"/>
    </row>
    <row r="27" spans="1:21" ht="15" x14ac:dyDescent="0.2">
      <c r="A27" s="977"/>
      <c r="B27" s="247"/>
      <c r="C27" s="247"/>
      <c r="D27" s="247"/>
      <c r="E27" s="247"/>
      <c r="F27" s="977"/>
      <c r="G27" s="977"/>
      <c r="H27" s="977"/>
      <c r="I27" s="977"/>
      <c r="J27" s="977"/>
      <c r="K27" s="977"/>
      <c r="L27" s="977"/>
      <c r="M27" s="977"/>
      <c r="N27" s="977"/>
      <c r="O27" s="977"/>
      <c r="P27" s="977"/>
      <c r="Q27" s="977"/>
      <c r="R27" s="977"/>
      <c r="S27" s="977"/>
      <c r="T27" s="977"/>
      <c r="U27" s="977"/>
    </row>
    <row r="28" spans="1:21" ht="15" x14ac:dyDescent="0.2">
      <c r="A28" s="977"/>
      <c r="B28" s="247"/>
      <c r="C28" s="247"/>
      <c r="D28" s="247"/>
      <c r="E28" s="247"/>
      <c r="F28" s="977"/>
      <c r="G28" s="977"/>
      <c r="H28" s="977"/>
      <c r="I28" s="977"/>
      <c r="J28" s="977"/>
      <c r="K28" s="977"/>
      <c r="L28" s="977"/>
      <c r="M28" s="977"/>
      <c r="N28" s="977"/>
      <c r="O28" s="977"/>
      <c r="P28" s="977"/>
      <c r="Q28" s="977"/>
      <c r="R28" s="977"/>
      <c r="S28" s="977"/>
      <c r="T28" s="977"/>
      <c r="U28" s="977"/>
    </row>
    <row r="29" spans="1:21" ht="15" x14ac:dyDescent="0.2">
      <c r="A29" s="977"/>
      <c r="B29" s="247"/>
      <c r="C29" s="247"/>
      <c r="D29" s="247"/>
      <c r="E29" s="247"/>
      <c r="F29" s="977"/>
      <c r="G29" s="977"/>
      <c r="H29" s="977"/>
      <c r="I29" s="977"/>
      <c r="J29" s="977"/>
      <c r="K29" s="977"/>
      <c r="L29" s="977"/>
      <c r="M29" s="977"/>
      <c r="N29" s="977"/>
      <c r="O29" s="977"/>
      <c r="P29" s="977"/>
      <c r="Q29" s="977"/>
      <c r="R29" s="977"/>
      <c r="S29" s="977"/>
      <c r="T29" s="977"/>
      <c r="U29" s="977"/>
    </row>
    <row r="30" spans="1:21" ht="15" x14ac:dyDescent="0.2">
      <c r="A30" s="977"/>
      <c r="B30" s="247"/>
      <c r="C30" s="247"/>
      <c r="D30" s="247"/>
      <c r="E30" s="247"/>
      <c r="F30" s="977"/>
      <c r="G30" s="977"/>
      <c r="H30" s="977"/>
      <c r="I30" s="977"/>
      <c r="J30" s="977"/>
      <c r="K30" s="977"/>
      <c r="L30" s="977"/>
      <c r="M30" s="977"/>
      <c r="N30" s="977"/>
      <c r="O30" s="977"/>
      <c r="P30" s="977"/>
      <c r="Q30" s="977"/>
      <c r="R30" s="977"/>
      <c r="S30" s="977"/>
      <c r="T30" s="977"/>
      <c r="U30" s="977"/>
    </row>
    <row r="31" spans="1:21" ht="15" x14ac:dyDescent="0.2">
      <c r="A31" s="977"/>
      <c r="B31" s="247"/>
      <c r="C31" s="247"/>
      <c r="D31" s="247"/>
      <c r="E31" s="247"/>
      <c r="F31" s="977"/>
      <c r="G31" s="977"/>
      <c r="H31" s="977"/>
      <c r="I31" s="977"/>
      <c r="J31" s="977"/>
      <c r="K31" s="977"/>
      <c r="L31" s="977"/>
      <c r="M31" s="977"/>
      <c r="N31" s="977"/>
      <c r="O31" s="977"/>
      <c r="P31" s="977"/>
      <c r="Q31" s="977"/>
      <c r="R31" s="977"/>
      <c r="S31" s="977"/>
      <c r="T31" s="977"/>
      <c r="U31" s="977"/>
    </row>
    <row r="32" spans="1:21" ht="15" x14ac:dyDescent="0.2">
      <c r="A32" s="977"/>
      <c r="B32" s="247"/>
      <c r="C32" s="247"/>
      <c r="D32" s="247"/>
      <c r="E32" s="247"/>
      <c r="F32" s="977"/>
      <c r="G32" s="977"/>
      <c r="H32" s="977"/>
      <c r="I32" s="977"/>
      <c r="J32" s="977"/>
      <c r="K32" s="977"/>
      <c r="L32" s="977"/>
      <c r="M32" s="977"/>
      <c r="N32" s="977"/>
      <c r="O32" s="977"/>
      <c r="P32" s="977"/>
      <c r="Q32" s="977"/>
      <c r="R32" s="977"/>
      <c r="S32" s="977"/>
      <c r="T32" s="977"/>
      <c r="U32" s="977"/>
    </row>
    <row r="33" spans="1:21" ht="15" x14ac:dyDescent="0.2">
      <c r="A33" s="977"/>
      <c r="B33" s="247"/>
      <c r="C33" s="247"/>
      <c r="D33" s="247"/>
      <c r="E33" s="247"/>
      <c r="F33" s="977"/>
      <c r="G33" s="977"/>
      <c r="H33" s="977"/>
      <c r="I33" s="977"/>
      <c r="J33" s="977"/>
      <c r="K33" s="977"/>
      <c r="L33" s="977"/>
      <c r="M33" s="977"/>
      <c r="N33" s="977"/>
      <c r="O33" s="977"/>
      <c r="P33" s="977"/>
      <c r="Q33" s="977"/>
      <c r="R33" s="977"/>
      <c r="S33" s="977"/>
      <c r="T33" s="977"/>
      <c r="U33" s="977"/>
    </row>
    <row r="34" spans="1:21" ht="15" x14ac:dyDescent="0.2">
      <c r="A34" s="977"/>
      <c r="B34" s="247"/>
      <c r="C34" s="247"/>
      <c r="D34" s="247"/>
      <c r="E34" s="247"/>
      <c r="F34" s="977"/>
      <c r="G34" s="977"/>
      <c r="H34" s="977"/>
      <c r="I34" s="977"/>
      <c r="J34" s="977"/>
      <c r="K34" s="977"/>
      <c r="L34" s="977"/>
      <c r="M34" s="977"/>
      <c r="N34" s="977"/>
      <c r="O34" s="977"/>
      <c r="P34" s="977"/>
      <c r="Q34" s="977"/>
      <c r="R34" s="977"/>
      <c r="S34" s="977"/>
      <c r="T34" s="977"/>
      <c r="U34" s="977"/>
    </row>
    <row r="35" spans="1:21" ht="15" x14ac:dyDescent="0.2">
      <c r="A35" s="977"/>
      <c r="B35" s="247"/>
      <c r="C35" s="247"/>
      <c r="D35" s="247"/>
      <c r="E35" s="247"/>
      <c r="F35" s="977"/>
      <c r="G35" s="977"/>
      <c r="H35" s="977"/>
      <c r="I35" s="977"/>
      <c r="J35" s="977"/>
      <c r="K35" s="977"/>
      <c r="L35" s="977"/>
      <c r="M35" s="977"/>
      <c r="N35" s="977"/>
      <c r="O35" s="977"/>
      <c r="P35" s="977"/>
      <c r="Q35" s="977"/>
      <c r="R35" s="977"/>
      <c r="S35" s="977"/>
      <c r="T35" s="977"/>
      <c r="U35" s="977"/>
    </row>
    <row r="36" spans="1:21" ht="15" x14ac:dyDescent="0.2">
      <c r="A36" s="977"/>
      <c r="B36" s="247"/>
      <c r="C36" s="247"/>
      <c r="D36" s="247"/>
      <c r="E36" s="247"/>
      <c r="F36" s="977"/>
      <c r="G36" s="977"/>
      <c r="H36" s="977"/>
      <c r="I36" s="977"/>
      <c r="J36" s="977"/>
      <c r="K36" s="977"/>
      <c r="L36" s="977"/>
      <c r="M36" s="977"/>
      <c r="N36" s="977"/>
      <c r="O36" s="977"/>
      <c r="P36" s="977"/>
      <c r="Q36" s="977"/>
      <c r="R36" s="977"/>
      <c r="S36" s="977"/>
      <c r="T36" s="977"/>
      <c r="U36" s="977"/>
    </row>
    <row r="37" spans="1:21" ht="15" x14ac:dyDescent="0.2">
      <c r="A37" s="977"/>
      <c r="B37" s="247"/>
      <c r="C37" s="247"/>
      <c r="D37" s="247"/>
      <c r="E37" s="247"/>
      <c r="F37" s="977"/>
      <c r="G37" s="977"/>
      <c r="H37" s="977"/>
      <c r="I37" s="977"/>
      <c r="J37" s="977"/>
      <c r="K37" s="977"/>
      <c r="L37" s="977"/>
      <c r="M37" s="977"/>
      <c r="N37" s="977"/>
      <c r="O37" s="977"/>
      <c r="P37" s="977"/>
      <c r="Q37" s="977"/>
      <c r="R37" s="977"/>
      <c r="S37" s="977"/>
      <c r="T37" s="977"/>
      <c r="U37" s="977"/>
    </row>
    <row r="38" spans="1:21" ht="15" x14ac:dyDescent="0.2">
      <c r="A38" s="977"/>
      <c r="B38" s="247"/>
      <c r="C38" s="247"/>
      <c r="D38" s="247"/>
      <c r="E38" s="247"/>
      <c r="F38" s="977"/>
      <c r="G38" s="977"/>
      <c r="H38" s="977"/>
      <c r="I38" s="977"/>
      <c r="J38" s="977"/>
      <c r="K38" s="977"/>
      <c r="L38" s="977"/>
      <c r="M38" s="977"/>
      <c r="N38" s="977"/>
      <c r="O38" s="977"/>
      <c r="P38" s="977"/>
      <c r="Q38" s="977"/>
      <c r="R38" s="977"/>
      <c r="S38" s="977"/>
      <c r="T38" s="977"/>
      <c r="U38" s="977"/>
    </row>
    <row r="39" spans="1:21" ht="15" x14ac:dyDescent="0.2">
      <c r="A39" s="977"/>
      <c r="B39" s="247"/>
      <c r="C39" s="247"/>
      <c r="D39" s="247"/>
      <c r="E39" s="247"/>
      <c r="F39" s="977"/>
      <c r="G39" s="977"/>
      <c r="H39" s="977"/>
      <c r="I39" s="977"/>
      <c r="J39" s="977"/>
      <c r="K39" s="977"/>
      <c r="L39" s="977"/>
      <c r="M39" s="977"/>
      <c r="N39" s="977"/>
      <c r="O39" s="977"/>
      <c r="P39" s="977"/>
      <c r="Q39" s="977"/>
      <c r="R39" s="977"/>
      <c r="S39" s="977"/>
      <c r="T39" s="977"/>
      <c r="U39" s="977"/>
    </row>
    <row r="40" spans="1:21" ht="15" x14ac:dyDescent="0.2">
      <c r="A40" s="977"/>
      <c r="B40" s="247"/>
      <c r="C40" s="247"/>
      <c r="D40" s="247"/>
      <c r="E40" s="247"/>
      <c r="F40" s="977"/>
      <c r="G40" s="977"/>
      <c r="H40" s="977"/>
      <c r="I40" s="977"/>
      <c r="J40" s="977"/>
      <c r="K40" s="977"/>
      <c r="L40" s="977"/>
      <c r="M40" s="977"/>
      <c r="N40" s="977"/>
      <c r="O40" s="977"/>
      <c r="P40" s="977"/>
      <c r="Q40" s="977"/>
      <c r="R40" s="977"/>
      <c r="S40" s="977"/>
      <c r="T40" s="977"/>
      <c r="U40" s="977"/>
    </row>
    <row r="41" spans="1:21" ht="15" x14ac:dyDescent="0.2">
      <c r="A41" s="977"/>
      <c r="B41" s="247"/>
      <c r="C41" s="247"/>
      <c r="D41" s="247"/>
      <c r="E41" s="247"/>
      <c r="F41" s="977"/>
      <c r="G41" s="977"/>
      <c r="H41" s="977"/>
      <c r="I41" s="977"/>
      <c r="J41" s="977"/>
      <c r="K41" s="977"/>
      <c r="L41" s="977"/>
      <c r="M41" s="977"/>
      <c r="N41" s="977"/>
      <c r="O41" s="977"/>
      <c r="P41" s="977"/>
      <c r="Q41" s="977"/>
      <c r="R41" s="977"/>
      <c r="S41" s="977"/>
      <c r="T41" s="977"/>
      <c r="U41" s="977"/>
    </row>
    <row r="42" spans="1:21" ht="15" x14ac:dyDescent="0.2">
      <c r="A42" s="977"/>
      <c r="B42" s="247"/>
      <c r="C42" s="247"/>
      <c r="D42" s="247"/>
      <c r="E42" s="247"/>
      <c r="F42" s="977"/>
      <c r="G42" s="977"/>
      <c r="H42" s="977"/>
      <c r="I42" s="977"/>
      <c r="J42" s="977"/>
      <c r="K42" s="977"/>
      <c r="L42" s="977"/>
      <c r="M42" s="977"/>
      <c r="N42" s="977"/>
      <c r="O42" s="977"/>
      <c r="P42" s="977"/>
      <c r="Q42" s="977"/>
      <c r="R42" s="977"/>
      <c r="S42" s="977"/>
      <c r="T42" s="977"/>
      <c r="U42" s="977"/>
    </row>
    <row r="43" spans="1:21" ht="15" x14ac:dyDescent="0.2">
      <c r="A43" s="977"/>
      <c r="B43" s="247"/>
      <c r="C43" s="247"/>
      <c r="D43" s="247"/>
      <c r="E43" s="247"/>
      <c r="F43" s="977"/>
      <c r="G43" s="977"/>
      <c r="H43" s="977"/>
      <c r="I43" s="977"/>
      <c r="J43" s="977"/>
      <c r="K43" s="977"/>
      <c r="L43" s="977"/>
      <c r="M43" s="977"/>
      <c r="N43" s="977"/>
      <c r="O43" s="977"/>
      <c r="P43" s="977"/>
      <c r="Q43" s="977"/>
      <c r="R43" s="977"/>
      <c r="S43" s="977"/>
      <c r="T43" s="977"/>
      <c r="U43" s="977"/>
    </row>
    <row r="44" spans="1:21" ht="15" x14ac:dyDescent="0.2">
      <c r="A44" s="977"/>
      <c r="B44" s="247"/>
      <c r="C44" s="247"/>
      <c r="D44" s="247"/>
      <c r="E44" s="247"/>
      <c r="F44" s="977"/>
      <c r="G44" s="977"/>
      <c r="H44" s="977"/>
      <c r="I44" s="977"/>
      <c r="J44" s="977"/>
      <c r="K44" s="977"/>
      <c r="L44" s="977"/>
      <c r="M44" s="977"/>
      <c r="N44" s="977"/>
      <c r="O44" s="977"/>
      <c r="P44" s="977"/>
      <c r="Q44" s="977"/>
      <c r="R44" s="977"/>
      <c r="S44" s="977"/>
      <c r="T44" s="977"/>
      <c r="U44" s="977"/>
    </row>
    <row r="45" spans="1:21" ht="15" x14ac:dyDescent="0.2">
      <c r="A45" s="977"/>
      <c r="B45" s="247"/>
      <c r="C45" s="247"/>
      <c r="D45" s="247"/>
      <c r="E45" s="247"/>
      <c r="F45" s="977"/>
      <c r="G45" s="977"/>
      <c r="H45" s="977"/>
      <c r="I45" s="977"/>
      <c r="J45" s="977"/>
      <c r="K45" s="977"/>
      <c r="L45" s="977"/>
      <c r="M45" s="977"/>
      <c r="N45" s="977"/>
      <c r="O45" s="977"/>
      <c r="P45" s="977"/>
      <c r="Q45" s="977"/>
      <c r="R45" s="977"/>
      <c r="S45" s="977"/>
      <c r="T45" s="977"/>
      <c r="U45" s="977"/>
    </row>
    <row r="46" spans="1:21" ht="15" x14ac:dyDescent="0.2">
      <c r="A46" s="977"/>
      <c r="B46" s="247"/>
      <c r="C46" s="247"/>
      <c r="D46" s="247"/>
      <c r="E46" s="247"/>
      <c r="F46" s="977"/>
      <c r="G46" s="977"/>
      <c r="H46" s="977"/>
      <c r="I46" s="977"/>
      <c r="J46" s="977"/>
      <c r="K46" s="977"/>
      <c r="L46" s="977"/>
      <c r="M46" s="977"/>
      <c r="N46" s="977"/>
      <c r="O46" s="977"/>
      <c r="P46" s="977"/>
      <c r="Q46" s="977"/>
      <c r="R46" s="977"/>
      <c r="S46" s="977"/>
      <c r="T46" s="977"/>
      <c r="U46" s="977"/>
    </row>
    <row r="47" spans="1:21" ht="15" x14ac:dyDescent="0.2">
      <c r="A47" s="977"/>
      <c r="B47" s="247"/>
      <c r="C47" s="247"/>
      <c r="D47" s="247"/>
      <c r="E47" s="247"/>
      <c r="F47" s="977"/>
      <c r="G47" s="977"/>
      <c r="H47" s="977"/>
      <c r="I47" s="977"/>
      <c r="J47" s="977"/>
      <c r="K47" s="977"/>
      <c r="L47" s="977"/>
      <c r="M47" s="977"/>
      <c r="N47" s="977"/>
      <c r="O47" s="977"/>
      <c r="P47" s="977"/>
      <c r="Q47" s="977"/>
      <c r="R47" s="977"/>
      <c r="S47" s="977"/>
      <c r="T47" s="977"/>
      <c r="U47" s="977"/>
    </row>
    <row r="48" spans="1:21" ht="15" x14ac:dyDescent="0.2">
      <c r="A48" s="977"/>
      <c r="B48" s="247"/>
      <c r="C48" s="247"/>
      <c r="D48" s="247"/>
      <c r="E48" s="247"/>
      <c r="F48" s="977"/>
      <c r="G48" s="977"/>
      <c r="H48" s="977"/>
      <c r="I48" s="977"/>
      <c r="J48" s="977"/>
      <c r="K48" s="977"/>
      <c r="L48" s="977"/>
      <c r="M48" s="977"/>
      <c r="N48" s="977"/>
      <c r="O48" s="977"/>
      <c r="P48" s="977"/>
      <c r="Q48" s="977"/>
      <c r="R48" s="977"/>
      <c r="S48" s="977"/>
      <c r="T48" s="977"/>
      <c r="U48" s="977"/>
    </row>
    <row r="49" spans="1:21" ht="15" x14ac:dyDescent="0.2">
      <c r="A49" s="977"/>
      <c r="B49" s="247"/>
      <c r="C49" s="247"/>
      <c r="D49" s="247"/>
      <c r="E49" s="247"/>
      <c r="F49" s="977"/>
      <c r="G49" s="977"/>
      <c r="H49" s="977"/>
      <c r="I49" s="977"/>
      <c r="J49" s="977"/>
      <c r="K49" s="977"/>
      <c r="L49" s="977"/>
      <c r="M49" s="977"/>
      <c r="N49" s="977"/>
      <c r="O49" s="977"/>
      <c r="P49" s="977"/>
      <c r="Q49" s="977"/>
      <c r="R49" s="977"/>
      <c r="S49" s="977"/>
      <c r="T49" s="977"/>
      <c r="U49" s="977"/>
    </row>
    <row r="50" spans="1:21" ht="15" x14ac:dyDescent="0.2">
      <c r="A50" s="977"/>
      <c r="B50" s="247"/>
      <c r="C50" s="247"/>
      <c r="D50" s="247"/>
      <c r="E50" s="247"/>
      <c r="F50" s="977"/>
      <c r="G50" s="977"/>
      <c r="H50" s="977"/>
      <c r="I50" s="977"/>
      <c r="J50" s="977"/>
      <c r="K50" s="977"/>
      <c r="L50" s="977"/>
      <c r="M50" s="977"/>
      <c r="N50" s="977"/>
      <c r="O50" s="977"/>
      <c r="P50" s="977"/>
      <c r="Q50" s="977"/>
      <c r="R50" s="977"/>
      <c r="S50" s="977"/>
      <c r="T50" s="977"/>
      <c r="U50" s="977"/>
    </row>
    <row r="51" spans="1:21" ht="15" x14ac:dyDescent="0.2">
      <c r="A51" s="977"/>
      <c r="B51" s="247"/>
      <c r="C51" s="247"/>
      <c r="D51" s="247"/>
      <c r="E51" s="247"/>
      <c r="F51" s="977"/>
      <c r="G51" s="977"/>
      <c r="H51" s="977"/>
      <c r="I51" s="977"/>
      <c r="J51" s="977"/>
      <c r="K51" s="977"/>
      <c r="L51" s="977"/>
      <c r="M51" s="977"/>
      <c r="N51" s="977"/>
      <c r="O51" s="977"/>
      <c r="P51" s="977"/>
      <c r="Q51" s="977"/>
      <c r="R51" s="977"/>
      <c r="S51" s="977"/>
      <c r="T51" s="977"/>
      <c r="U51" s="977"/>
    </row>
    <row r="52" spans="1:21" ht="15" x14ac:dyDescent="0.2">
      <c r="A52" s="977"/>
      <c r="B52" s="247"/>
      <c r="C52" s="247"/>
      <c r="D52" s="247"/>
      <c r="E52" s="247"/>
      <c r="F52" s="977"/>
      <c r="G52" s="977"/>
      <c r="H52" s="977"/>
      <c r="I52" s="977"/>
      <c r="J52" s="977"/>
      <c r="K52" s="977"/>
      <c r="L52" s="977"/>
      <c r="M52" s="977"/>
      <c r="N52" s="977"/>
      <c r="O52" s="977"/>
      <c r="P52" s="977"/>
      <c r="Q52" s="977"/>
      <c r="R52" s="977"/>
      <c r="S52" s="977"/>
      <c r="T52" s="977"/>
      <c r="U52" s="977"/>
    </row>
    <row r="53" spans="1:21" ht="15" x14ac:dyDescent="0.2">
      <c r="A53" s="977"/>
      <c r="B53" s="247"/>
      <c r="C53" s="247"/>
      <c r="D53" s="247"/>
      <c r="E53" s="247"/>
      <c r="F53" s="977"/>
      <c r="G53" s="977"/>
      <c r="H53" s="977"/>
      <c r="I53" s="977"/>
      <c r="J53" s="977"/>
      <c r="K53" s="977"/>
      <c r="L53" s="977"/>
      <c r="M53" s="977"/>
      <c r="N53" s="977"/>
      <c r="O53" s="977"/>
      <c r="P53" s="977"/>
      <c r="Q53" s="977"/>
      <c r="R53" s="977"/>
      <c r="S53" s="977"/>
      <c r="T53" s="977"/>
      <c r="U53" s="977"/>
    </row>
    <row r="54" spans="1:21" ht="15" x14ac:dyDescent="0.2">
      <c r="A54" s="977"/>
      <c r="B54" s="247"/>
      <c r="C54" s="247"/>
      <c r="D54" s="247"/>
      <c r="E54" s="247"/>
      <c r="F54" s="977"/>
      <c r="G54" s="977"/>
      <c r="H54" s="977"/>
      <c r="I54" s="977"/>
      <c r="J54" s="977"/>
      <c r="K54" s="977"/>
      <c r="L54" s="977"/>
      <c r="M54" s="977"/>
      <c r="N54" s="977"/>
      <c r="O54" s="977"/>
      <c r="P54" s="977"/>
      <c r="Q54" s="977"/>
      <c r="R54" s="977"/>
      <c r="S54" s="977"/>
      <c r="T54" s="977"/>
      <c r="U54" s="977"/>
    </row>
    <row r="55" spans="1:21" ht="15" x14ac:dyDescent="0.2">
      <c r="A55" s="977"/>
      <c r="B55" s="247"/>
      <c r="C55" s="247"/>
      <c r="D55" s="247"/>
      <c r="E55" s="247"/>
      <c r="F55" s="977"/>
      <c r="G55" s="977"/>
      <c r="H55" s="977"/>
      <c r="I55" s="977"/>
      <c r="J55" s="977"/>
      <c r="K55" s="977"/>
      <c r="L55" s="977"/>
      <c r="M55" s="977"/>
      <c r="N55" s="977"/>
      <c r="O55" s="977"/>
      <c r="P55" s="977"/>
      <c r="Q55" s="977"/>
      <c r="R55" s="977"/>
      <c r="S55" s="977"/>
      <c r="T55" s="977"/>
      <c r="U55" s="977"/>
    </row>
    <row r="56" spans="1:21" ht="15" x14ac:dyDescent="0.2">
      <c r="A56" s="977"/>
      <c r="B56" s="247"/>
      <c r="C56" s="247"/>
      <c r="D56" s="247"/>
      <c r="E56" s="247"/>
      <c r="F56" s="977"/>
      <c r="G56" s="977"/>
      <c r="H56" s="977"/>
      <c r="I56" s="977"/>
      <c r="J56" s="977"/>
      <c r="K56" s="977"/>
      <c r="L56" s="977"/>
      <c r="M56" s="977"/>
      <c r="N56" s="977"/>
      <c r="O56" s="977"/>
      <c r="P56" s="977"/>
      <c r="Q56" s="977"/>
      <c r="R56" s="977"/>
      <c r="S56" s="977"/>
      <c r="T56" s="977"/>
      <c r="U56" s="977"/>
    </row>
    <row r="57" spans="1:21" ht="15" x14ac:dyDescent="0.2">
      <c r="A57" s="977"/>
      <c r="B57" s="247"/>
      <c r="C57" s="247"/>
      <c r="D57" s="247"/>
      <c r="E57" s="247"/>
      <c r="F57" s="977"/>
      <c r="G57" s="977"/>
      <c r="H57" s="977"/>
      <c r="I57" s="977"/>
      <c r="J57" s="977"/>
      <c r="K57" s="977"/>
      <c r="L57" s="977"/>
      <c r="M57" s="977"/>
      <c r="N57" s="977"/>
      <c r="O57" s="977"/>
      <c r="P57" s="977"/>
      <c r="Q57" s="977"/>
      <c r="R57" s="977"/>
      <c r="S57" s="977"/>
      <c r="T57" s="977"/>
      <c r="U57" s="977"/>
    </row>
    <row r="58" spans="1:21" ht="15" x14ac:dyDescent="0.2">
      <c r="A58" s="977"/>
      <c r="B58" s="247"/>
      <c r="C58" s="247"/>
      <c r="D58" s="247"/>
      <c r="E58" s="247"/>
      <c r="F58" s="977"/>
      <c r="G58" s="977"/>
      <c r="H58" s="977"/>
      <c r="I58" s="977"/>
      <c r="J58" s="977"/>
      <c r="K58" s="977"/>
      <c r="L58" s="977"/>
      <c r="M58" s="977"/>
      <c r="N58" s="977"/>
      <c r="O58" s="977"/>
      <c r="P58" s="977"/>
      <c r="Q58" s="977"/>
      <c r="R58" s="977"/>
      <c r="S58" s="977"/>
      <c r="T58" s="977"/>
      <c r="U58" s="977"/>
    </row>
    <row r="59" spans="1:21" ht="15" x14ac:dyDescent="0.2">
      <c r="A59" s="977"/>
      <c r="B59" s="247"/>
      <c r="C59" s="247"/>
      <c r="D59" s="247"/>
      <c r="E59" s="247"/>
      <c r="F59" s="977"/>
      <c r="G59" s="977"/>
      <c r="H59" s="977"/>
      <c r="I59" s="977"/>
      <c r="J59" s="977"/>
      <c r="K59" s="977"/>
      <c r="L59" s="977"/>
      <c r="M59" s="977"/>
      <c r="N59" s="977"/>
      <c r="O59" s="977"/>
      <c r="P59" s="977"/>
      <c r="Q59" s="977"/>
      <c r="R59" s="977"/>
      <c r="S59" s="977"/>
      <c r="T59" s="977"/>
      <c r="U59" s="977"/>
    </row>
    <row r="60" spans="1:21" ht="15" x14ac:dyDescent="0.2">
      <c r="A60" s="977"/>
      <c r="B60" s="247"/>
      <c r="C60" s="247"/>
      <c r="D60" s="247"/>
      <c r="E60" s="247"/>
      <c r="F60" s="977"/>
      <c r="G60" s="977"/>
      <c r="H60" s="977"/>
      <c r="I60" s="977"/>
      <c r="J60" s="977"/>
      <c r="K60" s="977"/>
      <c r="L60" s="977"/>
      <c r="M60" s="977"/>
      <c r="N60" s="977"/>
      <c r="O60" s="977"/>
      <c r="P60" s="977"/>
      <c r="Q60" s="977"/>
      <c r="R60" s="977"/>
      <c r="S60" s="977"/>
      <c r="T60" s="977"/>
      <c r="U60" s="977"/>
    </row>
    <row r="61" spans="1:21" ht="15" x14ac:dyDescent="0.2">
      <c r="A61" s="977"/>
      <c r="B61" s="247"/>
      <c r="C61" s="247"/>
      <c r="D61" s="247"/>
      <c r="E61" s="247"/>
      <c r="F61" s="977"/>
      <c r="G61" s="977"/>
      <c r="H61" s="977"/>
      <c r="I61" s="977"/>
      <c r="J61" s="977"/>
      <c r="K61" s="977"/>
      <c r="L61" s="977"/>
      <c r="M61" s="977"/>
      <c r="N61" s="977"/>
      <c r="O61" s="977"/>
      <c r="P61" s="977"/>
      <c r="Q61" s="977"/>
      <c r="R61" s="977"/>
      <c r="S61" s="977"/>
      <c r="T61" s="977"/>
      <c r="U61" s="977"/>
    </row>
    <row r="62" spans="1:21" ht="15" x14ac:dyDescent="0.2">
      <c r="A62" s="977"/>
      <c r="B62" s="247"/>
      <c r="C62" s="247"/>
      <c r="D62" s="247"/>
      <c r="E62" s="247"/>
      <c r="F62" s="977"/>
      <c r="G62" s="977"/>
      <c r="H62" s="977"/>
      <c r="I62" s="977"/>
      <c r="J62" s="977"/>
      <c r="K62" s="977"/>
      <c r="L62" s="977"/>
      <c r="M62" s="977"/>
      <c r="N62" s="977"/>
      <c r="O62" s="977"/>
      <c r="P62" s="977"/>
      <c r="Q62" s="977"/>
      <c r="R62" s="977"/>
      <c r="S62" s="977"/>
      <c r="T62" s="977"/>
      <c r="U62" s="977"/>
    </row>
    <row r="63" spans="1:21" ht="15" x14ac:dyDescent="0.2">
      <c r="A63" s="977"/>
      <c r="B63" s="247"/>
      <c r="C63" s="247"/>
      <c r="D63" s="247"/>
      <c r="E63" s="247"/>
      <c r="F63" s="977"/>
      <c r="G63" s="977"/>
      <c r="H63" s="977"/>
      <c r="I63" s="977"/>
      <c r="J63" s="977"/>
      <c r="K63" s="977"/>
      <c r="L63" s="977"/>
      <c r="M63" s="977"/>
      <c r="N63" s="977"/>
      <c r="O63" s="977"/>
      <c r="P63" s="977"/>
      <c r="Q63" s="977"/>
      <c r="R63" s="977"/>
      <c r="S63" s="977"/>
      <c r="T63" s="977"/>
      <c r="U63" s="977"/>
    </row>
    <row r="64" spans="1:21" ht="15" x14ac:dyDescent="0.2">
      <c r="A64" s="977"/>
      <c r="B64" s="247"/>
      <c r="C64" s="247"/>
      <c r="D64" s="247"/>
      <c r="E64" s="247"/>
      <c r="F64" s="977"/>
      <c r="G64" s="977"/>
      <c r="H64" s="977"/>
      <c r="I64" s="977"/>
      <c r="J64" s="977"/>
      <c r="K64" s="977"/>
      <c r="L64" s="977"/>
      <c r="M64" s="977"/>
      <c r="N64" s="977"/>
      <c r="O64" s="977"/>
      <c r="P64" s="977"/>
      <c r="Q64" s="977"/>
      <c r="R64" s="977"/>
      <c r="S64" s="977"/>
      <c r="T64" s="977"/>
      <c r="U64" s="977"/>
    </row>
    <row r="65" spans="1:21" ht="15" x14ac:dyDescent="0.2">
      <c r="A65" s="977"/>
      <c r="B65" s="247"/>
      <c r="C65" s="247"/>
      <c r="D65" s="247"/>
      <c r="E65" s="247"/>
      <c r="F65" s="977"/>
      <c r="G65" s="977"/>
      <c r="H65" s="977"/>
      <c r="I65" s="977"/>
      <c r="J65" s="977"/>
      <c r="K65" s="977"/>
      <c r="L65" s="977"/>
      <c r="M65" s="977"/>
      <c r="N65" s="977"/>
      <c r="O65" s="977"/>
      <c r="P65" s="977"/>
      <c r="Q65" s="977"/>
      <c r="R65" s="977"/>
      <c r="S65" s="977"/>
      <c r="T65" s="977"/>
      <c r="U65" s="977"/>
    </row>
    <row r="66" spans="1:21" ht="15" x14ac:dyDescent="0.2">
      <c r="A66" s="977"/>
      <c r="B66" s="247"/>
      <c r="C66" s="247"/>
      <c r="D66" s="247"/>
      <c r="E66" s="247"/>
      <c r="F66" s="977"/>
      <c r="G66" s="977"/>
      <c r="H66" s="977"/>
      <c r="I66" s="977"/>
      <c r="J66" s="977"/>
      <c r="K66" s="977"/>
      <c r="L66" s="977"/>
      <c r="M66" s="977"/>
      <c r="N66" s="977"/>
      <c r="O66" s="977"/>
      <c r="P66" s="977"/>
      <c r="Q66" s="977"/>
      <c r="R66" s="977"/>
      <c r="S66" s="977"/>
      <c r="T66" s="977"/>
      <c r="U66" s="977"/>
    </row>
    <row r="67" spans="1:21" ht="15" x14ac:dyDescent="0.2">
      <c r="A67" s="977"/>
      <c r="B67" s="247"/>
      <c r="C67" s="247"/>
      <c r="D67" s="247"/>
      <c r="E67" s="247"/>
      <c r="F67" s="977"/>
      <c r="G67" s="977"/>
      <c r="H67" s="977"/>
      <c r="I67" s="977"/>
      <c r="J67" s="977"/>
      <c r="K67" s="977"/>
      <c r="L67" s="977"/>
      <c r="M67" s="977"/>
      <c r="N67" s="977"/>
      <c r="O67" s="977"/>
      <c r="P67" s="977"/>
      <c r="Q67" s="977"/>
      <c r="R67" s="977"/>
      <c r="S67" s="977"/>
      <c r="T67" s="977"/>
      <c r="U67" s="977"/>
    </row>
    <row r="68" spans="1:21" ht="15" x14ac:dyDescent="0.2">
      <c r="A68" s="977"/>
      <c r="B68" s="247"/>
      <c r="C68" s="247"/>
      <c r="D68" s="247"/>
      <c r="E68" s="247"/>
      <c r="F68" s="977"/>
      <c r="G68" s="977"/>
      <c r="H68" s="977"/>
      <c r="I68" s="977"/>
      <c r="J68" s="977"/>
      <c r="K68" s="977"/>
      <c r="L68" s="977"/>
      <c r="M68" s="977"/>
      <c r="N68" s="977"/>
      <c r="O68" s="977"/>
      <c r="P68" s="977"/>
      <c r="Q68" s="977"/>
      <c r="R68" s="977"/>
      <c r="S68" s="977"/>
      <c r="T68" s="977"/>
      <c r="U68" s="977"/>
    </row>
    <row r="69" spans="1:21" ht="15" x14ac:dyDescent="0.2">
      <c r="A69" s="977"/>
      <c r="B69" s="247"/>
      <c r="C69" s="247"/>
      <c r="D69" s="247"/>
      <c r="E69" s="247"/>
      <c r="F69" s="977"/>
      <c r="G69" s="977"/>
      <c r="H69" s="977"/>
      <c r="I69" s="977"/>
      <c r="J69" s="977"/>
      <c r="K69" s="977"/>
      <c r="L69" s="977"/>
      <c r="M69" s="977"/>
      <c r="N69" s="977"/>
      <c r="O69" s="977"/>
      <c r="P69" s="977"/>
      <c r="Q69" s="977"/>
      <c r="R69" s="977"/>
      <c r="S69" s="977"/>
      <c r="T69" s="977"/>
      <c r="U69" s="977"/>
    </row>
    <row r="70" spans="1:21" ht="15" x14ac:dyDescent="0.2">
      <c r="A70" s="977"/>
      <c r="B70" s="247"/>
      <c r="C70" s="247"/>
      <c r="D70" s="247"/>
      <c r="E70" s="247"/>
      <c r="F70" s="977"/>
      <c r="G70" s="977"/>
      <c r="H70" s="977"/>
      <c r="I70" s="977"/>
      <c r="J70" s="977"/>
      <c r="K70" s="977"/>
      <c r="L70" s="977"/>
      <c r="M70" s="977"/>
      <c r="N70" s="977"/>
      <c r="O70" s="977"/>
      <c r="P70" s="977"/>
      <c r="Q70" s="977"/>
      <c r="R70" s="977"/>
      <c r="S70" s="977"/>
      <c r="T70" s="977"/>
      <c r="U70" s="977"/>
    </row>
    <row r="71" spans="1:21" ht="15" x14ac:dyDescent="0.2">
      <c r="A71" s="977"/>
      <c r="B71" s="247"/>
      <c r="C71" s="247"/>
      <c r="D71" s="247"/>
      <c r="E71" s="247"/>
      <c r="F71" s="977"/>
      <c r="G71" s="977"/>
      <c r="H71" s="977"/>
      <c r="I71" s="977"/>
      <c r="J71" s="977"/>
      <c r="K71" s="977"/>
      <c r="L71" s="977"/>
      <c r="M71" s="977"/>
      <c r="N71" s="977"/>
      <c r="O71" s="977"/>
      <c r="P71" s="977"/>
      <c r="Q71" s="977"/>
      <c r="R71" s="977"/>
      <c r="S71" s="977"/>
      <c r="T71" s="977"/>
      <c r="U71" s="977"/>
    </row>
    <row r="72" spans="1:21" ht="15" x14ac:dyDescent="0.2">
      <c r="A72" s="977"/>
      <c r="B72" s="247"/>
      <c r="C72" s="247"/>
      <c r="D72" s="247"/>
      <c r="E72" s="247"/>
      <c r="F72" s="977"/>
      <c r="G72" s="977"/>
      <c r="H72" s="977"/>
      <c r="I72" s="977"/>
      <c r="J72" s="977"/>
      <c r="K72" s="977"/>
      <c r="L72" s="977"/>
      <c r="M72" s="977"/>
      <c r="N72" s="977"/>
      <c r="O72" s="977"/>
      <c r="P72" s="977"/>
      <c r="Q72" s="977"/>
      <c r="R72" s="977"/>
      <c r="S72" s="977"/>
      <c r="T72" s="977"/>
      <c r="U72" s="977"/>
    </row>
    <row r="73" spans="1:21" ht="15" x14ac:dyDescent="0.2">
      <c r="A73" s="977"/>
      <c r="B73" s="247"/>
      <c r="C73" s="247"/>
      <c r="D73" s="247"/>
      <c r="E73" s="247"/>
      <c r="F73" s="977"/>
      <c r="G73" s="977"/>
      <c r="H73" s="977"/>
      <c r="I73" s="977"/>
      <c r="J73" s="977"/>
      <c r="K73" s="977"/>
      <c r="L73" s="977"/>
      <c r="M73" s="977"/>
      <c r="N73" s="977"/>
      <c r="O73" s="977"/>
      <c r="P73" s="977"/>
      <c r="Q73" s="977"/>
      <c r="R73" s="977"/>
      <c r="S73" s="977"/>
      <c r="T73" s="977"/>
      <c r="U73" s="977"/>
    </row>
    <row r="74" spans="1:21" ht="15" x14ac:dyDescent="0.2">
      <c r="A74" s="977"/>
      <c r="B74" s="247"/>
      <c r="C74" s="247"/>
      <c r="D74" s="247"/>
      <c r="E74" s="247"/>
      <c r="F74" s="977"/>
      <c r="G74" s="977"/>
      <c r="H74" s="977"/>
      <c r="I74" s="977"/>
      <c r="J74" s="977"/>
      <c r="K74" s="977"/>
      <c r="L74" s="977"/>
      <c r="M74" s="977"/>
      <c r="N74" s="977"/>
      <c r="O74" s="977"/>
      <c r="P74" s="977"/>
      <c r="Q74" s="977"/>
      <c r="R74" s="977"/>
      <c r="S74" s="977"/>
      <c r="T74" s="977"/>
      <c r="U74" s="977"/>
    </row>
    <row r="75" spans="1:21" ht="15" x14ac:dyDescent="0.2">
      <c r="A75" s="977"/>
      <c r="B75" s="247"/>
      <c r="C75" s="247"/>
      <c r="D75" s="247"/>
      <c r="E75" s="247"/>
      <c r="F75" s="977"/>
      <c r="G75" s="977"/>
      <c r="H75" s="977"/>
      <c r="I75" s="977"/>
      <c r="J75" s="977"/>
      <c r="K75" s="977"/>
      <c r="L75" s="977"/>
      <c r="M75" s="977"/>
      <c r="N75" s="977"/>
      <c r="O75" s="977"/>
      <c r="P75" s="977"/>
      <c r="Q75" s="977"/>
      <c r="R75" s="977"/>
      <c r="S75" s="977"/>
      <c r="T75" s="977"/>
      <c r="U75" s="977"/>
    </row>
    <row r="76" spans="1:21" ht="15" x14ac:dyDescent="0.2">
      <c r="A76" s="977"/>
      <c r="B76" s="247"/>
      <c r="C76" s="247"/>
      <c r="D76" s="247"/>
      <c r="E76" s="247"/>
      <c r="F76" s="977"/>
      <c r="G76" s="977"/>
      <c r="H76" s="977"/>
      <c r="I76" s="977"/>
      <c r="J76" s="977"/>
      <c r="K76" s="977"/>
      <c r="L76" s="977"/>
      <c r="M76" s="977"/>
      <c r="N76" s="977"/>
      <c r="O76" s="977"/>
      <c r="P76" s="977"/>
      <c r="Q76" s="977"/>
      <c r="R76" s="977"/>
      <c r="S76" s="977"/>
      <c r="T76" s="977"/>
      <c r="U76" s="977"/>
    </row>
    <row r="77" spans="1:21" ht="15" x14ac:dyDescent="0.2">
      <c r="A77" s="977"/>
      <c r="B77" s="247"/>
      <c r="C77" s="247"/>
      <c r="D77" s="247"/>
      <c r="E77" s="247"/>
      <c r="F77" s="977"/>
      <c r="G77" s="977"/>
      <c r="H77" s="977"/>
      <c r="I77" s="977"/>
      <c r="J77" s="977"/>
      <c r="K77" s="977"/>
      <c r="L77" s="977"/>
      <c r="M77" s="977"/>
      <c r="N77" s="977"/>
      <c r="O77" s="977"/>
      <c r="P77" s="977"/>
      <c r="Q77" s="977"/>
      <c r="R77" s="977"/>
      <c r="S77" s="977"/>
      <c r="T77" s="977"/>
      <c r="U77" s="977"/>
    </row>
    <row r="78" spans="1:21" ht="15" x14ac:dyDescent="0.2">
      <c r="A78" s="977"/>
      <c r="B78" s="247"/>
      <c r="C78" s="247"/>
      <c r="D78" s="247"/>
      <c r="E78" s="247"/>
      <c r="F78" s="977"/>
      <c r="G78" s="977"/>
      <c r="H78" s="977"/>
      <c r="I78" s="977"/>
      <c r="J78" s="977"/>
      <c r="K78" s="977"/>
      <c r="L78" s="977"/>
      <c r="M78" s="977"/>
      <c r="N78" s="977"/>
      <c r="O78" s="977"/>
      <c r="P78" s="977"/>
      <c r="Q78" s="977"/>
      <c r="R78" s="977"/>
      <c r="S78" s="977"/>
      <c r="T78" s="977"/>
      <c r="U78" s="977"/>
    </row>
    <row r="79" spans="1:21" ht="15" x14ac:dyDescent="0.2">
      <c r="A79" s="977"/>
      <c r="B79" s="247"/>
      <c r="C79" s="247"/>
      <c r="D79" s="247"/>
      <c r="E79" s="247"/>
      <c r="F79" s="977"/>
      <c r="G79" s="977"/>
      <c r="H79" s="977"/>
      <c r="I79" s="977"/>
      <c r="J79" s="977"/>
      <c r="K79" s="977"/>
      <c r="L79" s="977"/>
      <c r="M79" s="977"/>
      <c r="N79" s="977"/>
      <c r="O79" s="977"/>
      <c r="P79" s="977"/>
      <c r="Q79" s="977"/>
      <c r="R79" s="977"/>
      <c r="S79" s="977"/>
      <c r="T79" s="977"/>
      <c r="U79" s="977"/>
    </row>
    <row r="80" spans="1:21" ht="15" x14ac:dyDescent="0.2">
      <c r="A80" s="977"/>
      <c r="B80" s="247"/>
      <c r="C80" s="247"/>
      <c r="D80" s="247"/>
      <c r="E80" s="247"/>
      <c r="F80" s="977"/>
      <c r="G80" s="977"/>
      <c r="H80" s="977"/>
      <c r="I80" s="977"/>
      <c r="J80" s="977"/>
      <c r="K80" s="977"/>
      <c r="L80" s="977"/>
      <c r="M80" s="977"/>
      <c r="N80" s="977"/>
      <c r="O80" s="977"/>
      <c r="P80" s="977"/>
      <c r="Q80" s="977"/>
      <c r="R80" s="977"/>
      <c r="S80" s="977"/>
      <c r="T80" s="977"/>
      <c r="U80" s="977"/>
    </row>
    <row r="81" spans="1:21" ht="15" x14ac:dyDescent="0.2">
      <c r="A81" s="977"/>
      <c r="B81" s="247"/>
      <c r="C81" s="247"/>
      <c r="D81" s="247"/>
      <c r="E81" s="247"/>
      <c r="F81" s="977"/>
      <c r="G81" s="977"/>
      <c r="H81" s="977"/>
      <c r="I81" s="977"/>
      <c r="J81" s="977"/>
      <c r="K81" s="977"/>
      <c r="L81" s="977"/>
      <c r="M81" s="977"/>
      <c r="N81" s="977"/>
      <c r="O81" s="977"/>
      <c r="P81" s="977"/>
      <c r="Q81" s="977"/>
      <c r="R81" s="977"/>
      <c r="S81" s="977"/>
      <c r="T81" s="977"/>
      <c r="U81" s="977"/>
    </row>
    <row r="82" spans="1:21" ht="15" x14ac:dyDescent="0.2">
      <c r="A82" s="977"/>
      <c r="B82" s="247"/>
      <c r="C82" s="247"/>
      <c r="D82" s="247"/>
      <c r="E82" s="247"/>
      <c r="F82" s="977"/>
      <c r="G82" s="977"/>
      <c r="H82" s="977"/>
      <c r="I82" s="977"/>
      <c r="J82" s="977"/>
      <c r="K82" s="977"/>
      <c r="L82" s="977"/>
      <c r="M82" s="977"/>
      <c r="N82" s="977"/>
      <c r="O82" s="977"/>
      <c r="P82" s="977"/>
      <c r="Q82" s="977"/>
      <c r="R82" s="977"/>
      <c r="S82" s="977"/>
      <c r="T82" s="977"/>
      <c r="U82" s="977"/>
    </row>
    <row r="83" spans="1:21" ht="15" x14ac:dyDescent="0.2">
      <c r="A83" s="977"/>
      <c r="B83" s="247"/>
      <c r="C83" s="247"/>
      <c r="D83" s="247"/>
      <c r="E83" s="247"/>
      <c r="F83" s="977"/>
      <c r="G83" s="977"/>
      <c r="H83" s="977"/>
      <c r="I83" s="977"/>
      <c r="J83" s="977"/>
      <c r="K83" s="977"/>
      <c r="L83" s="977"/>
      <c r="M83" s="977"/>
      <c r="N83" s="977"/>
      <c r="O83" s="977"/>
      <c r="P83" s="977"/>
      <c r="Q83" s="977"/>
      <c r="R83" s="977"/>
      <c r="S83" s="977"/>
      <c r="T83" s="977"/>
      <c r="U83" s="977"/>
    </row>
    <row r="84" spans="1:21" ht="15" x14ac:dyDescent="0.2">
      <c r="A84" s="977"/>
      <c r="B84" s="247"/>
      <c r="C84" s="247"/>
      <c r="D84" s="247"/>
      <c r="E84" s="247"/>
      <c r="F84" s="977"/>
      <c r="G84" s="977"/>
      <c r="H84" s="977"/>
      <c r="I84" s="977"/>
      <c r="J84" s="977"/>
      <c r="K84" s="977"/>
      <c r="L84" s="977"/>
      <c r="M84" s="977"/>
      <c r="N84" s="977"/>
      <c r="O84" s="977"/>
      <c r="P84" s="977"/>
      <c r="Q84" s="977"/>
      <c r="R84" s="977"/>
      <c r="S84" s="977"/>
      <c r="T84" s="977"/>
      <c r="U84" s="977"/>
    </row>
    <row r="85" spans="1:21" ht="15" x14ac:dyDescent="0.2">
      <c r="A85" s="977"/>
      <c r="B85" s="247"/>
      <c r="C85" s="247"/>
      <c r="D85" s="247"/>
      <c r="E85" s="247"/>
      <c r="F85" s="977"/>
      <c r="G85" s="977"/>
      <c r="H85" s="977"/>
      <c r="I85" s="977"/>
      <c r="J85" s="977"/>
      <c r="K85" s="977"/>
      <c r="L85" s="977"/>
      <c r="M85" s="977"/>
      <c r="N85" s="977"/>
      <c r="O85" s="977"/>
      <c r="P85" s="977"/>
      <c r="Q85" s="977"/>
      <c r="R85" s="977"/>
      <c r="S85" s="977"/>
      <c r="T85" s="977"/>
      <c r="U85" s="977"/>
    </row>
    <row r="86" spans="1:21" ht="15" x14ac:dyDescent="0.2">
      <c r="A86" s="977"/>
      <c r="B86" s="247"/>
      <c r="C86" s="247"/>
      <c r="D86" s="247"/>
      <c r="E86" s="247"/>
      <c r="F86" s="977"/>
      <c r="G86" s="977"/>
      <c r="H86" s="977"/>
      <c r="I86" s="977"/>
      <c r="J86" s="977"/>
      <c r="K86" s="977"/>
      <c r="L86" s="977"/>
      <c r="M86" s="977"/>
      <c r="N86" s="977"/>
      <c r="O86" s="977"/>
      <c r="P86" s="977"/>
      <c r="Q86" s="977"/>
      <c r="R86" s="977"/>
      <c r="S86" s="977"/>
      <c r="T86" s="977"/>
      <c r="U86" s="977"/>
    </row>
    <row r="87" spans="1:21" ht="15" x14ac:dyDescent="0.2">
      <c r="A87" s="977"/>
      <c r="B87" s="247"/>
      <c r="C87" s="247"/>
      <c r="D87" s="247"/>
      <c r="E87" s="247"/>
      <c r="F87" s="977"/>
      <c r="G87" s="977"/>
      <c r="H87" s="977"/>
      <c r="I87" s="977"/>
      <c r="J87" s="977"/>
      <c r="K87" s="977"/>
      <c r="L87" s="977"/>
      <c r="M87" s="977"/>
      <c r="N87" s="977"/>
      <c r="O87" s="977"/>
      <c r="P87" s="977"/>
      <c r="Q87" s="977"/>
      <c r="R87" s="977"/>
      <c r="S87" s="977"/>
      <c r="T87" s="977"/>
      <c r="U87" s="977"/>
    </row>
    <row r="88" spans="1:21" ht="15" x14ac:dyDescent="0.2">
      <c r="A88" s="977"/>
      <c r="B88" s="247"/>
      <c r="C88" s="247"/>
      <c r="D88" s="247"/>
      <c r="E88" s="247"/>
      <c r="F88" s="977"/>
      <c r="G88" s="977"/>
      <c r="H88" s="977"/>
      <c r="I88" s="977"/>
      <c r="J88" s="977"/>
      <c r="K88" s="977"/>
      <c r="L88" s="977"/>
      <c r="M88" s="977"/>
      <c r="N88" s="977"/>
      <c r="O88" s="977"/>
      <c r="P88" s="977"/>
      <c r="Q88" s="977"/>
      <c r="R88" s="977"/>
      <c r="S88" s="977"/>
      <c r="T88" s="977"/>
      <c r="U88" s="977"/>
    </row>
    <row r="89" spans="1:21" ht="15" x14ac:dyDescent="0.2">
      <c r="A89" s="977"/>
      <c r="B89" s="247"/>
      <c r="C89" s="247"/>
      <c r="D89" s="247"/>
      <c r="E89" s="247"/>
      <c r="F89" s="977"/>
      <c r="G89" s="977"/>
      <c r="H89" s="977"/>
      <c r="I89" s="977"/>
      <c r="J89" s="977"/>
      <c r="K89" s="977"/>
      <c r="L89" s="977"/>
      <c r="M89" s="977"/>
      <c r="N89" s="977"/>
      <c r="O89" s="977"/>
      <c r="P89" s="977"/>
      <c r="Q89" s="977"/>
      <c r="R89" s="977"/>
      <c r="S89" s="977"/>
      <c r="T89" s="977"/>
      <c r="U89" s="977"/>
    </row>
    <row r="90" spans="1:21" ht="15" x14ac:dyDescent="0.2">
      <c r="A90" s="977"/>
      <c r="B90" s="247"/>
      <c r="C90" s="247"/>
      <c r="D90" s="247"/>
      <c r="E90" s="247"/>
      <c r="F90" s="977"/>
      <c r="G90" s="977"/>
      <c r="H90" s="977"/>
      <c r="I90" s="977"/>
      <c r="J90" s="977"/>
      <c r="K90" s="977"/>
      <c r="L90" s="977"/>
      <c r="M90" s="977"/>
      <c r="N90" s="977"/>
      <c r="O90" s="977"/>
      <c r="P90" s="977"/>
      <c r="Q90" s="977"/>
      <c r="R90" s="977"/>
      <c r="S90" s="977"/>
      <c r="T90" s="977"/>
      <c r="U90" s="977"/>
    </row>
    <row r="91" spans="1:21" ht="15" x14ac:dyDescent="0.2">
      <c r="A91" s="977"/>
      <c r="B91" s="247"/>
      <c r="C91" s="247"/>
      <c r="D91" s="247"/>
      <c r="E91" s="247"/>
      <c r="F91" s="977"/>
      <c r="G91" s="977"/>
      <c r="H91" s="977"/>
      <c r="I91" s="977"/>
      <c r="J91" s="977"/>
      <c r="K91" s="977"/>
      <c r="L91" s="977"/>
      <c r="M91" s="977"/>
      <c r="N91" s="977"/>
      <c r="O91" s="977"/>
      <c r="P91" s="977"/>
      <c r="Q91" s="977"/>
      <c r="R91" s="977"/>
      <c r="S91" s="977"/>
      <c r="T91" s="977"/>
      <c r="U91" s="977"/>
    </row>
    <row r="92" spans="1:21" ht="15" x14ac:dyDescent="0.2">
      <c r="A92" s="977"/>
      <c r="B92" s="247"/>
      <c r="C92" s="247"/>
      <c r="D92" s="247"/>
      <c r="E92" s="247"/>
      <c r="F92" s="977"/>
      <c r="G92" s="977"/>
      <c r="H92" s="977"/>
      <c r="I92" s="977"/>
      <c r="J92" s="977"/>
      <c r="K92" s="977"/>
      <c r="L92" s="977"/>
      <c r="M92" s="977"/>
      <c r="N92" s="977"/>
      <c r="O92" s="977"/>
      <c r="P92" s="977"/>
      <c r="Q92" s="977"/>
      <c r="R92" s="977"/>
      <c r="S92" s="977"/>
      <c r="T92" s="977"/>
      <c r="U92" s="977"/>
    </row>
    <row r="93" spans="1:21" ht="15" x14ac:dyDescent="0.2">
      <c r="A93" s="977"/>
      <c r="B93" s="247"/>
      <c r="C93" s="247"/>
      <c r="D93" s="247"/>
      <c r="E93" s="247"/>
      <c r="F93" s="977"/>
      <c r="G93" s="977"/>
      <c r="H93" s="977"/>
      <c r="I93" s="977"/>
      <c r="J93" s="977"/>
      <c r="K93" s="977"/>
      <c r="L93" s="977"/>
      <c r="M93" s="977"/>
      <c r="N93" s="977"/>
      <c r="O93" s="977"/>
      <c r="P93" s="977"/>
      <c r="Q93" s="977"/>
      <c r="R93" s="977"/>
      <c r="S93" s="977"/>
      <c r="T93" s="977"/>
      <c r="U93" s="977"/>
    </row>
    <row r="94" spans="1:21" ht="15" x14ac:dyDescent="0.2">
      <c r="A94" s="977"/>
      <c r="B94" s="247"/>
      <c r="C94" s="247"/>
      <c r="D94" s="247"/>
      <c r="E94" s="247"/>
      <c r="F94" s="977"/>
      <c r="G94" s="977"/>
      <c r="H94" s="977"/>
      <c r="I94" s="977"/>
      <c r="J94" s="977"/>
      <c r="K94" s="977"/>
      <c r="L94" s="977"/>
      <c r="M94" s="977"/>
      <c r="N94" s="977"/>
      <c r="O94" s="977"/>
      <c r="P94" s="977"/>
      <c r="Q94" s="977"/>
      <c r="R94" s="977"/>
      <c r="S94" s="977"/>
      <c r="T94" s="977"/>
      <c r="U94" s="977"/>
    </row>
    <row r="95" spans="1:21" ht="15" x14ac:dyDescent="0.2">
      <c r="A95" s="977"/>
      <c r="B95" s="247"/>
      <c r="C95" s="247"/>
      <c r="D95" s="247"/>
      <c r="E95" s="247"/>
      <c r="F95" s="977"/>
      <c r="G95" s="977"/>
      <c r="H95" s="977"/>
      <c r="I95" s="977"/>
      <c r="J95" s="977"/>
      <c r="K95" s="977"/>
      <c r="L95" s="977"/>
      <c r="M95" s="977"/>
      <c r="N95" s="977"/>
      <c r="O95" s="977"/>
      <c r="P95" s="977"/>
      <c r="Q95" s="977"/>
      <c r="R95" s="977"/>
      <c r="S95" s="977"/>
      <c r="T95" s="977"/>
      <c r="U95" s="977"/>
    </row>
    <row r="96" spans="1:21" ht="15" x14ac:dyDescent="0.2">
      <c r="A96" s="977"/>
      <c r="B96" s="247"/>
      <c r="C96" s="247"/>
      <c r="D96" s="247"/>
      <c r="E96" s="247"/>
      <c r="F96" s="977"/>
      <c r="G96" s="977"/>
      <c r="H96" s="977"/>
      <c r="I96" s="977"/>
      <c r="J96" s="977"/>
      <c r="K96" s="977"/>
      <c r="L96" s="977"/>
      <c r="M96" s="977"/>
      <c r="N96" s="977"/>
      <c r="O96" s="977"/>
      <c r="P96" s="977"/>
      <c r="Q96" s="977"/>
      <c r="R96" s="977"/>
      <c r="S96" s="977"/>
      <c r="T96" s="977"/>
      <c r="U96" s="977"/>
    </row>
    <row r="97" spans="1:21" ht="15" x14ac:dyDescent="0.2">
      <c r="A97" s="977"/>
      <c r="B97" s="247"/>
      <c r="C97" s="247"/>
      <c r="D97" s="247"/>
      <c r="E97" s="247"/>
      <c r="F97" s="977"/>
      <c r="G97" s="977"/>
      <c r="H97" s="977"/>
      <c r="I97" s="977"/>
      <c r="J97" s="977"/>
      <c r="K97" s="977"/>
      <c r="L97" s="977"/>
      <c r="M97" s="977"/>
      <c r="N97" s="977"/>
      <c r="O97" s="977"/>
      <c r="P97" s="977"/>
      <c r="Q97" s="977"/>
      <c r="R97" s="977"/>
      <c r="S97" s="977"/>
      <c r="T97" s="977"/>
      <c r="U97" s="977"/>
    </row>
    <row r="98" spans="1:21" ht="15" x14ac:dyDescent="0.2">
      <c r="A98" s="977"/>
      <c r="B98" s="247"/>
      <c r="C98" s="247"/>
      <c r="D98" s="247"/>
      <c r="E98" s="247"/>
      <c r="F98" s="977"/>
      <c r="G98" s="977"/>
      <c r="H98" s="977"/>
      <c r="I98" s="977"/>
      <c r="J98" s="977"/>
      <c r="K98" s="977"/>
      <c r="L98" s="977"/>
      <c r="M98" s="977"/>
      <c r="N98" s="977"/>
      <c r="O98" s="977"/>
      <c r="P98" s="977"/>
      <c r="Q98" s="977"/>
      <c r="R98" s="977"/>
      <c r="S98" s="977"/>
      <c r="T98" s="977"/>
      <c r="U98" s="977"/>
    </row>
    <row r="99" spans="1:21" ht="15" x14ac:dyDescent="0.2">
      <c r="A99" s="977"/>
      <c r="B99" s="247"/>
      <c r="C99" s="247"/>
      <c r="D99" s="247"/>
      <c r="E99" s="247"/>
      <c r="F99" s="977"/>
      <c r="G99" s="977"/>
      <c r="H99" s="977"/>
      <c r="I99" s="977"/>
      <c r="J99" s="977"/>
      <c r="K99" s="977"/>
      <c r="L99" s="977"/>
      <c r="M99" s="977"/>
      <c r="N99" s="977"/>
      <c r="O99" s="977"/>
      <c r="P99" s="977"/>
      <c r="Q99" s="977"/>
      <c r="R99" s="977"/>
      <c r="S99" s="977"/>
      <c r="T99" s="977"/>
      <c r="U99" s="977"/>
    </row>
    <row r="100" spans="1:21" ht="15" x14ac:dyDescent="0.2">
      <c r="A100" s="977"/>
      <c r="B100" s="247"/>
      <c r="C100" s="247"/>
      <c r="D100" s="247"/>
      <c r="E100" s="247"/>
      <c r="F100" s="977"/>
      <c r="G100" s="977"/>
      <c r="H100" s="977"/>
      <c r="I100" s="977"/>
      <c r="J100" s="977"/>
      <c r="K100" s="977"/>
      <c r="L100" s="977"/>
      <c r="M100" s="977"/>
      <c r="N100" s="977"/>
      <c r="O100" s="977"/>
      <c r="P100" s="977"/>
      <c r="Q100" s="977"/>
      <c r="R100" s="977"/>
      <c r="S100" s="977"/>
      <c r="T100" s="977"/>
      <c r="U100" s="977"/>
    </row>
    <row r="101" spans="1:21" ht="15" x14ac:dyDescent="0.2">
      <c r="A101" s="977"/>
      <c r="B101" s="247"/>
      <c r="C101" s="247"/>
      <c r="D101" s="247"/>
      <c r="E101" s="247"/>
      <c r="F101" s="977"/>
      <c r="G101" s="977"/>
      <c r="H101" s="977"/>
      <c r="I101" s="977"/>
      <c r="J101" s="977"/>
      <c r="K101" s="977"/>
      <c r="L101" s="977"/>
      <c r="M101" s="977"/>
      <c r="N101" s="977"/>
      <c r="O101" s="977"/>
      <c r="P101" s="977"/>
      <c r="Q101" s="977"/>
      <c r="R101" s="977"/>
      <c r="S101" s="977"/>
      <c r="T101" s="977"/>
      <c r="U101" s="977"/>
    </row>
    <row r="102" spans="1:21" ht="15" x14ac:dyDescent="0.2">
      <c r="A102" s="977"/>
      <c r="B102" s="247"/>
      <c r="C102" s="247"/>
      <c r="D102" s="247"/>
      <c r="E102" s="247"/>
      <c r="F102" s="977"/>
      <c r="G102" s="977"/>
      <c r="H102" s="977"/>
      <c r="I102" s="977"/>
      <c r="J102" s="977"/>
      <c r="K102" s="977"/>
      <c r="L102" s="977"/>
      <c r="M102" s="977"/>
      <c r="N102" s="977"/>
      <c r="O102" s="977"/>
      <c r="P102" s="977"/>
      <c r="Q102" s="977"/>
      <c r="R102" s="977"/>
      <c r="S102" s="977"/>
      <c r="T102" s="977"/>
      <c r="U102" s="977"/>
    </row>
    <row r="103" spans="1:21" ht="15" x14ac:dyDescent="0.2">
      <c r="A103" s="977"/>
      <c r="B103" s="247"/>
      <c r="C103" s="247"/>
      <c r="D103" s="247"/>
      <c r="E103" s="247"/>
      <c r="F103" s="977"/>
      <c r="G103" s="977"/>
      <c r="H103" s="977"/>
      <c r="I103" s="977"/>
      <c r="J103" s="977"/>
      <c r="K103" s="977"/>
      <c r="L103" s="977"/>
      <c r="M103" s="977"/>
      <c r="N103" s="977"/>
      <c r="O103" s="977"/>
      <c r="P103" s="977"/>
      <c r="Q103" s="977"/>
      <c r="R103" s="977"/>
      <c r="S103" s="977"/>
      <c r="T103" s="977"/>
      <c r="U103" s="977"/>
    </row>
    <row r="104" spans="1:21" ht="15" x14ac:dyDescent="0.2">
      <c r="A104" s="977"/>
      <c r="B104" s="247"/>
      <c r="C104" s="247"/>
      <c r="D104" s="247"/>
      <c r="E104" s="247"/>
      <c r="F104" s="977"/>
      <c r="G104" s="977"/>
      <c r="H104" s="977"/>
      <c r="I104" s="977"/>
      <c r="J104" s="977"/>
      <c r="K104" s="977"/>
      <c r="L104" s="977"/>
      <c r="M104" s="977"/>
      <c r="N104" s="977"/>
      <c r="O104" s="977"/>
      <c r="P104" s="977"/>
      <c r="Q104" s="977"/>
      <c r="R104" s="977"/>
      <c r="S104" s="977"/>
      <c r="T104" s="977"/>
      <c r="U104" s="977"/>
    </row>
    <row r="105" spans="1:21" ht="15" x14ac:dyDescent="0.2">
      <c r="A105" s="977"/>
      <c r="B105" s="247"/>
      <c r="C105" s="247"/>
      <c r="D105" s="247"/>
      <c r="E105" s="247"/>
      <c r="F105" s="977"/>
      <c r="G105" s="977"/>
      <c r="H105" s="977"/>
      <c r="I105" s="977"/>
      <c r="J105" s="977"/>
      <c r="K105" s="977"/>
      <c r="L105" s="977"/>
      <c r="M105" s="977"/>
      <c r="N105" s="977"/>
      <c r="O105" s="977"/>
      <c r="P105" s="977"/>
      <c r="Q105" s="977"/>
      <c r="R105" s="977"/>
      <c r="S105" s="977"/>
      <c r="T105" s="977"/>
      <c r="U105" s="977"/>
    </row>
    <row r="106" spans="1:21" ht="15" x14ac:dyDescent="0.2">
      <c r="A106" s="977"/>
      <c r="B106" s="247"/>
      <c r="C106" s="247"/>
      <c r="D106" s="247"/>
      <c r="E106" s="247"/>
      <c r="F106" s="977"/>
      <c r="G106" s="977"/>
      <c r="H106" s="977"/>
      <c r="I106" s="977"/>
      <c r="J106" s="977"/>
      <c r="K106" s="977"/>
      <c r="L106" s="977"/>
      <c r="M106" s="977"/>
      <c r="N106" s="977"/>
      <c r="O106" s="977"/>
      <c r="P106" s="977"/>
      <c r="Q106" s="977"/>
      <c r="R106" s="977"/>
      <c r="S106" s="977"/>
      <c r="T106" s="977"/>
      <c r="U106" s="977"/>
    </row>
    <row r="107" spans="1:21" ht="15" x14ac:dyDescent="0.2">
      <c r="A107" s="977"/>
      <c r="B107" s="247"/>
      <c r="C107" s="247"/>
      <c r="D107" s="247"/>
      <c r="E107" s="247"/>
      <c r="F107" s="977"/>
      <c r="G107" s="977"/>
      <c r="H107" s="977"/>
      <c r="I107" s="977"/>
      <c r="J107" s="977"/>
      <c r="K107" s="977"/>
      <c r="L107" s="977"/>
      <c r="M107" s="977"/>
      <c r="N107" s="977"/>
      <c r="O107" s="977"/>
      <c r="P107" s="977"/>
      <c r="Q107" s="977"/>
      <c r="R107" s="977"/>
      <c r="S107" s="977"/>
      <c r="T107" s="977"/>
      <c r="U107" s="977"/>
    </row>
    <row r="108" spans="1:21" ht="15" x14ac:dyDescent="0.2">
      <c r="A108" s="977"/>
      <c r="B108" s="247"/>
      <c r="C108" s="247"/>
      <c r="D108" s="247"/>
      <c r="E108" s="247"/>
      <c r="F108" s="977"/>
      <c r="G108" s="977"/>
      <c r="H108" s="977"/>
      <c r="I108" s="977"/>
      <c r="J108" s="977"/>
      <c r="K108" s="977"/>
      <c r="L108" s="977"/>
      <c r="M108" s="977"/>
      <c r="N108" s="977"/>
      <c r="O108" s="977"/>
      <c r="P108" s="977"/>
      <c r="Q108" s="977"/>
      <c r="R108" s="977"/>
      <c r="S108" s="977"/>
      <c r="T108" s="977"/>
      <c r="U108" s="977"/>
    </row>
    <row r="109" spans="1:21" ht="15" x14ac:dyDescent="0.2">
      <c r="A109" s="977"/>
      <c r="B109" s="247"/>
      <c r="C109" s="247"/>
      <c r="D109" s="247"/>
      <c r="E109" s="247"/>
      <c r="F109" s="977"/>
      <c r="G109" s="977"/>
      <c r="H109" s="977"/>
      <c r="I109" s="977"/>
      <c r="J109" s="977"/>
      <c r="K109" s="977"/>
      <c r="L109" s="977"/>
      <c r="M109" s="977"/>
      <c r="N109" s="977"/>
      <c r="O109" s="977"/>
      <c r="P109" s="977"/>
      <c r="Q109" s="977"/>
      <c r="R109" s="977"/>
      <c r="S109" s="977"/>
      <c r="T109" s="977"/>
      <c r="U109" s="977"/>
    </row>
    <row r="110" spans="1:21" ht="15" x14ac:dyDescent="0.2">
      <c r="A110" s="977"/>
      <c r="B110" s="247"/>
      <c r="C110" s="247"/>
      <c r="D110" s="247"/>
      <c r="E110" s="247"/>
      <c r="F110" s="977"/>
      <c r="G110" s="977"/>
      <c r="H110" s="977"/>
      <c r="I110" s="977"/>
      <c r="J110" s="977"/>
      <c r="K110" s="977"/>
      <c r="L110" s="977"/>
      <c r="M110" s="977"/>
      <c r="N110" s="977"/>
      <c r="O110" s="977"/>
      <c r="P110" s="977"/>
      <c r="Q110" s="977"/>
      <c r="R110" s="977"/>
      <c r="S110" s="977"/>
      <c r="T110" s="977"/>
      <c r="U110" s="977"/>
    </row>
    <row r="111" spans="1:21" ht="15" x14ac:dyDescent="0.2">
      <c r="A111" s="977"/>
      <c r="B111" s="247"/>
      <c r="C111" s="247"/>
      <c r="D111" s="247"/>
      <c r="E111" s="247"/>
      <c r="F111" s="977"/>
      <c r="G111" s="977"/>
      <c r="H111" s="977"/>
      <c r="I111" s="977"/>
      <c r="J111" s="977"/>
      <c r="K111" s="977"/>
      <c r="L111" s="977"/>
      <c r="M111" s="977"/>
      <c r="N111" s="977"/>
      <c r="O111" s="977"/>
      <c r="P111" s="977"/>
      <c r="Q111" s="977"/>
      <c r="R111" s="977"/>
      <c r="S111" s="977"/>
      <c r="T111" s="977"/>
      <c r="U111" s="977"/>
    </row>
    <row r="112" spans="1:21" ht="15" x14ac:dyDescent="0.2">
      <c r="A112" s="977"/>
      <c r="B112" s="247"/>
      <c r="C112" s="247"/>
      <c r="D112" s="247"/>
      <c r="E112" s="247"/>
      <c r="F112" s="977"/>
      <c r="G112" s="977"/>
      <c r="H112" s="977"/>
      <c r="I112" s="977"/>
      <c r="J112" s="977"/>
      <c r="K112" s="977"/>
      <c r="L112" s="977"/>
      <c r="M112" s="977"/>
      <c r="N112" s="977"/>
      <c r="O112" s="977"/>
      <c r="P112" s="977"/>
      <c r="Q112" s="977"/>
      <c r="R112" s="977"/>
      <c r="S112" s="977"/>
      <c r="T112" s="977"/>
      <c r="U112" s="977"/>
    </row>
    <row r="113" spans="1:21" ht="15" x14ac:dyDescent="0.2">
      <c r="A113" s="977"/>
      <c r="B113" s="247"/>
      <c r="C113" s="247"/>
      <c r="D113" s="247"/>
      <c r="E113" s="247"/>
      <c r="F113" s="977"/>
      <c r="G113" s="977"/>
      <c r="H113" s="977"/>
      <c r="I113" s="977"/>
      <c r="J113" s="977"/>
      <c r="K113" s="977"/>
      <c r="L113" s="977"/>
      <c r="M113" s="977"/>
      <c r="N113" s="977"/>
      <c r="O113" s="977"/>
      <c r="P113" s="977"/>
      <c r="Q113" s="977"/>
      <c r="R113" s="977"/>
      <c r="S113" s="977"/>
      <c r="T113" s="977"/>
      <c r="U113" s="977"/>
    </row>
    <row r="114" spans="1:21" ht="15" x14ac:dyDescent="0.2">
      <c r="A114" s="977"/>
      <c r="B114" s="247"/>
      <c r="C114" s="247"/>
      <c r="D114" s="247"/>
      <c r="E114" s="247"/>
      <c r="F114" s="977"/>
      <c r="G114" s="977"/>
      <c r="H114" s="977"/>
      <c r="I114" s="977"/>
      <c r="J114" s="977"/>
      <c r="K114" s="977"/>
      <c r="L114" s="977"/>
      <c r="M114" s="977"/>
      <c r="N114" s="977"/>
      <c r="O114" s="977"/>
      <c r="P114" s="977"/>
      <c r="Q114" s="977"/>
      <c r="R114" s="977"/>
      <c r="S114" s="977"/>
      <c r="T114" s="977"/>
      <c r="U114" s="977"/>
    </row>
    <row r="115" spans="1:21" ht="15" x14ac:dyDescent="0.2">
      <c r="A115" s="977"/>
      <c r="B115" s="247"/>
      <c r="C115" s="247"/>
      <c r="D115" s="247"/>
      <c r="E115" s="247"/>
      <c r="F115" s="977"/>
      <c r="G115" s="977"/>
      <c r="H115" s="977"/>
      <c r="I115" s="977"/>
      <c r="J115" s="977"/>
      <c r="K115" s="977"/>
      <c r="L115" s="977"/>
      <c r="M115" s="977"/>
      <c r="N115" s="977"/>
      <c r="O115" s="977"/>
      <c r="P115" s="977"/>
      <c r="Q115" s="977"/>
      <c r="R115" s="977"/>
      <c r="S115" s="977"/>
      <c r="T115" s="977"/>
      <c r="U115" s="977"/>
    </row>
    <row r="116" spans="1:21" ht="15" x14ac:dyDescent="0.2">
      <c r="A116" s="977"/>
      <c r="B116" s="247"/>
      <c r="C116" s="247"/>
      <c r="D116" s="247"/>
      <c r="E116" s="247"/>
      <c r="F116" s="977"/>
      <c r="G116" s="977"/>
      <c r="H116" s="977"/>
      <c r="I116" s="977"/>
      <c r="J116" s="977"/>
      <c r="K116" s="977"/>
      <c r="L116" s="977"/>
      <c r="M116" s="977"/>
      <c r="N116" s="977"/>
      <c r="O116" s="977"/>
      <c r="P116" s="977"/>
      <c r="Q116" s="977"/>
      <c r="R116" s="977"/>
      <c r="S116" s="977"/>
      <c r="T116" s="977"/>
      <c r="U116" s="977"/>
    </row>
    <row r="117" spans="1:21" ht="15" x14ac:dyDescent="0.2">
      <c r="A117" s="977"/>
      <c r="B117" s="247"/>
      <c r="C117" s="247"/>
      <c r="D117" s="247"/>
      <c r="E117" s="247"/>
      <c r="F117" s="977"/>
      <c r="G117" s="977"/>
      <c r="H117" s="977"/>
      <c r="I117" s="977"/>
      <c r="J117" s="977"/>
      <c r="K117" s="977"/>
      <c r="L117" s="977"/>
      <c r="M117" s="977"/>
      <c r="N117" s="977"/>
      <c r="O117" s="977"/>
      <c r="P117" s="977"/>
      <c r="Q117" s="977"/>
      <c r="R117" s="977"/>
      <c r="S117" s="977"/>
      <c r="T117" s="977"/>
      <c r="U117" s="977"/>
    </row>
    <row r="118" spans="1:21" ht="15" x14ac:dyDescent="0.2">
      <c r="A118" s="977"/>
      <c r="B118" s="247"/>
      <c r="C118" s="247"/>
      <c r="D118" s="247"/>
      <c r="E118" s="247"/>
      <c r="F118" s="977"/>
      <c r="G118" s="977"/>
      <c r="H118" s="977"/>
      <c r="I118" s="977"/>
      <c r="J118" s="977"/>
      <c r="K118" s="977"/>
      <c r="L118" s="977"/>
      <c r="M118" s="977"/>
      <c r="N118" s="977"/>
      <c r="O118" s="977"/>
      <c r="P118" s="977"/>
      <c r="Q118" s="977"/>
      <c r="R118" s="977"/>
      <c r="S118" s="977"/>
      <c r="T118" s="977"/>
      <c r="U118" s="977"/>
    </row>
    <row r="119" spans="1:21" ht="15" x14ac:dyDescent="0.2">
      <c r="A119" s="977"/>
      <c r="B119" s="247"/>
      <c r="C119" s="247"/>
      <c r="D119" s="247"/>
      <c r="E119" s="247"/>
      <c r="F119" s="977"/>
      <c r="G119" s="977"/>
      <c r="H119" s="977"/>
      <c r="I119" s="977"/>
      <c r="J119" s="977"/>
      <c r="K119" s="977"/>
      <c r="L119" s="977"/>
      <c r="M119" s="977"/>
      <c r="N119" s="977"/>
      <c r="O119" s="977"/>
      <c r="P119" s="977"/>
      <c r="Q119" s="977"/>
      <c r="R119" s="977"/>
      <c r="S119" s="977"/>
      <c r="T119" s="977"/>
      <c r="U119" s="977"/>
    </row>
    <row r="120" spans="1:21" ht="15" x14ac:dyDescent="0.2">
      <c r="A120" s="977"/>
      <c r="B120" s="247"/>
      <c r="C120" s="247"/>
      <c r="D120" s="247"/>
      <c r="E120" s="247"/>
      <c r="F120" s="977"/>
      <c r="G120" s="977"/>
      <c r="H120" s="977"/>
      <c r="I120" s="977"/>
      <c r="J120" s="977"/>
      <c r="K120" s="977"/>
      <c r="L120" s="977"/>
      <c r="M120" s="977"/>
      <c r="N120" s="977"/>
      <c r="O120" s="977"/>
      <c r="P120" s="977"/>
      <c r="Q120" s="977"/>
      <c r="R120" s="977"/>
      <c r="S120" s="977"/>
      <c r="T120" s="977"/>
      <c r="U120" s="977"/>
    </row>
    <row r="121" spans="1:21" ht="15" x14ac:dyDescent="0.2">
      <c r="A121" s="977"/>
      <c r="B121" s="247"/>
      <c r="C121" s="247"/>
      <c r="D121" s="247"/>
      <c r="E121" s="247"/>
      <c r="F121" s="977"/>
      <c r="G121" s="977"/>
      <c r="H121" s="977"/>
      <c r="I121" s="977"/>
      <c r="J121" s="977"/>
      <c r="K121" s="977"/>
      <c r="L121" s="977"/>
      <c r="M121" s="977"/>
      <c r="N121" s="977"/>
      <c r="O121" s="977"/>
      <c r="P121" s="977"/>
      <c r="Q121" s="977"/>
      <c r="R121" s="977"/>
      <c r="S121" s="977"/>
      <c r="T121" s="977"/>
      <c r="U121" s="977"/>
    </row>
    <row r="122" spans="1:21" ht="15" x14ac:dyDescent="0.2">
      <c r="A122" s="977"/>
      <c r="B122" s="247"/>
      <c r="C122" s="247"/>
      <c r="D122" s="247"/>
      <c r="E122" s="247"/>
      <c r="F122" s="977"/>
      <c r="G122" s="977"/>
      <c r="H122" s="977"/>
      <c r="I122" s="977"/>
      <c r="J122" s="977"/>
      <c r="K122" s="977"/>
      <c r="L122" s="977"/>
      <c r="M122" s="977"/>
      <c r="N122" s="977"/>
      <c r="O122" s="977"/>
      <c r="P122" s="977"/>
      <c r="Q122" s="977"/>
      <c r="R122" s="977"/>
      <c r="S122" s="977"/>
      <c r="T122" s="977"/>
      <c r="U122" s="977"/>
    </row>
    <row r="123" spans="1:21" ht="15" x14ac:dyDescent="0.2">
      <c r="A123" s="977"/>
      <c r="B123" s="247"/>
      <c r="C123" s="247"/>
      <c r="D123" s="247"/>
      <c r="E123" s="247"/>
      <c r="F123" s="977"/>
      <c r="G123" s="977"/>
      <c r="H123" s="977"/>
      <c r="I123" s="977"/>
      <c r="J123" s="977"/>
      <c r="K123" s="977"/>
      <c r="L123" s="977"/>
      <c r="M123" s="977"/>
      <c r="N123" s="977"/>
      <c r="O123" s="977"/>
      <c r="P123" s="977"/>
      <c r="Q123" s="977"/>
      <c r="R123" s="977"/>
      <c r="S123" s="977"/>
      <c r="T123" s="977"/>
      <c r="U123" s="977"/>
    </row>
    <row r="124" spans="1:21" ht="15" x14ac:dyDescent="0.2">
      <c r="A124" s="977"/>
      <c r="B124" s="247"/>
      <c r="C124" s="247"/>
      <c r="D124" s="247"/>
      <c r="E124" s="247"/>
      <c r="F124" s="977"/>
      <c r="G124" s="977"/>
      <c r="H124" s="977"/>
      <c r="I124" s="977"/>
      <c r="J124" s="977"/>
      <c r="K124" s="977"/>
      <c r="L124" s="977"/>
      <c r="M124" s="977"/>
      <c r="N124" s="977"/>
      <c r="O124" s="977"/>
      <c r="P124" s="977"/>
      <c r="Q124" s="977"/>
      <c r="R124" s="977"/>
      <c r="S124" s="977"/>
      <c r="T124" s="977"/>
      <c r="U124" s="977"/>
    </row>
    <row r="125" spans="1:21" ht="15" x14ac:dyDescent="0.2">
      <c r="A125" s="977"/>
      <c r="B125" s="247"/>
      <c r="C125" s="247"/>
      <c r="D125" s="247"/>
      <c r="E125" s="247"/>
      <c r="F125" s="977"/>
      <c r="G125" s="977"/>
      <c r="H125" s="977"/>
      <c r="I125" s="977"/>
      <c r="J125" s="977"/>
      <c r="K125" s="977"/>
      <c r="L125" s="977"/>
      <c r="M125" s="977"/>
      <c r="N125" s="977"/>
      <c r="O125" s="977"/>
      <c r="P125" s="977"/>
      <c r="Q125" s="977"/>
      <c r="R125" s="977"/>
      <c r="S125" s="977"/>
      <c r="T125" s="977"/>
      <c r="U125" s="977"/>
    </row>
    <row r="126" spans="1:21" ht="15" x14ac:dyDescent="0.2">
      <c r="A126" s="977"/>
      <c r="B126" s="247"/>
      <c r="C126" s="247"/>
      <c r="D126" s="247"/>
      <c r="E126" s="247"/>
      <c r="F126" s="977"/>
      <c r="G126" s="977"/>
      <c r="H126" s="977"/>
      <c r="I126" s="977"/>
      <c r="J126" s="977"/>
      <c r="K126" s="977"/>
      <c r="L126" s="977"/>
      <c r="M126" s="977"/>
      <c r="N126" s="977"/>
      <c r="O126" s="977"/>
      <c r="P126" s="977"/>
      <c r="Q126" s="977"/>
      <c r="R126" s="977"/>
      <c r="S126" s="977"/>
      <c r="T126" s="977"/>
      <c r="U126" s="977"/>
    </row>
    <row r="127" spans="1:21" ht="15" x14ac:dyDescent="0.2">
      <c r="A127" s="977"/>
      <c r="B127" s="247"/>
      <c r="C127" s="247"/>
      <c r="D127" s="247"/>
      <c r="E127" s="247"/>
      <c r="F127" s="977"/>
      <c r="G127" s="977"/>
      <c r="H127" s="977"/>
      <c r="I127" s="977"/>
      <c r="J127" s="977"/>
      <c r="K127" s="977"/>
      <c r="L127" s="977"/>
      <c r="M127" s="977"/>
      <c r="N127" s="977"/>
      <c r="O127" s="977"/>
      <c r="P127" s="977"/>
      <c r="Q127" s="977"/>
      <c r="R127" s="977"/>
      <c r="S127" s="977"/>
      <c r="T127" s="977"/>
      <c r="U127" s="977"/>
    </row>
    <row r="128" spans="1:21" ht="15" x14ac:dyDescent="0.2">
      <c r="A128" s="977"/>
      <c r="B128" s="247"/>
      <c r="C128" s="247"/>
      <c r="D128" s="247"/>
      <c r="E128" s="247"/>
      <c r="F128" s="977"/>
      <c r="G128" s="977"/>
      <c r="H128" s="977"/>
      <c r="I128" s="977"/>
      <c r="J128" s="977"/>
      <c r="K128" s="977"/>
      <c r="L128" s="977"/>
      <c r="M128" s="977"/>
      <c r="N128" s="977"/>
      <c r="O128" s="977"/>
      <c r="P128" s="977"/>
      <c r="Q128" s="977"/>
      <c r="R128" s="977"/>
      <c r="S128" s="977"/>
      <c r="T128" s="977"/>
      <c r="U128" s="977"/>
    </row>
    <row r="129" spans="1:21" ht="15" x14ac:dyDescent="0.2">
      <c r="A129" s="977"/>
      <c r="B129" s="247"/>
      <c r="C129" s="247"/>
      <c r="D129" s="247"/>
      <c r="E129" s="247"/>
      <c r="F129" s="977"/>
      <c r="G129" s="977"/>
      <c r="H129" s="977"/>
      <c r="I129" s="977"/>
      <c r="J129" s="977"/>
      <c r="K129" s="977"/>
      <c r="L129" s="977"/>
      <c r="M129" s="977"/>
      <c r="N129" s="977"/>
      <c r="O129" s="977"/>
      <c r="P129" s="977"/>
      <c r="Q129" s="977"/>
      <c r="R129" s="977"/>
      <c r="S129" s="977"/>
      <c r="T129" s="977"/>
      <c r="U129" s="977"/>
    </row>
    <row r="130" spans="1:21" ht="15" x14ac:dyDescent="0.2">
      <c r="A130" s="977"/>
      <c r="B130" s="247"/>
      <c r="C130" s="247"/>
      <c r="D130" s="247"/>
      <c r="E130" s="247"/>
      <c r="F130" s="977"/>
      <c r="G130" s="977"/>
      <c r="H130" s="977"/>
      <c r="I130" s="977"/>
      <c r="J130" s="977"/>
      <c r="K130" s="977"/>
      <c r="L130" s="977"/>
      <c r="M130" s="977"/>
      <c r="N130" s="977"/>
      <c r="O130" s="977"/>
      <c r="P130" s="977"/>
      <c r="Q130" s="977"/>
      <c r="R130" s="977"/>
      <c r="S130" s="977"/>
      <c r="T130" s="977"/>
      <c r="U130" s="977"/>
    </row>
    <row r="131" spans="1:21" ht="15" x14ac:dyDescent="0.2">
      <c r="A131" s="977"/>
      <c r="B131" s="247"/>
      <c r="C131" s="247"/>
      <c r="D131" s="247"/>
      <c r="E131" s="247"/>
      <c r="F131" s="977"/>
      <c r="G131" s="977"/>
      <c r="H131" s="977"/>
      <c r="I131" s="977"/>
      <c r="J131" s="977"/>
      <c r="K131" s="977"/>
      <c r="L131" s="977"/>
      <c r="M131" s="977"/>
      <c r="N131" s="977"/>
      <c r="O131" s="977"/>
      <c r="P131" s="977"/>
      <c r="Q131" s="977"/>
      <c r="R131" s="977"/>
      <c r="S131" s="977"/>
      <c r="T131" s="977"/>
      <c r="U131" s="977"/>
    </row>
    <row r="132" spans="1:21" ht="15" x14ac:dyDescent="0.2">
      <c r="A132" s="977"/>
      <c r="B132" s="247"/>
      <c r="C132" s="247"/>
      <c r="D132" s="247"/>
      <c r="E132" s="247"/>
      <c r="F132" s="977"/>
      <c r="G132" s="977"/>
      <c r="H132" s="977"/>
      <c r="I132" s="977"/>
      <c r="J132" s="977"/>
      <c r="K132" s="977"/>
      <c r="L132" s="977"/>
      <c r="M132" s="977"/>
      <c r="N132" s="977"/>
      <c r="O132" s="977"/>
      <c r="P132" s="977"/>
      <c r="Q132" s="977"/>
      <c r="R132" s="977"/>
      <c r="S132" s="977"/>
      <c r="T132" s="977"/>
      <c r="U132" s="977"/>
    </row>
    <row r="133" spans="1:21" ht="15" x14ac:dyDescent="0.2">
      <c r="A133" s="977"/>
      <c r="B133" s="247"/>
      <c r="C133" s="247"/>
      <c r="D133" s="247"/>
      <c r="E133" s="247"/>
      <c r="F133" s="977"/>
      <c r="G133" s="977"/>
      <c r="H133" s="977"/>
      <c r="I133" s="977"/>
      <c r="J133" s="977"/>
      <c r="K133" s="977"/>
      <c r="L133" s="977"/>
      <c r="M133" s="977"/>
      <c r="N133" s="977"/>
      <c r="O133" s="977"/>
      <c r="P133" s="977"/>
      <c r="Q133" s="977"/>
      <c r="R133" s="977"/>
      <c r="S133" s="977"/>
      <c r="T133" s="977"/>
      <c r="U133" s="977"/>
    </row>
    <row r="134" spans="1:21" ht="15" x14ac:dyDescent="0.2">
      <c r="A134" s="977"/>
      <c r="B134" s="247"/>
      <c r="C134" s="247"/>
      <c r="D134" s="247"/>
      <c r="E134" s="247"/>
      <c r="F134" s="977"/>
      <c r="G134" s="977"/>
      <c r="H134" s="977"/>
      <c r="I134" s="977"/>
      <c r="J134" s="977"/>
      <c r="K134" s="977"/>
      <c r="L134" s="977"/>
      <c r="M134" s="977"/>
      <c r="N134" s="977"/>
      <c r="O134" s="977"/>
      <c r="P134" s="977"/>
      <c r="Q134" s="977"/>
      <c r="R134" s="977"/>
      <c r="S134" s="977"/>
      <c r="T134" s="977"/>
      <c r="U134" s="977"/>
    </row>
    <row r="135" spans="1:21" ht="15" x14ac:dyDescent="0.2">
      <c r="A135" s="977"/>
      <c r="B135" s="247"/>
      <c r="C135" s="247"/>
      <c r="D135" s="247"/>
      <c r="E135" s="247"/>
      <c r="F135" s="977"/>
      <c r="G135" s="977"/>
      <c r="H135" s="977"/>
      <c r="I135" s="977"/>
      <c r="J135" s="977"/>
      <c r="K135" s="977"/>
      <c r="L135" s="977"/>
      <c r="M135" s="977"/>
      <c r="N135" s="977"/>
      <c r="O135" s="977"/>
      <c r="P135" s="977"/>
      <c r="Q135" s="977"/>
      <c r="R135" s="977"/>
      <c r="S135" s="977"/>
      <c r="T135" s="977"/>
      <c r="U135" s="977"/>
    </row>
    <row r="136" spans="1:21" ht="15" x14ac:dyDescent="0.2">
      <c r="A136" s="977"/>
      <c r="B136" s="247"/>
      <c r="C136" s="247"/>
      <c r="D136" s="247"/>
      <c r="E136" s="247"/>
      <c r="F136" s="977"/>
      <c r="G136" s="977"/>
      <c r="H136" s="977"/>
      <c r="I136" s="977"/>
      <c r="J136" s="977"/>
      <c r="K136" s="977"/>
      <c r="L136" s="977"/>
      <c r="M136" s="977"/>
      <c r="N136" s="977"/>
      <c r="O136" s="977"/>
      <c r="P136" s="977"/>
      <c r="Q136" s="977"/>
      <c r="R136" s="977"/>
      <c r="S136" s="977"/>
      <c r="T136" s="977"/>
      <c r="U136" s="977"/>
    </row>
    <row r="137" spans="1:21" ht="15" x14ac:dyDescent="0.2">
      <c r="A137" s="977"/>
      <c r="B137" s="247"/>
      <c r="C137" s="247"/>
      <c r="D137" s="247"/>
      <c r="E137" s="247"/>
      <c r="F137" s="977"/>
      <c r="G137" s="977"/>
      <c r="H137" s="977"/>
      <c r="I137" s="977"/>
      <c r="J137" s="977"/>
      <c r="K137" s="977"/>
      <c r="L137" s="977"/>
      <c r="M137" s="977"/>
      <c r="N137" s="977"/>
      <c r="O137" s="977"/>
      <c r="P137" s="977"/>
      <c r="Q137" s="977"/>
      <c r="R137" s="977"/>
      <c r="S137" s="977"/>
      <c r="T137" s="977"/>
      <c r="U137" s="977"/>
    </row>
    <row r="138" spans="1:21" ht="15" x14ac:dyDescent="0.2">
      <c r="A138" s="977"/>
      <c r="B138" s="247"/>
      <c r="C138" s="247"/>
      <c r="D138" s="247"/>
      <c r="E138" s="247"/>
      <c r="F138" s="977"/>
      <c r="G138" s="977"/>
      <c r="H138" s="977"/>
      <c r="I138" s="977"/>
      <c r="J138" s="977"/>
      <c r="K138" s="977"/>
      <c r="L138" s="977"/>
      <c r="M138" s="977"/>
      <c r="N138" s="977"/>
      <c r="O138" s="977"/>
      <c r="P138" s="977"/>
      <c r="Q138" s="977"/>
      <c r="R138" s="977"/>
      <c r="S138" s="977"/>
      <c r="T138" s="977"/>
      <c r="U138" s="977"/>
    </row>
    <row r="139" spans="1:21" ht="15" x14ac:dyDescent="0.2">
      <c r="A139" s="977"/>
      <c r="B139" s="247"/>
      <c r="C139" s="247"/>
      <c r="D139" s="247"/>
      <c r="E139" s="247"/>
      <c r="F139" s="977"/>
      <c r="G139" s="977"/>
      <c r="H139" s="977"/>
      <c r="I139" s="977"/>
      <c r="J139" s="977"/>
      <c r="K139" s="977"/>
      <c r="L139" s="977"/>
      <c r="M139" s="977"/>
      <c r="N139" s="977"/>
      <c r="O139" s="977"/>
      <c r="P139" s="977"/>
      <c r="Q139" s="977"/>
      <c r="R139" s="977"/>
      <c r="S139" s="977"/>
      <c r="T139" s="977"/>
      <c r="U139" s="977"/>
    </row>
    <row r="140" spans="1:21" ht="15" x14ac:dyDescent="0.2">
      <c r="A140" s="977"/>
      <c r="B140" s="247"/>
      <c r="C140" s="247"/>
      <c r="D140" s="247"/>
      <c r="E140" s="247"/>
      <c r="F140" s="977"/>
      <c r="G140" s="977"/>
      <c r="H140" s="977"/>
      <c r="I140" s="977"/>
      <c r="J140" s="977"/>
      <c r="K140" s="977"/>
      <c r="L140" s="977"/>
      <c r="M140" s="977"/>
      <c r="N140" s="977"/>
      <c r="O140" s="977"/>
      <c r="P140" s="977"/>
      <c r="Q140" s="977"/>
      <c r="R140" s="977"/>
      <c r="S140" s="977"/>
      <c r="T140" s="977"/>
      <c r="U140" s="977"/>
    </row>
    <row r="141" spans="1:21" ht="15" x14ac:dyDescent="0.2">
      <c r="A141" s="977"/>
      <c r="B141" s="247"/>
      <c r="C141" s="247"/>
      <c r="D141" s="247"/>
      <c r="E141" s="247"/>
      <c r="F141" s="977"/>
      <c r="G141" s="977"/>
      <c r="H141" s="977"/>
      <c r="I141" s="977"/>
      <c r="J141" s="977"/>
      <c r="K141" s="977"/>
      <c r="L141" s="977"/>
      <c r="M141" s="977"/>
      <c r="N141" s="977"/>
      <c r="O141" s="977"/>
      <c r="P141" s="977"/>
      <c r="Q141" s="977"/>
      <c r="R141" s="977"/>
      <c r="S141" s="977"/>
      <c r="T141" s="977"/>
      <c r="U141" s="977"/>
    </row>
    <row r="142" spans="1:21" ht="15" x14ac:dyDescent="0.2">
      <c r="A142" s="977"/>
      <c r="B142" s="247"/>
      <c r="C142" s="247"/>
      <c r="D142" s="247"/>
      <c r="E142" s="247"/>
      <c r="F142" s="977"/>
      <c r="G142" s="977"/>
      <c r="H142" s="977"/>
      <c r="I142" s="977"/>
      <c r="J142" s="977"/>
      <c r="K142" s="977"/>
      <c r="L142" s="977"/>
      <c r="M142" s="977"/>
      <c r="N142" s="977"/>
      <c r="O142" s="977"/>
      <c r="P142" s="977"/>
      <c r="Q142" s="977"/>
      <c r="R142" s="977"/>
      <c r="S142" s="977"/>
      <c r="T142" s="977"/>
      <c r="U142" s="977"/>
    </row>
    <row r="143" spans="1:21" ht="15" x14ac:dyDescent="0.2">
      <c r="A143" s="977"/>
      <c r="B143" s="247"/>
      <c r="C143" s="247"/>
      <c r="D143" s="247"/>
      <c r="E143" s="247"/>
      <c r="F143" s="977"/>
      <c r="G143" s="977"/>
      <c r="H143" s="977"/>
      <c r="I143" s="977"/>
      <c r="J143" s="977"/>
      <c r="K143" s="977"/>
      <c r="L143" s="977"/>
      <c r="M143" s="977"/>
      <c r="N143" s="977"/>
      <c r="O143" s="977"/>
      <c r="P143" s="977"/>
      <c r="Q143" s="977"/>
      <c r="R143" s="977"/>
      <c r="S143" s="977"/>
      <c r="T143" s="977"/>
      <c r="U143" s="977"/>
    </row>
    <row r="144" spans="1:21" ht="15" x14ac:dyDescent="0.2">
      <c r="A144" s="977"/>
      <c r="B144" s="247"/>
      <c r="C144" s="247"/>
      <c r="D144" s="247"/>
      <c r="E144" s="247"/>
      <c r="F144" s="977"/>
      <c r="G144" s="977"/>
      <c r="H144" s="977"/>
      <c r="I144" s="977"/>
      <c r="J144" s="977"/>
      <c r="K144" s="977"/>
      <c r="L144" s="977"/>
      <c r="M144" s="977"/>
      <c r="N144" s="977"/>
      <c r="O144" s="977"/>
      <c r="P144" s="977"/>
      <c r="Q144" s="977"/>
      <c r="R144" s="977"/>
      <c r="S144" s="977"/>
      <c r="T144" s="977"/>
      <c r="U144" s="977"/>
    </row>
    <row r="145" spans="1:21" ht="15" x14ac:dyDescent="0.2">
      <c r="A145" s="977"/>
      <c r="B145" s="247"/>
      <c r="C145" s="247"/>
      <c r="D145" s="247"/>
      <c r="E145" s="247"/>
      <c r="F145" s="977"/>
      <c r="G145" s="977"/>
      <c r="H145" s="977"/>
      <c r="I145" s="977"/>
      <c r="J145" s="977"/>
      <c r="K145" s="977"/>
      <c r="L145" s="977"/>
      <c r="M145" s="977"/>
      <c r="N145" s="977"/>
      <c r="O145" s="977"/>
      <c r="P145" s="977"/>
      <c r="Q145" s="977"/>
      <c r="R145" s="977"/>
      <c r="S145" s="977"/>
      <c r="T145" s="977"/>
      <c r="U145" s="977"/>
    </row>
    <row r="146" spans="1:21" ht="15" x14ac:dyDescent="0.2">
      <c r="A146" s="977"/>
      <c r="B146" s="247"/>
      <c r="C146" s="247"/>
      <c r="D146" s="247"/>
      <c r="E146" s="247"/>
      <c r="F146" s="977"/>
      <c r="G146" s="977"/>
      <c r="H146" s="977"/>
      <c r="I146" s="977"/>
      <c r="J146" s="977"/>
      <c r="K146" s="977"/>
      <c r="L146" s="977"/>
      <c r="M146" s="977"/>
      <c r="N146" s="977"/>
      <c r="O146" s="977"/>
      <c r="P146" s="977"/>
      <c r="Q146" s="977"/>
      <c r="R146" s="977"/>
      <c r="S146" s="977"/>
      <c r="T146" s="977"/>
      <c r="U146" s="977"/>
    </row>
    <row r="147" spans="1:21" ht="15" x14ac:dyDescent="0.2">
      <c r="A147" s="977"/>
      <c r="B147" s="247"/>
      <c r="C147" s="247"/>
      <c r="D147" s="247"/>
      <c r="E147" s="247"/>
      <c r="F147" s="977"/>
      <c r="G147" s="977"/>
      <c r="H147" s="977"/>
      <c r="I147" s="977"/>
      <c r="J147" s="977"/>
      <c r="K147" s="977"/>
      <c r="L147" s="977"/>
      <c r="M147" s="977"/>
      <c r="N147" s="977"/>
      <c r="O147" s="977"/>
      <c r="P147" s="977"/>
      <c r="Q147" s="977"/>
      <c r="R147" s="977"/>
      <c r="S147" s="977"/>
      <c r="T147" s="977"/>
      <c r="U147" s="977"/>
    </row>
    <row r="148" spans="1:21" ht="15" x14ac:dyDescent="0.2">
      <c r="A148" s="977"/>
      <c r="B148" s="247"/>
      <c r="C148" s="247"/>
      <c r="D148" s="247"/>
      <c r="E148" s="247"/>
      <c r="F148" s="977"/>
      <c r="G148" s="977"/>
      <c r="H148" s="977"/>
      <c r="I148" s="977"/>
      <c r="J148" s="977"/>
      <c r="K148" s="977"/>
      <c r="L148" s="977"/>
      <c r="M148" s="977"/>
      <c r="N148" s="977"/>
      <c r="O148" s="977"/>
      <c r="P148" s="977"/>
      <c r="Q148" s="977"/>
      <c r="R148" s="977"/>
      <c r="S148" s="977"/>
      <c r="T148" s="977"/>
      <c r="U148" s="977"/>
    </row>
    <row r="149" spans="1:21" ht="15" x14ac:dyDescent="0.2">
      <c r="A149" s="977"/>
      <c r="B149" s="247"/>
      <c r="C149" s="247"/>
      <c r="D149" s="247"/>
      <c r="E149" s="247"/>
      <c r="F149" s="977"/>
      <c r="G149" s="977"/>
      <c r="H149" s="977"/>
      <c r="I149" s="977"/>
      <c r="J149" s="977"/>
      <c r="K149" s="977"/>
      <c r="L149" s="977"/>
      <c r="M149" s="977"/>
      <c r="N149" s="977"/>
      <c r="O149" s="977"/>
      <c r="P149" s="977"/>
      <c r="Q149" s="977"/>
      <c r="R149" s="977"/>
      <c r="S149" s="977"/>
      <c r="T149" s="977"/>
      <c r="U149" s="977"/>
    </row>
    <row r="150" spans="1:21" ht="15" x14ac:dyDescent="0.2">
      <c r="A150" s="977"/>
      <c r="B150" s="247"/>
      <c r="C150" s="247"/>
      <c r="D150" s="247"/>
      <c r="E150" s="247"/>
      <c r="F150" s="977"/>
      <c r="G150" s="977"/>
      <c r="H150" s="977"/>
      <c r="I150" s="977"/>
      <c r="J150" s="977"/>
      <c r="K150" s="977"/>
      <c r="L150" s="977"/>
      <c r="M150" s="977"/>
      <c r="N150" s="977"/>
      <c r="O150" s="977"/>
      <c r="P150" s="977"/>
      <c r="Q150" s="977"/>
      <c r="R150" s="977"/>
      <c r="S150" s="977"/>
      <c r="T150" s="977"/>
      <c r="U150" s="977"/>
    </row>
    <row r="151" spans="1:21" ht="15" x14ac:dyDescent="0.2">
      <c r="A151" s="977"/>
      <c r="B151" s="247"/>
      <c r="C151" s="247"/>
      <c r="D151" s="247"/>
      <c r="E151" s="247"/>
      <c r="F151" s="977"/>
      <c r="G151" s="977"/>
      <c r="H151" s="977"/>
      <c r="I151" s="977"/>
      <c r="J151" s="977"/>
      <c r="K151" s="977"/>
      <c r="L151" s="977"/>
      <c r="M151" s="977"/>
      <c r="N151" s="977"/>
      <c r="O151" s="977"/>
      <c r="P151" s="977"/>
      <c r="Q151" s="977"/>
      <c r="R151" s="977"/>
      <c r="S151" s="977"/>
      <c r="T151" s="977"/>
      <c r="U151" s="977"/>
    </row>
    <row r="152" spans="1:21" ht="15" x14ac:dyDescent="0.2">
      <c r="A152" s="977"/>
      <c r="B152" s="247"/>
      <c r="C152" s="247"/>
      <c r="D152" s="247"/>
      <c r="E152" s="247"/>
      <c r="F152" s="977"/>
      <c r="G152" s="977"/>
      <c r="H152" s="977"/>
      <c r="I152" s="977"/>
      <c r="J152" s="977"/>
      <c r="K152" s="977"/>
      <c r="L152" s="977"/>
      <c r="M152" s="977"/>
      <c r="N152" s="977"/>
      <c r="O152" s="977"/>
      <c r="P152" s="977"/>
      <c r="Q152" s="977"/>
      <c r="R152" s="977"/>
      <c r="S152" s="977"/>
      <c r="T152" s="977"/>
      <c r="U152" s="977"/>
    </row>
    <row r="153" spans="1:21" ht="15" x14ac:dyDescent="0.2">
      <c r="A153" s="977"/>
      <c r="B153" s="247"/>
      <c r="C153" s="247"/>
      <c r="D153" s="247"/>
      <c r="E153" s="247"/>
      <c r="F153" s="977"/>
      <c r="G153" s="977"/>
      <c r="H153" s="977"/>
      <c r="I153" s="977"/>
      <c r="J153" s="977"/>
      <c r="K153" s="977"/>
      <c r="L153" s="977"/>
      <c r="M153" s="977"/>
      <c r="N153" s="977"/>
      <c r="O153" s="977"/>
      <c r="P153" s="977"/>
      <c r="Q153" s="977"/>
      <c r="R153" s="977"/>
      <c r="S153" s="977"/>
      <c r="T153" s="977"/>
      <c r="U153" s="977"/>
    </row>
    <row r="154" spans="1:21" ht="15" x14ac:dyDescent="0.2">
      <c r="A154" s="977"/>
      <c r="B154" s="247"/>
      <c r="C154" s="247"/>
      <c r="D154" s="247"/>
      <c r="E154" s="247"/>
      <c r="F154" s="977"/>
      <c r="G154" s="977"/>
      <c r="H154" s="977"/>
      <c r="I154" s="977"/>
      <c r="J154" s="977"/>
      <c r="K154" s="977"/>
      <c r="L154" s="977"/>
      <c r="M154" s="977"/>
      <c r="N154" s="977"/>
      <c r="O154" s="977"/>
      <c r="P154" s="977"/>
      <c r="Q154" s="977"/>
      <c r="R154" s="977"/>
      <c r="S154" s="977"/>
      <c r="T154" s="977"/>
      <c r="U154" s="977"/>
    </row>
    <row r="155" spans="1:21" ht="15" x14ac:dyDescent="0.2">
      <c r="A155" s="977"/>
      <c r="B155" s="247"/>
      <c r="C155" s="247"/>
      <c r="D155" s="247"/>
      <c r="E155" s="247"/>
      <c r="F155" s="977"/>
      <c r="G155" s="977"/>
      <c r="H155" s="977"/>
      <c r="I155" s="977"/>
      <c r="J155" s="977"/>
      <c r="K155" s="977"/>
      <c r="L155" s="977"/>
      <c r="M155" s="977"/>
      <c r="N155" s="977"/>
      <c r="O155" s="977"/>
      <c r="P155" s="977"/>
      <c r="Q155" s="977"/>
      <c r="R155" s="977"/>
      <c r="S155" s="977"/>
      <c r="T155" s="977"/>
      <c r="U155" s="977"/>
    </row>
    <row r="156" spans="1:21" ht="15" x14ac:dyDescent="0.2">
      <c r="A156" s="977"/>
      <c r="B156" s="247"/>
      <c r="C156" s="247"/>
      <c r="D156" s="247"/>
      <c r="E156" s="247"/>
      <c r="F156" s="977"/>
      <c r="G156" s="977"/>
      <c r="H156" s="977"/>
      <c r="I156" s="977"/>
      <c r="J156" s="977"/>
      <c r="K156" s="977"/>
      <c r="L156" s="977"/>
      <c r="M156" s="977"/>
      <c r="N156" s="977"/>
      <c r="O156" s="977"/>
      <c r="P156" s="977"/>
      <c r="Q156" s="977"/>
      <c r="R156" s="977"/>
      <c r="S156" s="977"/>
      <c r="T156" s="977"/>
      <c r="U156" s="977"/>
    </row>
    <row r="157" spans="1:21" ht="15" x14ac:dyDescent="0.2">
      <c r="A157" s="977"/>
      <c r="B157" s="247"/>
      <c r="C157" s="247"/>
      <c r="D157" s="247"/>
      <c r="E157" s="247"/>
      <c r="F157" s="977"/>
      <c r="G157" s="977"/>
      <c r="H157" s="977"/>
      <c r="I157" s="977"/>
      <c r="J157" s="977"/>
      <c r="K157" s="977"/>
      <c r="L157" s="977"/>
      <c r="M157" s="977"/>
      <c r="N157" s="977"/>
      <c r="O157" s="977"/>
      <c r="P157" s="977"/>
      <c r="Q157" s="977"/>
      <c r="R157" s="977"/>
      <c r="S157" s="977"/>
      <c r="T157" s="977"/>
      <c r="U157" s="977"/>
    </row>
    <row r="158" spans="1:21" ht="15" x14ac:dyDescent="0.2">
      <c r="A158" s="977"/>
      <c r="B158" s="247"/>
      <c r="C158" s="247"/>
      <c r="D158" s="247"/>
      <c r="E158" s="247"/>
      <c r="F158" s="977"/>
      <c r="G158" s="977"/>
      <c r="H158" s="977"/>
      <c r="I158" s="977"/>
      <c r="J158" s="977"/>
      <c r="K158" s="977"/>
      <c r="L158" s="977"/>
      <c r="M158" s="977"/>
      <c r="N158" s="977"/>
      <c r="O158" s="977"/>
      <c r="P158" s="977"/>
      <c r="Q158" s="977"/>
      <c r="R158" s="977"/>
      <c r="S158" s="977"/>
      <c r="T158" s="977"/>
      <c r="U158" s="977"/>
    </row>
    <row r="159" spans="1:21" ht="15" x14ac:dyDescent="0.2">
      <c r="A159" s="977"/>
      <c r="B159" s="247"/>
      <c r="C159" s="247"/>
      <c r="D159" s="247"/>
      <c r="E159" s="247"/>
      <c r="F159" s="977"/>
      <c r="G159" s="977"/>
      <c r="H159" s="977"/>
      <c r="I159" s="977"/>
      <c r="J159" s="977"/>
      <c r="K159" s="977"/>
      <c r="L159" s="977"/>
      <c r="M159" s="977"/>
      <c r="N159" s="977"/>
      <c r="O159" s="977"/>
      <c r="P159" s="977"/>
      <c r="Q159" s="977"/>
      <c r="R159" s="977"/>
      <c r="S159" s="977"/>
      <c r="T159" s="977"/>
      <c r="U159" s="977"/>
    </row>
    <row r="160" spans="1:21" ht="15" x14ac:dyDescent="0.2">
      <c r="A160" s="977"/>
      <c r="B160" s="247"/>
      <c r="C160" s="247"/>
      <c r="D160" s="247"/>
      <c r="E160" s="247"/>
      <c r="F160" s="977"/>
      <c r="G160" s="977"/>
      <c r="H160" s="977"/>
      <c r="I160" s="977"/>
      <c r="J160" s="977"/>
      <c r="K160" s="977"/>
      <c r="L160" s="977"/>
      <c r="M160" s="977"/>
      <c r="N160" s="977"/>
      <c r="O160" s="977"/>
      <c r="P160" s="977"/>
      <c r="Q160" s="977"/>
      <c r="R160" s="977"/>
      <c r="S160" s="977"/>
      <c r="T160" s="977"/>
      <c r="U160" s="977"/>
    </row>
    <row r="161" spans="1:21" ht="15" x14ac:dyDescent="0.2">
      <c r="A161" s="977"/>
      <c r="B161" s="247"/>
      <c r="C161" s="247"/>
      <c r="D161" s="247"/>
      <c r="E161" s="247"/>
      <c r="F161" s="977"/>
      <c r="G161" s="977"/>
      <c r="H161" s="977"/>
      <c r="I161" s="977"/>
      <c r="J161" s="977"/>
      <c r="K161" s="977"/>
      <c r="L161" s="977"/>
      <c r="M161" s="977"/>
      <c r="N161" s="977"/>
      <c r="O161" s="977"/>
      <c r="P161" s="977"/>
      <c r="Q161" s="977"/>
      <c r="R161" s="977"/>
      <c r="S161" s="977"/>
      <c r="T161" s="977"/>
      <c r="U161" s="977"/>
    </row>
    <row r="162" spans="1:21" ht="15" x14ac:dyDescent="0.2">
      <c r="A162" s="977"/>
      <c r="B162" s="247"/>
      <c r="C162" s="247"/>
      <c r="D162" s="247"/>
      <c r="E162" s="247"/>
      <c r="F162" s="977"/>
      <c r="G162" s="977"/>
      <c r="H162" s="977"/>
      <c r="I162" s="977"/>
      <c r="J162" s="977"/>
      <c r="K162" s="977"/>
      <c r="L162" s="977"/>
      <c r="M162" s="977"/>
      <c r="N162" s="977"/>
      <c r="O162" s="977"/>
      <c r="P162" s="977"/>
      <c r="Q162" s="977"/>
      <c r="R162" s="977"/>
      <c r="S162" s="977"/>
      <c r="T162" s="977"/>
      <c r="U162" s="977"/>
    </row>
    <row r="163" spans="1:21" ht="15" x14ac:dyDescent="0.2">
      <c r="A163" s="977"/>
      <c r="B163" s="247"/>
      <c r="C163" s="247"/>
      <c r="D163" s="247"/>
      <c r="E163" s="247"/>
      <c r="F163" s="977"/>
      <c r="G163" s="977"/>
      <c r="H163" s="977"/>
      <c r="I163" s="977"/>
      <c r="J163" s="977"/>
      <c r="K163" s="977"/>
      <c r="L163" s="977"/>
      <c r="M163" s="977"/>
      <c r="N163" s="977"/>
      <c r="O163" s="977"/>
      <c r="P163" s="977"/>
      <c r="Q163" s="977"/>
      <c r="R163" s="977"/>
      <c r="S163" s="977"/>
      <c r="T163" s="977"/>
      <c r="U163" s="977"/>
    </row>
    <row r="164" spans="1:21" ht="15" x14ac:dyDescent="0.2">
      <c r="A164" s="977"/>
      <c r="B164" s="247"/>
      <c r="C164" s="247"/>
      <c r="D164" s="247"/>
      <c r="E164" s="247"/>
      <c r="F164" s="977"/>
      <c r="G164" s="977"/>
      <c r="H164" s="977"/>
      <c r="I164" s="977"/>
      <c r="J164" s="977"/>
      <c r="K164" s="977"/>
      <c r="L164" s="977"/>
      <c r="M164" s="977"/>
      <c r="N164" s="977"/>
      <c r="O164" s="977"/>
      <c r="P164" s="977"/>
      <c r="Q164" s="977"/>
      <c r="R164" s="977"/>
      <c r="S164" s="977"/>
      <c r="T164" s="977"/>
      <c r="U164" s="977"/>
    </row>
    <row r="165" spans="1:21" ht="15" x14ac:dyDescent="0.2">
      <c r="A165" s="977"/>
      <c r="B165" s="247"/>
      <c r="C165" s="247"/>
      <c r="D165" s="247"/>
      <c r="E165" s="247"/>
      <c r="F165" s="977"/>
      <c r="G165" s="977"/>
      <c r="H165" s="977"/>
      <c r="I165" s="977"/>
      <c r="J165" s="977"/>
      <c r="K165" s="977"/>
      <c r="L165" s="977"/>
      <c r="M165" s="977"/>
      <c r="N165" s="977"/>
      <c r="O165" s="977"/>
      <c r="P165" s="977"/>
      <c r="Q165" s="977"/>
      <c r="R165" s="977"/>
      <c r="S165" s="977"/>
      <c r="T165" s="977"/>
      <c r="U165" s="977"/>
    </row>
    <row r="166" spans="1:21" ht="15" x14ac:dyDescent="0.2">
      <c r="A166" s="977"/>
      <c r="B166" s="247"/>
      <c r="C166" s="247"/>
      <c r="D166" s="247"/>
      <c r="E166" s="247"/>
      <c r="F166" s="977"/>
      <c r="G166" s="977"/>
      <c r="H166" s="977"/>
      <c r="I166" s="977"/>
      <c r="J166" s="977"/>
      <c r="K166" s="977"/>
      <c r="L166" s="977"/>
      <c r="M166" s="977"/>
      <c r="N166" s="977"/>
      <c r="O166" s="977"/>
      <c r="P166" s="977"/>
      <c r="Q166" s="977"/>
      <c r="R166" s="977"/>
      <c r="S166" s="977"/>
      <c r="T166" s="977"/>
      <c r="U166" s="977"/>
    </row>
    <row r="167" spans="1:21" ht="15" x14ac:dyDescent="0.2">
      <c r="A167" s="977"/>
      <c r="B167" s="247"/>
      <c r="C167" s="247"/>
      <c r="D167" s="247"/>
      <c r="E167" s="247"/>
      <c r="F167" s="977"/>
      <c r="G167" s="977"/>
      <c r="H167" s="977"/>
      <c r="I167" s="977"/>
      <c r="J167" s="977"/>
      <c r="K167" s="977"/>
      <c r="L167" s="977"/>
      <c r="M167" s="977"/>
      <c r="N167" s="977"/>
      <c r="O167" s="977"/>
      <c r="P167" s="977"/>
      <c r="Q167" s="977"/>
      <c r="R167" s="977"/>
      <c r="S167" s="977"/>
      <c r="T167" s="977"/>
      <c r="U167" s="977"/>
    </row>
    <row r="168" spans="1:21" ht="15" x14ac:dyDescent="0.2">
      <c r="A168" s="977"/>
      <c r="B168" s="247"/>
      <c r="C168" s="247"/>
      <c r="D168" s="247"/>
      <c r="E168" s="247"/>
      <c r="F168" s="977"/>
      <c r="G168" s="977"/>
      <c r="H168" s="977"/>
      <c r="I168" s="977"/>
      <c r="J168" s="977"/>
      <c r="K168" s="977"/>
      <c r="L168" s="977"/>
      <c r="M168" s="977"/>
      <c r="N168" s="977"/>
      <c r="O168" s="977"/>
      <c r="P168" s="977"/>
      <c r="Q168" s="977"/>
      <c r="R168" s="977"/>
      <c r="S168" s="977"/>
      <c r="T168" s="977"/>
      <c r="U168" s="977"/>
    </row>
    <row r="169" spans="1:21" ht="15" x14ac:dyDescent="0.2">
      <c r="A169" s="977"/>
      <c r="B169" s="247"/>
      <c r="C169" s="247"/>
      <c r="D169" s="247"/>
      <c r="E169" s="247"/>
      <c r="F169" s="977"/>
      <c r="G169" s="977"/>
      <c r="H169" s="977"/>
      <c r="I169" s="977"/>
      <c r="J169" s="977"/>
      <c r="K169" s="977"/>
      <c r="L169" s="977"/>
      <c r="M169" s="977"/>
      <c r="N169" s="977"/>
      <c r="O169" s="977"/>
      <c r="P169" s="977"/>
      <c r="Q169" s="977"/>
      <c r="R169" s="977"/>
      <c r="S169" s="977"/>
      <c r="T169" s="977"/>
      <c r="U169" s="977"/>
    </row>
    <row r="170" spans="1:21" ht="15" x14ac:dyDescent="0.2">
      <c r="A170" s="977"/>
      <c r="B170" s="247"/>
      <c r="C170" s="247"/>
      <c r="D170" s="247"/>
      <c r="E170" s="247"/>
      <c r="F170" s="977"/>
      <c r="G170" s="977"/>
      <c r="H170" s="977"/>
      <c r="I170" s="977"/>
      <c r="J170" s="977"/>
      <c r="K170" s="977"/>
      <c r="L170" s="977"/>
      <c r="M170" s="977"/>
      <c r="N170" s="977"/>
      <c r="O170" s="977"/>
      <c r="P170" s="977"/>
      <c r="Q170" s="977"/>
      <c r="R170" s="977"/>
      <c r="S170" s="977"/>
      <c r="T170" s="977"/>
      <c r="U170" s="977"/>
    </row>
    <row r="171" spans="1:21" ht="15" x14ac:dyDescent="0.2">
      <c r="A171" s="977"/>
      <c r="B171" s="247"/>
      <c r="C171" s="247"/>
      <c r="D171" s="247"/>
      <c r="E171" s="247"/>
      <c r="F171" s="977"/>
      <c r="G171" s="977"/>
      <c r="H171" s="977"/>
      <c r="I171" s="977"/>
      <c r="J171" s="977"/>
      <c r="K171" s="977"/>
      <c r="L171" s="977"/>
      <c r="M171" s="977"/>
      <c r="N171" s="977"/>
      <c r="O171" s="977"/>
      <c r="P171" s="977"/>
      <c r="Q171" s="977"/>
      <c r="R171" s="977"/>
      <c r="S171" s="977"/>
      <c r="T171" s="977"/>
      <c r="U171" s="977"/>
    </row>
    <row r="172" spans="1:21" ht="15" x14ac:dyDescent="0.2">
      <c r="A172" s="977"/>
      <c r="B172" s="247"/>
      <c r="C172" s="247"/>
      <c r="D172" s="247"/>
      <c r="E172" s="247"/>
      <c r="F172" s="977"/>
      <c r="G172" s="977"/>
      <c r="H172" s="977"/>
      <c r="I172" s="977"/>
      <c r="J172" s="977"/>
      <c r="K172" s="977"/>
      <c r="L172" s="977"/>
      <c r="M172" s="977"/>
      <c r="N172" s="977"/>
      <c r="O172" s="977"/>
      <c r="P172" s="977"/>
      <c r="Q172" s="977"/>
      <c r="R172" s="977"/>
      <c r="S172" s="977"/>
      <c r="T172" s="977"/>
      <c r="U172" s="977"/>
    </row>
    <row r="173" spans="1:21" ht="15" x14ac:dyDescent="0.2">
      <c r="A173" s="977"/>
      <c r="B173" s="247"/>
      <c r="C173" s="247"/>
      <c r="D173" s="247"/>
      <c r="E173" s="247"/>
      <c r="F173" s="977"/>
      <c r="G173" s="977"/>
      <c r="H173" s="977"/>
      <c r="I173" s="977"/>
      <c r="J173" s="977"/>
      <c r="K173" s="977"/>
      <c r="L173" s="977"/>
      <c r="M173" s="977"/>
      <c r="N173" s="977"/>
      <c r="O173" s="977"/>
      <c r="P173" s="977"/>
      <c r="Q173" s="977"/>
      <c r="R173" s="977"/>
      <c r="S173" s="977"/>
      <c r="T173" s="977"/>
      <c r="U173" s="977"/>
    </row>
    <row r="174" spans="1:21" ht="15" x14ac:dyDescent="0.2">
      <c r="A174" s="977"/>
      <c r="B174" s="247"/>
      <c r="C174" s="247"/>
      <c r="D174" s="247"/>
      <c r="E174" s="247"/>
      <c r="F174" s="977"/>
      <c r="G174" s="977"/>
      <c r="H174" s="977"/>
      <c r="I174" s="977"/>
      <c r="J174" s="977"/>
      <c r="K174" s="977"/>
      <c r="L174" s="977"/>
      <c r="M174" s="977"/>
      <c r="N174" s="977"/>
      <c r="O174" s="977"/>
      <c r="P174" s="977"/>
      <c r="Q174" s="977"/>
      <c r="R174" s="977"/>
      <c r="S174" s="977"/>
      <c r="T174" s="977"/>
      <c r="U174" s="977"/>
    </row>
    <row r="175" spans="1:21" ht="15" x14ac:dyDescent="0.2">
      <c r="A175" s="977"/>
      <c r="B175" s="247"/>
      <c r="C175" s="247"/>
      <c r="D175" s="247"/>
      <c r="E175" s="247"/>
      <c r="F175" s="977"/>
      <c r="G175" s="977"/>
      <c r="H175" s="977"/>
      <c r="I175" s="977"/>
      <c r="J175" s="977"/>
      <c r="K175" s="977"/>
      <c r="L175" s="977"/>
      <c r="M175" s="977"/>
      <c r="N175" s="977"/>
      <c r="O175" s="977"/>
      <c r="P175" s="977"/>
      <c r="Q175" s="977"/>
      <c r="R175" s="977"/>
      <c r="S175" s="977"/>
      <c r="T175" s="977"/>
      <c r="U175" s="977"/>
    </row>
    <row r="176" spans="1:21" ht="15" x14ac:dyDescent="0.2">
      <c r="A176" s="977"/>
      <c r="B176" s="247"/>
      <c r="C176" s="247"/>
      <c r="D176" s="247"/>
      <c r="E176" s="247"/>
      <c r="F176" s="977"/>
      <c r="G176" s="977"/>
      <c r="H176" s="977"/>
      <c r="I176" s="977"/>
      <c r="J176" s="977"/>
      <c r="K176" s="977"/>
      <c r="L176" s="977"/>
      <c r="M176" s="977"/>
      <c r="N176" s="977"/>
      <c r="O176" s="977"/>
      <c r="P176" s="977"/>
      <c r="Q176" s="977"/>
      <c r="R176" s="977"/>
      <c r="S176" s="977"/>
      <c r="T176" s="977"/>
      <c r="U176" s="977"/>
    </row>
    <row r="177" spans="1:21" ht="15" x14ac:dyDescent="0.2">
      <c r="A177" s="977"/>
      <c r="B177" s="247"/>
      <c r="C177" s="247"/>
      <c r="D177" s="247"/>
      <c r="E177" s="247"/>
      <c r="F177" s="977"/>
      <c r="G177" s="977"/>
      <c r="H177" s="977"/>
      <c r="I177" s="977"/>
      <c r="J177" s="977"/>
      <c r="K177" s="977"/>
      <c r="L177" s="977"/>
      <c r="M177" s="977"/>
      <c r="N177" s="977"/>
      <c r="O177" s="977"/>
      <c r="P177" s="977"/>
      <c r="Q177" s="977"/>
      <c r="R177" s="977"/>
      <c r="S177" s="977"/>
      <c r="T177" s="977"/>
      <c r="U177" s="977"/>
    </row>
    <row r="178" spans="1:21" ht="15" x14ac:dyDescent="0.2">
      <c r="A178" s="977"/>
      <c r="B178" s="247"/>
      <c r="C178" s="247"/>
      <c r="D178" s="247"/>
      <c r="E178" s="247"/>
      <c r="F178" s="977"/>
      <c r="G178" s="977"/>
      <c r="H178" s="977"/>
      <c r="I178" s="977"/>
      <c r="J178" s="977"/>
      <c r="K178" s="977"/>
      <c r="L178" s="977"/>
      <c r="M178" s="977"/>
      <c r="N178" s="977"/>
      <c r="O178" s="977"/>
      <c r="P178" s="977"/>
      <c r="Q178" s="977"/>
      <c r="R178" s="977"/>
      <c r="S178" s="977"/>
      <c r="T178" s="977"/>
      <c r="U178" s="977"/>
    </row>
    <row r="179" spans="1:21" ht="15" x14ac:dyDescent="0.2">
      <c r="A179" s="977"/>
      <c r="B179" s="977"/>
      <c r="C179" s="977"/>
      <c r="D179" s="977"/>
      <c r="E179" s="977"/>
      <c r="F179" s="977"/>
      <c r="G179" s="977"/>
      <c r="H179" s="977"/>
      <c r="I179" s="977"/>
      <c r="J179" s="977"/>
      <c r="K179" s="977"/>
      <c r="L179" s="977"/>
      <c r="M179" s="977"/>
      <c r="N179" s="977"/>
      <c r="O179" s="977"/>
      <c r="P179" s="977"/>
      <c r="Q179" s="977"/>
      <c r="R179" s="977"/>
      <c r="S179" s="977"/>
      <c r="T179" s="977"/>
      <c r="U179" s="977"/>
    </row>
    <row r="180" spans="1:21" ht="15" x14ac:dyDescent="0.2">
      <c r="A180" s="977"/>
      <c r="B180" s="977"/>
      <c r="C180" s="977"/>
      <c r="D180" s="977"/>
      <c r="E180" s="977"/>
      <c r="F180" s="977"/>
      <c r="G180" s="977"/>
      <c r="H180" s="977"/>
      <c r="I180" s="977"/>
      <c r="J180" s="977"/>
      <c r="K180" s="977"/>
      <c r="L180" s="977"/>
      <c r="M180" s="977"/>
      <c r="N180" s="977"/>
      <c r="O180" s="977"/>
      <c r="P180" s="977"/>
      <c r="Q180" s="977"/>
      <c r="R180" s="977"/>
      <c r="S180" s="977"/>
      <c r="T180" s="977"/>
      <c r="U180" s="977"/>
    </row>
    <row r="181" spans="1:21" ht="15" x14ac:dyDescent="0.2">
      <c r="A181" s="977"/>
      <c r="B181" s="977"/>
      <c r="C181" s="977"/>
      <c r="D181" s="977"/>
      <c r="E181" s="977"/>
      <c r="F181" s="977"/>
      <c r="G181" s="977"/>
      <c r="H181" s="977"/>
      <c r="I181" s="977"/>
      <c r="J181" s="977"/>
      <c r="K181" s="977"/>
      <c r="L181" s="977"/>
      <c r="M181" s="977"/>
      <c r="N181" s="977"/>
      <c r="O181" s="977"/>
      <c r="P181" s="977"/>
      <c r="Q181" s="977"/>
      <c r="R181" s="977"/>
      <c r="S181" s="977"/>
      <c r="T181" s="977"/>
      <c r="U181" s="977"/>
    </row>
    <row r="182" spans="1:21" ht="15" x14ac:dyDescent="0.2">
      <c r="A182" s="977"/>
      <c r="B182" s="977"/>
      <c r="C182" s="977"/>
      <c r="D182" s="977"/>
      <c r="E182" s="977"/>
      <c r="F182" s="977"/>
      <c r="G182" s="977"/>
      <c r="H182" s="977"/>
      <c r="I182" s="977"/>
      <c r="J182" s="977"/>
      <c r="K182" s="977"/>
      <c r="L182" s="977"/>
      <c r="M182" s="977"/>
      <c r="N182" s="977"/>
      <c r="O182" s="977"/>
      <c r="P182" s="977"/>
      <c r="Q182" s="977"/>
      <c r="R182" s="977"/>
      <c r="S182" s="977"/>
      <c r="T182" s="977"/>
      <c r="U182" s="977"/>
    </row>
    <row r="183" spans="1:21" ht="15" x14ac:dyDescent="0.2">
      <c r="A183" s="977"/>
      <c r="B183" s="977"/>
      <c r="C183" s="977"/>
      <c r="D183" s="977"/>
      <c r="E183" s="977"/>
      <c r="F183" s="977"/>
      <c r="G183" s="977"/>
      <c r="H183" s="977"/>
      <c r="I183" s="977"/>
      <c r="J183" s="977"/>
      <c r="K183" s="977"/>
      <c r="L183" s="977"/>
      <c r="M183" s="977"/>
      <c r="N183" s="977"/>
      <c r="O183" s="977"/>
      <c r="P183" s="977"/>
      <c r="Q183" s="977"/>
      <c r="R183" s="977"/>
      <c r="S183" s="977"/>
      <c r="T183" s="977"/>
      <c r="U183" s="977"/>
    </row>
    <row r="184" spans="1:21" ht="15" x14ac:dyDescent="0.2">
      <c r="A184" s="977"/>
      <c r="B184" s="977"/>
      <c r="C184" s="977"/>
      <c r="D184" s="977"/>
      <c r="E184" s="977"/>
      <c r="F184" s="977"/>
      <c r="G184" s="977"/>
      <c r="H184" s="977"/>
      <c r="I184" s="977"/>
      <c r="J184" s="977"/>
      <c r="K184" s="977"/>
      <c r="L184" s="977"/>
      <c r="M184" s="977"/>
      <c r="N184" s="977"/>
      <c r="O184" s="977"/>
      <c r="P184" s="977"/>
      <c r="Q184" s="977"/>
      <c r="R184" s="977"/>
      <c r="S184" s="977"/>
      <c r="T184" s="977"/>
      <c r="U184" s="977"/>
    </row>
    <row r="185" spans="1:21" ht="15" x14ac:dyDescent="0.2">
      <c r="A185" s="977"/>
      <c r="B185" s="977"/>
      <c r="C185" s="977"/>
      <c r="D185" s="977"/>
      <c r="E185" s="977"/>
      <c r="F185" s="977"/>
      <c r="G185" s="977"/>
      <c r="H185" s="977"/>
      <c r="I185" s="977"/>
      <c r="J185" s="977"/>
      <c r="K185" s="977"/>
      <c r="L185" s="977"/>
      <c r="M185" s="977"/>
      <c r="N185" s="977"/>
      <c r="O185" s="977"/>
      <c r="P185" s="977"/>
      <c r="Q185" s="977"/>
      <c r="R185" s="977"/>
      <c r="S185" s="977"/>
      <c r="T185" s="977"/>
      <c r="U185" s="977"/>
    </row>
    <row r="186" spans="1:21" ht="15" x14ac:dyDescent="0.2">
      <c r="A186" s="977"/>
      <c r="B186" s="977"/>
      <c r="C186" s="977"/>
      <c r="D186" s="977"/>
      <c r="E186" s="977"/>
      <c r="F186" s="977"/>
      <c r="G186" s="977"/>
      <c r="H186" s="977"/>
      <c r="I186" s="977"/>
      <c r="J186" s="977"/>
      <c r="K186" s="977"/>
      <c r="L186" s="977"/>
      <c r="M186" s="977"/>
      <c r="N186" s="977"/>
      <c r="O186" s="977"/>
      <c r="P186" s="977"/>
      <c r="Q186" s="977"/>
      <c r="R186" s="977"/>
      <c r="S186" s="977"/>
      <c r="T186" s="977"/>
      <c r="U186" s="977"/>
    </row>
    <row r="187" spans="1:21" ht="15" x14ac:dyDescent="0.2">
      <c r="A187" s="977"/>
      <c r="B187" s="977"/>
      <c r="C187" s="977"/>
      <c r="D187" s="977"/>
      <c r="E187" s="977"/>
      <c r="F187" s="977"/>
      <c r="G187" s="977"/>
      <c r="H187" s="977"/>
      <c r="I187" s="977"/>
      <c r="J187" s="977"/>
      <c r="K187" s="977"/>
      <c r="L187" s="977"/>
      <c r="M187" s="977"/>
      <c r="N187" s="977"/>
      <c r="O187" s="977"/>
      <c r="P187" s="977"/>
      <c r="Q187" s="977"/>
      <c r="R187" s="977"/>
      <c r="S187" s="977"/>
      <c r="T187" s="977"/>
      <c r="U187" s="977"/>
    </row>
    <row r="188" spans="1:21" ht="15" x14ac:dyDescent="0.2">
      <c r="A188" s="977"/>
      <c r="B188" s="977"/>
      <c r="C188" s="977"/>
      <c r="D188" s="977"/>
      <c r="E188" s="977"/>
      <c r="F188" s="977"/>
      <c r="G188" s="977"/>
      <c r="H188" s="977"/>
      <c r="I188" s="977"/>
      <c r="J188" s="977"/>
      <c r="K188" s="977"/>
      <c r="L188" s="977"/>
      <c r="M188" s="977"/>
      <c r="N188" s="977"/>
      <c r="O188" s="977"/>
      <c r="P188" s="977"/>
      <c r="Q188" s="977"/>
      <c r="R188" s="977"/>
      <c r="S188" s="977"/>
      <c r="T188" s="977"/>
      <c r="U188" s="977"/>
    </row>
    <row r="189" spans="1:21" ht="15" x14ac:dyDescent="0.2">
      <c r="A189" s="977"/>
      <c r="B189" s="977"/>
      <c r="C189" s="977"/>
      <c r="D189" s="977"/>
      <c r="E189" s="977"/>
      <c r="F189" s="977"/>
      <c r="G189" s="977"/>
      <c r="H189" s="977"/>
      <c r="I189" s="977"/>
      <c r="J189" s="977"/>
      <c r="K189" s="977"/>
      <c r="L189" s="977"/>
      <c r="M189" s="977"/>
      <c r="N189" s="977"/>
      <c r="O189" s="977"/>
      <c r="P189" s="977"/>
      <c r="Q189" s="977"/>
      <c r="R189" s="977"/>
      <c r="S189" s="977"/>
      <c r="T189" s="977"/>
      <c r="U189" s="977"/>
    </row>
  </sheetData>
  <pageMargins left="0.7" right="0.7" top="0.78740157499999996" bottom="0.78740157499999996" header="0.3" footer="0.3"/>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3">
    <pageSetUpPr fitToPage="1"/>
  </sheetPr>
  <dimension ref="A1:BD80"/>
  <sheetViews>
    <sheetView zoomScaleNormal="100" workbookViewId="0">
      <selection activeCell="AM9" sqref="AM9"/>
    </sheetView>
  </sheetViews>
  <sheetFormatPr baseColWidth="10" defaultColWidth="4.5703125" defaultRowHeight="12.75" x14ac:dyDescent="0.2"/>
  <cols>
    <col min="1" max="2" width="3.5703125" style="288" customWidth="1"/>
    <col min="3" max="13" width="4.5703125" style="288"/>
    <col min="14" max="14" width="7.42578125" style="288" customWidth="1"/>
    <col min="15" max="18" width="5" style="288" customWidth="1"/>
    <col min="19" max="19" width="3.5703125" style="288" customWidth="1"/>
    <col min="20" max="20" width="4.5703125" style="288"/>
    <col min="21" max="21" width="7.5703125" style="288" customWidth="1"/>
    <col min="22" max="22" width="2.42578125" style="288" customWidth="1"/>
    <col min="23" max="24" width="4.5703125" style="288"/>
    <col min="25" max="36" width="4.5703125" style="334"/>
    <col min="37" max="40" width="4.5703125" style="288"/>
    <col min="41" max="41" width="0" style="288" hidden="1" customWidth="1"/>
    <col min="42" max="42" width="6.28515625" style="288" hidden="1" customWidth="1"/>
    <col min="43" max="43" width="53.140625" style="288" hidden="1" customWidth="1"/>
    <col min="44" max="44" width="9.42578125" style="288" hidden="1" customWidth="1"/>
    <col min="45" max="45" width="11.42578125" style="288" hidden="1" customWidth="1"/>
    <col min="46" max="46" width="10.85546875" style="288" hidden="1" customWidth="1"/>
    <col min="47" max="47" width="12.28515625" style="288" hidden="1" customWidth="1"/>
    <col min="48" max="48" width="10.140625" style="288" hidden="1" customWidth="1"/>
    <col min="49" max="49" width="12.5703125" style="288" hidden="1" customWidth="1"/>
    <col min="50" max="53" width="4.5703125" style="288" hidden="1" customWidth="1"/>
    <col min="54" max="54" width="7.7109375" style="288" hidden="1" customWidth="1"/>
    <col min="55" max="55" width="7.28515625" style="288" hidden="1" customWidth="1"/>
    <col min="56" max="56" width="10.5703125" style="288" hidden="1" customWidth="1"/>
    <col min="57" max="256" width="4.5703125" style="288"/>
    <col min="257" max="257" width="3.5703125" style="288" customWidth="1"/>
    <col min="258" max="276" width="4.5703125" style="288"/>
    <col min="277" max="277" width="7.5703125" style="288" customWidth="1"/>
    <col min="278" max="278" width="2.42578125" style="288" customWidth="1"/>
    <col min="279" max="297" width="4.5703125" style="288"/>
    <col min="298" max="298" width="10.5703125" style="288" customWidth="1"/>
    <col min="299" max="299" width="4.5703125" style="288"/>
    <col min="300" max="300" width="9.42578125" style="288" customWidth="1"/>
    <col min="301" max="301" width="11.42578125" style="288" customWidth="1"/>
    <col min="302" max="512" width="4.5703125" style="288"/>
    <col min="513" max="513" width="3.5703125" style="288" customWidth="1"/>
    <col min="514" max="532" width="4.5703125" style="288"/>
    <col min="533" max="533" width="7.5703125" style="288" customWidth="1"/>
    <col min="534" max="534" width="2.42578125" style="288" customWidth="1"/>
    <col min="535" max="553" width="4.5703125" style="288"/>
    <col min="554" max="554" width="10.5703125" style="288" customWidth="1"/>
    <col min="555" max="555" width="4.5703125" style="288"/>
    <col min="556" max="556" width="9.42578125" style="288" customWidth="1"/>
    <col min="557" max="557" width="11.42578125" style="288" customWidth="1"/>
    <col min="558" max="768" width="4.5703125" style="288"/>
    <col min="769" max="769" width="3.5703125" style="288" customWidth="1"/>
    <col min="770" max="788" width="4.5703125" style="288"/>
    <col min="789" max="789" width="7.5703125" style="288" customWidth="1"/>
    <col min="790" max="790" width="2.42578125" style="288" customWidth="1"/>
    <col min="791" max="809" width="4.5703125" style="288"/>
    <col min="810" max="810" width="10.5703125" style="288" customWidth="1"/>
    <col min="811" max="811" width="4.5703125" style="288"/>
    <col min="812" max="812" width="9.42578125" style="288" customWidth="1"/>
    <col min="813" max="813" width="11.42578125" style="288" customWidth="1"/>
    <col min="814" max="1024" width="4.5703125" style="288"/>
    <col min="1025" max="1025" width="3.5703125" style="288" customWidth="1"/>
    <col min="1026" max="1044" width="4.5703125" style="288"/>
    <col min="1045" max="1045" width="7.5703125" style="288" customWidth="1"/>
    <col min="1046" max="1046" width="2.42578125" style="288" customWidth="1"/>
    <col min="1047" max="1065" width="4.5703125" style="288"/>
    <col min="1066" max="1066" width="10.5703125" style="288" customWidth="1"/>
    <col min="1067" max="1067" width="4.5703125" style="288"/>
    <col min="1068" max="1068" width="9.42578125" style="288" customWidth="1"/>
    <col min="1069" max="1069" width="11.42578125" style="288" customWidth="1"/>
    <col min="1070" max="1280" width="4.5703125" style="288"/>
    <col min="1281" max="1281" width="3.5703125" style="288" customWidth="1"/>
    <col min="1282" max="1300" width="4.5703125" style="288"/>
    <col min="1301" max="1301" width="7.5703125" style="288" customWidth="1"/>
    <col min="1302" max="1302" width="2.42578125" style="288" customWidth="1"/>
    <col min="1303" max="1321" width="4.5703125" style="288"/>
    <col min="1322" max="1322" width="10.5703125" style="288" customWidth="1"/>
    <col min="1323" max="1323" width="4.5703125" style="288"/>
    <col min="1324" max="1324" width="9.42578125" style="288" customWidth="1"/>
    <col min="1325" max="1325" width="11.42578125" style="288" customWidth="1"/>
    <col min="1326" max="1536" width="4.5703125" style="288"/>
    <col min="1537" max="1537" width="3.5703125" style="288" customWidth="1"/>
    <col min="1538" max="1556" width="4.5703125" style="288"/>
    <col min="1557" max="1557" width="7.5703125" style="288" customWidth="1"/>
    <col min="1558" max="1558" width="2.42578125" style="288" customWidth="1"/>
    <col min="1559" max="1577" width="4.5703125" style="288"/>
    <col min="1578" max="1578" width="10.5703125" style="288" customWidth="1"/>
    <col min="1579" max="1579" width="4.5703125" style="288"/>
    <col min="1580" max="1580" width="9.42578125" style="288" customWidth="1"/>
    <col min="1581" max="1581" width="11.42578125" style="288" customWidth="1"/>
    <col min="1582" max="1792" width="4.5703125" style="288"/>
    <col min="1793" max="1793" width="3.5703125" style="288" customWidth="1"/>
    <col min="1794" max="1812" width="4.5703125" style="288"/>
    <col min="1813" max="1813" width="7.5703125" style="288" customWidth="1"/>
    <col min="1814" max="1814" width="2.42578125" style="288" customWidth="1"/>
    <col min="1815" max="1833" width="4.5703125" style="288"/>
    <col min="1834" max="1834" width="10.5703125" style="288" customWidth="1"/>
    <col min="1835" max="1835" width="4.5703125" style="288"/>
    <col min="1836" max="1836" width="9.42578125" style="288" customWidth="1"/>
    <col min="1837" max="1837" width="11.42578125" style="288" customWidth="1"/>
    <col min="1838" max="2048" width="4.5703125" style="288"/>
    <col min="2049" max="2049" width="3.5703125" style="288" customWidth="1"/>
    <col min="2050" max="2068" width="4.5703125" style="288"/>
    <col min="2069" max="2069" width="7.5703125" style="288" customWidth="1"/>
    <col min="2070" max="2070" width="2.42578125" style="288" customWidth="1"/>
    <col min="2071" max="2089" width="4.5703125" style="288"/>
    <col min="2090" max="2090" width="10.5703125" style="288" customWidth="1"/>
    <col min="2091" max="2091" width="4.5703125" style="288"/>
    <col min="2092" max="2092" width="9.42578125" style="288" customWidth="1"/>
    <col min="2093" max="2093" width="11.42578125" style="288" customWidth="1"/>
    <col min="2094" max="2304" width="4.5703125" style="288"/>
    <col min="2305" max="2305" width="3.5703125" style="288" customWidth="1"/>
    <col min="2306" max="2324" width="4.5703125" style="288"/>
    <col min="2325" max="2325" width="7.5703125" style="288" customWidth="1"/>
    <col min="2326" max="2326" width="2.42578125" style="288" customWidth="1"/>
    <col min="2327" max="2345" width="4.5703125" style="288"/>
    <col min="2346" max="2346" width="10.5703125" style="288" customWidth="1"/>
    <col min="2347" max="2347" width="4.5703125" style="288"/>
    <col min="2348" max="2348" width="9.42578125" style="288" customWidth="1"/>
    <col min="2349" max="2349" width="11.42578125" style="288" customWidth="1"/>
    <col min="2350" max="2560" width="4.5703125" style="288"/>
    <col min="2561" max="2561" width="3.5703125" style="288" customWidth="1"/>
    <col min="2562" max="2580" width="4.5703125" style="288"/>
    <col min="2581" max="2581" width="7.5703125" style="288" customWidth="1"/>
    <col min="2582" max="2582" width="2.42578125" style="288" customWidth="1"/>
    <col min="2583" max="2601" width="4.5703125" style="288"/>
    <col min="2602" max="2602" width="10.5703125" style="288" customWidth="1"/>
    <col min="2603" max="2603" width="4.5703125" style="288"/>
    <col min="2604" max="2604" width="9.42578125" style="288" customWidth="1"/>
    <col min="2605" max="2605" width="11.42578125" style="288" customWidth="1"/>
    <col min="2606" max="2816" width="4.5703125" style="288"/>
    <col min="2817" max="2817" width="3.5703125" style="288" customWidth="1"/>
    <col min="2818" max="2836" width="4.5703125" style="288"/>
    <col min="2837" max="2837" width="7.5703125" style="288" customWidth="1"/>
    <col min="2838" max="2838" width="2.42578125" style="288" customWidth="1"/>
    <col min="2839" max="2857" width="4.5703125" style="288"/>
    <col min="2858" max="2858" width="10.5703125" style="288" customWidth="1"/>
    <col min="2859" max="2859" width="4.5703125" style="288"/>
    <col min="2860" max="2860" width="9.42578125" style="288" customWidth="1"/>
    <col min="2861" max="2861" width="11.42578125" style="288" customWidth="1"/>
    <col min="2862" max="3072" width="4.5703125" style="288"/>
    <col min="3073" max="3073" width="3.5703125" style="288" customWidth="1"/>
    <col min="3074" max="3092" width="4.5703125" style="288"/>
    <col min="3093" max="3093" width="7.5703125" style="288" customWidth="1"/>
    <col min="3094" max="3094" width="2.42578125" style="288" customWidth="1"/>
    <col min="3095" max="3113" width="4.5703125" style="288"/>
    <col min="3114" max="3114" width="10.5703125" style="288" customWidth="1"/>
    <col min="3115" max="3115" width="4.5703125" style="288"/>
    <col min="3116" max="3116" width="9.42578125" style="288" customWidth="1"/>
    <col min="3117" max="3117" width="11.42578125" style="288" customWidth="1"/>
    <col min="3118" max="3328" width="4.5703125" style="288"/>
    <col min="3329" max="3329" width="3.5703125" style="288" customWidth="1"/>
    <col min="3330" max="3348" width="4.5703125" style="288"/>
    <col min="3349" max="3349" width="7.5703125" style="288" customWidth="1"/>
    <col min="3350" max="3350" width="2.42578125" style="288" customWidth="1"/>
    <col min="3351" max="3369" width="4.5703125" style="288"/>
    <col min="3370" max="3370" width="10.5703125" style="288" customWidth="1"/>
    <col min="3371" max="3371" width="4.5703125" style="288"/>
    <col min="3372" max="3372" width="9.42578125" style="288" customWidth="1"/>
    <col min="3373" max="3373" width="11.42578125" style="288" customWidth="1"/>
    <col min="3374" max="3584" width="4.5703125" style="288"/>
    <col min="3585" max="3585" width="3.5703125" style="288" customWidth="1"/>
    <col min="3586" max="3604" width="4.5703125" style="288"/>
    <col min="3605" max="3605" width="7.5703125" style="288" customWidth="1"/>
    <col min="3606" max="3606" width="2.42578125" style="288" customWidth="1"/>
    <col min="3607" max="3625" width="4.5703125" style="288"/>
    <col min="3626" max="3626" width="10.5703125" style="288" customWidth="1"/>
    <col min="3627" max="3627" width="4.5703125" style="288"/>
    <col min="3628" max="3628" width="9.42578125" style="288" customWidth="1"/>
    <col min="3629" max="3629" width="11.42578125" style="288" customWidth="1"/>
    <col min="3630" max="3840" width="4.5703125" style="288"/>
    <col min="3841" max="3841" width="3.5703125" style="288" customWidth="1"/>
    <col min="3842" max="3860" width="4.5703125" style="288"/>
    <col min="3861" max="3861" width="7.5703125" style="288" customWidth="1"/>
    <col min="3862" max="3862" width="2.42578125" style="288" customWidth="1"/>
    <col min="3863" max="3881" width="4.5703125" style="288"/>
    <col min="3882" max="3882" width="10.5703125" style="288" customWidth="1"/>
    <col min="3883" max="3883" width="4.5703125" style="288"/>
    <col min="3884" max="3884" width="9.42578125" style="288" customWidth="1"/>
    <col min="3885" max="3885" width="11.42578125" style="288" customWidth="1"/>
    <col min="3886" max="4096" width="4.5703125" style="288"/>
    <col min="4097" max="4097" width="3.5703125" style="288" customWidth="1"/>
    <col min="4098" max="4116" width="4.5703125" style="288"/>
    <col min="4117" max="4117" width="7.5703125" style="288" customWidth="1"/>
    <col min="4118" max="4118" width="2.42578125" style="288" customWidth="1"/>
    <col min="4119" max="4137" width="4.5703125" style="288"/>
    <col min="4138" max="4138" width="10.5703125" style="288" customWidth="1"/>
    <col min="4139" max="4139" width="4.5703125" style="288"/>
    <col min="4140" max="4140" width="9.42578125" style="288" customWidth="1"/>
    <col min="4141" max="4141" width="11.42578125" style="288" customWidth="1"/>
    <col min="4142" max="4352" width="4.5703125" style="288"/>
    <col min="4353" max="4353" width="3.5703125" style="288" customWidth="1"/>
    <col min="4354" max="4372" width="4.5703125" style="288"/>
    <col min="4373" max="4373" width="7.5703125" style="288" customWidth="1"/>
    <col min="4374" max="4374" width="2.42578125" style="288" customWidth="1"/>
    <col min="4375" max="4393" width="4.5703125" style="288"/>
    <col min="4394" max="4394" width="10.5703125" style="288" customWidth="1"/>
    <col min="4395" max="4395" width="4.5703125" style="288"/>
    <col min="4396" max="4396" width="9.42578125" style="288" customWidth="1"/>
    <col min="4397" max="4397" width="11.42578125" style="288" customWidth="1"/>
    <col min="4398" max="4608" width="4.5703125" style="288"/>
    <col min="4609" max="4609" width="3.5703125" style="288" customWidth="1"/>
    <col min="4610" max="4628" width="4.5703125" style="288"/>
    <col min="4629" max="4629" width="7.5703125" style="288" customWidth="1"/>
    <col min="4630" max="4630" width="2.42578125" style="288" customWidth="1"/>
    <col min="4631" max="4649" width="4.5703125" style="288"/>
    <col min="4650" max="4650" width="10.5703125" style="288" customWidth="1"/>
    <col min="4651" max="4651" width="4.5703125" style="288"/>
    <col min="4652" max="4652" width="9.42578125" style="288" customWidth="1"/>
    <col min="4653" max="4653" width="11.42578125" style="288" customWidth="1"/>
    <col min="4654" max="4864" width="4.5703125" style="288"/>
    <col min="4865" max="4865" width="3.5703125" style="288" customWidth="1"/>
    <col min="4866" max="4884" width="4.5703125" style="288"/>
    <col min="4885" max="4885" width="7.5703125" style="288" customWidth="1"/>
    <col min="4886" max="4886" width="2.42578125" style="288" customWidth="1"/>
    <col min="4887" max="4905" width="4.5703125" style="288"/>
    <col min="4906" max="4906" width="10.5703125" style="288" customWidth="1"/>
    <col min="4907" max="4907" width="4.5703125" style="288"/>
    <col min="4908" max="4908" width="9.42578125" style="288" customWidth="1"/>
    <col min="4909" max="4909" width="11.42578125" style="288" customWidth="1"/>
    <col min="4910" max="5120" width="4.5703125" style="288"/>
    <col min="5121" max="5121" width="3.5703125" style="288" customWidth="1"/>
    <col min="5122" max="5140" width="4.5703125" style="288"/>
    <col min="5141" max="5141" width="7.5703125" style="288" customWidth="1"/>
    <col min="5142" max="5142" width="2.42578125" style="288" customWidth="1"/>
    <col min="5143" max="5161" width="4.5703125" style="288"/>
    <col min="5162" max="5162" width="10.5703125" style="288" customWidth="1"/>
    <col min="5163" max="5163" width="4.5703125" style="288"/>
    <col min="5164" max="5164" width="9.42578125" style="288" customWidth="1"/>
    <col min="5165" max="5165" width="11.42578125" style="288" customWidth="1"/>
    <col min="5166" max="5376" width="4.5703125" style="288"/>
    <col min="5377" max="5377" width="3.5703125" style="288" customWidth="1"/>
    <col min="5378" max="5396" width="4.5703125" style="288"/>
    <col min="5397" max="5397" width="7.5703125" style="288" customWidth="1"/>
    <col min="5398" max="5398" width="2.42578125" style="288" customWidth="1"/>
    <col min="5399" max="5417" width="4.5703125" style="288"/>
    <col min="5418" max="5418" width="10.5703125" style="288" customWidth="1"/>
    <col min="5419" max="5419" width="4.5703125" style="288"/>
    <col min="5420" max="5420" width="9.42578125" style="288" customWidth="1"/>
    <col min="5421" max="5421" width="11.42578125" style="288" customWidth="1"/>
    <col min="5422" max="5632" width="4.5703125" style="288"/>
    <col min="5633" max="5633" width="3.5703125" style="288" customWidth="1"/>
    <col min="5634" max="5652" width="4.5703125" style="288"/>
    <col min="5653" max="5653" width="7.5703125" style="288" customWidth="1"/>
    <col min="5654" max="5654" width="2.42578125" style="288" customWidth="1"/>
    <col min="5655" max="5673" width="4.5703125" style="288"/>
    <col min="5674" max="5674" width="10.5703125" style="288" customWidth="1"/>
    <col min="5675" max="5675" width="4.5703125" style="288"/>
    <col min="5676" max="5676" width="9.42578125" style="288" customWidth="1"/>
    <col min="5677" max="5677" width="11.42578125" style="288" customWidth="1"/>
    <col min="5678" max="5888" width="4.5703125" style="288"/>
    <col min="5889" max="5889" width="3.5703125" style="288" customWidth="1"/>
    <col min="5890" max="5908" width="4.5703125" style="288"/>
    <col min="5909" max="5909" width="7.5703125" style="288" customWidth="1"/>
    <col min="5910" max="5910" width="2.42578125" style="288" customWidth="1"/>
    <col min="5911" max="5929" width="4.5703125" style="288"/>
    <col min="5930" max="5930" width="10.5703125" style="288" customWidth="1"/>
    <col min="5931" max="5931" width="4.5703125" style="288"/>
    <col min="5932" max="5932" width="9.42578125" style="288" customWidth="1"/>
    <col min="5933" max="5933" width="11.42578125" style="288" customWidth="1"/>
    <col min="5934" max="6144" width="4.5703125" style="288"/>
    <col min="6145" max="6145" width="3.5703125" style="288" customWidth="1"/>
    <col min="6146" max="6164" width="4.5703125" style="288"/>
    <col min="6165" max="6165" width="7.5703125" style="288" customWidth="1"/>
    <col min="6166" max="6166" width="2.42578125" style="288" customWidth="1"/>
    <col min="6167" max="6185" width="4.5703125" style="288"/>
    <col min="6186" max="6186" width="10.5703125" style="288" customWidth="1"/>
    <col min="6187" max="6187" width="4.5703125" style="288"/>
    <col min="6188" max="6188" width="9.42578125" style="288" customWidth="1"/>
    <col min="6189" max="6189" width="11.42578125" style="288" customWidth="1"/>
    <col min="6190" max="6400" width="4.5703125" style="288"/>
    <col min="6401" max="6401" width="3.5703125" style="288" customWidth="1"/>
    <col min="6402" max="6420" width="4.5703125" style="288"/>
    <col min="6421" max="6421" width="7.5703125" style="288" customWidth="1"/>
    <col min="6422" max="6422" width="2.42578125" style="288" customWidth="1"/>
    <col min="6423" max="6441" width="4.5703125" style="288"/>
    <col min="6442" max="6442" width="10.5703125" style="288" customWidth="1"/>
    <col min="6443" max="6443" width="4.5703125" style="288"/>
    <col min="6444" max="6444" width="9.42578125" style="288" customWidth="1"/>
    <col min="6445" max="6445" width="11.42578125" style="288" customWidth="1"/>
    <col min="6446" max="6656" width="4.5703125" style="288"/>
    <col min="6657" max="6657" width="3.5703125" style="288" customWidth="1"/>
    <col min="6658" max="6676" width="4.5703125" style="288"/>
    <col min="6677" max="6677" width="7.5703125" style="288" customWidth="1"/>
    <col min="6678" max="6678" width="2.42578125" style="288" customWidth="1"/>
    <col min="6679" max="6697" width="4.5703125" style="288"/>
    <col min="6698" max="6698" width="10.5703125" style="288" customWidth="1"/>
    <col min="6699" max="6699" width="4.5703125" style="288"/>
    <col min="6700" max="6700" width="9.42578125" style="288" customWidth="1"/>
    <col min="6701" max="6701" width="11.42578125" style="288" customWidth="1"/>
    <col min="6702" max="6912" width="4.5703125" style="288"/>
    <col min="6913" max="6913" width="3.5703125" style="288" customWidth="1"/>
    <col min="6914" max="6932" width="4.5703125" style="288"/>
    <col min="6933" max="6933" width="7.5703125" style="288" customWidth="1"/>
    <col min="6934" max="6934" width="2.42578125" style="288" customWidth="1"/>
    <col min="6935" max="6953" width="4.5703125" style="288"/>
    <col min="6954" max="6954" width="10.5703125" style="288" customWidth="1"/>
    <col min="6955" max="6955" width="4.5703125" style="288"/>
    <col min="6956" max="6956" width="9.42578125" style="288" customWidth="1"/>
    <col min="6957" max="6957" width="11.42578125" style="288" customWidth="1"/>
    <col min="6958" max="7168" width="4.5703125" style="288"/>
    <col min="7169" max="7169" width="3.5703125" style="288" customWidth="1"/>
    <col min="7170" max="7188" width="4.5703125" style="288"/>
    <col min="7189" max="7189" width="7.5703125" style="288" customWidth="1"/>
    <col min="7190" max="7190" width="2.42578125" style="288" customWidth="1"/>
    <col min="7191" max="7209" width="4.5703125" style="288"/>
    <col min="7210" max="7210" width="10.5703125" style="288" customWidth="1"/>
    <col min="7211" max="7211" width="4.5703125" style="288"/>
    <col min="7212" max="7212" width="9.42578125" style="288" customWidth="1"/>
    <col min="7213" max="7213" width="11.42578125" style="288" customWidth="1"/>
    <col min="7214" max="7424" width="4.5703125" style="288"/>
    <col min="7425" max="7425" width="3.5703125" style="288" customWidth="1"/>
    <col min="7426" max="7444" width="4.5703125" style="288"/>
    <col min="7445" max="7445" width="7.5703125" style="288" customWidth="1"/>
    <col min="7446" max="7446" width="2.42578125" style="288" customWidth="1"/>
    <col min="7447" max="7465" width="4.5703125" style="288"/>
    <col min="7466" max="7466" width="10.5703125" style="288" customWidth="1"/>
    <col min="7467" max="7467" width="4.5703125" style="288"/>
    <col min="7468" max="7468" width="9.42578125" style="288" customWidth="1"/>
    <col min="7469" max="7469" width="11.42578125" style="288" customWidth="1"/>
    <col min="7470" max="7680" width="4.5703125" style="288"/>
    <col min="7681" max="7681" width="3.5703125" style="288" customWidth="1"/>
    <col min="7682" max="7700" width="4.5703125" style="288"/>
    <col min="7701" max="7701" width="7.5703125" style="288" customWidth="1"/>
    <col min="7702" max="7702" width="2.42578125" style="288" customWidth="1"/>
    <col min="7703" max="7721" width="4.5703125" style="288"/>
    <col min="7722" max="7722" width="10.5703125" style="288" customWidth="1"/>
    <col min="7723" max="7723" width="4.5703125" style="288"/>
    <col min="7724" max="7724" width="9.42578125" style="288" customWidth="1"/>
    <col min="7725" max="7725" width="11.42578125" style="288" customWidth="1"/>
    <col min="7726" max="7936" width="4.5703125" style="288"/>
    <col min="7937" max="7937" width="3.5703125" style="288" customWidth="1"/>
    <col min="7938" max="7956" width="4.5703125" style="288"/>
    <col min="7957" max="7957" width="7.5703125" style="288" customWidth="1"/>
    <col min="7958" max="7958" width="2.42578125" style="288" customWidth="1"/>
    <col min="7959" max="7977" width="4.5703125" style="288"/>
    <col min="7978" max="7978" width="10.5703125" style="288" customWidth="1"/>
    <col min="7979" max="7979" width="4.5703125" style="288"/>
    <col min="7980" max="7980" width="9.42578125" style="288" customWidth="1"/>
    <col min="7981" max="7981" width="11.42578125" style="288" customWidth="1"/>
    <col min="7982" max="8192" width="4.5703125" style="288"/>
    <col min="8193" max="8193" width="3.5703125" style="288" customWidth="1"/>
    <col min="8194" max="8212" width="4.5703125" style="288"/>
    <col min="8213" max="8213" width="7.5703125" style="288" customWidth="1"/>
    <col min="8214" max="8214" width="2.42578125" style="288" customWidth="1"/>
    <col min="8215" max="8233" width="4.5703125" style="288"/>
    <col min="8234" max="8234" width="10.5703125" style="288" customWidth="1"/>
    <col min="8235" max="8235" width="4.5703125" style="288"/>
    <col min="8236" max="8236" width="9.42578125" style="288" customWidth="1"/>
    <col min="8237" max="8237" width="11.42578125" style="288" customWidth="1"/>
    <col min="8238" max="8448" width="4.5703125" style="288"/>
    <col min="8449" max="8449" width="3.5703125" style="288" customWidth="1"/>
    <col min="8450" max="8468" width="4.5703125" style="288"/>
    <col min="8469" max="8469" width="7.5703125" style="288" customWidth="1"/>
    <col min="8470" max="8470" width="2.42578125" style="288" customWidth="1"/>
    <col min="8471" max="8489" width="4.5703125" style="288"/>
    <col min="8490" max="8490" width="10.5703125" style="288" customWidth="1"/>
    <col min="8491" max="8491" width="4.5703125" style="288"/>
    <col min="8492" max="8492" width="9.42578125" style="288" customWidth="1"/>
    <col min="8493" max="8493" width="11.42578125" style="288" customWidth="1"/>
    <col min="8494" max="8704" width="4.5703125" style="288"/>
    <col min="8705" max="8705" width="3.5703125" style="288" customWidth="1"/>
    <col min="8706" max="8724" width="4.5703125" style="288"/>
    <col min="8725" max="8725" width="7.5703125" style="288" customWidth="1"/>
    <col min="8726" max="8726" width="2.42578125" style="288" customWidth="1"/>
    <col min="8727" max="8745" width="4.5703125" style="288"/>
    <col min="8746" max="8746" width="10.5703125" style="288" customWidth="1"/>
    <col min="8747" max="8747" width="4.5703125" style="288"/>
    <col min="8748" max="8748" width="9.42578125" style="288" customWidth="1"/>
    <col min="8749" max="8749" width="11.42578125" style="288" customWidth="1"/>
    <col min="8750" max="8960" width="4.5703125" style="288"/>
    <col min="8961" max="8961" width="3.5703125" style="288" customWidth="1"/>
    <col min="8962" max="8980" width="4.5703125" style="288"/>
    <col min="8981" max="8981" width="7.5703125" style="288" customWidth="1"/>
    <col min="8982" max="8982" width="2.42578125" style="288" customWidth="1"/>
    <col min="8983" max="9001" width="4.5703125" style="288"/>
    <col min="9002" max="9002" width="10.5703125" style="288" customWidth="1"/>
    <col min="9003" max="9003" width="4.5703125" style="288"/>
    <col min="9004" max="9004" width="9.42578125" style="288" customWidth="1"/>
    <col min="9005" max="9005" width="11.42578125" style="288" customWidth="1"/>
    <col min="9006" max="9216" width="4.5703125" style="288"/>
    <col min="9217" max="9217" width="3.5703125" style="288" customWidth="1"/>
    <col min="9218" max="9236" width="4.5703125" style="288"/>
    <col min="9237" max="9237" width="7.5703125" style="288" customWidth="1"/>
    <col min="9238" max="9238" width="2.42578125" style="288" customWidth="1"/>
    <col min="9239" max="9257" width="4.5703125" style="288"/>
    <col min="9258" max="9258" width="10.5703125" style="288" customWidth="1"/>
    <col min="9259" max="9259" width="4.5703125" style="288"/>
    <col min="9260" max="9260" width="9.42578125" style="288" customWidth="1"/>
    <col min="9261" max="9261" width="11.42578125" style="288" customWidth="1"/>
    <col min="9262" max="9472" width="4.5703125" style="288"/>
    <col min="9473" max="9473" width="3.5703125" style="288" customWidth="1"/>
    <col min="9474" max="9492" width="4.5703125" style="288"/>
    <col min="9493" max="9493" width="7.5703125" style="288" customWidth="1"/>
    <col min="9494" max="9494" width="2.42578125" style="288" customWidth="1"/>
    <col min="9495" max="9513" width="4.5703125" style="288"/>
    <col min="9514" max="9514" width="10.5703125" style="288" customWidth="1"/>
    <col min="9515" max="9515" width="4.5703125" style="288"/>
    <col min="9516" max="9516" width="9.42578125" style="288" customWidth="1"/>
    <col min="9517" max="9517" width="11.42578125" style="288" customWidth="1"/>
    <col min="9518" max="9728" width="4.5703125" style="288"/>
    <col min="9729" max="9729" width="3.5703125" style="288" customWidth="1"/>
    <col min="9730" max="9748" width="4.5703125" style="288"/>
    <col min="9749" max="9749" width="7.5703125" style="288" customWidth="1"/>
    <col min="9750" max="9750" width="2.42578125" style="288" customWidth="1"/>
    <col min="9751" max="9769" width="4.5703125" style="288"/>
    <col min="9770" max="9770" width="10.5703125" style="288" customWidth="1"/>
    <col min="9771" max="9771" width="4.5703125" style="288"/>
    <col min="9772" max="9772" width="9.42578125" style="288" customWidth="1"/>
    <col min="9773" max="9773" width="11.42578125" style="288" customWidth="1"/>
    <col min="9774" max="9984" width="4.5703125" style="288"/>
    <col min="9985" max="9985" width="3.5703125" style="288" customWidth="1"/>
    <col min="9986" max="10004" width="4.5703125" style="288"/>
    <col min="10005" max="10005" width="7.5703125" style="288" customWidth="1"/>
    <col min="10006" max="10006" width="2.42578125" style="288" customWidth="1"/>
    <col min="10007" max="10025" width="4.5703125" style="288"/>
    <col min="10026" max="10026" width="10.5703125" style="288" customWidth="1"/>
    <col min="10027" max="10027" width="4.5703125" style="288"/>
    <col min="10028" max="10028" width="9.42578125" style="288" customWidth="1"/>
    <col min="10029" max="10029" width="11.42578125" style="288" customWidth="1"/>
    <col min="10030" max="10240" width="4.5703125" style="288"/>
    <col min="10241" max="10241" width="3.5703125" style="288" customWidth="1"/>
    <col min="10242" max="10260" width="4.5703125" style="288"/>
    <col min="10261" max="10261" width="7.5703125" style="288" customWidth="1"/>
    <col min="10262" max="10262" width="2.42578125" style="288" customWidth="1"/>
    <col min="10263" max="10281" width="4.5703125" style="288"/>
    <col min="10282" max="10282" width="10.5703125" style="288" customWidth="1"/>
    <col min="10283" max="10283" width="4.5703125" style="288"/>
    <col min="10284" max="10284" width="9.42578125" style="288" customWidth="1"/>
    <col min="10285" max="10285" width="11.42578125" style="288" customWidth="1"/>
    <col min="10286" max="10496" width="4.5703125" style="288"/>
    <col min="10497" max="10497" width="3.5703125" style="288" customWidth="1"/>
    <col min="10498" max="10516" width="4.5703125" style="288"/>
    <col min="10517" max="10517" width="7.5703125" style="288" customWidth="1"/>
    <col min="10518" max="10518" width="2.42578125" style="288" customWidth="1"/>
    <col min="10519" max="10537" width="4.5703125" style="288"/>
    <col min="10538" max="10538" width="10.5703125" style="288" customWidth="1"/>
    <col min="10539" max="10539" width="4.5703125" style="288"/>
    <col min="10540" max="10540" width="9.42578125" style="288" customWidth="1"/>
    <col min="10541" max="10541" width="11.42578125" style="288" customWidth="1"/>
    <col min="10542" max="10752" width="4.5703125" style="288"/>
    <col min="10753" max="10753" width="3.5703125" style="288" customWidth="1"/>
    <col min="10754" max="10772" width="4.5703125" style="288"/>
    <col min="10773" max="10773" width="7.5703125" style="288" customWidth="1"/>
    <col min="10774" max="10774" width="2.42578125" style="288" customWidth="1"/>
    <col min="10775" max="10793" width="4.5703125" style="288"/>
    <col min="10794" max="10794" width="10.5703125" style="288" customWidth="1"/>
    <col min="10795" max="10795" width="4.5703125" style="288"/>
    <col min="10796" max="10796" width="9.42578125" style="288" customWidth="1"/>
    <col min="10797" max="10797" width="11.42578125" style="288" customWidth="1"/>
    <col min="10798" max="11008" width="4.5703125" style="288"/>
    <col min="11009" max="11009" width="3.5703125" style="288" customWidth="1"/>
    <col min="11010" max="11028" width="4.5703125" style="288"/>
    <col min="11029" max="11029" width="7.5703125" style="288" customWidth="1"/>
    <col min="11030" max="11030" width="2.42578125" style="288" customWidth="1"/>
    <col min="11031" max="11049" width="4.5703125" style="288"/>
    <col min="11050" max="11050" width="10.5703125" style="288" customWidth="1"/>
    <col min="11051" max="11051" width="4.5703125" style="288"/>
    <col min="11052" max="11052" width="9.42578125" style="288" customWidth="1"/>
    <col min="11053" max="11053" width="11.42578125" style="288" customWidth="1"/>
    <col min="11054" max="11264" width="4.5703125" style="288"/>
    <col min="11265" max="11265" width="3.5703125" style="288" customWidth="1"/>
    <col min="11266" max="11284" width="4.5703125" style="288"/>
    <col min="11285" max="11285" width="7.5703125" style="288" customWidth="1"/>
    <col min="11286" max="11286" width="2.42578125" style="288" customWidth="1"/>
    <col min="11287" max="11305" width="4.5703125" style="288"/>
    <col min="11306" max="11306" width="10.5703125" style="288" customWidth="1"/>
    <col min="11307" max="11307" width="4.5703125" style="288"/>
    <col min="11308" max="11308" width="9.42578125" style="288" customWidth="1"/>
    <col min="11309" max="11309" width="11.42578125" style="288" customWidth="1"/>
    <col min="11310" max="11520" width="4.5703125" style="288"/>
    <col min="11521" max="11521" width="3.5703125" style="288" customWidth="1"/>
    <col min="11522" max="11540" width="4.5703125" style="288"/>
    <col min="11541" max="11541" width="7.5703125" style="288" customWidth="1"/>
    <col min="11542" max="11542" width="2.42578125" style="288" customWidth="1"/>
    <col min="11543" max="11561" width="4.5703125" style="288"/>
    <col min="11562" max="11562" width="10.5703125" style="288" customWidth="1"/>
    <col min="11563" max="11563" width="4.5703125" style="288"/>
    <col min="11564" max="11564" width="9.42578125" style="288" customWidth="1"/>
    <col min="11565" max="11565" width="11.42578125" style="288" customWidth="1"/>
    <col min="11566" max="11776" width="4.5703125" style="288"/>
    <col min="11777" max="11777" width="3.5703125" style="288" customWidth="1"/>
    <col min="11778" max="11796" width="4.5703125" style="288"/>
    <col min="11797" max="11797" width="7.5703125" style="288" customWidth="1"/>
    <col min="11798" max="11798" width="2.42578125" style="288" customWidth="1"/>
    <col min="11799" max="11817" width="4.5703125" style="288"/>
    <col min="11818" max="11818" width="10.5703125" style="288" customWidth="1"/>
    <col min="11819" max="11819" width="4.5703125" style="288"/>
    <col min="11820" max="11820" width="9.42578125" style="288" customWidth="1"/>
    <col min="11821" max="11821" width="11.42578125" style="288" customWidth="1"/>
    <col min="11822" max="12032" width="4.5703125" style="288"/>
    <col min="12033" max="12033" width="3.5703125" style="288" customWidth="1"/>
    <col min="12034" max="12052" width="4.5703125" style="288"/>
    <col min="12053" max="12053" width="7.5703125" style="288" customWidth="1"/>
    <col min="12054" max="12054" width="2.42578125" style="288" customWidth="1"/>
    <col min="12055" max="12073" width="4.5703125" style="288"/>
    <col min="12074" max="12074" width="10.5703125" style="288" customWidth="1"/>
    <col min="12075" max="12075" width="4.5703125" style="288"/>
    <col min="12076" max="12076" width="9.42578125" style="288" customWidth="1"/>
    <col min="12077" max="12077" width="11.42578125" style="288" customWidth="1"/>
    <col min="12078" max="12288" width="4.5703125" style="288"/>
    <col min="12289" max="12289" width="3.5703125" style="288" customWidth="1"/>
    <col min="12290" max="12308" width="4.5703125" style="288"/>
    <col min="12309" max="12309" width="7.5703125" style="288" customWidth="1"/>
    <col min="12310" max="12310" width="2.42578125" style="288" customWidth="1"/>
    <col min="12311" max="12329" width="4.5703125" style="288"/>
    <col min="12330" max="12330" width="10.5703125" style="288" customWidth="1"/>
    <col min="12331" max="12331" width="4.5703125" style="288"/>
    <col min="12332" max="12332" width="9.42578125" style="288" customWidth="1"/>
    <col min="12333" max="12333" width="11.42578125" style="288" customWidth="1"/>
    <col min="12334" max="12544" width="4.5703125" style="288"/>
    <col min="12545" max="12545" width="3.5703125" style="288" customWidth="1"/>
    <col min="12546" max="12564" width="4.5703125" style="288"/>
    <col min="12565" max="12565" width="7.5703125" style="288" customWidth="1"/>
    <col min="12566" max="12566" width="2.42578125" style="288" customWidth="1"/>
    <col min="12567" max="12585" width="4.5703125" style="288"/>
    <col min="12586" max="12586" width="10.5703125" style="288" customWidth="1"/>
    <col min="12587" max="12587" width="4.5703125" style="288"/>
    <col min="12588" max="12588" width="9.42578125" style="288" customWidth="1"/>
    <col min="12589" max="12589" width="11.42578125" style="288" customWidth="1"/>
    <col min="12590" max="12800" width="4.5703125" style="288"/>
    <col min="12801" max="12801" width="3.5703125" style="288" customWidth="1"/>
    <col min="12802" max="12820" width="4.5703125" style="288"/>
    <col min="12821" max="12821" width="7.5703125" style="288" customWidth="1"/>
    <col min="12822" max="12822" width="2.42578125" style="288" customWidth="1"/>
    <col min="12823" max="12841" width="4.5703125" style="288"/>
    <col min="12842" max="12842" width="10.5703125" style="288" customWidth="1"/>
    <col min="12843" max="12843" width="4.5703125" style="288"/>
    <col min="12844" max="12844" width="9.42578125" style="288" customWidth="1"/>
    <col min="12845" max="12845" width="11.42578125" style="288" customWidth="1"/>
    <col min="12846" max="13056" width="4.5703125" style="288"/>
    <col min="13057" max="13057" width="3.5703125" style="288" customWidth="1"/>
    <col min="13058" max="13076" width="4.5703125" style="288"/>
    <col min="13077" max="13077" width="7.5703125" style="288" customWidth="1"/>
    <col min="13078" max="13078" width="2.42578125" style="288" customWidth="1"/>
    <col min="13079" max="13097" width="4.5703125" style="288"/>
    <col min="13098" max="13098" width="10.5703125" style="288" customWidth="1"/>
    <col min="13099" max="13099" width="4.5703125" style="288"/>
    <col min="13100" max="13100" width="9.42578125" style="288" customWidth="1"/>
    <col min="13101" max="13101" width="11.42578125" style="288" customWidth="1"/>
    <col min="13102" max="13312" width="4.5703125" style="288"/>
    <col min="13313" max="13313" width="3.5703125" style="288" customWidth="1"/>
    <col min="13314" max="13332" width="4.5703125" style="288"/>
    <col min="13333" max="13333" width="7.5703125" style="288" customWidth="1"/>
    <col min="13334" max="13334" width="2.42578125" style="288" customWidth="1"/>
    <col min="13335" max="13353" width="4.5703125" style="288"/>
    <col min="13354" max="13354" width="10.5703125" style="288" customWidth="1"/>
    <col min="13355" max="13355" width="4.5703125" style="288"/>
    <col min="13356" max="13356" width="9.42578125" style="288" customWidth="1"/>
    <col min="13357" max="13357" width="11.42578125" style="288" customWidth="1"/>
    <col min="13358" max="13568" width="4.5703125" style="288"/>
    <col min="13569" max="13569" width="3.5703125" style="288" customWidth="1"/>
    <col min="13570" max="13588" width="4.5703125" style="288"/>
    <col min="13589" max="13589" width="7.5703125" style="288" customWidth="1"/>
    <col min="13590" max="13590" width="2.42578125" style="288" customWidth="1"/>
    <col min="13591" max="13609" width="4.5703125" style="288"/>
    <col min="13610" max="13610" width="10.5703125" style="288" customWidth="1"/>
    <col min="13611" max="13611" width="4.5703125" style="288"/>
    <col min="13612" max="13612" width="9.42578125" style="288" customWidth="1"/>
    <col min="13613" max="13613" width="11.42578125" style="288" customWidth="1"/>
    <col min="13614" max="13824" width="4.5703125" style="288"/>
    <col min="13825" max="13825" width="3.5703125" style="288" customWidth="1"/>
    <col min="13826" max="13844" width="4.5703125" style="288"/>
    <col min="13845" max="13845" width="7.5703125" style="288" customWidth="1"/>
    <col min="13846" max="13846" width="2.42578125" style="288" customWidth="1"/>
    <col min="13847" max="13865" width="4.5703125" style="288"/>
    <col min="13866" max="13866" width="10.5703125" style="288" customWidth="1"/>
    <col min="13867" max="13867" width="4.5703125" style="288"/>
    <col min="13868" max="13868" width="9.42578125" style="288" customWidth="1"/>
    <col min="13869" max="13869" width="11.42578125" style="288" customWidth="1"/>
    <col min="13870" max="14080" width="4.5703125" style="288"/>
    <col min="14081" max="14081" width="3.5703125" style="288" customWidth="1"/>
    <col min="14082" max="14100" width="4.5703125" style="288"/>
    <col min="14101" max="14101" width="7.5703125" style="288" customWidth="1"/>
    <col min="14102" max="14102" width="2.42578125" style="288" customWidth="1"/>
    <col min="14103" max="14121" width="4.5703125" style="288"/>
    <col min="14122" max="14122" width="10.5703125" style="288" customWidth="1"/>
    <col min="14123" max="14123" width="4.5703125" style="288"/>
    <col min="14124" max="14124" width="9.42578125" style="288" customWidth="1"/>
    <col min="14125" max="14125" width="11.42578125" style="288" customWidth="1"/>
    <col min="14126" max="14336" width="4.5703125" style="288"/>
    <col min="14337" max="14337" width="3.5703125" style="288" customWidth="1"/>
    <col min="14338" max="14356" width="4.5703125" style="288"/>
    <col min="14357" max="14357" width="7.5703125" style="288" customWidth="1"/>
    <col min="14358" max="14358" width="2.42578125" style="288" customWidth="1"/>
    <col min="14359" max="14377" width="4.5703125" style="288"/>
    <col min="14378" max="14378" width="10.5703125" style="288" customWidth="1"/>
    <col min="14379" max="14379" width="4.5703125" style="288"/>
    <col min="14380" max="14380" width="9.42578125" style="288" customWidth="1"/>
    <col min="14381" max="14381" width="11.42578125" style="288" customWidth="1"/>
    <col min="14382" max="14592" width="4.5703125" style="288"/>
    <col min="14593" max="14593" width="3.5703125" style="288" customWidth="1"/>
    <col min="14594" max="14612" width="4.5703125" style="288"/>
    <col min="14613" max="14613" width="7.5703125" style="288" customWidth="1"/>
    <col min="14614" max="14614" width="2.42578125" style="288" customWidth="1"/>
    <col min="14615" max="14633" width="4.5703125" style="288"/>
    <col min="14634" max="14634" width="10.5703125" style="288" customWidth="1"/>
    <col min="14635" max="14635" width="4.5703125" style="288"/>
    <col min="14636" max="14636" width="9.42578125" style="288" customWidth="1"/>
    <col min="14637" max="14637" width="11.42578125" style="288" customWidth="1"/>
    <col min="14638" max="14848" width="4.5703125" style="288"/>
    <col min="14849" max="14849" width="3.5703125" style="288" customWidth="1"/>
    <col min="14850" max="14868" width="4.5703125" style="288"/>
    <col min="14869" max="14869" width="7.5703125" style="288" customWidth="1"/>
    <col min="14870" max="14870" width="2.42578125" style="288" customWidth="1"/>
    <col min="14871" max="14889" width="4.5703125" style="288"/>
    <col min="14890" max="14890" width="10.5703125" style="288" customWidth="1"/>
    <col min="14891" max="14891" width="4.5703125" style="288"/>
    <col min="14892" max="14892" width="9.42578125" style="288" customWidth="1"/>
    <col min="14893" max="14893" width="11.42578125" style="288" customWidth="1"/>
    <col min="14894" max="15104" width="4.5703125" style="288"/>
    <col min="15105" max="15105" width="3.5703125" style="288" customWidth="1"/>
    <col min="15106" max="15124" width="4.5703125" style="288"/>
    <col min="15125" max="15125" width="7.5703125" style="288" customWidth="1"/>
    <col min="15126" max="15126" width="2.42578125" style="288" customWidth="1"/>
    <col min="15127" max="15145" width="4.5703125" style="288"/>
    <col min="15146" max="15146" width="10.5703125" style="288" customWidth="1"/>
    <col min="15147" max="15147" width="4.5703125" style="288"/>
    <col min="15148" max="15148" width="9.42578125" style="288" customWidth="1"/>
    <col min="15149" max="15149" width="11.42578125" style="288" customWidth="1"/>
    <col min="15150" max="15360" width="4.5703125" style="288"/>
    <col min="15361" max="15361" width="3.5703125" style="288" customWidth="1"/>
    <col min="15362" max="15380" width="4.5703125" style="288"/>
    <col min="15381" max="15381" width="7.5703125" style="288" customWidth="1"/>
    <col min="15382" max="15382" width="2.42578125" style="288" customWidth="1"/>
    <col min="15383" max="15401" width="4.5703125" style="288"/>
    <col min="15402" max="15402" width="10.5703125" style="288" customWidth="1"/>
    <col min="15403" max="15403" width="4.5703125" style="288"/>
    <col min="15404" max="15404" width="9.42578125" style="288" customWidth="1"/>
    <col min="15405" max="15405" width="11.42578125" style="288" customWidth="1"/>
    <col min="15406" max="15616" width="4.5703125" style="288"/>
    <col min="15617" max="15617" width="3.5703125" style="288" customWidth="1"/>
    <col min="15618" max="15636" width="4.5703125" style="288"/>
    <col min="15637" max="15637" width="7.5703125" style="288" customWidth="1"/>
    <col min="15638" max="15638" width="2.42578125" style="288" customWidth="1"/>
    <col min="15639" max="15657" width="4.5703125" style="288"/>
    <col min="15658" max="15658" width="10.5703125" style="288" customWidth="1"/>
    <col min="15659" max="15659" width="4.5703125" style="288"/>
    <col min="15660" max="15660" width="9.42578125" style="288" customWidth="1"/>
    <col min="15661" max="15661" width="11.42578125" style="288" customWidth="1"/>
    <col min="15662" max="15872" width="4.5703125" style="288"/>
    <col min="15873" max="15873" width="3.5703125" style="288" customWidth="1"/>
    <col min="15874" max="15892" width="4.5703125" style="288"/>
    <col min="15893" max="15893" width="7.5703125" style="288" customWidth="1"/>
    <col min="15894" max="15894" width="2.42578125" style="288" customWidth="1"/>
    <col min="15895" max="15913" width="4.5703125" style="288"/>
    <col min="15914" max="15914" width="10.5703125" style="288" customWidth="1"/>
    <col min="15915" max="15915" width="4.5703125" style="288"/>
    <col min="15916" max="15916" width="9.42578125" style="288" customWidth="1"/>
    <col min="15917" max="15917" width="11.42578125" style="288" customWidth="1"/>
    <col min="15918" max="16128" width="4.5703125" style="288"/>
    <col min="16129" max="16129" width="3.5703125" style="288" customWidth="1"/>
    <col min="16130" max="16148" width="4.5703125" style="288"/>
    <col min="16149" max="16149" width="7.5703125" style="288" customWidth="1"/>
    <col min="16150" max="16150" width="2.42578125" style="288" customWidth="1"/>
    <col min="16151" max="16169" width="4.5703125" style="288"/>
    <col min="16170" max="16170" width="10.5703125" style="288" customWidth="1"/>
    <col min="16171" max="16171" width="4.5703125" style="288"/>
    <col min="16172" max="16172" width="9.42578125" style="288" customWidth="1"/>
    <col min="16173" max="16173" width="11.42578125" style="288" customWidth="1"/>
    <col min="16174" max="16384" width="4.5703125" style="288"/>
  </cols>
  <sheetData>
    <row r="1" spans="1:48" ht="14.1" customHeight="1" x14ac:dyDescent="0.25">
      <c r="A1" s="511"/>
      <c r="B1" s="511"/>
      <c r="C1" s="511"/>
      <c r="D1" s="511"/>
      <c r="E1" s="511"/>
      <c r="F1" s="511"/>
      <c r="G1" s="511"/>
      <c r="H1" s="512"/>
      <c r="I1" s="513"/>
      <c r="J1" s="511"/>
      <c r="K1" s="514"/>
      <c r="L1" s="514"/>
      <c r="M1" s="514"/>
      <c r="N1" s="511"/>
      <c r="O1" s="511"/>
      <c r="P1" s="511"/>
      <c r="Q1" s="511"/>
      <c r="R1" s="511"/>
      <c r="S1" s="511"/>
    </row>
    <row r="2" spans="1:48" ht="45" customHeight="1" x14ac:dyDescent="0.2">
      <c r="A2" s="511"/>
      <c r="B2" s="1229" t="s">
        <v>1034</v>
      </c>
      <c r="C2" s="1229"/>
      <c r="D2" s="1229"/>
      <c r="E2" s="1229"/>
      <c r="F2" s="1229"/>
      <c r="G2" s="1229"/>
      <c r="H2" s="1229"/>
      <c r="I2" s="1229"/>
      <c r="J2" s="1229"/>
      <c r="K2" s="1229"/>
      <c r="L2" s="1229"/>
      <c r="M2" s="1229"/>
      <c r="N2" s="511"/>
      <c r="O2" s="511"/>
      <c r="P2" s="511"/>
      <c r="Q2" s="511"/>
      <c r="R2" s="511"/>
      <c r="S2" s="511"/>
    </row>
    <row r="3" spans="1:48" ht="5.0999999999999996" customHeight="1" x14ac:dyDescent="0.2">
      <c r="A3" s="511"/>
      <c r="B3" s="515"/>
      <c r="C3" s="516"/>
      <c r="D3" s="517"/>
      <c r="E3" s="518"/>
      <c r="F3" s="516"/>
      <c r="G3" s="516"/>
      <c r="H3" s="516"/>
      <c r="I3" s="516"/>
      <c r="J3" s="519"/>
      <c r="K3" s="519"/>
      <c r="L3" s="519"/>
      <c r="M3" s="519"/>
      <c r="N3" s="519"/>
      <c r="O3" s="519"/>
      <c r="P3" s="519"/>
      <c r="Q3" s="519"/>
      <c r="R3" s="519"/>
      <c r="S3" s="520"/>
      <c r="X3" s="334"/>
      <c r="AJ3" s="288"/>
    </row>
    <row r="4" spans="1:48" x14ac:dyDescent="0.2">
      <c r="A4" s="511"/>
      <c r="B4" s="521"/>
      <c r="C4" s="522" t="s">
        <v>771</v>
      </c>
      <c r="D4" s="523"/>
      <c r="E4" s="524"/>
      <c r="F4" s="523"/>
      <c r="G4" s="523"/>
      <c r="H4" s="523"/>
      <c r="I4" s="523"/>
      <c r="J4" s="511"/>
      <c r="K4" s="511"/>
      <c r="L4" s="511"/>
      <c r="M4" s="511"/>
      <c r="N4" s="511"/>
      <c r="O4" s="511"/>
      <c r="P4" s="511"/>
      <c r="Q4" s="511"/>
      <c r="R4" s="511"/>
      <c r="S4" s="525"/>
      <c r="T4" s="306"/>
    </row>
    <row r="5" spans="1:48" ht="13.35" customHeight="1" x14ac:dyDescent="0.2">
      <c r="A5" s="511"/>
      <c r="B5" s="521"/>
      <c r="C5" s="526"/>
      <c r="D5" s="526"/>
      <c r="E5" s="527"/>
      <c r="F5" s="526"/>
      <c r="G5" s="526"/>
      <c r="H5" s="526"/>
      <c r="I5" s="526"/>
      <c r="J5" s="511"/>
      <c r="K5" s="511"/>
      <c r="L5" s="511"/>
      <c r="M5" s="511"/>
      <c r="N5" s="511"/>
      <c r="O5" s="511"/>
      <c r="P5" s="511"/>
      <c r="Q5" s="511"/>
      <c r="R5" s="511"/>
      <c r="S5" s="525"/>
      <c r="T5" s="317"/>
    </row>
    <row r="6" spans="1:48" x14ac:dyDescent="0.2">
      <c r="A6" s="511"/>
      <c r="B6" s="755" t="s">
        <v>974</v>
      </c>
      <c r="D6" s="526"/>
      <c r="E6" s="1230" t="str">
        <f>IF(MAAnrede&lt;&gt;"",MAAnrede,"")</f>
        <v/>
      </c>
      <c r="F6" s="1230"/>
      <c r="G6" s="526"/>
      <c r="H6" s="526"/>
      <c r="I6" s="526"/>
      <c r="J6" s="511"/>
      <c r="K6" s="511"/>
      <c r="L6" s="511"/>
      <c r="M6" s="511"/>
      <c r="N6" s="511"/>
      <c r="O6" s="511"/>
      <c r="P6" s="511"/>
      <c r="Q6" s="511"/>
      <c r="R6" s="511"/>
      <c r="S6" s="525"/>
      <c r="W6" s="334"/>
      <c r="X6" s="334"/>
      <c r="AI6" s="288"/>
      <c r="AJ6" s="288"/>
      <c r="AM6" s="290"/>
      <c r="AN6" s="290"/>
    </row>
    <row r="7" spans="1:48" x14ac:dyDescent="0.2">
      <c r="A7" s="511"/>
      <c r="B7" s="755"/>
      <c r="D7" s="526"/>
      <c r="E7" s="527"/>
      <c r="F7" s="526"/>
      <c r="G7" s="526"/>
      <c r="H7" s="526"/>
      <c r="I7" s="526"/>
      <c r="J7" s="511"/>
      <c r="K7" s="511"/>
      <c r="L7" s="511"/>
      <c r="M7" s="511"/>
      <c r="N7" s="511"/>
      <c r="O7" s="511"/>
      <c r="P7" s="511"/>
      <c r="Q7" s="511"/>
      <c r="R7" s="511"/>
      <c r="S7" s="525"/>
      <c r="Y7" s="288"/>
      <c r="Z7" s="288"/>
      <c r="AI7" s="288"/>
      <c r="AJ7" s="288"/>
      <c r="AM7" s="290"/>
      <c r="AN7" s="290"/>
    </row>
    <row r="8" spans="1:48" x14ac:dyDescent="0.2">
      <c r="A8" s="511"/>
      <c r="B8" s="755" t="s">
        <v>757</v>
      </c>
      <c r="D8" s="526"/>
      <c r="E8" s="1230" t="str">
        <f>IF(MAName&lt;&gt;"",MAName,"")</f>
        <v/>
      </c>
      <c r="F8" s="1230"/>
      <c r="G8" s="1230"/>
      <c r="H8" s="1230"/>
      <c r="I8" s="1230"/>
      <c r="J8" s="1230"/>
      <c r="K8" s="511"/>
      <c r="L8" s="1247" t="s">
        <v>758</v>
      </c>
      <c r="M8" s="1247"/>
      <c r="N8" s="1247"/>
      <c r="O8" s="1230" t="str">
        <f>IF(MAVorname&lt;&gt;"",MAVorname,"")</f>
        <v/>
      </c>
      <c r="P8" s="1230"/>
      <c r="Q8" s="1230"/>
      <c r="R8" s="1230"/>
      <c r="S8" s="525"/>
      <c r="T8" s="311"/>
      <c r="Y8" s="288"/>
      <c r="Z8" s="288"/>
    </row>
    <row r="9" spans="1:48" ht="13.5" thickBot="1" x14ac:dyDescent="0.25">
      <c r="A9" s="511"/>
      <c r="B9" s="755"/>
      <c r="D9" s="526"/>
      <c r="E9" s="527"/>
      <c r="F9" s="526"/>
      <c r="G9" s="526"/>
      <c r="H9" s="526"/>
      <c r="I9" s="526"/>
      <c r="J9" s="511"/>
      <c r="K9" s="511"/>
      <c r="L9" s="511"/>
      <c r="M9" s="511"/>
      <c r="N9" s="511"/>
      <c r="O9" s="511"/>
      <c r="P9" s="511"/>
      <c r="Q9" s="511"/>
      <c r="R9" s="511"/>
      <c r="S9" s="525"/>
      <c r="T9" s="317"/>
      <c r="Y9" s="288"/>
      <c r="Z9" s="288"/>
    </row>
    <row r="10" spans="1:48" x14ac:dyDescent="0.2">
      <c r="A10" s="511"/>
      <c r="B10" s="755" t="s">
        <v>971</v>
      </c>
      <c r="D10" s="511"/>
      <c r="E10" s="1230" t="str">
        <f>IF(MAPersID&lt;&gt;"",MAPersID,"")</f>
        <v/>
      </c>
      <c r="F10" s="1230"/>
      <c r="G10" s="1230"/>
      <c r="H10" s="1230"/>
      <c r="I10" s="1230"/>
      <c r="J10" s="1230"/>
      <c r="K10" s="511"/>
      <c r="L10" s="526" t="s">
        <v>764</v>
      </c>
      <c r="M10" s="511"/>
      <c r="N10" s="511"/>
      <c r="O10" s="1230" t="str">
        <f>IF(MAVertragsNr&lt;&gt;"",MAVertragsNr,"")</f>
        <v/>
      </c>
      <c r="P10" s="1230"/>
      <c r="Q10" s="1230"/>
      <c r="R10" s="1230"/>
      <c r="S10" s="525"/>
      <c r="U10" s="1155" t="s">
        <v>1040</v>
      </c>
      <c r="V10" s="1163"/>
      <c r="W10" s="1163"/>
      <c r="X10" s="1163"/>
      <c r="Y10" s="1163"/>
      <c r="Z10" s="1156"/>
      <c r="AA10" s="288"/>
      <c r="AB10" s="288"/>
      <c r="AC10" s="288"/>
      <c r="AD10" s="288"/>
      <c r="AE10" s="288"/>
      <c r="AF10" s="288"/>
      <c r="AG10" s="288"/>
      <c r="AH10" s="288"/>
      <c r="AI10" s="288"/>
      <c r="AJ10" s="288"/>
      <c r="AP10" s="925"/>
      <c r="AQ10" s="926" t="s">
        <v>1976</v>
      </c>
      <c r="AR10" s="927"/>
      <c r="AS10" s="928" t="s">
        <v>73</v>
      </c>
      <c r="AT10" s="928" t="s">
        <v>10</v>
      </c>
      <c r="AU10" s="927"/>
      <c r="AV10" s="929"/>
    </row>
    <row r="11" spans="1:48" x14ac:dyDescent="0.2">
      <c r="A11" s="511"/>
      <c r="B11" s="755"/>
      <c r="D11" s="526"/>
      <c r="E11" s="511"/>
      <c r="F11" s="526"/>
      <c r="G11" s="526"/>
      <c r="H11" s="526"/>
      <c r="I11" s="511"/>
      <c r="J11" s="511"/>
      <c r="K11" s="511"/>
      <c r="L11" s="526"/>
      <c r="M11" s="511"/>
      <c r="N11" s="511"/>
      <c r="O11" s="526"/>
      <c r="P11" s="526"/>
      <c r="Q11" s="526"/>
      <c r="R11" s="526"/>
      <c r="S11" s="525"/>
      <c r="U11" s="1157"/>
      <c r="V11" s="1164"/>
      <c r="W11" s="1164"/>
      <c r="X11" s="1164"/>
      <c r="Y11" s="1164"/>
      <c r="Z11" s="1158"/>
      <c r="AA11" s="288"/>
      <c r="AB11" s="288"/>
      <c r="AC11" s="288"/>
      <c r="AD11" s="288"/>
      <c r="AE11" s="288"/>
      <c r="AF11" s="288"/>
      <c r="AG11" s="288"/>
      <c r="AH11" s="288"/>
      <c r="AI11" s="288"/>
      <c r="AJ11" s="288"/>
      <c r="AP11" s="930"/>
      <c r="AQ11" s="931"/>
      <c r="AR11" s="932"/>
      <c r="AS11" s="932"/>
      <c r="AT11" s="932"/>
      <c r="AU11" s="932"/>
      <c r="AV11" s="933"/>
    </row>
    <row r="12" spans="1:48" x14ac:dyDescent="0.2">
      <c r="A12" s="511"/>
      <c r="B12" s="755" t="s">
        <v>761</v>
      </c>
      <c r="D12" s="526"/>
      <c r="E12" s="511"/>
      <c r="F12" s="1237">
        <f>MAGeburtsdatum</f>
        <v>0</v>
      </c>
      <c r="G12" s="1237"/>
      <c r="H12" s="1237"/>
      <c r="I12" s="511"/>
      <c r="J12" s="511"/>
      <c r="K12" s="511"/>
      <c r="L12" s="526" t="s">
        <v>1011</v>
      </c>
      <c r="M12" s="511"/>
      <c r="N12" s="511"/>
      <c r="O12" s="1238"/>
      <c r="P12" s="1238"/>
      <c r="Q12" s="1238"/>
      <c r="R12" s="1238"/>
      <c r="S12" s="525"/>
      <c r="Y12" s="288"/>
      <c r="Z12" s="288"/>
      <c r="AA12" s="288"/>
      <c r="AB12" s="288"/>
      <c r="AC12" s="288"/>
      <c r="AD12" s="288"/>
      <c r="AE12" s="288"/>
      <c r="AF12" s="288"/>
      <c r="AG12" s="288"/>
      <c r="AH12" s="288"/>
      <c r="AI12" s="288"/>
      <c r="AJ12" s="288"/>
      <c r="AP12" s="930" t="s">
        <v>1988</v>
      </c>
      <c r="AQ12" s="931" t="e">
        <f>VLOOKUP(K18,'MU-Daten'!B:L,11,0)</f>
        <v>#N/A</v>
      </c>
      <c r="AR12" s="932"/>
      <c r="AS12" s="932" t="e">
        <f>IF(AQ12="","",VLOOKUP(K18,'MU-Daten'!B:J,9,0))</f>
        <v>#N/A</v>
      </c>
      <c r="AT12" s="932" t="e">
        <f>IF(AQ12="","",VLOOKUP(K18,'MU-Daten'!B:K,10,0))</f>
        <v>#N/A</v>
      </c>
      <c r="AU12" s="932"/>
      <c r="AV12" s="933"/>
    </row>
    <row r="13" spans="1:48" s="247" customFormat="1" x14ac:dyDescent="0.2">
      <c r="A13" s="46"/>
      <c r="B13" s="754"/>
      <c r="D13" s="97"/>
      <c r="E13" s="97"/>
      <c r="F13" s="46"/>
      <c r="G13" s="46"/>
      <c r="H13" s="46"/>
      <c r="I13" s="46"/>
      <c r="J13" s="46"/>
      <c r="K13" s="46"/>
      <c r="L13" s="46"/>
      <c r="M13" s="46"/>
      <c r="N13" s="46"/>
      <c r="O13" s="46"/>
      <c r="P13" s="46"/>
      <c r="Q13" s="46"/>
      <c r="R13" s="46"/>
      <c r="S13" s="52"/>
      <c r="AP13" s="930" t="s">
        <v>1977</v>
      </c>
      <c r="AQ13" s="931" t="e">
        <f>VLOOKUP(K18,'MU-Daten'!B:S,18,0)</f>
        <v>#N/A</v>
      </c>
      <c r="AR13" s="932"/>
      <c r="AS13" s="932" t="e">
        <f>IF(AQ13="","",VLOOKUP(K18,'MU-Daten'!B:N,13,0))</f>
        <v>#N/A</v>
      </c>
      <c r="AT13" s="932" t="e">
        <f>IF(AQ13="","",VLOOKUP(K18,'MU-Daten'!B:O,14,0))</f>
        <v>#N/A</v>
      </c>
      <c r="AU13" s="932"/>
      <c r="AV13" s="933"/>
    </row>
    <row r="14" spans="1:48" s="247" customFormat="1" x14ac:dyDescent="0.2">
      <c r="A14" s="46"/>
      <c r="B14" s="754" t="s">
        <v>1000</v>
      </c>
      <c r="D14" s="97"/>
      <c r="E14" s="46"/>
      <c r="F14" s="46"/>
      <c r="G14" s="1231"/>
      <c r="H14" s="1231"/>
      <c r="I14" s="1231"/>
      <c r="J14" s="1231"/>
      <c r="K14" s="1231"/>
      <c r="L14" s="1231"/>
      <c r="M14" s="1231"/>
      <c r="N14" s="1231"/>
      <c r="O14" s="1231"/>
      <c r="P14" s="1231"/>
      <c r="Q14" s="1231"/>
      <c r="R14" s="1231"/>
      <c r="S14" s="52"/>
      <c r="AP14" s="934" t="s">
        <v>1978</v>
      </c>
      <c r="AQ14" s="935" t="e">
        <f>VLOOKUP(K18,'MU-Daten'!B:T,19,0)</f>
        <v>#N/A</v>
      </c>
      <c r="AR14" s="932"/>
      <c r="AS14" s="932" t="e">
        <f>IF(AQ14="","",VLOOKUP(K18,'MU-Daten'!B:Q,16,0))</f>
        <v>#N/A</v>
      </c>
      <c r="AT14" s="932" t="e">
        <f>IF(AQ14="","",VLOOKUP(K18,'MU-Daten'!B:R,17,0))</f>
        <v>#N/A</v>
      </c>
      <c r="AU14" s="932"/>
      <c r="AV14" s="933"/>
    </row>
    <row r="15" spans="1:48" ht="8.1" customHeight="1" x14ac:dyDescent="0.2">
      <c r="A15" s="511"/>
      <c r="B15" s="528"/>
      <c r="C15" s="529"/>
      <c r="D15" s="529"/>
      <c r="E15" s="529"/>
      <c r="F15" s="529"/>
      <c r="G15" s="529"/>
      <c r="H15" s="529"/>
      <c r="I15" s="530"/>
      <c r="J15" s="531"/>
      <c r="K15" s="531"/>
      <c r="L15" s="531"/>
      <c r="M15" s="531"/>
      <c r="N15" s="531"/>
      <c r="O15" s="531"/>
      <c r="P15" s="531"/>
      <c r="Q15" s="531"/>
      <c r="R15" s="531"/>
      <c r="S15" s="532"/>
      <c r="AP15" s="936"/>
      <c r="AQ15" s="937"/>
      <c r="AR15" s="938"/>
      <c r="AS15" s="938"/>
      <c r="AT15" s="938"/>
      <c r="AU15" s="938"/>
      <c r="AV15" s="939"/>
    </row>
    <row r="16" spans="1:48" ht="6" customHeight="1" x14ac:dyDescent="0.25">
      <c r="A16" s="511"/>
      <c r="B16" s="553"/>
      <c r="C16" s="553"/>
      <c r="D16" s="511"/>
      <c r="E16" s="511"/>
      <c r="F16" s="511"/>
      <c r="G16" s="511"/>
      <c r="H16" s="554"/>
      <c r="I16" s="511"/>
      <c r="J16" s="511"/>
      <c r="K16" s="514"/>
      <c r="L16" s="514"/>
      <c r="M16" s="514"/>
      <c r="N16" s="511"/>
      <c r="O16" s="511"/>
      <c r="P16" s="511"/>
      <c r="Q16" s="511"/>
      <c r="R16" s="511"/>
      <c r="S16" s="511"/>
      <c r="T16" s="290"/>
      <c r="U16" s="290"/>
      <c r="W16" s="338"/>
      <c r="X16" s="334"/>
      <c r="AI16" s="288"/>
      <c r="AJ16" s="288"/>
      <c r="AP16" s="936"/>
      <c r="AQ16" s="937"/>
      <c r="AR16" s="938"/>
      <c r="AS16" s="938"/>
      <c r="AT16" s="938"/>
      <c r="AU16" s="938"/>
      <c r="AV16" s="939"/>
    </row>
    <row r="17" spans="1:48" ht="5.0999999999999996" customHeight="1" x14ac:dyDescent="0.2">
      <c r="A17" s="511"/>
      <c r="B17" s="533"/>
      <c r="C17" s="516"/>
      <c r="D17" s="516"/>
      <c r="E17" s="516"/>
      <c r="F17" s="516"/>
      <c r="G17" s="516"/>
      <c r="H17" s="516"/>
      <c r="I17" s="516"/>
      <c r="J17" s="516"/>
      <c r="K17" s="516"/>
      <c r="L17" s="516"/>
      <c r="M17" s="516"/>
      <c r="N17" s="516"/>
      <c r="O17" s="516"/>
      <c r="P17" s="516"/>
      <c r="Q17" s="516"/>
      <c r="R17" s="516"/>
      <c r="S17" s="534"/>
      <c r="T17" s="290"/>
      <c r="U17" s="290"/>
      <c r="V17" s="290"/>
      <c r="X17" s="334"/>
      <c r="AJ17" s="288"/>
      <c r="AP17" s="940"/>
      <c r="AQ17" s="941"/>
      <c r="AR17" s="942"/>
      <c r="AS17" s="942"/>
      <c r="AT17" s="942"/>
      <c r="AU17" s="942"/>
      <c r="AV17" s="943"/>
    </row>
    <row r="18" spans="1:48" ht="13.35" customHeight="1" x14ac:dyDescent="0.2">
      <c r="A18" s="511"/>
      <c r="B18" s="535"/>
      <c r="C18" s="1254" t="s">
        <v>1012</v>
      </c>
      <c r="D18" s="1254"/>
      <c r="E18" s="1254"/>
      <c r="F18" s="1254"/>
      <c r="G18" s="1254"/>
      <c r="H18" s="1226"/>
      <c r="I18" s="1226"/>
      <c r="J18" s="523" t="s">
        <v>1013</v>
      </c>
      <c r="K18" s="1246" t="str">
        <f>IFERROR(IF(H18="","",VLOOKUP("M"&amp;H18,'MU-Daten'!B:B,1,0)),"Keine gültige MU")</f>
        <v/>
      </c>
      <c r="L18" s="1246"/>
      <c r="M18" s="1246"/>
      <c r="N18" s="1246"/>
      <c r="O18" s="1246"/>
      <c r="P18" s="1246"/>
      <c r="Q18" s="1246"/>
      <c r="R18" s="1246"/>
      <c r="S18" s="536"/>
      <c r="T18" s="290"/>
      <c r="U18" s="311" t="s">
        <v>1028</v>
      </c>
      <c r="V18" s="306"/>
      <c r="X18" s="334"/>
      <c r="AJ18" s="288"/>
      <c r="AP18" s="940"/>
      <c r="AQ18" s="941" t="s">
        <v>1986</v>
      </c>
      <c r="AR18" s="942"/>
      <c r="AS18" s="942"/>
      <c r="AT18" s="942"/>
      <c r="AU18" s="942"/>
      <c r="AV18" s="943"/>
    </row>
    <row r="19" spans="1:48" ht="60" customHeight="1" x14ac:dyDescent="0.2">
      <c r="A19" s="511"/>
      <c r="B19" s="535"/>
      <c r="C19" s="1254"/>
      <c r="D19" s="1254"/>
      <c r="E19" s="1254"/>
      <c r="F19" s="1254"/>
      <c r="G19" s="1254"/>
      <c r="H19" s="511"/>
      <c r="I19" s="555"/>
      <c r="J19" s="555"/>
      <c r="K19" s="1255" t="str">
        <f>_xlfn.IFNA("(Ausbildungsanforderung: "&amp;VLOOKUP("M"&amp;H18,'MU-Daten'!B:S,11,0)&amp;IF(VLOOKUP("M"&amp;H18,'MU-Daten'!B:S,18,0)="",""," / "&amp;VLOOKUP("M"&amp;H18,'MU-Daten'!B:S,18,0))&amp;")","")</f>
        <v/>
      </c>
      <c r="L19" s="1255"/>
      <c r="M19" s="1255"/>
      <c r="N19" s="1255"/>
      <c r="O19" s="1255"/>
      <c r="P19" s="1255"/>
      <c r="Q19" s="1255"/>
      <c r="R19" s="1255"/>
      <c r="S19" s="536"/>
      <c r="T19" s="290"/>
      <c r="U19" s="1248" t="s">
        <v>1029</v>
      </c>
      <c r="V19" s="1248"/>
      <c r="W19" s="1248"/>
      <c r="X19" s="1248"/>
      <c r="Y19" s="1248"/>
      <c r="Z19" s="1248"/>
      <c r="AA19" s="1248"/>
      <c r="AB19" s="1248"/>
      <c r="AC19" s="1248"/>
      <c r="AD19" s="1248"/>
      <c r="AE19" s="1248"/>
      <c r="AF19" s="1248"/>
      <c r="AG19" s="1248"/>
      <c r="AH19" s="1248"/>
      <c r="AI19" s="1248"/>
      <c r="AJ19" s="1248"/>
      <c r="AK19" s="1248"/>
      <c r="AP19" s="944"/>
      <c r="AQ19" s="973" t="str">
        <f>K18</f>
        <v/>
      </c>
      <c r="AR19" s="946"/>
      <c r="AS19" s="947" t="e">
        <f>VLOOKUP(AQ19,'MU-Daten'!B:C,2,0)</f>
        <v>#N/A</v>
      </c>
      <c r="AT19" s="947" t="e">
        <f>VLOOKUP(AQ19,'MU-Daten'!B:H,7,0)</f>
        <v>#N/A</v>
      </c>
      <c r="AU19" s="947"/>
      <c r="AV19" s="948"/>
    </row>
    <row r="20" spans="1:48" ht="17.25" customHeight="1" x14ac:dyDescent="0.2">
      <c r="A20" s="511"/>
      <c r="B20" s="535"/>
      <c r="C20" s="523"/>
      <c r="D20" s="523"/>
      <c r="E20" s="523"/>
      <c r="F20" s="523"/>
      <c r="G20" s="523"/>
      <c r="H20" s="523"/>
      <c r="I20" s="523"/>
      <c r="J20" s="523"/>
      <c r="K20" s="523"/>
      <c r="L20" s="523"/>
      <c r="M20" s="523"/>
      <c r="N20" s="523"/>
      <c r="O20" s="523"/>
      <c r="P20" s="523"/>
      <c r="Q20" s="523"/>
      <c r="R20" s="523"/>
      <c r="S20" s="536"/>
      <c r="T20" s="290"/>
      <c r="U20" s="1248"/>
      <c r="V20" s="1248"/>
      <c r="W20" s="1248"/>
      <c r="X20" s="1248"/>
      <c r="Y20" s="1248"/>
      <c r="Z20" s="1248"/>
      <c r="AA20" s="1248"/>
      <c r="AB20" s="1248"/>
      <c r="AC20" s="1248"/>
      <c r="AD20" s="1248"/>
      <c r="AE20" s="1248"/>
      <c r="AF20" s="1248"/>
      <c r="AG20" s="1248"/>
      <c r="AH20" s="1248"/>
      <c r="AI20" s="1248"/>
      <c r="AJ20" s="1248"/>
      <c r="AK20" s="1248"/>
      <c r="AP20" s="944"/>
      <c r="AQ20" s="945"/>
      <c r="AR20" s="947"/>
      <c r="AS20" s="947"/>
      <c r="AT20" s="947"/>
      <c r="AU20" s="947"/>
      <c r="AV20" s="948"/>
    </row>
    <row r="21" spans="1:48" ht="12.6" customHeight="1" x14ac:dyDescent="0.2">
      <c r="A21" s="511"/>
      <c r="B21" s="535"/>
      <c r="C21" s="1254" t="s">
        <v>1035</v>
      </c>
      <c r="D21" s="1254"/>
      <c r="E21" s="1254"/>
      <c r="F21" s="1254"/>
      <c r="G21" s="1254"/>
      <c r="H21" s="1260"/>
      <c r="I21" s="1260"/>
      <c r="J21" s="523" t="s">
        <v>1013</v>
      </c>
      <c r="K21" s="1246" t="str">
        <f>IFERROR(IF(H21="","",VLOOKUP("M"&amp;H21,'MU-Daten'!B:B,1,0)),"Keine gültige MU")</f>
        <v/>
      </c>
      <c r="L21" s="1246"/>
      <c r="M21" s="1246"/>
      <c r="N21" s="1246"/>
      <c r="O21" s="1246"/>
      <c r="P21" s="1246"/>
      <c r="Q21" s="1246"/>
      <c r="R21" s="1246"/>
      <c r="S21" s="536"/>
      <c r="T21" s="290"/>
      <c r="U21" s="1248"/>
      <c r="V21" s="1248"/>
      <c r="W21" s="1248"/>
      <c r="X21" s="1248"/>
      <c r="Y21" s="1248"/>
      <c r="Z21" s="1248"/>
      <c r="AA21" s="1248"/>
      <c r="AB21" s="1248"/>
      <c r="AC21" s="1248"/>
      <c r="AD21" s="1248"/>
      <c r="AE21" s="1248"/>
      <c r="AF21" s="1248"/>
      <c r="AG21" s="1248"/>
      <c r="AH21" s="1248"/>
      <c r="AI21" s="1248"/>
      <c r="AJ21" s="1248"/>
      <c r="AK21" s="1248"/>
      <c r="AP21" s="944"/>
      <c r="AQ21" s="945" t="s">
        <v>1987</v>
      </c>
      <c r="AR21" s="947"/>
      <c r="AS21" s="946"/>
      <c r="AT21" s="947"/>
      <c r="AU21" s="947"/>
      <c r="AV21" s="948"/>
    </row>
    <row r="22" spans="1:48" ht="54.6" customHeight="1" x14ac:dyDescent="0.2">
      <c r="A22" s="511"/>
      <c r="B22" s="535"/>
      <c r="C22" s="1254"/>
      <c r="D22" s="1254"/>
      <c r="E22" s="1254"/>
      <c r="F22" s="1254"/>
      <c r="G22" s="1254"/>
      <c r="H22" s="511"/>
      <c r="I22" s="555"/>
      <c r="J22" s="555"/>
      <c r="K22" s="1256" t="str">
        <f>_xlfn.IFNA("(Ausbildungsanforderung: "&amp;VLOOKUP("M"&amp;H21,'MU-Daten'!B:S,11,0)&amp;IF(VLOOKUP("M"&amp;H21,'MU-Daten'!B:S,18,0)="",""," Alternativ: "&amp;VLOOKUP("M"&amp;H21,'MU-Daten'!B:S,18,0))&amp;")","")</f>
        <v/>
      </c>
      <c r="L22" s="1256"/>
      <c r="M22" s="1256"/>
      <c r="N22" s="1256"/>
      <c r="O22" s="1256"/>
      <c r="P22" s="1256"/>
      <c r="Q22" s="1256"/>
      <c r="R22" s="1256"/>
      <c r="S22" s="536"/>
      <c r="T22" s="290"/>
      <c r="U22" s="1248"/>
      <c r="V22" s="1248"/>
      <c r="W22" s="1248"/>
      <c r="X22" s="1248"/>
      <c r="Y22" s="1248"/>
      <c r="Z22" s="1248"/>
      <c r="AA22" s="1248"/>
      <c r="AB22" s="1248"/>
      <c r="AC22" s="1248"/>
      <c r="AD22" s="1248"/>
      <c r="AE22" s="1248"/>
      <c r="AF22" s="1248"/>
      <c r="AG22" s="1248"/>
      <c r="AH22" s="1248"/>
      <c r="AI22" s="1248"/>
      <c r="AJ22" s="1248"/>
      <c r="AK22" s="1248"/>
      <c r="AP22" s="944"/>
      <c r="AQ22" s="945" t="str">
        <f>K21</f>
        <v/>
      </c>
      <c r="AR22" s="946"/>
      <c r="AS22" s="947" t="e">
        <f>VLOOKUP(AQ22,'MU-Daten'!B:C,2,0)</f>
        <v>#N/A</v>
      </c>
      <c r="AT22" s="947" t="e">
        <f>VLOOKUP(AQ22,'MU-Daten'!B:H,7,0)</f>
        <v>#N/A</v>
      </c>
      <c r="AU22" s="947"/>
      <c r="AV22" s="948"/>
    </row>
    <row r="23" spans="1:48" ht="9" customHeight="1" x14ac:dyDescent="0.2">
      <c r="A23" s="511"/>
      <c r="B23" s="535"/>
      <c r="C23" s="523"/>
      <c r="D23" s="523"/>
      <c r="E23" s="523"/>
      <c r="F23" s="523"/>
      <c r="G23" s="523"/>
      <c r="H23" s="523"/>
      <c r="I23" s="523"/>
      <c r="J23" s="523"/>
      <c r="K23" s="523"/>
      <c r="L23" s="523"/>
      <c r="M23" s="523"/>
      <c r="N23" s="523"/>
      <c r="O23" s="523"/>
      <c r="P23" s="523"/>
      <c r="Q23" s="523"/>
      <c r="R23" s="523"/>
      <c r="S23" s="536"/>
      <c r="T23" s="290"/>
      <c r="U23" s="311" t="s">
        <v>1030</v>
      </c>
      <c r="W23" s="334"/>
      <c r="X23" s="334"/>
      <c r="AI23" s="288"/>
      <c r="AJ23" s="288"/>
      <c r="AP23" s="940"/>
      <c r="AQ23" s="941"/>
      <c r="AR23" s="942"/>
      <c r="AS23" s="942"/>
      <c r="AT23" s="942"/>
      <c r="AU23" s="942"/>
      <c r="AV23" s="943"/>
    </row>
    <row r="24" spans="1:48" ht="9" customHeight="1" x14ac:dyDescent="0.2">
      <c r="A24" s="511"/>
      <c r="B24" s="535"/>
      <c r="C24" s="537" t="s">
        <v>1015</v>
      </c>
      <c r="D24" s="523"/>
      <c r="E24" s="523"/>
      <c r="F24" s="523"/>
      <c r="G24" s="523"/>
      <c r="H24" s="523"/>
      <c r="I24" s="523"/>
      <c r="J24" s="523"/>
      <c r="K24" s="523"/>
      <c r="L24" s="523"/>
      <c r="M24" s="523"/>
      <c r="N24" s="523"/>
      <c r="O24" s="523"/>
      <c r="P24" s="523"/>
      <c r="Q24" s="523"/>
      <c r="R24" s="523"/>
      <c r="S24" s="536"/>
      <c r="T24" s="290"/>
      <c r="U24" s="1248" t="s">
        <v>1036</v>
      </c>
      <c r="V24" s="1248"/>
      <c r="W24" s="1248"/>
      <c r="X24" s="1248"/>
      <c r="Y24" s="1248"/>
      <c r="Z24" s="1248"/>
      <c r="AA24" s="1248"/>
      <c r="AB24" s="1248"/>
      <c r="AC24" s="1248"/>
      <c r="AD24" s="1248"/>
      <c r="AE24" s="1248"/>
      <c r="AF24" s="1248"/>
      <c r="AG24" s="1248"/>
      <c r="AH24" s="1248"/>
      <c r="AI24" s="1248"/>
      <c r="AJ24" s="1248"/>
      <c r="AK24" s="1248"/>
      <c r="AP24" s="944"/>
      <c r="AQ24" s="945"/>
      <c r="AR24" s="947"/>
      <c r="AS24" s="949"/>
      <c r="AT24" s="949"/>
      <c r="AU24" s="947"/>
      <c r="AV24" s="948"/>
    </row>
    <row r="25" spans="1:48" ht="17.25" customHeight="1" x14ac:dyDescent="0.2">
      <c r="A25" s="511"/>
      <c r="B25" s="535"/>
      <c r="C25" s="1246" t="str">
        <f>IF(OR(H18="",H21="")," ",IF(VLOOKUP("M"&amp;H21,'MU-Daten'!B:S,9,0)=VLOOKUP("M"&amp;H18,'MU-Daten'!B:S,9,0),"",IF(VLOOKUP("M"&amp;H21,'MU-Daten'!B:S,13,0)=VLOOKUP("M"&amp;H18,'MU-Daten'!B:S,9,0),"",IF(VLOOKUP("M"&amp;H21,'MU-Daten'!B:S,9,0)=VLOOKUP("M"&amp;H18,'MU-Daten'!B:S,13,0),"",IF(AND(VLOOKUP("M"&amp;H21,'MU-Daten'!B:S,13,0)="",VLOOKUP("M"&amp;H18,'MU-Daten'!B:S,13,0)=""),"Unterschiedliche Ausbildungsanforderung",IF(VLOOKUP("M"&amp;H21,'MU-Daten'!B:S,13,0)=VLOOKUP("M"&amp;H18,'MU-Daten'!B:S,13,0),"","Unterschiedliche Ausbildungsanforderung"))))))</f>
        <v xml:space="preserve"> </v>
      </c>
      <c r="D25" s="1246"/>
      <c r="E25" s="1246"/>
      <c r="F25" s="1246"/>
      <c r="G25" s="1246"/>
      <c r="H25" s="1246"/>
      <c r="I25" s="1246"/>
      <c r="J25" s="1246"/>
      <c r="K25" s="1246"/>
      <c r="L25" s="1246"/>
      <c r="M25" s="1246"/>
      <c r="N25" s="1246"/>
      <c r="O25" s="1246"/>
      <c r="P25" s="1246"/>
      <c r="Q25" s="1246"/>
      <c r="R25" s="1246"/>
      <c r="S25" s="536"/>
      <c r="T25" s="290"/>
      <c r="U25" s="1248"/>
      <c r="V25" s="1248"/>
      <c r="W25" s="1248"/>
      <c r="X25" s="1248"/>
      <c r="Y25" s="1248"/>
      <c r="Z25" s="1248"/>
      <c r="AA25" s="1248"/>
      <c r="AB25" s="1248"/>
      <c r="AC25" s="1248"/>
      <c r="AD25" s="1248"/>
      <c r="AE25" s="1248"/>
      <c r="AF25" s="1248"/>
      <c r="AG25" s="1248"/>
      <c r="AH25" s="1248"/>
      <c r="AI25" s="1248"/>
      <c r="AJ25" s="1248"/>
      <c r="AK25" s="1248"/>
      <c r="AP25" s="944"/>
      <c r="AQ25" s="945"/>
      <c r="AR25" s="947"/>
      <c r="AS25" s="949"/>
      <c r="AT25" s="949"/>
      <c r="AU25" s="947"/>
      <c r="AV25" s="948"/>
    </row>
    <row r="26" spans="1:48" ht="9" customHeight="1" x14ac:dyDescent="0.2">
      <c r="A26" s="511"/>
      <c r="B26" s="535"/>
      <c r="C26" s="523"/>
      <c r="D26" s="523"/>
      <c r="E26" s="523"/>
      <c r="F26" s="523"/>
      <c r="G26" s="523"/>
      <c r="H26" s="523"/>
      <c r="I26" s="523"/>
      <c r="J26" s="523"/>
      <c r="K26" s="523"/>
      <c r="L26" s="523"/>
      <c r="M26" s="523"/>
      <c r="N26" s="523"/>
      <c r="O26" s="523"/>
      <c r="P26" s="523"/>
      <c r="Q26" s="523"/>
      <c r="R26" s="523"/>
      <c r="S26" s="536"/>
      <c r="T26" s="290"/>
      <c r="U26" s="1248"/>
      <c r="V26" s="1248"/>
      <c r="W26" s="1248"/>
      <c r="X26" s="1248"/>
      <c r="Y26" s="1248"/>
      <c r="Z26" s="1248"/>
      <c r="AA26" s="1248"/>
      <c r="AB26" s="1248"/>
      <c r="AC26" s="1248"/>
      <c r="AD26" s="1248"/>
      <c r="AE26" s="1248"/>
      <c r="AF26" s="1248"/>
      <c r="AG26" s="1248"/>
      <c r="AH26" s="1248"/>
      <c r="AI26" s="1248"/>
      <c r="AJ26" s="1248"/>
      <c r="AK26" s="1248"/>
      <c r="AP26" s="944"/>
      <c r="AQ26" s="945"/>
      <c r="AR26" s="947"/>
      <c r="AS26" s="947"/>
      <c r="AT26" s="947"/>
      <c r="AU26" s="947"/>
      <c r="AV26" s="948"/>
    </row>
    <row r="27" spans="1:48" ht="12" customHeight="1" x14ac:dyDescent="0.2">
      <c r="A27" s="511"/>
      <c r="B27" s="535"/>
      <c r="C27" s="523" t="s">
        <v>1037</v>
      </c>
      <c r="D27" s="523"/>
      <c r="E27" s="523"/>
      <c r="F27" s="523"/>
      <c r="G27" s="523"/>
      <c r="H27" s="523"/>
      <c r="I27" s="523" t="s">
        <v>1017</v>
      </c>
      <c r="J27" s="1240"/>
      <c r="K27" s="1240"/>
      <c r="L27" s="523"/>
      <c r="M27" s="1250" t="str">
        <f>IF(J27="","",IF(J27&lt;VLOOKUP(VLOOKUP("M"&amp;H18,'MU-Daten'!B:K,7,0),LohntabelleM!$A$4:$B$31,2,FALSE),"Lohn unterhalb Minimum Lohnband",IF(J27&gt;VLOOKUP(VLOOKUP("M"&amp;H18,'MU-Daten'!B:K,7,0),LohntabelleM!$A$4:$AE$31,31,FALSE),"Lohn über Maximum Lohnband","Lohn innerhalb Lohnbandgrenzen")))</f>
        <v/>
      </c>
      <c r="N27" s="1250"/>
      <c r="O27" s="1250"/>
      <c r="P27" s="1250"/>
      <c r="Q27" s="1250"/>
      <c r="R27" s="1250"/>
      <c r="S27" s="1257"/>
      <c r="T27" s="290"/>
      <c r="U27" s="1248"/>
      <c r="V27" s="1248"/>
      <c r="W27" s="1248"/>
      <c r="X27" s="1248"/>
      <c r="Y27" s="1248"/>
      <c r="Z27" s="1248"/>
      <c r="AA27" s="1248"/>
      <c r="AB27" s="1248"/>
      <c r="AC27" s="1248"/>
      <c r="AD27" s="1248"/>
      <c r="AE27" s="1248"/>
      <c r="AF27" s="1248"/>
      <c r="AG27" s="1248"/>
      <c r="AH27" s="1248"/>
      <c r="AI27" s="1248"/>
      <c r="AJ27" s="1248"/>
      <c r="AK27" s="1248"/>
      <c r="AP27" s="950"/>
      <c r="AQ27" s="951" t="s">
        <v>1979</v>
      </c>
      <c r="AR27" s="952"/>
      <c r="AS27" s="953" t="s">
        <v>73</v>
      </c>
      <c r="AT27" s="953" t="s">
        <v>10</v>
      </c>
      <c r="AU27" s="954"/>
      <c r="AV27" s="955"/>
    </row>
    <row r="28" spans="1:48" x14ac:dyDescent="0.2">
      <c r="A28" s="511"/>
      <c r="B28" s="535"/>
      <c r="C28" s="523"/>
      <c r="D28" s="523"/>
      <c r="E28" s="523"/>
      <c r="F28" s="523"/>
      <c r="G28" s="523"/>
      <c r="H28" s="523"/>
      <c r="I28" s="523"/>
      <c r="J28" s="523"/>
      <c r="K28" s="523"/>
      <c r="L28" s="523"/>
      <c r="M28" s="523"/>
      <c r="N28" s="523"/>
      <c r="O28" s="523"/>
      <c r="P28" s="523"/>
      <c r="Q28" s="523"/>
      <c r="R28" s="523"/>
      <c r="S28" s="536"/>
      <c r="T28" s="290"/>
      <c r="U28" s="1248"/>
      <c r="V28" s="1248"/>
      <c r="W28" s="1248"/>
      <c r="X28" s="1248"/>
      <c r="Y28" s="1248"/>
      <c r="Z28" s="1248"/>
      <c r="AA28" s="1248"/>
      <c r="AB28" s="1248"/>
      <c r="AC28" s="1248"/>
      <c r="AD28" s="1248"/>
      <c r="AE28" s="1248"/>
      <c r="AF28" s="1248"/>
      <c r="AG28" s="1248"/>
      <c r="AH28" s="1248"/>
      <c r="AI28" s="1248"/>
      <c r="AJ28" s="1248"/>
      <c r="AK28" s="1248"/>
      <c r="AP28" s="950"/>
      <c r="AQ28" s="951"/>
      <c r="AR28" s="952"/>
      <c r="AS28" s="953"/>
      <c r="AT28" s="953"/>
      <c r="AU28" s="954"/>
      <c r="AV28" s="955"/>
    </row>
    <row r="29" spans="1:48" x14ac:dyDescent="0.2">
      <c r="A29" s="511"/>
      <c r="B29" s="535"/>
      <c r="C29" s="538" t="s">
        <v>1019</v>
      </c>
      <c r="D29" s="538"/>
      <c r="E29" s="538"/>
      <c r="F29" s="538"/>
      <c r="G29" s="538"/>
      <c r="H29" s="538"/>
      <c r="I29" s="538"/>
      <c r="J29" s="1242" t="str">
        <f ca="1">IF(H18="","",IF(J27&lt;VLOOKUP(VLOOKUP("M"&amp;H18,'MU-Daten'!B:K,7,0),LohntabelleM!$A$4:$B$31,2,FALSE),"C",INDEX(LohntabelleM!$B$3:$AE$3,MATCH(J27,OFFSET(LohntabelleM!$B$4:$AE$4,VLOOKUP("M"&amp;H18,'MU-Daten'!B:K,7,0)-1,0)))))</f>
        <v/>
      </c>
      <c r="K29" s="1242"/>
      <c r="L29" s="756" t="s">
        <v>1017</v>
      </c>
      <c r="N29" s="1243" t="str">
        <f ca="1">IF(J29="","",HLOOKUP(J29,LohntabelleM!$B$3:$AE$31,VLOOKUP("M"&amp;H18,'MU-Daten'!B:K,7,0)+1,FALSE))</f>
        <v/>
      </c>
      <c r="O29" s="1243"/>
      <c r="P29" s="523"/>
      <c r="Q29" s="523"/>
      <c r="R29" s="523"/>
      <c r="S29" s="536"/>
      <c r="T29" s="290"/>
      <c r="U29" s="1248"/>
      <c r="V29" s="1248"/>
      <c r="W29" s="1248"/>
      <c r="X29" s="1248"/>
      <c r="Y29" s="1248"/>
      <c r="Z29" s="1248"/>
      <c r="AA29" s="1248"/>
      <c r="AB29" s="1248"/>
      <c r="AC29" s="1248"/>
      <c r="AD29" s="1248"/>
      <c r="AE29" s="1248"/>
      <c r="AF29" s="1248"/>
      <c r="AG29" s="1248"/>
      <c r="AH29" s="1248"/>
      <c r="AI29" s="1248"/>
      <c r="AJ29" s="1248"/>
      <c r="AK29" s="1248"/>
      <c r="AP29" s="950" t="s">
        <v>1988</v>
      </c>
      <c r="AQ29" s="956" t="e">
        <f>VLOOKUP(K21,'MU-Daten'!B:L,11,0)</f>
        <v>#N/A</v>
      </c>
      <c r="AR29" s="956"/>
      <c r="AS29" s="954" t="e">
        <f>IF(AQ29="","",VLOOKUP(K21,'MU-Daten'!B:J,9,0))</f>
        <v>#N/A</v>
      </c>
      <c r="AT29" s="954" t="e">
        <f>IF(AQ29="","",VLOOKUP(K21,'MU-Daten'!B:K,10,0))</f>
        <v>#N/A</v>
      </c>
      <c r="AU29" s="951"/>
      <c r="AV29" s="955"/>
    </row>
    <row r="30" spans="1:48" x14ac:dyDescent="0.2">
      <c r="A30" s="511"/>
      <c r="B30" s="535"/>
      <c r="C30" s="523" t="s">
        <v>1020</v>
      </c>
      <c r="D30" s="523"/>
      <c r="E30" s="523"/>
      <c r="F30" s="523"/>
      <c r="G30" s="523"/>
      <c r="H30" s="523"/>
      <c r="I30" s="523"/>
      <c r="J30" s="1235" t="str">
        <f ca="1">IF(H18="","",IF(N29=J27,J29,IF(J27&lt;VLOOKUP(VLOOKUP("M"&amp;H18,'MU-Daten'!B:K,7,0),LohntabelleM!$A$4:$B$31,2,FALSE),"C",INDEX(LohntabelleM!$B$3:$AE$3,MATCH(J27,OFFSET(LohntabelleM!$B$4:$AE$4,VLOOKUP("M"&amp;H18,'MU-Daten'!B:K,7,0)-1,-1))))))</f>
        <v/>
      </c>
      <c r="K30" s="1235"/>
      <c r="L30" s="757" t="s">
        <v>1017</v>
      </c>
      <c r="N30" s="1258" t="str">
        <f ca="1">IF(J30="","",HLOOKUP(J30,LohntabelleM!$B$3:$AE$31,VLOOKUP("M"&amp;H18,'MU-Daten'!B:K,7,0)+1,FALSE))</f>
        <v/>
      </c>
      <c r="O30" s="1258"/>
      <c r="P30" s="523"/>
      <c r="Q30" s="523"/>
      <c r="R30" s="523"/>
      <c r="S30" s="536"/>
      <c r="T30" s="290"/>
      <c r="U30" s="1248"/>
      <c r="V30" s="1248"/>
      <c r="W30" s="1248"/>
      <c r="X30" s="1248"/>
      <c r="Y30" s="1248"/>
      <c r="Z30" s="1248"/>
      <c r="AA30" s="1248"/>
      <c r="AB30" s="1248"/>
      <c r="AC30" s="1248"/>
      <c r="AD30" s="1248"/>
      <c r="AE30" s="1248"/>
      <c r="AF30" s="1248"/>
      <c r="AG30" s="1248"/>
      <c r="AH30" s="1248"/>
      <c r="AI30" s="1248"/>
      <c r="AJ30" s="1248"/>
      <c r="AK30" s="1248"/>
      <c r="AP30" s="950" t="s">
        <v>1977</v>
      </c>
      <c r="AQ30" s="956" t="e">
        <f>VLOOKUP(K21,'MU-Daten'!B:S,18,0)</f>
        <v>#N/A</v>
      </c>
      <c r="AR30" s="956"/>
      <c r="AS30" s="954" t="e">
        <f>IF(AQ30="","",VLOOKUP(K21,'MU-Daten'!B:N,13,0))</f>
        <v>#N/A</v>
      </c>
      <c r="AT30" s="954" t="e">
        <f>IF(AQ30="","",VLOOKUP(K21,'MU-Daten'!B:O,14,0))</f>
        <v>#N/A</v>
      </c>
      <c r="AU30" s="951"/>
      <c r="AV30" s="955"/>
    </row>
    <row r="31" spans="1:48" x14ac:dyDescent="0.2">
      <c r="A31" s="511"/>
      <c r="B31" s="535"/>
      <c r="C31" s="523"/>
      <c r="D31" s="523"/>
      <c r="E31" s="523"/>
      <c r="F31" s="523"/>
      <c r="G31" s="523"/>
      <c r="H31" s="523"/>
      <c r="I31" s="523"/>
      <c r="J31" s="523"/>
      <c r="K31" s="523"/>
      <c r="L31" s="523"/>
      <c r="M31" s="523"/>
      <c r="N31" s="523"/>
      <c r="O31" s="523"/>
      <c r="P31" s="523"/>
      <c r="Q31" s="523"/>
      <c r="R31" s="523"/>
      <c r="S31" s="536"/>
      <c r="T31" s="290"/>
      <c r="AP31" s="957" t="s">
        <v>1978</v>
      </c>
      <c r="AQ31" s="956" t="e">
        <f>VLOOKUP(K21,'MU-Daten'!B:T,19,0)</f>
        <v>#N/A</v>
      </c>
      <c r="AR31" s="956"/>
      <c r="AS31" s="954" t="e">
        <f>IF(AQ31="","",VLOOKUP(K21,'MU-Daten'!B:Q,16,0))</f>
        <v>#N/A</v>
      </c>
      <c r="AT31" s="954" t="e">
        <f>IF(AQ31="","",VLOOKUP(K21,'MU-Daten'!B:R,17,0))</f>
        <v>#N/A</v>
      </c>
      <c r="AU31" s="951"/>
      <c r="AV31" s="958"/>
    </row>
    <row r="32" spans="1:48" x14ac:dyDescent="0.2">
      <c r="A32" s="511"/>
      <c r="B32" s="535"/>
      <c r="C32" s="522" t="s">
        <v>1021</v>
      </c>
      <c r="D32" s="523"/>
      <c r="E32" s="523"/>
      <c r="F32" s="523"/>
      <c r="G32" s="523"/>
      <c r="H32" s="523"/>
      <c r="I32" s="523"/>
      <c r="J32" s="523"/>
      <c r="K32" s="523"/>
      <c r="L32" s="523"/>
      <c r="M32" s="523"/>
      <c r="N32" s="523"/>
      <c r="O32" s="523"/>
      <c r="P32" s="523"/>
      <c r="Q32" s="523"/>
      <c r="R32" s="523"/>
      <c r="S32" s="536"/>
      <c r="T32" s="290"/>
      <c r="AP32" s="950"/>
      <c r="AQ32" s="951"/>
      <c r="AR32" s="951"/>
      <c r="AS32" s="953"/>
      <c r="AT32" s="953"/>
      <c r="AU32" s="951"/>
      <c r="AV32" s="958"/>
    </row>
    <row r="33" spans="1:51" x14ac:dyDescent="0.2">
      <c r="A33" s="511"/>
      <c r="B33" s="535"/>
      <c r="C33" s="522"/>
      <c r="D33" s="523"/>
      <c r="E33" s="523"/>
      <c r="F33" s="523"/>
      <c r="G33" s="523"/>
      <c r="H33" s="523"/>
      <c r="I33" s="523"/>
      <c r="J33" s="523"/>
      <c r="K33" s="523"/>
      <c r="L33" s="523"/>
      <c r="M33" s="523"/>
      <c r="N33" s="523"/>
      <c r="O33" s="523"/>
      <c r="P33" s="523"/>
      <c r="Q33" s="523"/>
      <c r="R33" s="523"/>
      <c r="S33" s="536"/>
      <c r="T33" s="290"/>
      <c r="AP33" s="940"/>
      <c r="AQ33" s="941"/>
      <c r="AR33" s="942"/>
      <c r="AS33" s="942"/>
      <c r="AT33" s="942"/>
      <c r="AU33" s="942"/>
      <c r="AV33" s="943"/>
    </row>
    <row r="34" spans="1:51" x14ac:dyDescent="0.2">
      <c r="A34" s="511"/>
      <c r="B34" s="535"/>
      <c r="C34" s="523" t="s">
        <v>1038</v>
      </c>
      <c r="D34" s="523"/>
      <c r="E34" s="523"/>
      <c r="F34" s="523"/>
      <c r="G34" s="523"/>
      <c r="H34" s="523"/>
      <c r="I34" s="523"/>
      <c r="J34" s="1259" t="str">
        <f>IFERROR(IF(AW54&gt;=1,AS57,AV57),"")</f>
        <v/>
      </c>
      <c r="K34" s="1259"/>
      <c r="L34" s="523"/>
      <c r="M34" s="523"/>
      <c r="N34" s="1246" t="str">
        <f ca="1">_xlfn.IFNA(IF(INDEX($BC$55:$BC$80,MATCH(J29,$BB$55:$BB$80,0))+J34&lt;1,"A2-Korrektur nur teilweise möglich","A2-Korrektur vollständig möglich"),"")</f>
        <v/>
      </c>
      <c r="O34" s="1246"/>
      <c r="P34" s="1246"/>
      <c r="Q34" s="1246"/>
      <c r="R34" s="1246"/>
      <c r="S34" s="536"/>
      <c r="T34" s="290"/>
      <c r="AP34" s="959"/>
      <c r="AQ34" s="960" t="s">
        <v>1980</v>
      </c>
      <c r="AR34" s="961" t="s">
        <v>755</v>
      </c>
      <c r="AS34" s="961" t="s">
        <v>1981</v>
      </c>
      <c r="AT34" s="961" t="s">
        <v>1982</v>
      </c>
      <c r="AU34" s="961" t="s">
        <v>1983</v>
      </c>
      <c r="AV34" s="962" t="s">
        <v>1984</v>
      </c>
    </row>
    <row r="35" spans="1:51" x14ac:dyDescent="0.2">
      <c r="A35" s="511"/>
      <c r="B35" s="535"/>
      <c r="C35" s="523"/>
      <c r="D35" s="523"/>
      <c r="E35" s="523"/>
      <c r="F35" s="523"/>
      <c r="G35" s="523"/>
      <c r="H35" s="523"/>
      <c r="I35" s="523"/>
      <c r="J35" s="523"/>
      <c r="K35" s="523"/>
      <c r="L35" s="523"/>
      <c r="M35" s="523"/>
      <c r="N35" s="523"/>
      <c r="O35" s="523"/>
      <c r="P35" s="523"/>
      <c r="Q35" s="523"/>
      <c r="R35" s="523"/>
      <c r="S35" s="536"/>
      <c r="T35" s="290"/>
      <c r="AP35" s="959"/>
      <c r="AQ35" s="963"/>
      <c r="AR35" s="964"/>
      <c r="AS35" s="964"/>
      <c r="AT35" s="964"/>
      <c r="AU35" s="964"/>
      <c r="AV35" s="965"/>
    </row>
    <row r="36" spans="1:51" x14ac:dyDescent="0.2">
      <c r="A36" s="511"/>
      <c r="B36" s="535"/>
      <c r="C36" s="523" t="s">
        <v>1022</v>
      </c>
      <c r="D36" s="523"/>
      <c r="E36" s="523"/>
      <c r="F36" s="523"/>
      <c r="G36" s="523"/>
      <c r="H36" s="523"/>
      <c r="I36" s="523"/>
      <c r="J36" s="1232" t="str">
        <f>IFERROR(VLOOKUP("M"&amp;H21,'MU-Daten'!B:H,7,0),"")</f>
        <v/>
      </c>
      <c r="K36" s="1232"/>
      <c r="L36" s="523"/>
      <c r="M36" s="523"/>
      <c r="N36" s="523"/>
      <c r="O36" s="523"/>
      <c r="P36" s="523"/>
      <c r="Q36" s="523"/>
      <c r="R36" s="523"/>
      <c r="S36" s="536"/>
      <c r="T36" s="290"/>
      <c r="AP36" s="959"/>
      <c r="AQ36" s="963" t="e">
        <f>IF(OR(AQ12="",AQ12=0),"keine Übereinstimmung",IF(AQ12=AQ29,AQ12,IF(AQ12=AQ30,AQ12,IF(AQ12=AQ32,AQ12,"keine Übereinstimmung"))))</f>
        <v>#N/A</v>
      </c>
      <c r="AR36" s="964" t="e">
        <f>IF(AQ36="keine Übereinstimmung","",IF($AV$46+AU36&gt;27,27,$AV$46+AU36))</f>
        <v>#N/A</v>
      </c>
      <c r="AS36" s="964" t="e">
        <f>IF(AQ36="keine Übereinstimmung","",AT12)</f>
        <v>#N/A</v>
      </c>
      <c r="AT36" s="964" t="e">
        <f>IF(AQ36="keine Übereinstimmung","",VLOOKUP($AQ$36,$AQ$29:AT31,4,0))</f>
        <v>#N/A</v>
      </c>
      <c r="AU36" s="964" t="e">
        <f>IF(AS36="","",AS36-AT36)</f>
        <v>#N/A</v>
      </c>
      <c r="AV36" s="965" t="e">
        <f>IF(AQ36&lt;&gt;"keine Übereinstimmung",1,0)</f>
        <v>#N/A</v>
      </c>
      <c r="AW36" s="288" t="e">
        <f>IF(AR36="","",IF(AR36&lt;=-2,"C",IF(AR36=-1,"B",IF(AR36=0,"A",IF(AR36&gt;27,27,AR36)))))</f>
        <v>#N/A</v>
      </c>
    </row>
    <row r="37" spans="1:51" x14ac:dyDescent="0.2">
      <c r="A37" s="511"/>
      <c r="B37" s="535"/>
      <c r="C37" s="523"/>
      <c r="D37" s="523"/>
      <c r="E37" s="523"/>
      <c r="F37" s="523"/>
      <c r="G37" s="523"/>
      <c r="H37" s="523"/>
      <c r="I37" s="523"/>
      <c r="J37" s="523"/>
      <c r="K37" s="523"/>
      <c r="L37" s="523"/>
      <c r="M37" s="523"/>
      <c r="N37" s="523"/>
      <c r="O37" s="523"/>
      <c r="P37" s="523"/>
      <c r="Q37" s="523" t="s">
        <v>1023</v>
      </c>
      <c r="R37" s="523"/>
      <c r="S37" s="536"/>
      <c r="T37" s="290"/>
      <c r="AP37" s="959"/>
      <c r="AQ37" s="963" t="e">
        <f>IF(OR(AQ13="",AQ13=0),"keine Übereinstimmung",IF(AQ13=AQ29,AQ13,IF(AQ13=AQ30,AQ13,IF(AQ13=AQ31,AQ13,"keine Übereinstimmung"))))</f>
        <v>#N/A</v>
      </c>
      <c r="AR37" s="964" t="e">
        <f t="shared" ref="AR37:AR38" si="0">IF(AQ37="keine Übereinstimmung","",IF($AV$46+AU37&gt;27,27,$AV$46+AU37))</f>
        <v>#N/A</v>
      </c>
      <c r="AS37" s="964" t="e">
        <f>IF(AQ37="keine Übereinstimmung","",AT13)</f>
        <v>#N/A</v>
      </c>
      <c r="AT37" s="964" t="e">
        <f>IF(AQ37="keine Übereinstimmung","",VLOOKUP($AQ$37,$AQ$29:AT32,4,0))</f>
        <v>#N/A</v>
      </c>
      <c r="AU37" s="964" t="e">
        <f>IF(AS37="","",AS37-AT37)</f>
        <v>#N/A</v>
      </c>
      <c r="AV37" s="965" t="e">
        <f>IF(AQ37&lt;&gt;"keine Übereinstimmung",1,0)</f>
        <v>#N/A</v>
      </c>
      <c r="AW37" s="288" t="e">
        <f t="shared" ref="AW37:AW38" si="1">IF(AR37="","",IF(AR37&lt;=-2,"C",IF(AR37=-1,"B",IF(AR37=0,"A",IF(AR37&gt;27,27,AR37)))))</f>
        <v>#N/A</v>
      </c>
    </row>
    <row r="38" spans="1:51" x14ac:dyDescent="0.2">
      <c r="A38" s="511"/>
      <c r="B38" s="535"/>
      <c r="C38" s="523" t="s">
        <v>1020</v>
      </c>
      <c r="D38" s="523"/>
      <c r="E38" s="523"/>
      <c r="F38" s="523"/>
      <c r="G38" s="523"/>
      <c r="H38" s="523"/>
      <c r="I38" s="523"/>
      <c r="J38" s="1232" t="str">
        <f ca="1">IF(J30="","",IF(J34="","",INDEX($BB$55:$BB$80,MATCH(IF(INDEX($BC$55:$BC$80,MATCH(J30,$BB$55:$BB$80,0))+J34&lt;1,1,INDEX($BC$55:$BC$80,MATCH(J30,$BB$55:$BB$80,0))+J34),$BC$55:$BC$80,0))))</f>
        <v/>
      </c>
      <c r="K38" s="1232"/>
      <c r="L38" s="757" t="s">
        <v>1017</v>
      </c>
      <c r="N38" s="1233" t="str">
        <f ca="1">IF(J38="","",HLOOKUP(J38,LohntabelleM!$B$3:$AE$31,VLOOKUP("M"&amp;H21,'MU-Daten'!B:K,7,0)+1,FALSE))</f>
        <v/>
      </c>
      <c r="O38" s="1233"/>
      <c r="P38" s="523"/>
      <c r="Q38" s="1234" t="str">
        <f>IF(J27&gt;0,IF(N38="","",(N38-J27)/J27),"N/A")</f>
        <v>N/A</v>
      </c>
      <c r="R38" s="1234"/>
      <c r="S38" s="536"/>
      <c r="T38" s="290"/>
      <c r="AP38" s="959"/>
      <c r="AQ38" s="963" t="e">
        <f>IF(OR(AQ14="",AQ14=0),"keine Übereinstimmung",IF(AQ14=AQ29,AQ14,IF(AQ14=AQ30,AQ14,IF(AQ14=AQ31,AQ14,"keine Übereinstimmung"))))</f>
        <v>#N/A</v>
      </c>
      <c r="AR38" s="964" t="e">
        <f t="shared" si="0"/>
        <v>#N/A</v>
      </c>
      <c r="AS38" s="964" t="e">
        <f>IF(AQ38="keine Übereinstimmung","",AT14)</f>
        <v>#N/A</v>
      </c>
      <c r="AT38" s="964" t="e">
        <f>IF(AQ38="keine Übereinstimmung","",VLOOKUP($AQ$38,$AQ$29:AT33,4,0))</f>
        <v>#N/A</v>
      </c>
      <c r="AU38" s="964" t="e">
        <f>IF(AS38="","",AS38-AT38)</f>
        <v>#N/A</v>
      </c>
      <c r="AV38" s="965" t="e">
        <f>IF(AQ38&lt;&gt;"keine Übereinstimmung",1,0)</f>
        <v>#N/A</v>
      </c>
      <c r="AW38" s="288" t="e">
        <f t="shared" si="1"/>
        <v>#N/A</v>
      </c>
    </row>
    <row r="39" spans="1:51" ht="8.1" customHeight="1" x14ac:dyDescent="0.2">
      <c r="A39" s="511"/>
      <c r="B39" s="539"/>
      <c r="C39" s="540"/>
      <c r="D39" s="540"/>
      <c r="E39" s="540"/>
      <c r="F39" s="540"/>
      <c r="G39" s="540"/>
      <c r="H39" s="540"/>
      <c r="I39" s="540"/>
      <c r="J39" s="540"/>
      <c r="K39" s="540"/>
      <c r="L39" s="540"/>
      <c r="M39" s="540"/>
      <c r="N39" s="540"/>
      <c r="O39" s="540"/>
      <c r="P39" s="540"/>
      <c r="Q39" s="540"/>
      <c r="R39" s="540"/>
      <c r="S39" s="541"/>
      <c r="T39" s="290"/>
      <c r="AP39" s="959"/>
      <c r="AQ39" s="963"/>
      <c r="AR39" s="963"/>
      <c r="AS39" s="963"/>
      <c r="AT39" s="963"/>
      <c r="AU39" s="963"/>
      <c r="AV39" s="966"/>
    </row>
    <row r="40" spans="1:51" ht="6" customHeight="1" x14ac:dyDescent="0.2">
      <c r="A40" s="511"/>
      <c r="B40" s="511"/>
      <c r="C40" s="511"/>
      <c r="D40" s="511"/>
      <c r="E40" s="511"/>
      <c r="F40" s="511"/>
      <c r="G40" s="511"/>
      <c r="H40" s="511"/>
      <c r="I40" s="511"/>
      <c r="J40" s="511"/>
      <c r="K40" s="511"/>
      <c r="L40" s="511"/>
      <c r="M40" s="511"/>
      <c r="N40" s="511"/>
      <c r="O40" s="511"/>
      <c r="P40" s="511"/>
      <c r="Q40" s="511"/>
      <c r="R40" s="511"/>
      <c r="S40" s="511"/>
      <c r="AP40" s="967"/>
      <c r="AQ40" s="968"/>
      <c r="AR40" s="968"/>
      <c r="AS40" s="968"/>
      <c r="AT40" s="968"/>
      <c r="AU40" s="968"/>
      <c r="AV40" s="969"/>
    </row>
    <row r="41" spans="1:51" ht="6" customHeight="1" x14ac:dyDescent="0.2">
      <c r="A41" s="511"/>
      <c r="B41" s="542"/>
      <c r="C41" s="48"/>
      <c r="D41" s="48"/>
      <c r="E41" s="48"/>
      <c r="F41" s="48"/>
      <c r="G41" s="48"/>
      <c r="H41" s="48"/>
      <c r="I41" s="48"/>
      <c r="J41" s="48"/>
      <c r="K41" s="48"/>
      <c r="L41" s="48"/>
      <c r="M41" s="48"/>
      <c r="N41" s="48"/>
      <c r="O41" s="48"/>
      <c r="P41" s="48"/>
      <c r="Q41" s="48"/>
      <c r="R41" s="48"/>
      <c r="S41" s="543"/>
      <c r="AP41" s="967"/>
      <c r="AQ41" s="968"/>
      <c r="AR41" s="968"/>
      <c r="AS41" s="968"/>
      <c r="AT41" s="968"/>
      <c r="AU41" s="968"/>
      <c r="AV41" s="969"/>
    </row>
    <row r="42" spans="1:51" ht="13.5" thickBot="1" x14ac:dyDescent="0.25">
      <c r="A42" s="511"/>
      <c r="B42" s="544"/>
      <c r="C42" s="94" t="s">
        <v>985</v>
      </c>
      <c r="D42" s="96"/>
      <c r="E42" s="96"/>
      <c r="F42" s="96"/>
      <c r="G42" s="96"/>
      <c r="H42" s="96"/>
      <c r="I42" s="96"/>
      <c r="J42" s="96"/>
      <c r="K42" s="96"/>
      <c r="L42" s="96"/>
      <c r="M42" s="96"/>
      <c r="N42" s="96"/>
      <c r="O42" s="96"/>
      <c r="P42" s="96"/>
      <c r="Q42" s="96"/>
      <c r="R42" s="96"/>
      <c r="S42" s="545"/>
      <c r="AP42" s="970"/>
      <c r="AQ42" s="971" t="s">
        <v>1985</v>
      </c>
      <c r="AR42" s="971"/>
      <c r="AS42" s="971"/>
      <c r="AT42" s="971"/>
      <c r="AU42" s="971"/>
      <c r="AV42" s="972" t="e">
        <f>SUM(AV36:AV38)</f>
        <v>#N/A</v>
      </c>
    </row>
    <row r="43" spans="1:51" ht="6" customHeight="1" x14ac:dyDescent="0.2">
      <c r="A43" s="511"/>
      <c r="B43" s="544"/>
      <c r="C43" s="96"/>
      <c r="D43" s="96"/>
      <c r="E43" s="96"/>
      <c r="F43" s="96"/>
      <c r="G43" s="96"/>
      <c r="H43" s="96"/>
      <c r="I43" s="96"/>
      <c r="J43" s="96"/>
      <c r="K43" s="96"/>
      <c r="L43" s="96"/>
      <c r="M43" s="96"/>
      <c r="N43" s="96"/>
      <c r="O43" s="96"/>
      <c r="P43" s="96"/>
      <c r="Q43" s="96"/>
      <c r="R43" s="96"/>
      <c r="S43" s="545"/>
    </row>
    <row r="44" spans="1:51" x14ac:dyDescent="0.2">
      <c r="A44" s="511"/>
      <c r="B44" s="544"/>
      <c r="C44" s="1225"/>
      <c r="D44" s="1244"/>
      <c r="E44" s="1244"/>
      <c r="F44" s="1244"/>
      <c r="G44" s="1244"/>
      <c r="H44" s="1244"/>
      <c r="I44" s="1244"/>
      <c r="J44" s="1244"/>
      <c r="K44" s="1244"/>
      <c r="L44" s="1244"/>
      <c r="M44" s="1244"/>
      <c r="N44" s="1244"/>
      <c r="O44" s="1244"/>
      <c r="P44" s="1244"/>
      <c r="Q44" s="1244"/>
      <c r="R44" s="1244"/>
      <c r="S44" s="545"/>
    </row>
    <row r="45" spans="1:51" x14ac:dyDescent="0.2">
      <c r="A45" s="511"/>
      <c r="B45" s="544"/>
      <c r="C45" s="1225"/>
      <c r="D45" s="1244"/>
      <c r="E45" s="1244"/>
      <c r="F45" s="1244"/>
      <c r="G45" s="1244"/>
      <c r="H45" s="1244"/>
      <c r="I45" s="1244"/>
      <c r="J45" s="1244"/>
      <c r="K45" s="1244"/>
      <c r="L45" s="1244"/>
      <c r="M45" s="1244"/>
      <c r="N45" s="1244"/>
      <c r="O45" s="1244"/>
      <c r="P45" s="1244"/>
      <c r="Q45" s="1244"/>
      <c r="R45" s="1244"/>
      <c r="S45" s="545"/>
      <c r="AR45" s="974" t="s">
        <v>755</v>
      </c>
      <c r="AS45" s="974" t="s">
        <v>1990</v>
      </c>
      <c r="AT45" s="974" t="s">
        <v>1997</v>
      </c>
      <c r="AV45" s="288" t="s">
        <v>1994</v>
      </c>
    </row>
    <row r="46" spans="1:51" x14ac:dyDescent="0.2">
      <c r="A46" s="511"/>
      <c r="B46" s="544"/>
      <c r="C46" s="1225"/>
      <c r="D46" s="1244"/>
      <c r="E46" s="1244"/>
      <c r="F46" s="1244"/>
      <c r="G46" s="1244"/>
      <c r="H46" s="1244"/>
      <c r="I46" s="1244"/>
      <c r="J46" s="1244"/>
      <c r="K46" s="1244"/>
      <c r="L46" s="1244"/>
      <c r="M46" s="1244"/>
      <c r="N46" s="1244"/>
      <c r="O46" s="1244"/>
      <c r="P46" s="1244"/>
      <c r="Q46" s="1244"/>
      <c r="R46" s="1244"/>
      <c r="S46" s="545"/>
      <c r="AP46" s="288" t="s">
        <v>1989</v>
      </c>
      <c r="AR46" s="974" t="e">
        <f ca="1">INDEX(LohntabelleM!A3:AE3,MATCH(J27,OFFSET(LohntabelleM!A4:AE4,AT19-1,0)))</f>
        <v>#N/A</v>
      </c>
      <c r="AS46" s="974" t="e">
        <f ca="1">IF(AP46="","",IF(J27=INDEX(LohntabelleM!A3:AE31,MATCH(AT19,LohntabelleM!A3:A31,0),MATCH(AR46,LohntabelleM!A3:AE3,0)),1,0))</f>
        <v>#N/A</v>
      </c>
      <c r="AT46" s="974" t="e">
        <f ca="1">IF(AS46=1,AR46,IF(AR46="C","B",IF(AR46="B","A",IF(AR46="A",1,IF(AR46=27,27,AR46+1)))))</f>
        <v>#N/A</v>
      </c>
      <c r="AV46" s="288" t="e">
        <f ca="1">IF(AT46="C",-2,IF(AT46="B",-1,IF(AT46="A",0,AT46)))</f>
        <v>#N/A</v>
      </c>
      <c r="AW46" s="976" t="e">
        <f ca="1">AV46+J34</f>
        <v>#N/A</v>
      </c>
      <c r="AY46" s="288" t="e">
        <f ca="1">IF(AW46="C",-2,IF(AW46="B",-1,IF(AW46="A",0,AW46)))</f>
        <v>#N/A</v>
      </c>
    </row>
    <row r="47" spans="1:51" ht="7.9" customHeight="1" x14ac:dyDescent="0.2">
      <c r="A47" s="511"/>
      <c r="B47" s="546"/>
      <c r="C47" s="547"/>
      <c r="D47" s="547"/>
      <c r="E47" s="547"/>
      <c r="F47" s="547"/>
      <c r="G47" s="547"/>
      <c r="H47" s="547"/>
      <c r="I47" s="547"/>
      <c r="J47" s="547"/>
      <c r="K47" s="547"/>
      <c r="L47" s="547"/>
      <c r="M47" s="547"/>
      <c r="N47" s="547"/>
      <c r="O47" s="547"/>
      <c r="P47" s="547"/>
      <c r="Q47" s="547"/>
      <c r="R47" s="547"/>
      <c r="S47" s="548"/>
      <c r="AT47" s="974"/>
    </row>
    <row r="48" spans="1:51" ht="6" customHeight="1" x14ac:dyDescent="0.2">
      <c r="A48" s="511"/>
      <c r="B48" s="96"/>
      <c r="C48" s="96"/>
      <c r="D48" s="96"/>
      <c r="E48" s="96"/>
      <c r="F48" s="96"/>
      <c r="G48" s="96"/>
      <c r="H48" s="96"/>
      <c r="I48" s="96"/>
      <c r="J48" s="96"/>
      <c r="K48" s="96"/>
      <c r="L48" s="96"/>
      <c r="M48" s="96"/>
      <c r="N48" s="96"/>
      <c r="O48" s="96"/>
      <c r="P48" s="96"/>
      <c r="Q48" s="96"/>
      <c r="R48" s="96"/>
      <c r="S48" s="549"/>
      <c r="AT48" s="974"/>
    </row>
    <row r="49" spans="1:56" ht="6" customHeight="1" x14ac:dyDescent="0.2">
      <c r="A49" s="511"/>
      <c r="B49" s="542"/>
      <c r="C49" s="48"/>
      <c r="D49" s="48"/>
      <c r="E49" s="48"/>
      <c r="F49" s="48"/>
      <c r="G49" s="48"/>
      <c r="H49" s="48"/>
      <c r="I49" s="48"/>
      <c r="J49" s="48"/>
      <c r="K49" s="48"/>
      <c r="L49" s="48"/>
      <c r="M49" s="48"/>
      <c r="N49" s="48"/>
      <c r="O49" s="48"/>
      <c r="P49" s="48"/>
      <c r="Q49" s="48"/>
      <c r="R49" s="48"/>
      <c r="S49" s="543"/>
      <c r="AT49" s="974"/>
    </row>
    <row r="50" spans="1:56" x14ac:dyDescent="0.2">
      <c r="A50" s="511"/>
      <c r="B50" s="544"/>
      <c r="C50" s="94" t="s">
        <v>1076</v>
      </c>
      <c r="D50" s="96"/>
      <c r="E50" s="96"/>
      <c r="F50" s="96"/>
      <c r="G50" s="96"/>
      <c r="H50" s="96"/>
      <c r="I50" s="96"/>
      <c r="J50" s="96"/>
      <c r="K50" s="96"/>
      <c r="L50" s="96"/>
      <c r="M50" s="96"/>
      <c r="N50" s="96"/>
      <c r="O50" s="96"/>
      <c r="P50" s="96"/>
      <c r="Q50" s="96"/>
      <c r="R50" s="96"/>
      <c r="S50" s="545"/>
      <c r="AP50" s="288" t="s">
        <v>1991</v>
      </c>
      <c r="AR50" s="974" t="s">
        <v>1992</v>
      </c>
      <c r="AS50" s="974" t="s">
        <v>1990</v>
      </c>
      <c r="AT50" s="974" t="s">
        <v>755</v>
      </c>
      <c r="AU50" s="974" t="s">
        <v>1993</v>
      </c>
      <c r="AV50" s="288" t="s">
        <v>1994</v>
      </c>
      <c r="AW50" s="974" t="s">
        <v>1995</v>
      </c>
    </row>
    <row r="51" spans="1:56" ht="6" customHeight="1" x14ac:dyDescent="0.2">
      <c r="A51" s="511"/>
      <c r="B51" s="544"/>
      <c r="C51" s="96"/>
      <c r="D51" s="96"/>
      <c r="E51" s="96"/>
      <c r="F51" s="96"/>
      <c r="G51" s="96"/>
      <c r="H51" s="96"/>
      <c r="I51" s="96"/>
      <c r="J51" s="96"/>
      <c r="K51" s="96"/>
      <c r="L51" s="96"/>
      <c r="M51" s="96"/>
      <c r="N51" s="96"/>
      <c r="O51" s="96"/>
      <c r="P51" s="96"/>
      <c r="Q51" s="96"/>
      <c r="R51" s="96"/>
      <c r="S51" s="545"/>
      <c r="AR51" s="974"/>
      <c r="AS51" s="974"/>
      <c r="AT51" s="974"/>
      <c r="AU51" s="974"/>
      <c r="AW51" s="974"/>
    </row>
    <row r="52" spans="1:56" x14ac:dyDescent="0.2">
      <c r="A52" s="511"/>
      <c r="B52" s="544"/>
      <c r="C52" s="1225"/>
      <c r="D52" s="1244"/>
      <c r="E52" s="1244"/>
      <c r="F52" s="1244"/>
      <c r="G52" s="1244"/>
      <c r="H52" s="1244"/>
      <c r="I52" s="1244"/>
      <c r="J52" s="1244"/>
      <c r="K52" s="1244"/>
      <c r="L52" s="1244"/>
      <c r="M52" s="1244"/>
      <c r="N52" s="1244"/>
      <c r="O52" s="1244"/>
      <c r="P52" s="1244"/>
      <c r="Q52" s="1244"/>
      <c r="R52" s="1244"/>
      <c r="S52" s="545"/>
      <c r="AP52" s="288" t="e">
        <f>IF(AND(AS19=AS22,AT19-1=AT22),"max 1LB gleiche Funktionskette","")</f>
        <v>#N/A</v>
      </c>
      <c r="AR52" s="974" t="e">
        <f ca="1">IF(AP52="","",INDEX(LohntabelleM!A3:AE3,MATCH(J27,OFFSET(LohntabelleM!A4:AE4,AT19-1,0))))</f>
        <v>#N/A</v>
      </c>
      <c r="AS52" s="974" t="e">
        <f>IF(AP52="","",IF(J27=INDEX(LohntabelleM!A3:AE31,MATCH(AT19,LohntabelleM!A3:A31,0),MATCH(AR52,LohntabelleM!A3:AE3,0)),1,0))</f>
        <v>#N/A</v>
      </c>
      <c r="AT52" s="974" t="e">
        <f>IF(AP52="","",IF(AS52=1,AR52,IF(AR52="C","B",IF(AR52="B","A",IF(AR52="A",1,IF(AR52=27,27,AR52+1))))))</f>
        <v>#N/A</v>
      </c>
      <c r="AU52" s="974" t="e">
        <f>AT52</f>
        <v>#N/A</v>
      </c>
      <c r="AV52" s="288" t="e">
        <f>IF(AU52="C",-2,IF(AU52="B",-1,IF(AU52="A",0,AU52)))</f>
        <v>#N/A</v>
      </c>
      <c r="AW52" s="974" t="e">
        <f>IF(AP52="",0,1)</f>
        <v>#N/A</v>
      </c>
    </row>
    <row r="53" spans="1:56" x14ac:dyDescent="0.2">
      <c r="A53" s="511"/>
      <c r="B53" s="544"/>
      <c r="C53" s="1225"/>
      <c r="D53" s="1244"/>
      <c r="E53" s="1244"/>
      <c r="F53" s="1244"/>
      <c r="G53" s="1244"/>
      <c r="H53" s="1244"/>
      <c r="I53" s="1244"/>
      <c r="J53" s="1244"/>
      <c r="K53" s="1244"/>
      <c r="L53" s="1244"/>
      <c r="M53" s="1244"/>
      <c r="N53" s="1244"/>
      <c r="O53" s="1244"/>
      <c r="P53" s="1244"/>
      <c r="Q53" s="1244"/>
      <c r="R53" s="1244"/>
      <c r="S53" s="545"/>
      <c r="AP53" s="288" t="e">
        <f>IF(AT19&gt;AT22,"Anspruchsvollere Funktion","")</f>
        <v>#N/A</v>
      </c>
      <c r="AR53" s="974" t="e">
        <f ca="1">IF(AP53="","",IF(J27&lt;VLOOKUP(AT22,LohntabelleM!A4:B31,2,0),"C",INDEX(LohntabelleM!A3:AE3,MATCH(J27,OFFSET(LohntabelleM!A4:AE4,AT22-1,0)))))</f>
        <v>#N/A</v>
      </c>
      <c r="AS53" s="974" t="e">
        <f>IF(AP53="","",IF(J27&lt;VLOOKUP(AT22,LohntabelleM!A4:B31,2,0),1,IF(J27=INDEX(LohntabelleM!A3:AE31,MATCH(AT22,LohntabelleM!A3:A31,0),MATCH(AR53,LohntabelleM!A3:AE3,0)),1,0)))</f>
        <v>#N/A</v>
      </c>
      <c r="AT53" s="974" t="e">
        <f>IF(AP53="","",IF(AS53=1,AR53,IF(AR53="C","B",IF(AR53="B","A",IF(AR53="A",1,IF(AR53=27,27,AR53+1))))))</f>
        <v>#N/A</v>
      </c>
      <c r="AU53" s="974" t="e">
        <f>IF(AT53="C","A",IF(AT53="B",1,IF(AT53="A",2,IF(AT53&gt;=25,27,AT53+2))))</f>
        <v>#N/A</v>
      </c>
      <c r="AV53" s="288" t="e">
        <f>IF(AU53="C",-2,IF(AU53="B",-1,IF(AU53="A",0,AU53)))</f>
        <v>#N/A</v>
      </c>
      <c r="AW53" s="974" t="e">
        <f>IF(AP53="",0,1)</f>
        <v>#N/A</v>
      </c>
    </row>
    <row r="54" spans="1:56" x14ac:dyDescent="0.2">
      <c r="A54" s="511"/>
      <c r="B54" s="544"/>
      <c r="C54" s="1225"/>
      <c r="D54" s="1244"/>
      <c r="E54" s="1244"/>
      <c r="F54" s="1244"/>
      <c r="G54" s="1244"/>
      <c r="H54" s="1244"/>
      <c r="I54" s="1244"/>
      <c r="J54" s="1244"/>
      <c r="K54" s="1244"/>
      <c r="L54" s="1244"/>
      <c r="M54" s="1244"/>
      <c r="N54" s="1244"/>
      <c r="O54" s="1244"/>
      <c r="P54" s="1244"/>
      <c r="Q54" s="1244"/>
      <c r="R54" s="1244"/>
      <c r="S54" s="545"/>
      <c r="AP54" s="288" t="s">
        <v>1996</v>
      </c>
      <c r="AV54" s="329">
        <f>IFERROR(SUM(AV52:AV53)/AW54,0)</f>
        <v>0</v>
      </c>
      <c r="AW54" s="975" t="e">
        <f>SUM(AW52:AW53)</f>
        <v>#N/A</v>
      </c>
      <c r="BB54" s="288" t="s">
        <v>1032</v>
      </c>
      <c r="BD54" s="288" t="s">
        <v>1039</v>
      </c>
    </row>
    <row r="55" spans="1:56" ht="7.9" customHeight="1" x14ac:dyDescent="0.2">
      <c r="A55" s="511"/>
      <c r="B55" s="546"/>
      <c r="C55" s="547"/>
      <c r="D55" s="547"/>
      <c r="E55" s="547"/>
      <c r="F55" s="547"/>
      <c r="G55" s="547"/>
      <c r="H55" s="547"/>
      <c r="I55" s="547"/>
      <c r="J55" s="547"/>
      <c r="K55" s="547"/>
      <c r="L55" s="547"/>
      <c r="M55" s="547"/>
      <c r="N55" s="547"/>
      <c r="O55" s="547"/>
      <c r="P55" s="547"/>
      <c r="Q55" s="547"/>
      <c r="R55" s="547"/>
      <c r="S55" s="548"/>
      <c r="BB55" s="339">
        <v>1</v>
      </c>
      <c r="BC55" s="339">
        <v>4</v>
      </c>
      <c r="BD55" s="340">
        <f>BB55+2</f>
        <v>3</v>
      </c>
    </row>
    <row r="56" spans="1:56" x14ac:dyDescent="0.2">
      <c r="AR56" s="974" t="s">
        <v>1998</v>
      </c>
      <c r="AS56" s="974" t="s">
        <v>1999</v>
      </c>
      <c r="AT56" s="974" t="s">
        <v>1998</v>
      </c>
      <c r="AU56" s="974" t="s">
        <v>1998</v>
      </c>
      <c r="AV56" s="974" t="s">
        <v>1999</v>
      </c>
      <c r="BB56" s="339">
        <v>2</v>
      </c>
      <c r="BC56" s="339">
        <v>5</v>
      </c>
      <c r="BD56" s="340">
        <f>BB56+2</f>
        <v>4</v>
      </c>
    </row>
    <row r="57" spans="1:56" x14ac:dyDescent="0.2">
      <c r="AR57" s="974" t="e">
        <f t="array" ref="AR57">INDEX(AR36:AR38,MATCH(MIN(IF(ISNUMBER(AR36:AR38),ABS(AR36:AR38-AV54))),ABS(AR36:AR38-AV54),0))</f>
        <v>#N/A</v>
      </c>
      <c r="AS57" s="974" t="e">
        <f>VLOOKUP(AR57,AR36:AU38,4,0)</f>
        <v>#N/A</v>
      </c>
      <c r="AT57" s="974" t="e">
        <f>VLOOKUP(AR57,AR36:AW38,6,0)</f>
        <v>#N/A</v>
      </c>
      <c r="AU57" s="974" t="e">
        <f>MAX(AR36:AR38)</f>
        <v>#N/A</v>
      </c>
      <c r="AV57" s="974" t="e">
        <f>VLOOKUP(AU57,AR36:AU38,4,0)</f>
        <v>#N/A</v>
      </c>
      <c r="AW57" s="974" t="e">
        <f>VLOOKUP(AU57,AR36:AW38,6,0)</f>
        <v>#N/A</v>
      </c>
      <c r="BB57" s="339">
        <v>3</v>
      </c>
      <c r="BC57" s="339">
        <v>6</v>
      </c>
      <c r="BD57" s="340">
        <f>BB57+2</f>
        <v>5</v>
      </c>
    </row>
    <row r="58" spans="1:56" x14ac:dyDescent="0.2">
      <c r="BB58" s="339">
        <v>4</v>
      </c>
      <c r="BC58" s="339">
        <v>7</v>
      </c>
      <c r="BD58" s="340">
        <f t="shared" ref="BD58:BD72" si="2">BB58+2</f>
        <v>6</v>
      </c>
    </row>
    <row r="59" spans="1:56" x14ac:dyDescent="0.2">
      <c r="BB59" s="339">
        <v>5</v>
      </c>
      <c r="BC59" s="339">
        <v>8</v>
      </c>
      <c r="BD59" s="340">
        <f t="shared" si="2"/>
        <v>7</v>
      </c>
    </row>
    <row r="60" spans="1:56" x14ac:dyDescent="0.2">
      <c r="BB60" s="339">
        <v>5</v>
      </c>
      <c r="BC60" s="339">
        <v>8</v>
      </c>
      <c r="BD60" s="340">
        <f>BB60+2</f>
        <v>7</v>
      </c>
    </row>
    <row r="61" spans="1:56" x14ac:dyDescent="0.2">
      <c r="BB61" s="339">
        <v>5</v>
      </c>
      <c r="BC61" s="339">
        <v>8</v>
      </c>
      <c r="BD61" s="340">
        <f t="shared" si="2"/>
        <v>7</v>
      </c>
    </row>
    <row r="62" spans="1:56" x14ac:dyDescent="0.2">
      <c r="BB62" s="339">
        <v>6</v>
      </c>
      <c r="BC62" s="339">
        <v>9</v>
      </c>
      <c r="BD62" s="340">
        <f t="shared" si="2"/>
        <v>8</v>
      </c>
    </row>
    <row r="63" spans="1:56" x14ac:dyDescent="0.2">
      <c r="BB63" s="339">
        <v>13</v>
      </c>
      <c r="BC63" s="339">
        <v>16</v>
      </c>
      <c r="BD63" s="340">
        <f t="shared" si="2"/>
        <v>15</v>
      </c>
    </row>
    <row r="64" spans="1:56" x14ac:dyDescent="0.2">
      <c r="BB64" s="339">
        <v>14</v>
      </c>
      <c r="BC64" s="339">
        <v>17</v>
      </c>
      <c r="BD64" s="340">
        <f t="shared" si="2"/>
        <v>16</v>
      </c>
    </row>
    <row r="65" spans="54:56" x14ac:dyDescent="0.2">
      <c r="BB65" s="339">
        <v>15</v>
      </c>
      <c r="BC65" s="339">
        <v>18</v>
      </c>
      <c r="BD65" s="340">
        <f t="shared" si="2"/>
        <v>17</v>
      </c>
    </row>
    <row r="66" spans="54:56" x14ac:dyDescent="0.2">
      <c r="BB66" s="339">
        <v>16</v>
      </c>
      <c r="BC66" s="339">
        <v>19</v>
      </c>
      <c r="BD66" s="340">
        <f t="shared" si="2"/>
        <v>18</v>
      </c>
    </row>
    <row r="67" spans="54:56" x14ac:dyDescent="0.2">
      <c r="BB67" s="339">
        <v>17</v>
      </c>
      <c r="BC67" s="339">
        <v>20</v>
      </c>
      <c r="BD67" s="340">
        <f t="shared" si="2"/>
        <v>19</v>
      </c>
    </row>
    <row r="68" spans="54:56" x14ac:dyDescent="0.2">
      <c r="BB68" s="339">
        <v>18</v>
      </c>
      <c r="BC68" s="339">
        <v>21</v>
      </c>
      <c r="BD68" s="340">
        <f t="shared" si="2"/>
        <v>20</v>
      </c>
    </row>
    <row r="69" spans="54:56" x14ac:dyDescent="0.2">
      <c r="BB69" s="339">
        <v>19</v>
      </c>
      <c r="BC69" s="339">
        <v>22</v>
      </c>
      <c r="BD69" s="340">
        <f t="shared" si="2"/>
        <v>21</v>
      </c>
    </row>
    <row r="70" spans="54:56" x14ac:dyDescent="0.2">
      <c r="BB70" s="339">
        <v>20</v>
      </c>
      <c r="BC70" s="339">
        <v>23</v>
      </c>
      <c r="BD70" s="340">
        <f t="shared" si="2"/>
        <v>22</v>
      </c>
    </row>
    <row r="71" spans="54:56" x14ac:dyDescent="0.2">
      <c r="BB71" s="339">
        <v>21</v>
      </c>
      <c r="BC71" s="339">
        <v>24</v>
      </c>
      <c r="BD71" s="340">
        <f t="shared" si="2"/>
        <v>23</v>
      </c>
    </row>
    <row r="72" spans="54:56" x14ac:dyDescent="0.2">
      <c r="BB72" s="339">
        <v>22</v>
      </c>
      <c r="BC72" s="339">
        <v>25</v>
      </c>
      <c r="BD72" s="340">
        <f t="shared" si="2"/>
        <v>24</v>
      </c>
    </row>
    <row r="73" spans="54:56" x14ac:dyDescent="0.2">
      <c r="BB73" s="339">
        <v>23</v>
      </c>
      <c r="BC73" s="339">
        <v>26</v>
      </c>
      <c r="BD73" s="340">
        <f>BB73+2</f>
        <v>25</v>
      </c>
    </row>
    <row r="74" spans="54:56" x14ac:dyDescent="0.2">
      <c r="BB74" s="339">
        <v>24</v>
      </c>
      <c r="BC74" s="339">
        <v>27</v>
      </c>
      <c r="BD74" s="340">
        <f>BB74+2</f>
        <v>26</v>
      </c>
    </row>
    <row r="75" spans="54:56" x14ac:dyDescent="0.2">
      <c r="BB75" s="339">
        <v>25</v>
      </c>
      <c r="BC75" s="339">
        <v>28</v>
      </c>
      <c r="BD75" s="340">
        <f>BB75+2</f>
        <v>27</v>
      </c>
    </row>
    <row r="76" spans="54:56" x14ac:dyDescent="0.2">
      <c r="BB76" s="339">
        <v>26</v>
      </c>
      <c r="BC76" s="339">
        <v>29</v>
      </c>
      <c r="BD76" s="340">
        <f>BB76+2</f>
        <v>28</v>
      </c>
    </row>
    <row r="77" spans="54:56" x14ac:dyDescent="0.2">
      <c r="BB77" s="339">
        <v>27</v>
      </c>
      <c r="BC77" s="339">
        <v>30</v>
      </c>
      <c r="BD77" s="340">
        <f>BB77+2</f>
        <v>29</v>
      </c>
    </row>
    <row r="78" spans="54:56" x14ac:dyDescent="0.2">
      <c r="BB78" s="339" t="s">
        <v>590</v>
      </c>
      <c r="BC78" s="339">
        <v>3</v>
      </c>
      <c r="BD78" s="340" t="s">
        <v>588</v>
      </c>
    </row>
    <row r="79" spans="54:56" x14ac:dyDescent="0.2">
      <c r="BB79" s="339" t="s">
        <v>589</v>
      </c>
      <c r="BC79" s="339">
        <v>2</v>
      </c>
      <c r="BD79" s="340">
        <v>1</v>
      </c>
    </row>
    <row r="80" spans="54:56" x14ac:dyDescent="0.2">
      <c r="BB80" s="339" t="s">
        <v>588</v>
      </c>
      <c r="BC80" s="339">
        <v>1</v>
      </c>
      <c r="BD80" s="340">
        <v>2</v>
      </c>
    </row>
  </sheetData>
  <protectedRanges>
    <protectedRange algorithmName="SHA-512" hashValue="8rM3jErz64DZP9htk3R0ssDLwPE6wwHVPpEaBDy5Te6z8+vEjUV+T6cVZ7WJUSqixSQmB66n3KZ1qFhNzpl69Q==" saltValue="nukNp4zgH1gGtN6z3L3KPA==" spinCount="100000" sqref="O12 G14 H18 H21 J27 C44:R46 C52:R54" name="Eingabefelder"/>
  </protectedRanges>
  <mergeCells count="40">
    <mergeCell ref="J38:K38"/>
    <mergeCell ref="N38:O38"/>
    <mergeCell ref="Q38:R38"/>
    <mergeCell ref="U10:Z11"/>
    <mergeCell ref="N29:O29"/>
    <mergeCell ref="J30:K30"/>
    <mergeCell ref="N30:O30"/>
    <mergeCell ref="J34:K34"/>
    <mergeCell ref="N34:R34"/>
    <mergeCell ref="J36:K36"/>
    <mergeCell ref="U19:AK22"/>
    <mergeCell ref="E10:J10"/>
    <mergeCell ref="O10:R10"/>
    <mergeCell ref="C21:G22"/>
    <mergeCell ref="H21:I21"/>
    <mergeCell ref="K21:R21"/>
    <mergeCell ref="K22:R22"/>
    <mergeCell ref="U24:AK30"/>
    <mergeCell ref="C25:R25"/>
    <mergeCell ref="J27:K27"/>
    <mergeCell ref="M27:S27"/>
    <mergeCell ref="J29:K29"/>
    <mergeCell ref="F12:H12"/>
    <mergeCell ref="O12:R12"/>
    <mergeCell ref="C18:G19"/>
    <mergeCell ref="H18:I18"/>
    <mergeCell ref="K18:R18"/>
    <mergeCell ref="K19:R19"/>
    <mergeCell ref="G14:R14"/>
    <mergeCell ref="B2:M2"/>
    <mergeCell ref="E6:F6"/>
    <mergeCell ref="E8:J8"/>
    <mergeCell ref="L8:N8"/>
    <mergeCell ref="O8:R8"/>
    <mergeCell ref="C46:R46"/>
    <mergeCell ref="C54:R54"/>
    <mergeCell ref="C45:R45"/>
    <mergeCell ref="C44:R44"/>
    <mergeCell ref="C53:R53"/>
    <mergeCell ref="C52:R52"/>
  </mergeCells>
  <conditionalFormatting sqref="C25 T25">
    <cfRule type="cellIs" dxfId="7" priority="11" stopIfTrue="1" operator="equal">
      <formula>"Unterschiedliche Ausbildungsanforderung"</formula>
    </cfRule>
  </conditionalFormatting>
  <conditionalFormatting sqref="M27 T27">
    <cfRule type="cellIs" dxfId="6" priority="9" stopIfTrue="1" operator="equal">
      <formula>"Lohn innerhalb Lohnbandgrenzen"</formula>
    </cfRule>
    <cfRule type="cellIs" dxfId="5" priority="10" stopIfTrue="1" operator="equal">
      <formula>""</formula>
    </cfRule>
  </conditionalFormatting>
  <conditionalFormatting sqref="M48">
    <cfRule type="cellIs" dxfId="4" priority="3" stopIfTrue="1" operator="equal">
      <formula>"Lohn innerhalb Lohnbandgrenzen"</formula>
    </cfRule>
    <cfRule type="cellIs" dxfId="3" priority="4" stopIfTrue="1" operator="equal">
      <formula>""</formula>
    </cfRule>
  </conditionalFormatting>
  <conditionalFormatting sqref="S48">
    <cfRule type="cellIs" dxfId="2" priority="1" stopIfTrue="1" operator="equal">
      <formula>"Lohn innerhalb Lohnbandgrenzen"</formula>
    </cfRule>
    <cfRule type="cellIs" dxfId="1" priority="2" stopIfTrue="1" operator="equal">
      <formula>""</formula>
    </cfRule>
  </conditionalFormatting>
  <dataValidations count="2">
    <dataValidation type="list" allowBlank="1" showInputMessage="1" showErrorMessage="1" sqref="K65495:L65495 JG65482:JH65482 TC65482:TD65482 ACY65482:ACZ65482 AMU65482:AMV65482 AWQ65482:AWR65482 BGM65482:BGN65482 BQI65482:BQJ65482 CAE65482:CAF65482 CKA65482:CKB65482 CTW65482:CTX65482 DDS65482:DDT65482 DNO65482:DNP65482 DXK65482:DXL65482 EHG65482:EHH65482 ERC65482:ERD65482 FAY65482:FAZ65482 FKU65482:FKV65482 FUQ65482:FUR65482 GEM65482:GEN65482 GOI65482:GOJ65482 GYE65482:GYF65482 HIA65482:HIB65482 HRW65482:HRX65482 IBS65482:IBT65482 ILO65482:ILP65482 IVK65482:IVL65482 JFG65482:JFH65482 JPC65482:JPD65482 JYY65482:JYZ65482 KIU65482:KIV65482 KSQ65482:KSR65482 LCM65482:LCN65482 LMI65482:LMJ65482 LWE65482:LWF65482 MGA65482:MGB65482 MPW65482:MPX65482 MZS65482:MZT65482 NJO65482:NJP65482 NTK65482:NTL65482 ODG65482:ODH65482 ONC65482:OND65482 OWY65482:OWZ65482 PGU65482:PGV65482 PQQ65482:PQR65482 QAM65482:QAN65482 QKI65482:QKJ65482 QUE65482:QUF65482 REA65482:REB65482 RNW65482:RNX65482 RXS65482:RXT65482 SHO65482:SHP65482 SRK65482:SRL65482 TBG65482:TBH65482 TLC65482:TLD65482 TUY65482:TUZ65482 UEU65482:UEV65482 UOQ65482:UOR65482 UYM65482:UYN65482 VII65482:VIJ65482 VSE65482:VSF65482 WCA65482:WCB65482 WLW65482:WLX65482 WVS65482:WVT65482 K131031:L131031 JG131018:JH131018 TC131018:TD131018 ACY131018:ACZ131018 AMU131018:AMV131018 AWQ131018:AWR131018 BGM131018:BGN131018 BQI131018:BQJ131018 CAE131018:CAF131018 CKA131018:CKB131018 CTW131018:CTX131018 DDS131018:DDT131018 DNO131018:DNP131018 DXK131018:DXL131018 EHG131018:EHH131018 ERC131018:ERD131018 FAY131018:FAZ131018 FKU131018:FKV131018 FUQ131018:FUR131018 GEM131018:GEN131018 GOI131018:GOJ131018 GYE131018:GYF131018 HIA131018:HIB131018 HRW131018:HRX131018 IBS131018:IBT131018 ILO131018:ILP131018 IVK131018:IVL131018 JFG131018:JFH131018 JPC131018:JPD131018 JYY131018:JYZ131018 KIU131018:KIV131018 KSQ131018:KSR131018 LCM131018:LCN131018 LMI131018:LMJ131018 LWE131018:LWF131018 MGA131018:MGB131018 MPW131018:MPX131018 MZS131018:MZT131018 NJO131018:NJP131018 NTK131018:NTL131018 ODG131018:ODH131018 ONC131018:OND131018 OWY131018:OWZ131018 PGU131018:PGV131018 PQQ131018:PQR131018 QAM131018:QAN131018 QKI131018:QKJ131018 QUE131018:QUF131018 REA131018:REB131018 RNW131018:RNX131018 RXS131018:RXT131018 SHO131018:SHP131018 SRK131018:SRL131018 TBG131018:TBH131018 TLC131018:TLD131018 TUY131018:TUZ131018 UEU131018:UEV131018 UOQ131018:UOR131018 UYM131018:UYN131018 VII131018:VIJ131018 VSE131018:VSF131018 WCA131018:WCB131018 WLW131018:WLX131018 WVS131018:WVT131018 K196567:L196567 JG196554:JH196554 TC196554:TD196554 ACY196554:ACZ196554 AMU196554:AMV196554 AWQ196554:AWR196554 BGM196554:BGN196554 BQI196554:BQJ196554 CAE196554:CAF196554 CKA196554:CKB196554 CTW196554:CTX196554 DDS196554:DDT196554 DNO196554:DNP196554 DXK196554:DXL196554 EHG196554:EHH196554 ERC196554:ERD196554 FAY196554:FAZ196554 FKU196554:FKV196554 FUQ196554:FUR196554 GEM196554:GEN196554 GOI196554:GOJ196554 GYE196554:GYF196554 HIA196554:HIB196554 HRW196554:HRX196554 IBS196554:IBT196554 ILO196554:ILP196554 IVK196554:IVL196554 JFG196554:JFH196554 JPC196554:JPD196554 JYY196554:JYZ196554 KIU196554:KIV196554 KSQ196554:KSR196554 LCM196554:LCN196554 LMI196554:LMJ196554 LWE196554:LWF196554 MGA196554:MGB196554 MPW196554:MPX196554 MZS196554:MZT196554 NJO196554:NJP196554 NTK196554:NTL196554 ODG196554:ODH196554 ONC196554:OND196554 OWY196554:OWZ196554 PGU196554:PGV196554 PQQ196554:PQR196554 QAM196554:QAN196554 QKI196554:QKJ196554 QUE196554:QUF196554 REA196554:REB196554 RNW196554:RNX196554 RXS196554:RXT196554 SHO196554:SHP196554 SRK196554:SRL196554 TBG196554:TBH196554 TLC196554:TLD196554 TUY196554:TUZ196554 UEU196554:UEV196554 UOQ196554:UOR196554 UYM196554:UYN196554 VII196554:VIJ196554 VSE196554:VSF196554 WCA196554:WCB196554 WLW196554:WLX196554 WVS196554:WVT196554 K262103:L262103 JG262090:JH262090 TC262090:TD262090 ACY262090:ACZ262090 AMU262090:AMV262090 AWQ262090:AWR262090 BGM262090:BGN262090 BQI262090:BQJ262090 CAE262090:CAF262090 CKA262090:CKB262090 CTW262090:CTX262090 DDS262090:DDT262090 DNO262090:DNP262090 DXK262090:DXL262090 EHG262090:EHH262090 ERC262090:ERD262090 FAY262090:FAZ262090 FKU262090:FKV262090 FUQ262090:FUR262090 GEM262090:GEN262090 GOI262090:GOJ262090 GYE262090:GYF262090 HIA262090:HIB262090 HRW262090:HRX262090 IBS262090:IBT262090 ILO262090:ILP262090 IVK262090:IVL262090 JFG262090:JFH262090 JPC262090:JPD262090 JYY262090:JYZ262090 KIU262090:KIV262090 KSQ262090:KSR262090 LCM262090:LCN262090 LMI262090:LMJ262090 LWE262090:LWF262090 MGA262090:MGB262090 MPW262090:MPX262090 MZS262090:MZT262090 NJO262090:NJP262090 NTK262090:NTL262090 ODG262090:ODH262090 ONC262090:OND262090 OWY262090:OWZ262090 PGU262090:PGV262090 PQQ262090:PQR262090 QAM262090:QAN262090 QKI262090:QKJ262090 QUE262090:QUF262090 REA262090:REB262090 RNW262090:RNX262090 RXS262090:RXT262090 SHO262090:SHP262090 SRK262090:SRL262090 TBG262090:TBH262090 TLC262090:TLD262090 TUY262090:TUZ262090 UEU262090:UEV262090 UOQ262090:UOR262090 UYM262090:UYN262090 VII262090:VIJ262090 VSE262090:VSF262090 WCA262090:WCB262090 WLW262090:WLX262090 WVS262090:WVT262090 K327639:L327639 JG327626:JH327626 TC327626:TD327626 ACY327626:ACZ327626 AMU327626:AMV327626 AWQ327626:AWR327626 BGM327626:BGN327626 BQI327626:BQJ327626 CAE327626:CAF327626 CKA327626:CKB327626 CTW327626:CTX327626 DDS327626:DDT327626 DNO327626:DNP327626 DXK327626:DXL327626 EHG327626:EHH327626 ERC327626:ERD327626 FAY327626:FAZ327626 FKU327626:FKV327626 FUQ327626:FUR327626 GEM327626:GEN327626 GOI327626:GOJ327626 GYE327626:GYF327626 HIA327626:HIB327626 HRW327626:HRX327626 IBS327626:IBT327626 ILO327626:ILP327626 IVK327626:IVL327626 JFG327626:JFH327626 JPC327626:JPD327626 JYY327626:JYZ327626 KIU327626:KIV327626 KSQ327626:KSR327626 LCM327626:LCN327626 LMI327626:LMJ327626 LWE327626:LWF327626 MGA327626:MGB327626 MPW327626:MPX327626 MZS327626:MZT327626 NJO327626:NJP327626 NTK327626:NTL327626 ODG327626:ODH327626 ONC327626:OND327626 OWY327626:OWZ327626 PGU327626:PGV327626 PQQ327626:PQR327626 QAM327626:QAN327626 QKI327626:QKJ327626 QUE327626:QUF327626 REA327626:REB327626 RNW327626:RNX327626 RXS327626:RXT327626 SHO327626:SHP327626 SRK327626:SRL327626 TBG327626:TBH327626 TLC327626:TLD327626 TUY327626:TUZ327626 UEU327626:UEV327626 UOQ327626:UOR327626 UYM327626:UYN327626 VII327626:VIJ327626 VSE327626:VSF327626 WCA327626:WCB327626 WLW327626:WLX327626 WVS327626:WVT327626 K393175:L393175 JG393162:JH393162 TC393162:TD393162 ACY393162:ACZ393162 AMU393162:AMV393162 AWQ393162:AWR393162 BGM393162:BGN393162 BQI393162:BQJ393162 CAE393162:CAF393162 CKA393162:CKB393162 CTW393162:CTX393162 DDS393162:DDT393162 DNO393162:DNP393162 DXK393162:DXL393162 EHG393162:EHH393162 ERC393162:ERD393162 FAY393162:FAZ393162 FKU393162:FKV393162 FUQ393162:FUR393162 GEM393162:GEN393162 GOI393162:GOJ393162 GYE393162:GYF393162 HIA393162:HIB393162 HRW393162:HRX393162 IBS393162:IBT393162 ILO393162:ILP393162 IVK393162:IVL393162 JFG393162:JFH393162 JPC393162:JPD393162 JYY393162:JYZ393162 KIU393162:KIV393162 KSQ393162:KSR393162 LCM393162:LCN393162 LMI393162:LMJ393162 LWE393162:LWF393162 MGA393162:MGB393162 MPW393162:MPX393162 MZS393162:MZT393162 NJO393162:NJP393162 NTK393162:NTL393162 ODG393162:ODH393162 ONC393162:OND393162 OWY393162:OWZ393162 PGU393162:PGV393162 PQQ393162:PQR393162 QAM393162:QAN393162 QKI393162:QKJ393162 QUE393162:QUF393162 REA393162:REB393162 RNW393162:RNX393162 RXS393162:RXT393162 SHO393162:SHP393162 SRK393162:SRL393162 TBG393162:TBH393162 TLC393162:TLD393162 TUY393162:TUZ393162 UEU393162:UEV393162 UOQ393162:UOR393162 UYM393162:UYN393162 VII393162:VIJ393162 VSE393162:VSF393162 WCA393162:WCB393162 WLW393162:WLX393162 WVS393162:WVT393162 K458711:L458711 JG458698:JH458698 TC458698:TD458698 ACY458698:ACZ458698 AMU458698:AMV458698 AWQ458698:AWR458698 BGM458698:BGN458698 BQI458698:BQJ458698 CAE458698:CAF458698 CKA458698:CKB458698 CTW458698:CTX458698 DDS458698:DDT458698 DNO458698:DNP458698 DXK458698:DXL458698 EHG458698:EHH458698 ERC458698:ERD458698 FAY458698:FAZ458698 FKU458698:FKV458698 FUQ458698:FUR458698 GEM458698:GEN458698 GOI458698:GOJ458698 GYE458698:GYF458698 HIA458698:HIB458698 HRW458698:HRX458698 IBS458698:IBT458698 ILO458698:ILP458698 IVK458698:IVL458698 JFG458698:JFH458698 JPC458698:JPD458698 JYY458698:JYZ458698 KIU458698:KIV458698 KSQ458698:KSR458698 LCM458698:LCN458698 LMI458698:LMJ458698 LWE458698:LWF458698 MGA458698:MGB458698 MPW458698:MPX458698 MZS458698:MZT458698 NJO458698:NJP458698 NTK458698:NTL458698 ODG458698:ODH458698 ONC458698:OND458698 OWY458698:OWZ458698 PGU458698:PGV458698 PQQ458698:PQR458698 QAM458698:QAN458698 QKI458698:QKJ458698 QUE458698:QUF458698 REA458698:REB458698 RNW458698:RNX458698 RXS458698:RXT458698 SHO458698:SHP458698 SRK458698:SRL458698 TBG458698:TBH458698 TLC458698:TLD458698 TUY458698:TUZ458698 UEU458698:UEV458698 UOQ458698:UOR458698 UYM458698:UYN458698 VII458698:VIJ458698 VSE458698:VSF458698 WCA458698:WCB458698 WLW458698:WLX458698 WVS458698:WVT458698 K524247:L524247 JG524234:JH524234 TC524234:TD524234 ACY524234:ACZ524234 AMU524234:AMV524234 AWQ524234:AWR524234 BGM524234:BGN524234 BQI524234:BQJ524234 CAE524234:CAF524234 CKA524234:CKB524234 CTW524234:CTX524234 DDS524234:DDT524234 DNO524234:DNP524234 DXK524234:DXL524234 EHG524234:EHH524234 ERC524234:ERD524234 FAY524234:FAZ524234 FKU524234:FKV524234 FUQ524234:FUR524234 GEM524234:GEN524234 GOI524234:GOJ524234 GYE524234:GYF524234 HIA524234:HIB524234 HRW524234:HRX524234 IBS524234:IBT524234 ILO524234:ILP524234 IVK524234:IVL524234 JFG524234:JFH524234 JPC524234:JPD524234 JYY524234:JYZ524234 KIU524234:KIV524234 KSQ524234:KSR524234 LCM524234:LCN524234 LMI524234:LMJ524234 LWE524234:LWF524234 MGA524234:MGB524234 MPW524234:MPX524234 MZS524234:MZT524234 NJO524234:NJP524234 NTK524234:NTL524234 ODG524234:ODH524234 ONC524234:OND524234 OWY524234:OWZ524234 PGU524234:PGV524234 PQQ524234:PQR524234 QAM524234:QAN524234 QKI524234:QKJ524234 QUE524234:QUF524234 REA524234:REB524234 RNW524234:RNX524234 RXS524234:RXT524234 SHO524234:SHP524234 SRK524234:SRL524234 TBG524234:TBH524234 TLC524234:TLD524234 TUY524234:TUZ524234 UEU524234:UEV524234 UOQ524234:UOR524234 UYM524234:UYN524234 VII524234:VIJ524234 VSE524234:VSF524234 WCA524234:WCB524234 WLW524234:WLX524234 WVS524234:WVT524234 K589783:L589783 JG589770:JH589770 TC589770:TD589770 ACY589770:ACZ589770 AMU589770:AMV589770 AWQ589770:AWR589770 BGM589770:BGN589770 BQI589770:BQJ589770 CAE589770:CAF589770 CKA589770:CKB589770 CTW589770:CTX589770 DDS589770:DDT589770 DNO589770:DNP589770 DXK589770:DXL589770 EHG589770:EHH589770 ERC589770:ERD589770 FAY589770:FAZ589770 FKU589770:FKV589770 FUQ589770:FUR589770 GEM589770:GEN589770 GOI589770:GOJ589770 GYE589770:GYF589770 HIA589770:HIB589770 HRW589770:HRX589770 IBS589770:IBT589770 ILO589770:ILP589770 IVK589770:IVL589770 JFG589770:JFH589770 JPC589770:JPD589770 JYY589770:JYZ589770 KIU589770:KIV589770 KSQ589770:KSR589770 LCM589770:LCN589770 LMI589770:LMJ589770 LWE589770:LWF589770 MGA589770:MGB589770 MPW589770:MPX589770 MZS589770:MZT589770 NJO589770:NJP589770 NTK589770:NTL589770 ODG589770:ODH589770 ONC589770:OND589770 OWY589770:OWZ589770 PGU589770:PGV589770 PQQ589770:PQR589770 QAM589770:QAN589770 QKI589770:QKJ589770 QUE589770:QUF589770 REA589770:REB589770 RNW589770:RNX589770 RXS589770:RXT589770 SHO589770:SHP589770 SRK589770:SRL589770 TBG589770:TBH589770 TLC589770:TLD589770 TUY589770:TUZ589770 UEU589770:UEV589770 UOQ589770:UOR589770 UYM589770:UYN589770 VII589770:VIJ589770 VSE589770:VSF589770 WCA589770:WCB589770 WLW589770:WLX589770 WVS589770:WVT589770 K655319:L655319 JG655306:JH655306 TC655306:TD655306 ACY655306:ACZ655306 AMU655306:AMV655306 AWQ655306:AWR655306 BGM655306:BGN655306 BQI655306:BQJ655306 CAE655306:CAF655306 CKA655306:CKB655306 CTW655306:CTX655306 DDS655306:DDT655306 DNO655306:DNP655306 DXK655306:DXL655306 EHG655306:EHH655306 ERC655306:ERD655306 FAY655306:FAZ655306 FKU655306:FKV655306 FUQ655306:FUR655306 GEM655306:GEN655306 GOI655306:GOJ655306 GYE655306:GYF655306 HIA655306:HIB655306 HRW655306:HRX655306 IBS655306:IBT655306 ILO655306:ILP655306 IVK655306:IVL655306 JFG655306:JFH655306 JPC655306:JPD655306 JYY655306:JYZ655306 KIU655306:KIV655306 KSQ655306:KSR655306 LCM655306:LCN655306 LMI655306:LMJ655306 LWE655306:LWF655306 MGA655306:MGB655306 MPW655306:MPX655306 MZS655306:MZT655306 NJO655306:NJP655306 NTK655306:NTL655306 ODG655306:ODH655306 ONC655306:OND655306 OWY655306:OWZ655306 PGU655306:PGV655306 PQQ655306:PQR655306 QAM655306:QAN655306 QKI655306:QKJ655306 QUE655306:QUF655306 REA655306:REB655306 RNW655306:RNX655306 RXS655306:RXT655306 SHO655306:SHP655306 SRK655306:SRL655306 TBG655306:TBH655306 TLC655306:TLD655306 TUY655306:TUZ655306 UEU655306:UEV655306 UOQ655306:UOR655306 UYM655306:UYN655306 VII655306:VIJ655306 VSE655306:VSF655306 WCA655306:WCB655306 WLW655306:WLX655306 WVS655306:WVT655306 K720855:L720855 JG720842:JH720842 TC720842:TD720842 ACY720842:ACZ720842 AMU720842:AMV720842 AWQ720842:AWR720842 BGM720842:BGN720842 BQI720842:BQJ720842 CAE720842:CAF720842 CKA720842:CKB720842 CTW720842:CTX720842 DDS720842:DDT720842 DNO720842:DNP720842 DXK720842:DXL720842 EHG720842:EHH720842 ERC720842:ERD720842 FAY720842:FAZ720842 FKU720842:FKV720842 FUQ720842:FUR720842 GEM720842:GEN720842 GOI720842:GOJ720842 GYE720842:GYF720842 HIA720842:HIB720842 HRW720842:HRX720842 IBS720842:IBT720842 ILO720842:ILP720842 IVK720842:IVL720842 JFG720842:JFH720842 JPC720842:JPD720842 JYY720842:JYZ720842 KIU720842:KIV720842 KSQ720842:KSR720842 LCM720842:LCN720842 LMI720842:LMJ720842 LWE720842:LWF720842 MGA720842:MGB720842 MPW720842:MPX720842 MZS720842:MZT720842 NJO720842:NJP720842 NTK720842:NTL720842 ODG720842:ODH720842 ONC720842:OND720842 OWY720842:OWZ720842 PGU720842:PGV720842 PQQ720842:PQR720842 QAM720842:QAN720842 QKI720842:QKJ720842 QUE720842:QUF720842 REA720842:REB720842 RNW720842:RNX720842 RXS720842:RXT720842 SHO720842:SHP720842 SRK720842:SRL720842 TBG720842:TBH720842 TLC720842:TLD720842 TUY720842:TUZ720842 UEU720842:UEV720842 UOQ720842:UOR720842 UYM720842:UYN720842 VII720842:VIJ720842 VSE720842:VSF720842 WCA720842:WCB720842 WLW720842:WLX720842 WVS720842:WVT720842 K786391:L786391 JG786378:JH786378 TC786378:TD786378 ACY786378:ACZ786378 AMU786378:AMV786378 AWQ786378:AWR786378 BGM786378:BGN786378 BQI786378:BQJ786378 CAE786378:CAF786378 CKA786378:CKB786378 CTW786378:CTX786378 DDS786378:DDT786378 DNO786378:DNP786378 DXK786378:DXL786378 EHG786378:EHH786378 ERC786378:ERD786378 FAY786378:FAZ786378 FKU786378:FKV786378 FUQ786378:FUR786378 GEM786378:GEN786378 GOI786378:GOJ786378 GYE786378:GYF786378 HIA786378:HIB786378 HRW786378:HRX786378 IBS786378:IBT786378 ILO786378:ILP786378 IVK786378:IVL786378 JFG786378:JFH786378 JPC786378:JPD786378 JYY786378:JYZ786378 KIU786378:KIV786378 KSQ786378:KSR786378 LCM786378:LCN786378 LMI786378:LMJ786378 LWE786378:LWF786378 MGA786378:MGB786378 MPW786378:MPX786378 MZS786378:MZT786378 NJO786378:NJP786378 NTK786378:NTL786378 ODG786378:ODH786378 ONC786378:OND786378 OWY786378:OWZ786378 PGU786378:PGV786378 PQQ786378:PQR786378 QAM786378:QAN786378 QKI786378:QKJ786378 QUE786378:QUF786378 REA786378:REB786378 RNW786378:RNX786378 RXS786378:RXT786378 SHO786378:SHP786378 SRK786378:SRL786378 TBG786378:TBH786378 TLC786378:TLD786378 TUY786378:TUZ786378 UEU786378:UEV786378 UOQ786378:UOR786378 UYM786378:UYN786378 VII786378:VIJ786378 VSE786378:VSF786378 WCA786378:WCB786378 WLW786378:WLX786378 WVS786378:WVT786378 K851927:L851927 JG851914:JH851914 TC851914:TD851914 ACY851914:ACZ851914 AMU851914:AMV851914 AWQ851914:AWR851914 BGM851914:BGN851914 BQI851914:BQJ851914 CAE851914:CAF851914 CKA851914:CKB851914 CTW851914:CTX851914 DDS851914:DDT851914 DNO851914:DNP851914 DXK851914:DXL851914 EHG851914:EHH851914 ERC851914:ERD851914 FAY851914:FAZ851914 FKU851914:FKV851914 FUQ851914:FUR851914 GEM851914:GEN851914 GOI851914:GOJ851914 GYE851914:GYF851914 HIA851914:HIB851914 HRW851914:HRX851914 IBS851914:IBT851914 ILO851914:ILP851914 IVK851914:IVL851914 JFG851914:JFH851914 JPC851914:JPD851914 JYY851914:JYZ851914 KIU851914:KIV851914 KSQ851914:KSR851914 LCM851914:LCN851914 LMI851914:LMJ851914 LWE851914:LWF851914 MGA851914:MGB851914 MPW851914:MPX851914 MZS851914:MZT851914 NJO851914:NJP851914 NTK851914:NTL851914 ODG851914:ODH851914 ONC851914:OND851914 OWY851914:OWZ851914 PGU851914:PGV851914 PQQ851914:PQR851914 QAM851914:QAN851914 QKI851914:QKJ851914 QUE851914:QUF851914 REA851914:REB851914 RNW851914:RNX851914 RXS851914:RXT851914 SHO851914:SHP851914 SRK851914:SRL851914 TBG851914:TBH851914 TLC851914:TLD851914 TUY851914:TUZ851914 UEU851914:UEV851914 UOQ851914:UOR851914 UYM851914:UYN851914 VII851914:VIJ851914 VSE851914:VSF851914 WCA851914:WCB851914 WLW851914:WLX851914 WVS851914:WVT851914 K917463:L917463 JG917450:JH917450 TC917450:TD917450 ACY917450:ACZ917450 AMU917450:AMV917450 AWQ917450:AWR917450 BGM917450:BGN917450 BQI917450:BQJ917450 CAE917450:CAF917450 CKA917450:CKB917450 CTW917450:CTX917450 DDS917450:DDT917450 DNO917450:DNP917450 DXK917450:DXL917450 EHG917450:EHH917450 ERC917450:ERD917450 FAY917450:FAZ917450 FKU917450:FKV917450 FUQ917450:FUR917450 GEM917450:GEN917450 GOI917450:GOJ917450 GYE917450:GYF917450 HIA917450:HIB917450 HRW917450:HRX917450 IBS917450:IBT917450 ILO917450:ILP917450 IVK917450:IVL917450 JFG917450:JFH917450 JPC917450:JPD917450 JYY917450:JYZ917450 KIU917450:KIV917450 KSQ917450:KSR917450 LCM917450:LCN917450 LMI917450:LMJ917450 LWE917450:LWF917450 MGA917450:MGB917450 MPW917450:MPX917450 MZS917450:MZT917450 NJO917450:NJP917450 NTK917450:NTL917450 ODG917450:ODH917450 ONC917450:OND917450 OWY917450:OWZ917450 PGU917450:PGV917450 PQQ917450:PQR917450 QAM917450:QAN917450 QKI917450:QKJ917450 QUE917450:QUF917450 REA917450:REB917450 RNW917450:RNX917450 RXS917450:RXT917450 SHO917450:SHP917450 SRK917450:SRL917450 TBG917450:TBH917450 TLC917450:TLD917450 TUY917450:TUZ917450 UEU917450:UEV917450 UOQ917450:UOR917450 UYM917450:UYN917450 VII917450:VIJ917450 VSE917450:VSF917450 WCA917450:WCB917450 WLW917450:WLX917450 WVS917450:WVT917450 K982999:L982999 JG982986:JH982986 TC982986:TD982986 ACY982986:ACZ982986 AMU982986:AMV982986 AWQ982986:AWR982986 BGM982986:BGN982986 BQI982986:BQJ982986 CAE982986:CAF982986 CKA982986:CKB982986 CTW982986:CTX982986 DDS982986:DDT982986 DNO982986:DNP982986 DXK982986:DXL982986 EHG982986:EHH982986 ERC982986:ERD982986 FAY982986:FAZ982986 FKU982986:FKV982986 FUQ982986:FUR982986 GEM982986:GEN982986 GOI982986:GOJ982986 GYE982986:GYF982986 HIA982986:HIB982986 HRW982986:HRX982986 IBS982986:IBT982986 ILO982986:ILP982986 IVK982986:IVL982986 JFG982986:JFH982986 JPC982986:JPD982986 JYY982986:JYZ982986 KIU982986:KIV982986 KSQ982986:KSR982986 LCM982986:LCN982986 LMI982986:LMJ982986 LWE982986:LWF982986 MGA982986:MGB982986 MPW982986:MPX982986 MZS982986:MZT982986 NJO982986:NJP982986 NTK982986:NTL982986 ODG982986:ODH982986 ONC982986:OND982986 OWY982986:OWZ982986 PGU982986:PGV982986 PQQ982986:PQR982986 QAM982986:QAN982986 QKI982986:QKJ982986 QUE982986:QUF982986 REA982986:REB982986 RNW982986:RNX982986 RXS982986:RXT982986 SHO982986:SHP982986 SRK982986:SRL982986 TBG982986:TBH982986 TLC982986:TLD982986 TUY982986:TUZ982986 UEU982986:UEV982986 UOQ982986:UOR982986 UYM982986:UYN982986 VII982986:VIJ982986 VSE982986:VSF982986 WCA982986:WCB982986 WLW982986:WLX982986 WVS982986:WVT982986 K65497:L65497 JG65484:JH65484 TC65484:TD65484 ACY65484:ACZ65484 AMU65484:AMV65484 AWQ65484:AWR65484 BGM65484:BGN65484 BQI65484:BQJ65484 CAE65484:CAF65484 CKA65484:CKB65484 CTW65484:CTX65484 DDS65484:DDT65484 DNO65484:DNP65484 DXK65484:DXL65484 EHG65484:EHH65484 ERC65484:ERD65484 FAY65484:FAZ65484 FKU65484:FKV65484 FUQ65484:FUR65484 GEM65484:GEN65484 GOI65484:GOJ65484 GYE65484:GYF65484 HIA65484:HIB65484 HRW65484:HRX65484 IBS65484:IBT65484 ILO65484:ILP65484 IVK65484:IVL65484 JFG65484:JFH65484 JPC65484:JPD65484 JYY65484:JYZ65484 KIU65484:KIV65484 KSQ65484:KSR65484 LCM65484:LCN65484 LMI65484:LMJ65484 LWE65484:LWF65484 MGA65484:MGB65484 MPW65484:MPX65484 MZS65484:MZT65484 NJO65484:NJP65484 NTK65484:NTL65484 ODG65484:ODH65484 ONC65484:OND65484 OWY65484:OWZ65484 PGU65484:PGV65484 PQQ65484:PQR65484 QAM65484:QAN65484 QKI65484:QKJ65484 QUE65484:QUF65484 REA65484:REB65484 RNW65484:RNX65484 RXS65484:RXT65484 SHO65484:SHP65484 SRK65484:SRL65484 TBG65484:TBH65484 TLC65484:TLD65484 TUY65484:TUZ65484 UEU65484:UEV65484 UOQ65484:UOR65484 UYM65484:UYN65484 VII65484:VIJ65484 VSE65484:VSF65484 WCA65484:WCB65484 WLW65484:WLX65484 WVS65484:WVT65484 K131033:L131033 JG131020:JH131020 TC131020:TD131020 ACY131020:ACZ131020 AMU131020:AMV131020 AWQ131020:AWR131020 BGM131020:BGN131020 BQI131020:BQJ131020 CAE131020:CAF131020 CKA131020:CKB131020 CTW131020:CTX131020 DDS131020:DDT131020 DNO131020:DNP131020 DXK131020:DXL131020 EHG131020:EHH131020 ERC131020:ERD131020 FAY131020:FAZ131020 FKU131020:FKV131020 FUQ131020:FUR131020 GEM131020:GEN131020 GOI131020:GOJ131020 GYE131020:GYF131020 HIA131020:HIB131020 HRW131020:HRX131020 IBS131020:IBT131020 ILO131020:ILP131020 IVK131020:IVL131020 JFG131020:JFH131020 JPC131020:JPD131020 JYY131020:JYZ131020 KIU131020:KIV131020 KSQ131020:KSR131020 LCM131020:LCN131020 LMI131020:LMJ131020 LWE131020:LWF131020 MGA131020:MGB131020 MPW131020:MPX131020 MZS131020:MZT131020 NJO131020:NJP131020 NTK131020:NTL131020 ODG131020:ODH131020 ONC131020:OND131020 OWY131020:OWZ131020 PGU131020:PGV131020 PQQ131020:PQR131020 QAM131020:QAN131020 QKI131020:QKJ131020 QUE131020:QUF131020 REA131020:REB131020 RNW131020:RNX131020 RXS131020:RXT131020 SHO131020:SHP131020 SRK131020:SRL131020 TBG131020:TBH131020 TLC131020:TLD131020 TUY131020:TUZ131020 UEU131020:UEV131020 UOQ131020:UOR131020 UYM131020:UYN131020 VII131020:VIJ131020 VSE131020:VSF131020 WCA131020:WCB131020 WLW131020:WLX131020 WVS131020:WVT131020 K196569:L196569 JG196556:JH196556 TC196556:TD196556 ACY196556:ACZ196556 AMU196556:AMV196556 AWQ196556:AWR196556 BGM196556:BGN196556 BQI196556:BQJ196556 CAE196556:CAF196556 CKA196556:CKB196556 CTW196556:CTX196556 DDS196556:DDT196556 DNO196556:DNP196556 DXK196556:DXL196556 EHG196556:EHH196556 ERC196556:ERD196556 FAY196556:FAZ196556 FKU196556:FKV196556 FUQ196556:FUR196556 GEM196556:GEN196556 GOI196556:GOJ196556 GYE196556:GYF196556 HIA196556:HIB196556 HRW196556:HRX196556 IBS196556:IBT196556 ILO196556:ILP196556 IVK196556:IVL196556 JFG196556:JFH196556 JPC196556:JPD196556 JYY196556:JYZ196556 KIU196556:KIV196556 KSQ196556:KSR196556 LCM196556:LCN196556 LMI196556:LMJ196556 LWE196556:LWF196556 MGA196556:MGB196556 MPW196556:MPX196556 MZS196556:MZT196556 NJO196556:NJP196556 NTK196556:NTL196556 ODG196556:ODH196556 ONC196556:OND196556 OWY196556:OWZ196556 PGU196556:PGV196556 PQQ196556:PQR196556 QAM196556:QAN196556 QKI196556:QKJ196556 QUE196556:QUF196556 REA196556:REB196556 RNW196556:RNX196556 RXS196556:RXT196556 SHO196556:SHP196556 SRK196556:SRL196556 TBG196556:TBH196556 TLC196556:TLD196556 TUY196556:TUZ196556 UEU196556:UEV196556 UOQ196556:UOR196556 UYM196556:UYN196556 VII196556:VIJ196556 VSE196556:VSF196556 WCA196556:WCB196556 WLW196556:WLX196556 WVS196556:WVT196556 K262105:L262105 JG262092:JH262092 TC262092:TD262092 ACY262092:ACZ262092 AMU262092:AMV262092 AWQ262092:AWR262092 BGM262092:BGN262092 BQI262092:BQJ262092 CAE262092:CAF262092 CKA262092:CKB262092 CTW262092:CTX262092 DDS262092:DDT262092 DNO262092:DNP262092 DXK262092:DXL262092 EHG262092:EHH262092 ERC262092:ERD262092 FAY262092:FAZ262092 FKU262092:FKV262092 FUQ262092:FUR262092 GEM262092:GEN262092 GOI262092:GOJ262092 GYE262092:GYF262092 HIA262092:HIB262092 HRW262092:HRX262092 IBS262092:IBT262092 ILO262092:ILP262092 IVK262092:IVL262092 JFG262092:JFH262092 JPC262092:JPD262092 JYY262092:JYZ262092 KIU262092:KIV262092 KSQ262092:KSR262092 LCM262092:LCN262092 LMI262092:LMJ262092 LWE262092:LWF262092 MGA262092:MGB262092 MPW262092:MPX262092 MZS262092:MZT262092 NJO262092:NJP262092 NTK262092:NTL262092 ODG262092:ODH262092 ONC262092:OND262092 OWY262092:OWZ262092 PGU262092:PGV262092 PQQ262092:PQR262092 QAM262092:QAN262092 QKI262092:QKJ262092 QUE262092:QUF262092 REA262092:REB262092 RNW262092:RNX262092 RXS262092:RXT262092 SHO262092:SHP262092 SRK262092:SRL262092 TBG262092:TBH262092 TLC262092:TLD262092 TUY262092:TUZ262092 UEU262092:UEV262092 UOQ262092:UOR262092 UYM262092:UYN262092 VII262092:VIJ262092 VSE262092:VSF262092 WCA262092:WCB262092 WLW262092:WLX262092 WVS262092:WVT262092 K327641:L327641 JG327628:JH327628 TC327628:TD327628 ACY327628:ACZ327628 AMU327628:AMV327628 AWQ327628:AWR327628 BGM327628:BGN327628 BQI327628:BQJ327628 CAE327628:CAF327628 CKA327628:CKB327628 CTW327628:CTX327628 DDS327628:DDT327628 DNO327628:DNP327628 DXK327628:DXL327628 EHG327628:EHH327628 ERC327628:ERD327628 FAY327628:FAZ327628 FKU327628:FKV327628 FUQ327628:FUR327628 GEM327628:GEN327628 GOI327628:GOJ327628 GYE327628:GYF327628 HIA327628:HIB327628 HRW327628:HRX327628 IBS327628:IBT327628 ILO327628:ILP327628 IVK327628:IVL327628 JFG327628:JFH327628 JPC327628:JPD327628 JYY327628:JYZ327628 KIU327628:KIV327628 KSQ327628:KSR327628 LCM327628:LCN327628 LMI327628:LMJ327628 LWE327628:LWF327628 MGA327628:MGB327628 MPW327628:MPX327628 MZS327628:MZT327628 NJO327628:NJP327628 NTK327628:NTL327628 ODG327628:ODH327628 ONC327628:OND327628 OWY327628:OWZ327628 PGU327628:PGV327628 PQQ327628:PQR327628 QAM327628:QAN327628 QKI327628:QKJ327628 QUE327628:QUF327628 REA327628:REB327628 RNW327628:RNX327628 RXS327628:RXT327628 SHO327628:SHP327628 SRK327628:SRL327628 TBG327628:TBH327628 TLC327628:TLD327628 TUY327628:TUZ327628 UEU327628:UEV327628 UOQ327628:UOR327628 UYM327628:UYN327628 VII327628:VIJ327628 VSE327628:VSF327628 WCA327628:WCB327628 WLW327628:WLX327628 WVS327628:WVT327628 K393177:L393177 JG393164:JH393164 TC393164:TD393164 ACY393164:ACZ393164 AMU393164:AMV393164 AWQ393164:AWR393164 BGM393164:BGN393164 BQI393164:BQJ393164 CAE393164:CAF393164 CKA393164:CKB393164 CTW393164:CTX393164 DDS393164:DDT393164 DNO393164:DNP393164 DXK393164:DXL393164 EHG393164:EHH393164 ERC393164:ERD393164 FAY393164:FAZ393164 FKU393164:FKV393164 FUQ393164:FUR393164 GEM393164:GEN393164 GOI393164:GOJ393164 GYE393164:GYF393164 HIA393164:HIB393164 HRW393164:HRX393164 IBS393164:IBT393164 ILO393164:ILP393164 IVK393164:IVL393164 JFG393164:JFH393164 JPC393164:JPD393164 JYY393164:JYZ393164 KIU393164:KIV393164 KSQ393164:KSR393164 LCM393164:LCN393164 LMI393164:LMJ393164 LWE393164:LWF393164 MGA393164:MGB393164 MPW393164:MPX393164 MZS393164:MZT393164 NJO393164:NJP393164 NTK393164:NTL393164 ODG393164:ODH393164 ONC393164:OND393164 OWY393164:OWZ393164 PGU393164:PGV393164 PQQ393164:PQR393164 QAM393164:QAN393164 QKI393164:QKJ393164 QUE393164:QUF393164 REA393164:REB393164 RNW393164:RNX393164 RXS393164:RXT393164 SHO393164:SHP393164 SRK393164:SRL393164 TBG393164:TBH393164 TLC393164:TLD393164 TUY393164:TUZ393164 UEU393164:UEV393164 UOQ393164:UOR393164 UYM393164:UYN393164 VII393164:VIJ393164 VSE393164:VSF393164 WCA393164:WCB393164 WLW393164:WLX393164 WVS393164:WVT393164 K458713:L458713 JG458700:JH458700 TC458700:TD458700 ACY458700:ACZ458700 AMU458700:AMV458700 AWQ458700:AWR458700 BGM458700:BGN458700 BQI458700:BQJ458700 CAE458700:CAF458700 CKA458700:CKB458700 CTW458700:CTX458700 DDS458700:DDT458700 DNO458700:DNP458700 DXK458700:DXL458700 EHG458700:EHH458700 ERC458700:ERD458700 FAY458700:FAZ458700 FKU458700:FKV458700 FUQ458700:FUR458700 GEM458700:GEN458700 GOI458700:GOJ458700 GYE458700:GYF458700 HIA458700:HIB458700 HRW458700:HRX458700 IBS458700:IBT458700 ILO458700:ILP458700 IVK458700:IVL458700 JFG458700:JFH458700 JPC458700:JPD458700 JYY458700:JYZ458700 KIU458700:KIV458700 KSQ458700:KSR458700 LCM458700:LCN458700 LMI458700:LMJ458700 LWE458700:LWF458700 MGA458700:MGB458700 MPW458700:MPX458700 MZS458700:MZT458700 NJO458700:NJP458700 NTK458700:NTL458700 ODG458700:ODH458700 ONC458700:OND458700 OWY458700:OWZ458700 PGU458700:PGV458700 PQQ458700:PQR458700 QAM458700:QAN458700 QKI458700:QKJ458700 QUE458700:QUF458700 REA458700:REB458700 RNW458700:RNX458700 RXS458700:RXT458700 SHO458700:SHP458700 SRK458700:SRL458700 TBG458700:TBH458700 TLC458700:TLD458700 TUY458700:TUZ458700 UEU458700:UEV458700 UOQ458700:UOR458700 UYM458700:UYN458700 VII458700:VIJ458700 VSE458700:VSF458700 WCA458700:WCB458700 WLW458700:WLX458700 WVS458700:WVT458700 K524249:L524249 JG524236:JH524236 TC524236:TD524236 ACY524236:ACZ524236 AMU524236:AMV524236 AWQ524236:AWR524236 BGM524236:BGN524236 BQI524236:BQJ524236 CAE524236:CAF524236 CKA524236:CKB524236 CTW524236:CTX524236 DDS524236:DDT524236 DNO524236:DNP524236 DXK524236:DXL524236 EHG524236:EHH524236 ERC524236:ERD524236 FAY524236:FAZ524236 FKU524236:FKV524236 FUQ524236:FUR524236 GEM524236:GEN524236 GOI524236:GOJ524236 GYE524236:GYF524236 HIA524236:HIB524236 HRW524236:HRX524236 IBS524236:IBT524236 ILO524236:ILP524236 IVK524236:IVL524236 JFG524236:JFH524236 JPC524236:JPD524236 JYY524236:JYZ524236 KIU524236:KIV524236 KSQ524236:KSR524236 LCM524236:LCN524236 LMI524236:LMJ524236 LWE524236:LWF524236 MGA524236:MGB524236 MPW524236:MPX524236 MZS524236:MZT524236 NJO524236:NJP524236 NTK524236:NTL524236 ODG524236:ODH524236 ONC524236:OND524236 OWY524236:OWZ524236 PGU524236:PGV524236 PQQ524236:PQR524236 QAM524236:QAN524236 QKI524236:QKJ524236 QUE524236:QUF524236 REA524236:REB524236 RNW524236:RNX524236 RXS524236:RXT524236 SHO524236:SHP524236 SRK524236:SRL524236 TBG524236:TBH524236 TLC524236:TLD524236 TUY524236:TUZ524236 UEU524236:UEV524236 UOQ524236:UOR524236 UYM524236:UYN524236 VII524236:VIJ524236 VSE524236:VSF524236 WCA524236:WCB524236 WLW524236:WLX524236 WVS524236:WVT524236 K589785:L589785 JG589772:JH589772 TC589772:TD589772 ACY589772:ACZ589772 AMU589772:AMV589772 AWQ589772:AWR589772 BGM589772:BGN589772 BQI589772:BQJ589772 CAE589772:CAF589772 CKA589772:CKB589772 CTW589772:CTX589772 DDS589772:DDT589772 DNO589772:DNP589772 DXK589772:DXL589772 EHG589772:EHH589772 ERC589772:ERD589772 FAY589772:FAZ589772 FKU589772:FKV589772 FUQ589772:FUR589772 GEM589772:GEN589772 GOI589772:GOJ589772 GYE589772:GYF589772 HIA589772:HIB589772 HRW589772:HRX589772 IBS589772:IBT589772 ILO589772:ILP589772 IVK589772:IVL589772 JFG589772:JFH589772 JPC589772:JPD589772 JYY589772:JYZ589772 KIU589772:KIV589772 KSQ589772:KSR589772 LCM589772:LCN589772 LMI589772:LMJ589772 LWE589772:LWF589772 MGA589772:MGB589772 MPW589772:MPX589772 MZS589772:MZT589772 NJO589772:NJP589772 NTK589772:NTL589772 ODG589772:ODH589772 ONC589772:OND589772 OWY589772:OWZ589772 PGU589772:PGV589772 PQQ589772:PQR589772 QAM589772:QAN589772 QKI589772:QKJ589772 QUE589772:QUF589772 REA589772:REB589772 RNW589772:RNX589772 RXS589772:RXT589772 SHO589772:SHP589772 SRK589772:SRL589772 TBG589772:TBH589772 TLC589772:TLD589772 TUY589772:TUZ589772 UEU589772:UEV589772 UOQ589772:UOR589772 UYM589772:UYN589772 VII589772:VIJ589772 VSE589772:VSF589772 WCA589772:WCB589772 WLW589772:WLX589772 WVS589772:WVT589772 K655321:L655321 JG655308:JH655308 TC655308:TD655308 ACY655308:ACZ655308 AMU655308:AMV655308 AWQ655308:AWR655308 BGM655308:BGN655308 BQI655308:BQJ655308 CAE655308:CAF655308 CKA655308:CKB655308 CTW655308:CTX655308 DDS655308:DDT655308 DNO655308:DNP655308 DXK655308:DXL655308 EHG655308:EHH655308 ERC655308:ERD655308 FAY655308:FAZ655308 FKU655308:FKV655308 FUQ655308:FUR655308 GEM655308:GEN655308 GOI655308:GOJ655308 GYE655308:GYF655308 HIA655308:HIB655308 HRW655308:HRX655308 IBS655308:IBT655308 ILO655308:ILP655308 IVK655308:IVL655308 JFG655308:JFH655308 JPC655308:JPD655308 JYY655308:JYZ655308 KIU655308:KIV655308 KSQ655308:KSR655308 LCM655308:LCN655308 LMI655308:LMJ655308 LWE655308:LWF655308 MGA655308:MGB655308 MPW655308:MPX655308 MZS655308:MZT655308 NJO655308:NJP655308 NTK655308:NTL655308 ODG655308:ODH655308 ONC655308:OND655308 OWY655308:OWZ655308 PGU655308:PGV655308 PQQ655308:PQR655308 QAM655308:QAN655308 QKI655308:QKJ655308 QUE655308:QUF655308 REA655308:REB655308 RNW655308:RNX655308 RXS655308:RXT655308 SHO655308:SHP655308 SRK655308:SRL655308 TBG655308:TBH655308 TLC655308:TLD655308 TUY655308:TUZ655308 UEU655308:UEV655308 UOQ655308:UOR655308 UYM655308:UYN655308 VII655308:VIJ655308 VSE655308:VSF655308 WCA655308:WCB655308 WLW655308:WLX655308 WVS655308:WVT655308 K720857:L720857 JG720844:JH720844 TC720844:TD720844 ACY720844:ACZ720844 AMU720844:AMV720844 AWQ720844:AWR720844 BGM720844:BGN720844 BQI720844:BQJ720844 CAE720844:CAF720844 CKA720844:CKB720844 CTW720844:CTX720844 DDS720844:DDT720844 DNO720844:DNP720844 DXK720844:DXL720844 EHG720844:EHH720844 ERC720844:ERD720844 FAY720844:FAZ720844 FKU720844:FKV720844 FUQ720844:FUR720844 GEM720844:GEN720844 GOI720844:GOJ720844 GYE720844:GYF720844 HIA720844:HIB720844 HRW720844:HRX720844 IBS720844:IBT720844 ILO720844:ILP720844 IVK720844:IVL720844 JFG720844:JFH720844 JPC720844:JPD720844 JYY720844:JYZ720844 KIU720844:KIV720844 KSQ720844:KSR720844 LCM720844:LCN720844 LMI720844:LMJ720844 LWE720844:LWF720844 MGA720844:MGB720844 MPW720844:MPX720844 MZS720844:MZT720844 NJO720844:NJP720844 NTK720844:NTL720844 ODG720844:ODH720844 ONC720844:OND720844 OWY720844:OWZ720844 PGU720844:PGV720844 PQQ720844:PQR720844 QAM720844:QAN720844 QKI720844:QKJ720844 QUE720844:QUF720844 REA720844:REB720844 RNW720844:RNX720844 RXS720844:RXT720844 SHO720844:SHP720844 SRK720844:SRL720844 TBG720844:TBH720844 TLC720844:TLD720844 TUY720844:TUZ720844 UEU720844:UEV720844 UOQ720844:UOR720844 UYM720844:UYN720844 VII720844:VIJ720844 VSE720844:VSF720844 WCA720844:WCB720844 WLW720844:WLX720844 WVS720844:WVT720844 K786393:L786393 JG786380:JH786380 TC786380:TD786380 ACY786380:ACZ786380 AMU786380:AMV786380 AWQ786380:AWR786380 BGM786380:BGN786380 BQI786380:BQJ786380 CAE786380:CAF786380 CKA786380:CKB786380 CTW786380:CTX786380 DDS786380:DDT786380 DNO786380:DNP786380 DXK786380:DXL786380 EHG786380:EHH786380 ERC786380:ERD786380 FAY786380:FAZ786380 FKU786380:FKV786380 FUQ786380:FUR786380 GEM786380:GEN786380 GOI786380:GOJ786380 GYE786380:GYF786380 HIA786380:HIB786380 HRW786380:HRX786380 IBS786380:IBT786380 ILO786380:ILP786380 IVK786380:IVL786380 JFG786380:JFH786380 JPC786380:JPD786380 JYY786380:JYZ786380 KIU786380:KIV786380 KSQ786380:KSR786380 LCM786380:LCN786380 LMI786380:LMJ786380 LWE786380:LWF786380 MGA786380:MGB786380 MPW786380:MPX786380 MZS786380:MZT786380 NJO786380:NJP786380 NTK786380:NTL786380 ODG786380:ODH786380 ONC786380:OND786380 OWY786380:OWZ786380 PGU786380:PGV786380 PQQ786380:PQR786380 QAM786380:QAN786380 QKI786380:QKJ786380 QUE786380:QUF786380 REA786380:REB786380 RNW786380:RNX786380 RXS786380:RXT786380 SHO786380:SHP786380 SRK786380:SRL786380 TBG786380:TBH786380 TLC786380:TLD786380 TUY786380:TUZ786380 UEU786380:UEV786380 UOQ786380:UOR786380 UYM786380:UYN786380 VII786380:VIJ786380 VSE786380:VSF786380 WCA786380:WCB786380 WLW786380:WLX786380 WVS786380:WVT786380 K851929:L851929 JG851916:JH851916 TC851916:TD851916 ACY851916:ACZ851916 AMU851916:AMV851916 AWQ851916:AWR851916 BGM851916:BGN851916 BQI851916:BQJ851916 CAE851916:CAF851916 CKA851916:CKB851916 CTW851916:CTX851916 DDS851916:DDT851916 DNO851916:DNP851916 DXK851916:DXL851916 EHG851916:EHH851916 ERC851916:ERD851916 FAY851916:FAZ851916 FKU851916:FKV851916 FUQ851916:FUR851916 GEM851916:GEN851916 GOI851916:GOJ851916 GYE851916:GYF851916 HIA851916:HIB851916 HRW851916:HRX851916 IBS851916:IBT851916 ILO851916:ILP851916 IVK851916:IVL851916 JFG851916:JFH851916 JPC851916:JPD851916 JYY851916:JYZ851916 KIU851916:KIV851916 KSQ851916:KSR851916 LCM851916:LCN851916 LMI851916:LMJ851916 LWE851916:LWF851916 MGA851916:MGB851916 MPW851916:MPX851916 MZS851916:MZT851916 NJO851916:NJP851916 NTK851916:NTL851916 ODG851916:ODH851916 ONC851916:OND851916 OWY851916:OWZ851916 PGU851916:PGV851916 PQQ851916:PQR851916 QAM851916:QAN851916 QKI851916:QKJ851916 QUE851916:QUF851916 REA851916:REB851916 RNW851916:RNX851916 RXS851916:RXT851916 SHO851916:SHP851916 SRK851916:SRL851916 TBG851916:TBH851916 TLC851916:TLD851916 TUY851916:TUZ851916 UEU851916:UEV851916 UOQ851916:UOR851916 UYM851916:UYN851916 VII851916:VIJ851916 VSE851916:VSF851916 WCA851916:WCB851916 WLW851916:WLX851916 WVS851916:WVT851916 K917465:L917465 JG917452:JH917452 TC917452:TD917452 ACY917452:ACZ917452 AMU917452:AMV917452 AWQ917452:AWR917452 BGM917452:BGN917452 BQI917452:BQJ917452 CAE917452:CAF917452 CKA917452:CKB917452 CTW917452:CTX917452 DDS917452:DDT917452 DNO917452:DNP917452 DXK917452:DXL917452 EHG917452:EHH917452 ERC917452:ERD917452 FAY917452:FAZ917452 FKU917452:FKV917452 FUQ917452:FUR917452 GEM917452:GEN917452 GOI917452:GOJ917452 GYE917452:GYF917452 HIA917452:HIB917452 HRW917452:HRX917452 IBS917452:IBT917452 ILO917452:ILP917452 IVK917452:IVL917452 JFG917452:JFH917452 JPC917452:JPD917452 JYY917452:JYZ917452 KIU917452:KIV917452 KSQ917452:KSR917452 LCM917452:LCN917452 LMI917452:LMJ917452 LWE917452:LWF917452 MGA917452:MGB917452 MPW917452:MPX917452 MZS917452:MZT917452 NJO917452:NJP917452 NTK917452:NTL917452 ODG917452:ODH917452 ONC917452:OND917452 OWY917452:OWZ917452 PGU917452:PGV917452 PQQ917452:PQR917452 QAM917452:QAN917452 QKI917452:QKJ917452 QUE917452:QUF917452 REA917452:REB917452 RNW917452:RNX917452 RXS917452:RXT917452 SHO917452:SHP917452 SRK917452:SRL917452 TBG917452:TBH917452 TLC917452:TLD917452 TUY917452:TUZ917452 UEU917452:UEV917452 UOQ917452:UOR917452 UYM917452:UYN917452 VII917452:VIJ917452 VSE917452:VSF917452 WCA917452:WCB917452 WLW917452:WLX917452 WVS917452:WVT917452 K983001:L983001 JG982988:JH982988 TC982988:TD982988 ACY982988:ACZ982988 AMU982988:AMV982988 AWQ982988:AWR982988 BGM982988:BGN982988 BQI982988:BQJ982988 CAE982988:CAF982988 CKA982988:CKB982988 CTW982988:CTX982988 DDS982988:DDT982988 DNO982988:DNP982988 DXK982988:DXL982988 EHG982988:EHH982988 ERC982988:ERD982988 FAY982988:FAZ982988 FKU982988:FKV982988 FUQ982988:FUR982988 GEM982988:GEN982988 GOI982988:GOJ982988 GYE982988:GYF982988 HIA982988:HIB982988 HRW982988:HRX982988 IBS982988:IBT982988 ILO982988:ILP982988 IVK982988:IVL982988 JFG982988:JFH982988 JPC982988:JPD982988 JYY982988:JYZ982988 KIU982988:KIV982988 KSQ982988:KSR982988 LCM982988:LCN982988 LMI982988:LMJ982988 LWE982988:LWF982988 MGA982988:MGB982988 MPW982988:MPX982988 MZS982988:MZT982988 NJO982988:NJP982988 NTK982988:NTL982988 ODG982988:ODH982988 ONC982988:OND982988 OWY982988:OWZ982988 PGU982988:PGV982988 PQQ982988:PQR982988 QAM982988:QAN982988 QKI982988:QKJ982988 QUE982988:QUF982988 REA982988:REB982988 RNW982988:RNX982988 RXS982988:RXT982988 SHO982988:SHP982988 SRK982988:SRL982988 TBG982988:TBH982988 TLC982988:TLD982988 TUY982988:TUZ982988 UEU982988:UEV982988 UOQ982988:UOR982988 UYM982988:UYN982988 VII982988:VIJ982988 VSE982988:VSF982988 WCA982988:WCB982988 WLW982988:WLX982988 WVS982988:WVT982988 K65557:L65557 JG65544:JH65544 TC65544:TD65544 ACY65544:ACZ65544 AMU65544:AMV65544 AWQ65544:AWR65544 BGM65544:BGN65544 BQI65544:BQJ65544 CAE65544:CAF65544 CKA65544:CKB65544 CTW65544:CTX65544 DDS65544:DDT65544 DNO65544:DNP65544 DXK65544:DXL65544 EHG65544:EHH65544 ERC65544:ERD65544 FAY65544:FAZ65544 FKU65544:FKV65544 FUQ65544:FUR65544 GEM65544:GEN65544 GOI65544:GOJ65544 GYE65544:GYF65544 HIA65544:HIB65544 HRW65544:HRX65544 IBS65544:IBT65544 ILO65544:ILP65544 IVK65544:IVL65544 JFG65544:JFH65544 JPC65544:JPD65544 JYY65544:JYZ65544 KIU65544:KIV65544 KSQ65544:KSR65544 LCM65544:LCN65544 LMI65544:LMJ65544 LWE65544:LWF65544 MGA65544:MGB65544 MPW65544:MPX65544 MZS65544:MZT65544 NJO65544:NJP65544 NTK65544:NTL65544 ODG65544:ODH65544 ONC65544:OND65544 OWY65544:OWZ65544 PGU65544:PGV65544 PQQ65544:PQR65544 QAM65544:QAN65544 QKI65544:QKJ65544 QUE65544:QUF65544 REA65544:REB65544 RNW65544:RNX65544 RXS65544:RXT65544 SHO65544:SHP65544 SRK65544:SRL65544 TBG65544:TBH65544 TLC65544:TLD65544 TUY65544:TUZ65544 UEU65544:UEV65544 UOQ65544:UOR65544 UYM65544:UYN65544 VII65544:VIJ65544 VSE65544:VSF65544 WCA65544:WCB65544 WLW65544:WLX65544 WVS65544:WVT65544 K131093:L131093 JG131080:JH131080 TC131080:TD131080 ACY131080:ACZ131080 AMU131080:AMV131080 AWQ131080:AWR131080 BGM131080:BGN131080 BQI131080:BQJ131080 CAE131080:CAF131080 CKA131080:CKB131080 CTW131080:CTX131080 DDS131080:DDT131080 DNO131080:DNP131080 DXK131080:DXL131080 EHG131080:EHH131080 ERC131080:ERD131080 FAY131080:FAZ131080 FKU131080:FKV131080 FUQ131080:FUR131080 GEM131080:GEN131080 GOI131080:GOJ131080 GYE131080:GYF131080 HIA131080:HIB131080 HRW131080:HRX131080 IBS131080:IBT131080 ILO131080:ILP131080 IVK131080:IVL131080 JFG131080:JFH131080 JPC131080:JPD131080 JYY131080:JYZ131080 KIU131080:KIV131080 KSQ131080:KSR131080 LCM131080:LCN131080 LMI131080:LMJ131080 LWE131080:LWF131080 MGA131080:MGB131080 MPW131080:MPX131080 MZS131080:MZT131080 NJO131080:NJP131080 NTK131080:NTL131080 ODG131080:ODH131080 ONC131080:OND131080 OWY131080:OWZ131080 PGU131080:PGV131080 PQQ131080:PQR131080 QAM131080:QAN131080 QKI131080:QKJ131080 QUE131080:QUF131080 REA131080:REB131080 RNW131080:RNX131080 RXS131080:RXT131080 SHO131080:SHP131080 SRK131080:SRL131080 TBG131080:TBH131080 TLC131080:TLD131080 TUY131080:TUZ131080 UEU131080:UEV131080 UOQ131080:UOR131080 UYM131080:UYN131080 VII131080:VIJ131080 VSE131080:VSF131080 WCA131080:WCB131080 WLW131080:WLX131080 WVS131080:WVT131080 K196629:L196629 JG196616:JH196616 TC196616:TD196616 ACY196616:ACZ196616 AMU196616:AMV196616 AWQ196616:AWR196616 BGM196616:BGN196616 BQI196616:BQJ196616 CAE196616:CAF196616 CKA196616:CKB196616 CTW196616:CTX196616 DDS196616:DDT196616 DNO196616:DNP196616 DXK196616:DXL196616 EHG196616:EHH196616 ERC196616:ERD196616 FAY196616:FAZ196616 FKU196616:FKV196616 FUQ196616:FUR196616 GEM196616:GEN196616 GOI196616:GOJ196616 GYE196616:GYF196616 HIA196616:HIB196616 HRW196616:HRX196616 IBS196616:IBT196616 ILO196616:ILP196616 IVK196616:IVL196616 JFG196616:JFH196616 JPC196616:JPD196616 JYY196616:JYZ196616 KIU196616:KIV196616 KSQ196616:KSR196616 LCM196616:LCN196616 LMI196616:LMJ196616 LWE196616:LWF196616 MGA196616:MGB196616 MPW196616:MPX196616 MZS196616:MZT196616 NJO196616:NJP196616 NTK196616:NTL196616 ODG196616:ODH196616 ONC196616:OND196616 OWY196616:OWZ196616 PGU196616:PGV196616 PQQ196616:PQR196616 QAM196616:QAN196616 QKI196616:QKJ196616 QUE196616:QUF196616 REA196616:REB196616 RNW196616:RNX196616 RXS196616:RXT196616 SHO196616:SHP196616 SRK196616:SRL196616 TBG196616:TBH196616 TLC196616:TLD196616 TUY196616:TUZ196616 UEU196616:UEV196616 UOQ196616:UOR196616 UYM196616:UYN196616 VII196616:VIJ196616 VSE196616:VSF196616 WCA196616:WCB196616 WLW196616:WLX196616 WVS196616:WVT196616 K262165:L262165 JG262152:JH262152 TC262152:TD262152 ACY262152:ACZ262152 AMU262152:AMV262152 AWQ262152:AWR262152 BGM262152:BGN262152 BQI262152:BQJ262152 CAE262152:CAF262152 CKA262152:CKB262152 CTW262152:CTX262152 DDS262152:DDT262152 DNO262152:DNP262152 DXK262152:DXL262152 EHG262152:EHH262152 ERC262152:ERD262152 FAY262152:FAZ262152 FKU262152:FKV262152 FUQ262152:FUR262152 GEM262152:GEN262152 GOI262152:GOJ262152 GYE262152:GYF262152 HIA262152:HIB262152 HRW262152:HRX262152 IBS262152:IBT262152 ILO262152:ILP262152 IVK262152:IVL262152 JFG262152:JFH262152 JPC262152:JPD262152 JYY262152:JYZ262152 KIU262152:KIV262152 KSQ262152:KSR262152 LCM262152:LCN262152 LMI262152:LMJ262152 LWE262152:LWF262152 MGA262152:MGB262152 MPW262152:MPX262152 MZS262152:MZT262152 NJO262152:NJP262152 NTK262152:NTL262152 ODG262152:ODH262152 ONC262152:OND262152 OWY262152:OWZ262152 PGU262152:PGV262152 PQQ262152:PQR262152 QAM262152:QAN262152 QKI262152:QKJ262152 QUE262152:QUF262152 REA262152:REB262152 RNW262152:RNX262152 RXS262152:RXT262152 SHO262152:SHP262152 SRK262152:SRL262152 TBG262152:TBH262152 TLC262152:TLD262152 TUY262152:TUZ262152 UEU262152:UEV262152 UOQ262152:UOR262152 UYM262152:UYN262152 VII262152:VIJ262152 VSE262152:VSF262152 WCA262152:WCB262152 WLW262152:WLX262152 WVS262152:WVT262152 K327701:L327701 JG327688:JH327688 TC327688:TD327688 ACY327688:ACZ327688 AMU327688:AMV327688 AWQ327688:AWR327688 BGM327688:BGN327688 BQI327688:BQJ327688 CAE327688:CAF327688 CKA327688:CKB327688 CTW327688:CTX327688 DDS327688:DDT327688 DNO327688:DNP327688 DXK327688:DXL327688 EHG327688:EHH327688 ERC327688:ERD327688 FAY327688:FAZ327688 FKU327688:FKV327688 FUQ327688:FUR327688 GEM327688:GEN327688 GOI327688:GOJ327688 GYE327688:GYF327688 HIA327688:HIB327688 HRW327688:HRX327688 IBS327688:IBT327688 ILO327688:ILP327688 IVK327688:IVL327688 JFG327688:JFH327688 JPC327688:JPD327688 JYY327688:JYZ327688 KIU327688:KIV327688 KSQ327688:KSR327688 LCM327688:LCN327688 LMI327688:LMJ327688 LWE327688:LWF327688 MGA327688:MGB327688 MPW327688:MPX327688 MZS327688:MZT327688 NJO327688:NJP327688 NTK327688:NTL327688 ODG327688:ODH327688 ONC327688:OND327688 OWY327688:OWZ327688 PGU327688:PGV327688 PQQ327688:PQR327688 QAM327688:QAN327688 QKI327688:QKJ327688 QUE327688:QUF327688 REA327688:REB327688 RNW327688:RNX327688 RXS327688:RXT327688 SHO327688:SHP327688 SRK327688:SRL327688 TBG327688:TBH327688 TLC327688:TLD327688 TUY327688:TUZ327688 UEU327688:UEV327688 UOQ327688:UOR327688 UYM327688:UYN327688 VII327688:VIJ327688 VSE327688:VSF327688 WCA327688:WCB327688 WLW327688:WLX327688 WVS327688:WVT327688 K393237:L393237 JG393224:JH393224 TC393224:TD393224 ACY393224:ACZ393224 AMU393224:AMV393224 AWQ393224:AWR393224 BGM393224:BGN393224 BQI393224:BQJ393224 CAE393224:CAF393224 CKA393224:CKB393224 CTW393224:CTX393224 DDS393224:DDT393224 DNO393224:DNP393224 DXK393224:DXL393224 EHG393224:EHH393224 ERC393224:ERD393224 FAY393224:FAZ393224 FKU393224:FKV393224 FUQ393224:FUR393224 GEM393224:GEN393224 GOI393224:GOJ393224 GYE393224:GYF393224 HIA393224:HIB393224 HRW393224:HRX393224 IBS393224:IBT393224 ILO393224:ILP393224 IVK393224:IVL393224 JFG393224:JFH393224 JPC393224:JPD393224 JYY393224:JYZ393224 KIU393224:KIV393224 KSQ393224:KSR393224 LCM393224:LCN393224 LMI393224:LMJ393224 LWE393224:LWF393224 MGA393224:MGB393224 MPW393224:MPX393224 MZS393224:MZT393224 NJO393224:NJP393224 NTK393224:NTL393224 ODG393224:ODH393224 ONC393224:OND393224 OWY393224:OWZ393224 PGU393224:PGV393224 PQQ393224:PQR393224 QAM393224:QAN393224 QKI393224:QKJ393224 QUE393224:QUF393224 REA393224:REB393224 RNW393224:RNX393224 RXS393224:RXT393224 SHO393224:SHP393224 SRK393224:SRL393224 TBG393224:TBH393224 TLC393224:TLD393224 TUY393224:TUZ393224 UEU393224:UEV393224 UOQ393224:UOR393224 UYM393224:UYN393224 VII393224:VIJ393224 VSE393224:VSF393224 WCA393224:WCB393224 WLW393224:WLX393224 WVS393224:WVT393224 K458773:L458773 JG458760:JH458760 TC458760:TD458760 ACY458760:ACZ458760 AMU458760:AMV458760 AWQ458760:AWR458760 BGM458760:BGN458760 BQI458760:BQJ458760 CAE458760:CAF458760 CKA458760:CKB458760 CTW458760:CTX458760 DDS458760:DDT458760 DNO458760:DNP458760 DXK458760:DXL458760 EHG458760:EHH458760 ERC458760:ERD458760 FAY458760:FAZ458760 FKU458760:FKV458760 FUQ458760:FUR458760 GEM458760:GEN458760 GOI458760:GOJ458760 GYE458760:GYF458760 HIA458760:HIB458760 HRW458760:HRX458760 IBS458760:IBT458760 ILO458760:ILP458760 IVK458760:IVL458760 JFG458760:JFH458760 JPC458760:JPD458760 JYY458760:JYZ458760 KIU458760:KIV458760 KSQ458760:KSR458760 LCM458760:LCN458760 LMI458760:LMJ458760 LWE458760:LWF458760 MGA458760:MGB458760 MPW458760:MPX458760 MZS458760:MZT458760 NJO458760:NJP458760 NTK458760:NTL458760 ODG458760:ODH458760 ONC458760:OND458760 OWY458760:OWZ458760 PGU458760:PGV458760 PQQ458760:PQR458760 QAM458760:QAN458760 QKI458760:QKJ458760 QUE458760:QUF458760 REA458760:REB458760 RNW458760:RNX458760 RXS458760:RXT458760 SHO458760:SHP458760 SRK458760:SRL458760 TBG458760:TBH458760 TLC458760:TLD458760 TUY458760:TUZ458760 UEU458760:UEV458760 UOQ458760:UOR458760 UYM458760:UYN458760 VII458760:VIJ458760 VSE458760:VSF458760 WCA458760:WCB458760 WLW458760:WLX458760 WVS458760:WVT458760 K524309:L524309 JG524296:JH524296 TC524296:TD524296 ACY524296:ACZ524296 AMU524296:AMV524296 AWQ524296:AWR524296 BGM524296:BGN524296 BQI524296:BQJ524296 CAE524296:CAF524296 CKA524296:CKB524296 CTW524296:CTX524296 DDS524296:DDT524296 DNO524296:DNP524296 DXK524296:DXL524296 EHG524296:EHH524296 ERC524296:ERD524296 FAY524296:FAZ524296 FKU524296:FKV524296 FUQ524296:FUR524296 GEM524296:GEN524296 GOI524296:GOJ524296 GYE524296:GYF524296 HIA524296:HIB524296 HRW524296:HRX524296 IBS524296:IBT524296 ILO524296:ILP524296 IVK524296:IVL524296 JFG524296:JFH524296 JPC524296:JPD524296 JYY524296:JYZ524296 KIU524296:KIV524296 KSQ524296:KSR524296 LCM524296:LCN524296 LMI524296:LMJ524296 LWE524296:LWF524296 MGA524296:MGB524296 MPW524296:MPX524296 MZS524296:MZT524296 NJO524296:NJP524296 NTK524296:NTL524296 ODG524296:ODH524296 ONC524296:OND524296 OWY524296:OWZ524296 PGU524296:PGV524296 PQQ524296:PQR524296 QAM524296:QAN524296 QKI524296:QKJ524296 QUE524296:QUF524296 REA524296:REB524296 RNW524296:RNX524296 RXS524296:RXT524296 SHO524296:SHP524296 SRK524296:SRL524296 TBG524296:TBH524296 TLC524296:TLD524296 TUY524296:TUZ524296 UEU524296:UEV524296 UOQ524296:UOR524296 UYM524296:UYN524296 VII524296:VIJ524296 VSE524296:VSF524296 WCA524296:WCB524296 WLW524296:WLX524296 WVS524296:WVT524296 K589845:L589845 JG589832:JH589832 TC589832:TD589832 ACY589832:ACZ589832 AMU589832:AMV589832 AWQ589832:AWR589832 BGM589832:BGN589832 BQI589832:BQJ589832 CAE589832:CAF589832 CKA589832:CKB589832 CTW589832:CTX589832 DDS589832:DDT589832 DNO589832:DNP589832 DXK589832:DXL589832 EHG589832:EHH589832 ERC589832:ERD589832 FAY589832:FAZ589832 FKU589832:FKV589832 FUQ589832:FUR589832 GEM589832:GEN589832 GOI589832:GOJ589832 GYE589832:GYF589832 HIA589832:HIB589832 HRW589832:HRX589832 IBS589832:IBT589832 ILO589832:ILP589832 IVK589832:IVL589832 JFG589832:JFH589832 JPC589832:JPD589832 JYY589832:JYZ589832 KIU589832:KIV589832 KSQ589832:KSR589832 LCM589832:LCN589832 LMI589832:LMJ589832 LWE589832:LWF589832 MGA589832:MGB589832 MPW589832:MPX589832 MZS589832:MZT589832 NJO589832:NJP589832 NTK589832:NTL589832 ODG589832:ODH589832 ONC589832:OND589832 OWY589832:OWZ589832 PGU589832:PGV589832 PQQ589832:PQR589832 QAM589832:QAN589832 QKI589832:QKJ589832 QUE589832:QUF589832 REA589832:REB589832 RNW589832:RNX589832 RXS589832:RXT589832 SHO589832:SHP589832 SRK589832:SRL589832 TBG589832:TBH589832 TLC589832:TLD589832 TUY589832:TUZ589832 UEU589832:UEV589832 UOQ589832:UOR589832 UYM589832:UYN589832 VII589832:VIJ589832 VSE589832:VSF589832 WCA589832:WCB589832 WLW589832:WLX589832 WVS589832:WVT589832 K655381:L655381 JG655368:JH655368 TC655368:TD655368 ACY655368:ACZ655368 AMU655368:AMV655368 AWQ655368:AWR655368 BGM655368:BGN655368 BQI655368:BQJ655368 CAE655368:CAF655368 CKA655368:CKB655368 CTW655368:CTX655368 DDS655368:DDT655368 DNO655368:DNP655368 DXK655368:DXL655368 EHG655368:EHH655368 ERC655368:ERD655368 FAY655368:FAZ655368 FKU655368:FKV655368 FUQ655368:FUR655368 GEM655368:GEN655368 GOI655368:GOJ655368 GYE655368:GYF655368 HIA655368:HIB655368 HRW655368:HRX655368 IBS655368:IBT655368 ILO655368:ILP655368 IVK655368:IVL655368 JFG655368:JFH655368 JPC655368:JPD655368 JYY655368:JYZ655368 KIU655368:KIV655368 KSQ655368:KSR655368 LCM655368:LCN655368 LMI655368:LMJ655368 LWE655368:LWF655368 MGA655368:MGB655368 MPW655368:MPX655368 MZS655368:MZT655368 NJO655368:NJP655368 NTK655368:NTL655368 ODG655368:ODH655368 ONC655368:OND655368 OWY655368:OWZ655368 PGU655368:PGV655368 PQQ655368:PQR655368 QAM655368:QAN655368 QKI655368:QKJ655368 QUE655368:QUF655368 REA655368:REB655368 RNW655368:RNX655368 RXS655368:RXT655368 SHO655368:SHP655368 SRK655368:SRL655368 TBG655368:TBH655368 TLC655368:TLD655368 TUY655368:TUZ655368 UEU655368:UEV655368 UOQ655368:UOR655368 UYM655368:UYN655368 VII655368:VIJ655368 VSE655368:VSF655368 WCA655368:WCB655368 WLW655368:WLX655368 WVS655368:WVT655368 K720917:L720917 JG720904:JH720904 TC720904:TD720904 ACY720904:ACZ720904 AMU720904:AMV720904 AWQ720904:AWR720904 BGM720904:BGN720904 BQI720904:BQJ720904 CAE720904:CAF720904 CKA720904:CKB720904 CTW720904:CTX720904 DDS720904:DDT720904 DNO720904:DNP720904 DXK720904:DXL720904 EHG720904:EHH720904 ERC720904:ERD720904 FAY720904:FAZ720904 FKU720904:FKV720904 FUQ720904:FUR720904 GEM720904:GEN720904 GOI720904:GOJ720904 GYE720904:GYF720904 HIA720904:HIB720904 HRW720904:HRX720904 IBS720904:IBT720904 ILO720904:ILP720904 IVK720904:IVL720904 JFG720904:JFH720904 JPC720904:JPD720904 JYY720904:JYZ720904 KIU720904:KIV720904 KSQ720904:KSR720904 LCM720904:LCN720904 LMI720904:LMJ720904 LWE720904:LWF720904 MGA720904:MGB720904 MPW720904:MPX720904 MZS720904:MZT720904 NJO720904:NJP720904 NTK720904:NTL720904 ODG720904:ODH720904 ONC720904:OND720904 OWY720904:OWZ720904 PGU720904:PGV720904 PQQ720904:PQR720904 QAM720904:QAN720904 QKI720904:QKJ720904 QUE720904:QUF720904 REA720904:REB720904 RNW720904:RNX720904 RXS720904:RXT720904 SHO720904:SHP720904 SRK720904:SRL720904 TBG720904:TBH720904 TLC720904:TLD720904 TUY720904:TUZ720904 UEU720904:UEV720904 UOQ720904:UOR720904 UYM720904:UYN720904 VII720904:VIJ720904 VSE720904:VSF720904 WCA720904:WCB720904 WLW720904:WLX720904 WVS720904:WVT720904 K786453:L786453 JG786440:JH786440 TC786440:TD786440 ACY786440:ACZ786440 AMU786440:AMV786440 AWQ786440:AWR786440 BGM786440:BGN786440 BQI786440:BQJ786440 CAE786440:CAF786440 CKA786440:CKB786440 CTW786440:CTX786440 DDS786440:DDT786440 DNO786440:DNP786440 DXK786440:DXL786440 EHG786440:EHH786440 ERC786440:ERD786440 FAY786440:FAZ786440 FKU786440:FKV786440 FUQ786440:FUR786440 GEM786440:GEN786440 GOI786440:GOJ786440 GYE786440:GYF786440 HIA786440:HIB786440 HRW786440:HRX786440 IBS786440:IBT786440 ILO786440:ILP786440 IVK786440:IVL786440 JFG786440:JFH786440 JPC786440:JPD786440 JYY786440:JYZ786440 KIU786440:KIV786440 KSQ786440:KSR786440 LCM786440:LCN786440 LMI786440:LMJ786440 LWE786440:LWF786440 MGA786440:MGB786440 MPW786440:MPX786440 MZS786440:MZT786440 NJO786440:NJP786440 NTK786440:NTL786440 ODG786440:ODH786440 ONC786440:OND786440 OWY786440:OWZ786440 PGU786440:PGV786440 PQQ786440:PQR786440 QAM786440:QAN786440 QKI786440:QKJ786440 QUE786440:QUF786440 REA786440:REB786440 RNW786440:RNX786440 RXS786440:RXT786440 SHO786440:SHP786440 SRK786440:SRL786440 TBG786440:TBH786440 TLC786440:TLD786440 TUY786440:TUZ786440 UEU786440:UEV786440 UOQ786440:UOR786440 UYM786440:UYN786440 VII786440:VIJ786440 VSE786440:VSF786440 WCA786440:WCB786440 WLW786440:WLX786440 WVS786440:WVT786440 K851989:L851989 JG851976:JH851976 TC851976:TD851976 ACY851976:ACZ851976 AMU851976:AMV851976 AWQ851976:AWR851976 BGM851976:BGN851976 BQI851976:BQJ851976 CAE851976:CAF851976 CKA851976:CKB851976 CTW851976:CTX851976 DDS851976:DDT851976 DNO851976:DNP851976 DXK851976:DXL851976 EHG851976:EHH851976 ERC851976:ERD851976 FAY851976:FAZ851976 FKU851976:FKV851976 FUQ851976:FUR851976 GEM851976:GEN851976 GOI851976:GOJ851976 GYE851976:GYF851976 HIA851976:HIB851976 HRW851976:HRX851976 IBS851976:IBT851976 ILO851976:ILP851976 IVK851976:IVL851976 JFG851976:JFH851976 JPC851976:JPD851976 JYY851976:JYZ851976 KIU851976:KIV851976 KSQ851976:KSR851976 LCM851976:LCN851976 LMI851976:LMJ851976 LWE851976:LWF851976 MGA851976:MGB851976 MPW851976:MPX851976 MZS851976:MZT851976 NJO851976:NJP851976 NTK851976:NTL851976 ODG851976:ODH851976 ONC851976:OND851976 OWY851976:OWZ851976 PGU851976:PGV851976 PQQ851976:PQR851976 QAM851976:QAN851976 QKI851976:QKJ851976 QUE851976:QUF851976 REA851976:REB851976 RNW851976:RNX851976 RXS851976:RXT851976 SHO851976:SHP851976 SRK851976:SRL851976 TBG851976:TBH851976 TLC851976:TLD851976 TUY851976:TUZ851976 UEU851976:UEV851976 UOQ851976:UOR851976 UYM851976:UYN851976 VII851976:VIJ851976 VSE851976:VSF851976 WCA851976:WCB851976 WLW851976:WLX851976 WVS851976:WVT851976 K917525:L917525 JG917512:JH917512 TC917512:TD917512 ACY917512:ACZ917512 AMU917512:AMV917512 AWQ917512:AWR917512 BGM917512:BGN917512 BQI917512:BQJ917512 CAE917512:CAF917512 CKA917512:CKB917512 CTW917512:CTX917512 DDS917512:DDT917512 DNO917512:DNP917512 DXK917512:DXL917512 EHG917512:EHH917512 ERC917512:ERD917512 FAY917512:FAZ917512 FKU917512:FKV917512 FUQ917512:FUR917512 GEM917512:GEN917512 GOI917512:GOJ917512 GYE917512:GYF917512 HIA917512:HIB917512 HRW917512:HRX917512 IBS917512:IBT917512 ILO917512:ILP917512 IVK917512:IVL917512 JFG917512:JFH917512 JPC917512:JPD917512 JYY917512:JYZ917512 KIU917512:KIV917512 KSQ917512:KSR917512 LCM917512:LCN917512 LMI917512:LMJ917512 LWE917512:LWF917512 MGA917512:MGB917512 MPW917512:MPX917512 MZS917512:MZT917512 NJO917512:NJP917512 NTK917512:NTL917512 ODG917512:ODH917512 ONC917512:OND917512 OWY917512:OWZ917512 PGU917512:PGV917512 PQQ917512:PQR917512 QAM917512:QAN917512 QKI917512:QKJ917512 QUE917512:QUF917512 REA917512:REB917512 RNW917512:RNX917512 RXS917512:RXT917512 SHO917512:SHP917512 SRK917512:SRL917512 TBG917512:TBH917512 TLC917512:TLD917512 TUY917512:TUZ917512 UEU917512:UEV917512 UOQ917512:UOR917512 UYM917512:UYN917512 VII917512:VIJ917512 VSE917512:VSF917512 WCA917512:WCB917512 WLW917512:WLX917512 WVS917512:WVT917512 K983061:L983061 JG983048:JH983048 TC983048:TD983048 ACY983048:ACZ983048 AMU983048:AMV983048 AWQ983048:AWR983048 BGM983048:BGN983048 BQI983048:BQJ983048 CAE983048:CAF983048 CKA983048:CKB983048 CTW983048:CTX983048 DDS983048:DDT983048 DNO983048:DNP983048 DXK983048:DXL983048 EHG983048:EHH983048 ERC983048:ERD983048 FAY983048:FAZ983048 FKU983048:FKV983048 FUQ983048:FUR983048 GEM983048:GEN983048 GOI983048:GOJ983048 GYE983048:GYF983048 HIA983048:HIB983048 HRW983048:HRX983048 IBS983048:IBT983048 ILO983048:ILP983048 IVK983048:IVL983048 JFG983048:JFH983048 JPC983048:JPD983048 JYY983048:JYZ983048 KIU983048:KIV983048 KSQ983048:KSR983048 LCM983048:LCN983048 LMI983048:LMJ983048 LWE983048:LWF983048 MGA983048:MGB983048 MPW983048:MPX983048 MZS983048:MZT983048 NJO983048:NJP983048 NTK983048:NTL983048 ODG983048:ODH983048 ONC983048:OND983048 OWY983048:OWZ983048 PGU983048:PGV983048 PQQ983048:PQR983048 QAM983048:QAN983048 QKI983048:QKJ983048 QUE983048:QUF983048 REA983048:REB983048 RNW983048:RNX983048 RXS983048:RXT983048 SHO983048:SHP983048 SRK983048:SRL983048 TBG983048:TBH983048 TLC983048:TLD983048 TUY983048:TUZ983048 UEU983048:UEV983048 UOQ983048:UOR983048 UYM983048:UYN983048 VII983048:VIJ983048 VSE983048:VSF983048 WCA983048:WCB983048 WLW983048:WLX983048 WVS983048:WVT983048 WVS983017:WVT983017 K65523:L65523 JG65510:JH65510 TC65510:TD65510 ACY65510:ACZ65510 AMU65510:AMV65510 AWQ65510:AWR65510 BGM65510:BGN65510 BQI65510:BQJ65510 CAE65510:CAF65510 CKA65510:CKB65510 CTW65510:CTX65510 DDS65510:DDT65510 DNO65510:DNP65510 DXK65510:DXL65510 EHG65510:EHH65510 ERC65510:ERD65510 FAY65510:FAZ65510 FKU65510:FKV65510 FUQ65510:FUR65510 GEM65510:GEN65510 GOI65510:GOJ65510 GYE65510:GYF65510 HIA65510:HIB65510 HRW65510:HRX65510 IBS65510:IBT65510 ILO65510:ILP65510 IVK65510:IVL65510 JFG65510:JFH65510 JPC65510:JPD65510 JYY65510:JYZ65510 KIU65510:KIV65510 KSQ65510:KSR65510 LCM65510:LCN65510 LMI65510:LMJ65510 LWE65510:LWF65510 MGA65510:MGB65510 MPW65510:MPX65510 MZS65510:MZT65510 NJO65510:NJP65510 NTK65510:NTL65510 ODG65510:ODH65510 ONC65510:OND65510 OWY65510:OWZ65510 PGU65510:PGV65510 PQQ65510:PQR65510 QAM65510:QAN65510 QKI65510:QKJ65510 QUE65510:QUF65510 REA65510:REB65510 RNW65510:RNX65510 RXS65510:RXT65510 SHO65510:SHP65510 SRK65510:SRL65510 TBG65510:TBH65510 TLC65510:TLD65510 TUY65510:TUZ65510 UEU65510:UEV65510 UOQ65510:UOR65510 UYM65510:UYN65510 VII65510:VIJ65510 VSE65510:VSF65510 WCA65510:WCB65510 WLW65510:WLX65510 WVS65510:WVT65510 K131059:L131059 JG131046:JH131046 TC131046:TD131046 ACY131046:ACZ131046 AMU131046:AMV131046 AWQ131046:AWR131046 BGM131046:BGN131046 BQI131046:BQJ131046 CAE131046:CAF131046 CKA131046:CKB131046 CTW131046:CTX131046 DDS131046:DDT131046 DNO131046:DNP131046 DXK131046:DXL131046 EHG131046:EHH131046 ERC131046:ERD131046 FAY131046:FAZ131046 FKU131046:FKV131046 FUQ131046:FUR131046 GEM131046:GEN131046 GOI131046:GOJ131046 GYE131046:GYF131046 HIA131046:HIB131046 HRW131046:HRX131046 IBS131046:IBT131046 ILO131046:ILP131046 IVK131046:IVL131046 JFG131046:JFH131046 JPC131046:JPD131046 JYY131046:JYZ131046 KIU131046:KIV131046 KSQ131046:KSR131046 LCM131046:LCN131046 LMI131046:LMJ131046 LWE131046:LWF131046 MGA131046:MGB131046 MPW131046:MPX131046 MZS131046:MZT131046 NJO131046:NJP131046 NTK131046:NTL131046 ODG131046:ODH131046 ONC131046:OND131046 OWY131046:OWZ131046 PGU131046:PGV131046 PQQ131046:PQR131046 QAM131046:QAN131046 QKI131046:QKJ131046 QUE131046:QUF131046 REA131046:REB131046 RNW131046:RNX131046 RXS131046:RXT131046 SHO131046:SHP131046 SRK131046:SRL131046 TBG131046:TBH131046 TLC131046:TLD131046 TUY131046:TUZ131046 UEU131046:UEV131046 UOQ131046:UOR131046 UYM131046:UYN131046 VII131046:VIJ131046 VSE131046:VSF131046 WCA131046:WCB131046 WLW131046:WLX131046 WVS131046:WVT131046 K196595:L196595 JG196582:JH196582 TC196582:TD196582 ACY196582:ACZ196582 AMU196582:AMV196582 AWQ196582:AWR196582 BGM196582:BGN196582 BQI196582:BQJ196582 CAE196582:CAF196582 CKA196582:CKB196582 CTW196582:CTX196582 DDS196582:DDT196582 DNO196582:DNP196582 DXK196582:DXL196582 EHG196582:EHH196582 ERC196582:ERD196582 FAY196582:FAZ196582 FKU196582:FKV196582 FUQ196582:FUR196582 GEM196582:GEN196582 GOI196582:GOJ196582 GYE196582:GYF196582 HIA196582:HIB196582 HRW196582:HRX196582 IBS196582:IBT196582 ILO196582:ILP196582 IVK196582:IVL196582 JFG196582:JFH196582 JPC196582:JPD196582 JYY196582:JYZ196582 KIU196582:KIV196582 KSQ196582:KSR196582 LCM196582:LCN196582 LMI196582:LMJ196582 LWE196582:LWF196582 MGA196582:MGB196582 MPW196582:MPX196582 MZS196582:MZT196582 NJO196582:NJP196582 NTK196582:NTL196582 ODG196582:ODH196582 ONC196582:OND196582 OWY196582:OWZ196582 PGU196582:PGV196582 PQQ196582:PQR196582 QAM196582:QAN196582 QKI196582:QKJ196582 QUE196582:QUF196582 REA196582:REB196582 RNW196582:RNX196582 RXS196582:RXT196582 SHO196582:SHP196582 SRK196582:SRL196582 TBG196582:TBH196582 TLC196582:TLD196582 TUY196582:TUZ196582 UEU196582:UEV196582 UOQ196582:UOR196582 UYM196582:UYN196582 VII196582:VIJ196582 VSE196582:VSF196582 WCA196582:WCB196582 WLW196582:WLX196582 WVS196582:WVT196582 K262131:L262131 JG262118:JH262118 TC262118:TD262118 ACY262118:ACZ262118 AMU262118:AMV262118 AWQ262118:AWR262118 BGM262118:BGN262118 BQI262118:BQJ262118 CAE262118:CAF262118 CKA262118:CKB262118 CTW262118:CTX262118 DDS262118:DDT262118 DNO262118:DNP262118 DXK262118:DXL262118 EHG262118:EHH262118 ERC262118:ERD262118 FAY262118:FAZ262118 FKU262118:FKV262118 FUQ262118:FUR262118 GEM262118:GEN262118 GOI262118:GOJ262118 GYE262118:GYF262118 HIA262118:HIB262118 HRW262118:HRX262118 IBS262118:IBT262118 ILO262118:ILP262118 IVK262118:IVL262118 JFG262118:JFH262118 JPC262118:JPD262118 JYY262118:JYZ262118 KIU262118:KIV262118 KSQ262118:KSR262118 LCM262118:LCN262118 LMI262118:LMJ262118 LWE262118:LWF262118 MGA262118:MGB262118 MPW262118:MPX262118 MZS262118:MZT262118 NJO262118:NJP262118 NTK262118:NTL262118 ODG262118:ODH262118 ONC262118:OND262118 OWY262118:OWZ262118 PGU262118:PGV262118 PQQ262118:PQR262118 QAM262118:QAN262118 QKI262118:QKJ262118 QUE262118:QUF262118 REA262118:REB262118 RNW262118:RNX262118 RXS262118:RXT262118 SHO262118:SHP262118 SRK262118:SRL262118 TBG262118:TBH262118 TLC262118:TLD262118 TUY262118:TUZ262118 UEU262118:UEV262118 UOQ262118:UOR262118 UYM262118:UYN262118 VII262118:VIJ262118 VSE262118:VSF262118 WCA262118:WCB262118 WLW262118:WLX262118 WVS262118:WVT262118 K327667:L327667 JG327654:JH327654 TC327654:TD327654 ACY327654:ACZ327654 AMU327654:AMV327654 AWQ327654:AWR327654 BGM327654:BGN327654 BQI327654:BQJ327654 CAE327654:CAF327654 CKA327654:CKB327654 CTW327654:CTX327654 DDS327654:DDT327654 DNO327654:DNP327654 DXK327654:DXL327654 EHG327654:EHH327654 ERC327654:ERD327654 FAY327654:FAZ327654 FKU327654:FKV327654 FUQ327654:FUR327654 GEM327654:GEN327654 GOI327654:GOJ327654 GYE327654:GYF327654 HIA327654:HIB327654 HRW327654:HRX327654 IBS327654:IBT327654 ILO327654:ILP327654 IVK327654:IVL327654 JFG327654:JFH327654 JPC327654:JPD327654 JYY327654:JYZ327654 KIU327654:KIV327654 KSQ327654:KSR327654 LCM327654:LCN327654 LMI327654:LMJ327654 LWE327654:LWF327654 MGA327654:MGB327654 MPW327654:MPX327654 MZS327654:MZT327654 NJO327654:NJP327654 NTK327654:NTL327654 ODG327654:ODH327654 ONC327654:OND327654 OWY327654:OWZ327654 PGU327654:PGV327654 PQQ327654:PQR327654 QAM327654:QAN327654 QKI327654:QKJ327654 QUE327654:QUF327654 REA327654:REB327654 RNW327654:RNX327654 RXS327654:RXT327654 SHO327654:SHP327654 SRK327654:SRL327654 TBG327654:TBH327654 TLC327654:TLD327654 TUY327654:TUZ327654 UEU327654:UEV327654 UOQ327654:UOR327654 UYM327654:UYN327654 VII327654:VIJ327654 VSE327654:VSF327654 WCA327654:WCB327654 WLW327654:WLX327654 WVS327654:WVT327654 K393203:L393203 JG393190:JH393190 TC393190:TD393190 ACY393190:ACZ393190 AMU393190:AMV393190 AWQ393190:AWR393190 BGM393190:BGN393190 BQI393190:BQJ393190 CAE393190:CAF393190 CKA393190:CKB393190 CTW393190:CTX393190 DDS393190:DDT393190 DNO393190:DNP393190 DXK393190:DXL393190 EHG393190:EHH393190 ERC393190:ERD393190 FAY393190:FAZ393190 FKU393190:FKV393190 FUQ393190:FUR393190 GEM393190:GEN393190 GOI393190:GOJ393190 GYE393190:GYF393190 HIA393190:HIB393190 HRW393190:HRX393190 IBS393190:IBT393190 ILO393190:ILP393190 IVK393190:IVL393190 JFG393190:JFH393190 JPC393190:JPD393190 JYY393190:JYZ393190 KIU393190:KIV393190 KSQ393190:KSR393190 LCM393190:LCN393190 LMI393190:LMJ393190 LWE393190:LWF393190 MGA393190:MGB393190 MPW393190:MPX393190 MZS393190:MZT393190 NJO393190:NJP393190 NTK393190:NTL393190 ODG393190:ODH393190 ONC393190:OND393190 OWY393190:OWZ393190 PGU393190:PGV393190 PQQ393190:PQR393190 QAM393190:QAN393190 QKI393190:QKJ393190 QUE393190:QUF393190 REA393190:REB393190 RNW393190:RNX393190 RXS393190:RXT393190 SHO393190:SHP393190 SRK393190:SRL393190 TBG393190:TBH393190 TLC393190:TLD393190 TUY393190:TUZ393190 UEU393190:UEV393190 UOQ393190:UOR393190 UYM393190:UYN393190 VII393190:VIJ393190 VSE393190:VSF393190 WCA393190:WCB393190 WLW393190:WLX393190 WVS393190:WVT393190 K458739:L458739 JG458726:JH458726 TC458726:TD458726 ACY458726:ACZ458726 AMU458726:AMV458726 AWQ458726:AWR458726 BGM458726:BGN458726 BQI458726:BQJ458726 CAE458726:CAF458726 CKA458726:CKB458726 CTW458726:CTX458726 DDS458726:DDT458726 DNO458726:DNP458726 DXK458726:DXL458726 EHG458726:EHH458726 ERC458726:ERD458726 FAY458726:FAZ458726 FKU458726:FKV458726 FUQ458726:FUR458726 GEM458726:GEN458726 GOI458726:GOJ458726 GYE458726:GYF458726 HIA458726:HIB458726 HRW458726:HRX458726 IBS458726:IBT458726 ILO458726:ILP458726 IVK458726:IVL458726 JFG458726:JFH458726 JPC458726:JPD458726 JYY458726:JYZ458726 KIU458726:KIV458726 KSQ458726:KSR458726 LCM458726:LCN458726 LMI458726:LMJ458726 LWE458726:LWF458726 MGA458726:MGB458726 MPW458726:MPX458726 MZS458726:MZT458726 NJO458726:NJP458726 NTK458726:NTL458726 ODG458726:ODH458726 ONC458726:OND458726 OWY458726:OWZ458726 PGU458726:PGV458726 PQQ458726:PQR458726 QAM458726:QAN458726 QKI458726:QKJ458726 QUE458726:QUF458726 REA458726:REB458726 RNW458726:RNX458726 RXS458726:RXT458726 SHO458726:SHP458726 SRK458726:SRL458726 TBG458726:TBH458726 TLC458726:TLD458726 TUY458726:TUZ458726 UEU458726:UEV458726 UOQ458726:UOR458726 UYM458726:UYN458726 VII458726:VIJ458726 VSE458726:VSF458726 WCA458726:WCB458726 WLW458726:WLX458726 WVS458726:WVT458726 K524275:L524275 JG524262:JH524262 TC524262:TD524262 ACY524262:ACZ524262 AMU524262:AMV524262 AWQ524262:AWR524262 BGM524262:BGN524262 BQI524262:BQJ524262 CAE524262:CAF524262 CKA524262:CKB524262 CTW524262:CTX524262 DDS524262:DDT524262 DNO524262:DNP524262 DXK524262:DXL524262 EHG524262:EHH524262 ERC524262:ERD524262 FAY524262:FAZ524262 FKU524262:FKV524262 FUQ524262:FUR524262 GEM524262:GEN524262 GOI524262:GOJ524262 GYE524262:GYF524262 HIA524262:HIB524262 HRW524262:HRX524262 IBS524262:IBT524262 ILO524262:ILP524262 IVK524262:IVL524262 JFG524262:JFH524262 JPC524262:JPD524262 JYY524262:JYZ524262 KIU524262:KIV524262 KSQ524262:KSR524262 LCM524262:LCN524262 LMI524262:LMJ524262 LWE524262:LWF524262 MGA524262:MGB524262 MPW524262:MPX524262 MZS524262:MZT524262 NJO524262:NJP524262 NTK524262:NTL524262 ODG524262:ODH524262 ONC524262:OND524262 OWY524262:OWZ524262 PGU524262:PGV524262 PQQ524262:PQR524262 QAM524262:QAN524262 QKI524262:QKJ524262 QUE524262:QUF524262 REA524262:REB524262 RNW524262:RNX524262 RXS524262:RXT524262 SHO524262:SHP524262 SRK524262:SRL524262 TBG524262:TBH524262 TLC524262:TLD524262 TUY524262:TUZ524262 UEU524262:UEV524262 UOQ524262:UOR524262 UYM524262:UYN524262 VII524262:VIJ524262 VSE524262:VSF524262 WCA524262:WCB524262 WLW524262:WLX524262 WVS524262:WVT524262 K589811:L589811 JG589798:JH589798 TC589798:TD589798 ACY589798:ACZ589798 AMU589798:AMV589798 AWQ589798:AWR589798 BGM589798:BGN589798 BQI589798:BQJ589798 CAE589798:CAF589798 CKA589798:CKB589798 CTW589798:CTX589798 DDS589798:DDT589798 DNO589798:DNP589798 DXK589798:DXL589798 EHG589798:EHH589798 ERC589798:ERD589798 FAY589798:FAZ589798 FKU589798:FKV589798 FUQ589798:FUR589798 GEM589798:GEN589798 GOI589798:GOJ589798 GYE589798:GYF589798 HIA589798:HIB589798 HRW589798:HRX589798 IBS589798:IBT589798 ILO589798:ILP589798 IVK589798:IVL589798 JFG589798:JFH589798 JPC589798:JPD589798 JYY589798:JYZ589798 KIU589798:KIV589798 KSQ589798:KSR589798 LCM589798:LCN589798 LMI589798:LMJ589798 LWE589798:LWF589798 MGA589798:MGB589798 MPW589798:MPX589798 MZS589798:MZT589798 NJO589798:NJP589798 NTK589798:NTL589798 ODG589798:ODH589798 ONC589798:OND589798 OWY589798:OWZ589798 PGU589798:PGV589798 PQQ589798:PQR589798 QAM589798:QAN589798 QKI589798:QKJ589798 QUE589798:QUF589798 REA589798:REB589798 RNW589798:RNX589798 RXS589798:RXT589798 SHO589798:SHP589798 SRK589798:SRL589798 TBG589798:TBH589798 TLC589798:TLD589798 TUY589798:TUZ589798 UEU589798:UEV589798 UOQ589798:UOR589798 UYM589798:UYN589798 VII589798:VIJ589798 VSE589798:VSF589798 WCA589798:WCB589798 WLW589798:WLX589798 WVS589798:WVT589798 K655347:L655347 JG655334:JH655334 TC655334:TD655334 ACY655334:ACZ655334 AMU655334:AMV655334 AWQ655334:AWR655334 BGM655334:BGN655334 BQI655334:BQJ655334 CAE655334:CAF655334 CKA655334:CKB655334 CTW655334:CTX655334 DDS655334:DDT655334 DNO655334:DNP655334 DXK655334:DXL655334 EHG655334:EHH655334 ERC655334:ERD655334 FAY655334:FAZ655334 FKU655334:FKV655334 FUQ655334:FUR655334 GEM655334:GEN655334 GOI655334:GOJ655334 GYE655334:GYF655334 HIA655334:HIB655334 HRW655334:HRX655334 IBS655334:IBT655334 ILO655334:ILP655334 IVK655334:IVL655334 JFG655334:JFH655334 JPC655334:JPD655334 JYY655334:JYZ655334 KIU655334:KIV655334 KSQ655334:KSR655334 LCM655334:LCN655334 LMI655334:LMJ655334 LWE655334:LWF655334 MGA655334:MGB655334 MPW655334:MPX655334 MZS655334:MZT655334 NJO655334:NJP655334 NTK655334:NTL655334 ODG655334:ODH655334 ONC655334:OND655334 OWY655334:OWZ655334 PGU655334:PGV655334 PQQ655334:PQR655334 QAM655334:QAN655334 QKI655334:QKJ655334 QUE655334:QUF655334 REA655334:REB655334 RNW655334:RNX655334 RXS655334:RXT655334 SHO655334:SHP655334 SRK655334:SRL655334 TBG655334:TBH655334 TLC655334:TLD655334 TUY655334:TUZ655334 UEU655334:UEV655334 UOQ655334:UOR655334 UYM655334:UYN655334 VII655334:VIJ655334 VSE655334:VSF655334 WCA655334:WCB655334 WLW655334:WLX655334 WVS655334:WVT655334 K720883:L720883 JG720870:JH720870 TC720870:TD720870 ACY720870:ACZ720870 AMU720870:AMV720870 AWQ720870:AWR720870 BGM720870:BGN720870 BQI720870:BQJ720870 CAE720870:CAF720870 CKA720870:CKB720870 CTW720870:CTX720870 DDS720870:DDT720870 DNO720870:DNP720870 DXK720870:DXL720870 EHG720870:EHH720870 ERC720870:ERD720870 FAY720870:FAZ720870 FKU720870:FKV720870 FUQ720870:FUR720870 GEM720870:GEN720870 GOI720870:GOJ720870 GYE720870:GYF720870 HIA720870:HIB720870 HRW720870:HRX720870 IBS720870:IBT720870 ILO720870:ILP720870 IVK720870:IVL720870 JFG720870:JFH720870 JPC720870:JPD720870 JYY720870:JYZ720870 KIU720870:KIV720870 KSQ720870:KSR720870 LCM720870:LCN720870 LMI720870:LMJ720870 LWE720870:LWF720870 MGA720870:MGB720870 MPW720870:MPX720870 MZS720870:MZT720870 NJO720870:NJP720870 NTK720870:NTL720870 ODG720870:ODH720870 ONC720870:OND720870 OWY720870:OWZ720870 PGU720870:PGV720870 PQQ720870:PQR720870 QAM720870:QAN720870 QKI720870:QKJ720870 QUE720870:QUF720870 REA720870:REB720870 RNW720870:RNX720870 RXS720870:RXT720870 SHO720870:SHP720870 SRK720870:SRL720870 TBG720870:TBH720870 TLC720870:TLD720870 TUY720870:TUZ720870 UEU720870:UEV720870 UOQ720870:UOR720870 UYM720870:UYN720870 VII720870:VIJ720870 VSE720870:VSF720870 WCA720870:WCB720870 WLW720870:WLX720870 WVS720870:WVT720870 K786419:L786419 JG786406:JH786406 TC786406:TD786406 ACY786406:ACZ786406 AMU786406:AMV786406 AWQ786406:AWR786406 BGM786406:BGN786406 BQI786406:BQJ786406 CAE786406:CAF786406 CKA786406:CKB786406 CTW786406:CTX786406 DDS786406:DDT786406 DNO786406:DNP786406 DXK786406:DXL786406 EHG786406:EHH786406 ERC786406:ERD786406 FAY786406:FAZ786406 FKU786406:FKV786406 FUQ786406:FUR786406 GEM786406:GEN786406 GOI786406:GOJ786406 GYE786406:GYF786406 HIA786406:HIB786406 HRW786406:HRX786406 IBS786406:IBT786406 ILO786406:ILP786406 IVK786406:IVL786406 JFG786406:JFH786406 JPC786406:JPD786406 JYY786406:JYZ786406 KIU786406:KIV786406 KSQ786406:KSR786406 LCM786406:LCN786406 LMI786406:LMJ786406 LWE786406:LWF786406 MGA786406:MGB786406 MPW786406:MPX786406 MZS786406:MZT786406 NJO786406:NJP786406 NTK786406:NTL786406 ODG786406:ODH786406 ONC786406:OND786406 OWY786406:OWZ786406 PGU786406:PGV786406 PQQ786406:PQR786406 QAM786406:QAN786406 QKI786406:QKJ786406 QUE786406:QUF786406 REA786406:REB786406 RNW786406:RNX786406 RXS786406:RXT786406 SHO786406:SHP786406 SRK786406:SRL786406 TBG786406:TBH786406 TLC786406:TLD786406 TUY786406:TUZ786406 UEU786406:UEV786406 UOQ786406:UOR786406 UYM786406:UYN786406 VII786406:VIJ786406 VSE786406:VSF786406 WCA786406:WCB786406 WLW786406:WLX786406 WVS786406:WVT786406 K851955:L851955 JG851942:JH851942 TC851942:TD851942 ACY851942:ACZ851942 AMU851942:AMV851942 AWQ851942:AWR851942 BGM851942:BGN851942 BQI851942:BQJ851942 CAE851942:CAF851942 CKA851942:CKB851942 CTW851942:CTX851942 DDS851942:DDT851942 DNO851942:DNP851942 DXK851942:DXL851942 EHG851942:EHH851942 ERC851942:ERD851942 FAY851942:FAZ851942 FKU851942:FKV851942 FUQ851942:FUR851942 GEM851942:GEN851942 GOI851942:GOJ851942 GYE851942:GYF851942 HIA851942:HIB851942 HRW851942:HRX851942 IBS851942:IBT851942 ILO851942:ILP851942 IVK851942:IVL851942 JFG851942:JFH851942 JPC851942:JPD851942 JYY851942:JYZ851942 KIU851942:KIV851942 KSQ851942:KSR851942 LCM851942:LCN851942 LMI851942:LMJ851942 LWE851942:LWF851942 MGA851942:MGB851942 MPW851942:MPX851942 MZS851942:MZT851942 NJO851942:NJP851942 NTK851942:NTL851942 ODG851942:ODH851942 ONC851942:OND851942 OWY851942:OWZ851942 PGU851942:PGV851942 PQQ851942:PQR851942 QAM851942:QAN851942 QKI851942:QKJ851942 QUE851942:QUF851942 REA851942:REB851942 RNW851942:RNX851942 RXS851942:RXT851942 SHO851942:SHP851942 SRK851942:SRL851942 TBG851942:TBH851942 TLC851942:TLD851942 TUY851942:TUZ851942 UEU851942:UEV851942 UOQ851942:UOR851942 UYM851942:UYN851942 VII851942:VIJ851942 VSE851942:VSF851942 WCA851942:WCB851942 WLW851942:WLX851942 WVS851942:WVT851942 K917491:L917491 JG917478:JH917478 TC917478:TD917478 ACY917478:ACZ917478 AMU917478:AMV917478 AWQ917478:AWR917478 BGM917478:BGN917478 BQI917478:BQJ917478 CAE917478:CAF917478 CKA917478:CKB917478 CTW917478:CTX917478 DDS917478:DDT917478 DNO917478:DNP917478 DXK917478:DXL917478 EHG917478:EHH917478 ERC917478:ERD917478 FAY917478:FAZ917478 FKU917478:FKV917478 FUQ917478:FUR917478 GEM917478:GEN917478 GOI917478:GOJ917478 GYE917478:GYF917478 HIA917478:HIB917478 HRW917478:HRX917478 IBS917478:IBT917478 ILO917478:ILP917478 IVK917478:IVL917478 JFG917478:JFH917478 JPC917478:JPD917478 JYY917478:JYZ917478 KIU917478:KIV917478 KSQ917478:KSR917478 LCM917478:LCN917478 LMI917478:LMJ917478 LWE917478:LWF917478 MGA917478:MGB917478 MPW917478:MPX917478 MZS917478:MZT917478 NJO917478:NJP917478 NTK917478:NTL917478 ODG917478:ODH917478 ONC917478:OND917478 OWY917478:OWZ917478 PGU917478:PGV917478 PQQ917478:PQR917478 QAM917478:QAN917478 QKI917478:QKJ917478 QUE917478:QUF917478 REA917478:REB917478 RNW917478:RNX917478 RXS917478:RXT917478 SHO917478:SHP917478 SRK917478:SRL917478 TBG917478:TBH917478 TLC917478:TLD917478 TUY917478:TUZ917478 UEU917478:UEV917478 UOQ917478:UOR917478 UYM917478:UYN917478 VII917478:VIJ917478 VSE917478:VSF917478 WCA917478:WCB917478 WLW917478:WLX917478 WVS917478:WVT917478 K983027:L983027 JG983014:JH983014 TC983014:TD983014 ACY983014:ACZ983014 AMU983014:AMV983014 AWQ983014:AWR983014 BGM983014:BGN983014 BQI983014:BQJ983014 CAE983014:CAF983014 CKA983014:CKB983014 CTW983014:CTX983014 DDS983014:DDT983014 DNO983014:DNP983014 DXK983014:DXL983014 EHG983014:EHH983014 ERC983014:ERD983014 FAY983014:FAZ983014 FKU983014:FKV983014 FUQ983014:FUR983014 GEM983014:GEN983014 GOI983014:GOJ983014 GYE983014:GYF983014 HIA983014:HIB983014 HRW983014:HRX983014 IBS983014:IBT983014 ILO983014:ILP983014 IVK983014:IVL983014 JFG983014:JFH983014 JPC983014:JPD983014 JYY983014:JYZ983014 KIU983014:KIV983014 KSQ983014:KSR983014 LCM983014:LCN983014 LMI983014:LMJ983014 LWE983014:LWF983014 MGA983014:MGB983014 MPW983014:MPX983014 MZS983014:MZT983014 NJO983014:NJP983014 NTK983014:NTL983014 ODG983014:ODH983014 ONC983014:OND983014 OWY983014:OWZ983014 PGU983014:PGV983014 PQQ983014:PQR983014 QAM983014:QAN983014 QKI983014:QKJ983014 QUE983014:QUF983014 REA983014:REB983014 RNW983014:RNX983014 RXS983014:RXT983014 SHO983014:SHP983014 SRK983014:SRL983014 TBG983014:TBH983014 TLC983014:TLD983014 TUY983014:TUZ983014 UEU983014:UEV983014 UOQ983014:UOR983014 UYM983014:UYN983014 VII983014:VIJ983014 VSE983014:VSF983014 WCA983014:WCB983014 WLW983014:WLX983014 WVS983014:WVT983014 K65555:L65555 JG65542:JH65542 TC65542:TD65542 ACY65542:ACZ65542 AMU65542:AMV65542 AWQ65542:AWR65542 BGM65542:BGN65542 BQI65542:BQJ65542 CAE65542:CAF65542 CKA65542:CKB65542 CTW65542:CTX65542 DDS65542:DDT65542 DNO65542:DNP65542 DXK65542:DXL65542 EHG65542:EHH65542 ERC65542:ERD65542 FAY65542:FAZ65542 FKU65542:FKV65542 FUQ65542:FUR65542 GEM65542:GEN65542 GOI65542:GOJ65542 GYE65542:GYF65542 HIA65542:HIB65542 HRW65542:HRX65542 IBS65542:IBT65542 ILO65542:ILP65542 IVK65542:IVL65542 JFG65542:JFH65542 JPC65542:JPD65542 JYY65542:JYZ65542 KIU65542:KIV65542 KSQ65542:KSR65542 LCM65542:LCN65542 LMI65542:LMJ65542 LWE65542:LWF65542 MGA65542:MGB65542 MPW65542:MPX65542 MZS65542:MZT65542 NJO65542:NJP65542 NTK65542:NTL65542 ODG65542:ODH65542 ONC65542:OND65542 OWY65542:OWZ65542 PGU65542:PGV65542 PQQ65542:PQR65542 QAM65542:QAN65542 QKI65542:QKJ65542 QUE65542:QUF65542 REA65542:REB65542 RNW65542:RNX65542 RXS65542:RXT65542 SHO65542:SHP65542 SRK65542:SRL65542 TBG65542:TBH65542 TLC65542:TLD65542 TUY65542:TUZ65542 UEU65542:UEV65542 UOQ65542:UOR65542 UYM65542:UYN65542 VII65542:VIJ65542 VSE65542:VSF65542 WCA65542:WCB65542 WLW65542:WLX65542 WVS65542:WVT65542 K131091:L131091 JG131078:JH131078 TC131078:TD131078 ACY131078:ACZ131078 AMU131078:AMV131078 AWQ131078:AWR131078 BGM131078:BGN131078 BQI131078:BQJ131078 CAE131078:CAF131078 CKA131078:CKB131078 CTW131078:CTX131078 DDS131078:DDT131078 DNO131078:DNP131078 DXK131078:DXL131078 EHG131078:EHH131078 ERC131078:ERD131078 FAY131078:FAZ131078 FKU131078:FKV131078 FUQ131078:FUR131078 GEM131078:GEN131078 GOI131078:GOJ131078 GYE131078:GYF131078 HIA131078:HIB131078 HRW131078:HRX131078 IBS131078:IBT131078 ILO131078:ILP131078 IVK131078:IVL131078 JFG131078:JFH131078 JPC131078:JPD131078 JYY131078:JYZ131078 KIU131078:KIV131078 KSQ131078:KSR131078 LCM131078:LCN131078 LMI131078:LMJ131078 LWE131078:LWF131078 MGA131078:MGB131078 MPW131078:MPX131078 MZS131078:MZT131078 NJO131078:NJP131078 NTK131078:NTL131078 ODG131078:ODH131078 ONC131078:OND131078 OWY131078:OWZ131078 PGU131078:PGV131078 PQQ131078:PQR131078 QAM131078:QAN131078 QKI131078:QKJ131078 QUE131078:QUF131078 REA131078:REB131078 RNW131078:RNX131078 RXS131078:RXT131078 SHO131078:SHP131078 SRK131078:SRL131078 TBG131078:TBH131078 TLC131078:TLD131078 TUY131078:TUZ131078 UEU131078:UEV131078 UOQ131078:UOR131078 UYM131078:UYN131078 VII131078:VIJ131078 VSE131078:VSF131078 WCA131078:WCB131078 WLW131078:WLX131078 WVS131078:WVT131078 K196627:L196627 JG196614:JH196614 TC196614:TD196614 ACY196614:ACZ196614 AMU196614:AMV196614 AWQ196614:AWR196614 BGM196614:BGN196614 BQI196614:BQJ196614 CAE196614:CAF196614 CKA196614:CKB196614 CTW196614:CTX196614 DDS196614:DDT196614 DNO196614:DNP196614 DXK196614:DXL196614 EHG196614:EHH196614 ERC196614:ERD196614 FAY196614:FAZ196614 FKU196614:FKV196614 FUQ196614:FUR196614 GEM196614:GEN196614 GOI196614:GOJ196614 GYE196614:GYF196614 HIA196614:HIB196614 HRW196614:HRX196614 IBS196614:IBT196614 ILO196614:ILP196614 IVK196614:IVL196614 JFG196614:JFH196614 JPC196614:JPD196614 JYY196614:JYZ196614 KIU196614:KIV196614 KSQ196614:KSR196614 LCM196614:LCN196614 LMI196614:LMJ196614 LWE196614:LWF196614 MGA196614:MGB196614 MPW196614:MPX196614 MZS196614:MZT196614 NJO196614:NJP196614 NTK196614:NTL196614 ODG196614:ODH196614 ONC196614:OND196614 OWY196614:OWZ196614 PGU196614:PGV196614 PQQ196614:PQR196614 QAM196614:QAN196614 QKI196614:QKJ196614 QUE196614:QUF196614 REA196614:REB196614 RNW196614:RNX196614 RXS196614:RXT196614 SHO196614:SHP196614 SRK196614:SRL196614 TBG196614:TBH196614 TLC196614:TLD196614 TUY196614:TUZ196614 UEU196614:UEV196614 UOQ196614:UOR196614 UYM196614:UYN196614 VII196614:VIJ196614 VSE196614:VSF196614 WCA196614:WCB196614 WLW196614:WLX196614 WVS196614:WVT196614 K262163:L262163 JG262150:JH262150 TC262150:TD262150 ACY262150:ACZ262150 AMU262150:AMV262150 AWQ262150:AWR262150 BGM262150:BGN262150 BQI262150:BQJ262150 CAE262150:CAF262150 CKA262150:CKB262150 CTW262150:CTX262150 DDS262150:DDT262150 DNO262150:DNP262150 DXK262150:DXL262150 EHG262150:EHH262150 ERC262150:ERD262150 FAY262150:FAZ262150 FKU262150:FKV262150 FUQ262150:FUR262150 GEM262150:GEN262150 GOI262150:GOJ262150 GYE262150:GYF262150 HIA262150:HIB262150 HRW262150:HRX262150 IBS262150:IBT262150 ILO262150:ILP262150 IVK262150:IVL262150 JFG262150:JFH262150 JPC262150:JPD262150 JYY262150:JYZ262150 KIU262150:KIV262150 KSQ262150:KSR262150 LCM262150:LCN262150 LMI262150:LMJ262150 LWE262150:LWF262150 MGA262150:MGB262150 MPW262150:MPX262150 MZS262150:MZT262150 NJO262150:NJP262150 NTK262150:NTL262150 ODG262150:ODH262150 ONC262150:OND262150 OWY262150:OWZ262150 PGU262150:PGV262150 PQQ262150:PQR262150 QAM262150:QAN262150 QKI262150:QKJ262150 QUE262150:QUF262150 REA262150:REB262150 RNW262150:RNX262150 RXS262150:RXT262150 SHO262150:SHP262150 SRK262150:SRL262150 TBG262150:TBH262150 TLC262150:TLD262150 TUY262150:TUZ262150 UEU262150:UEV262150 UOQ262150:UOR262150 UYM262150:UYN262150 VII262150:VIJ262150 VSE262150:VSF262150 WCA262150:WCB262150 WLW262150:WLX262150 WVS262150:WVT262150 K327699:L327699 JG327686:JH327686 TC327686:TD327686 ACY327686:ACZ327686 AMU327686:AMV327686 AWQ327686:AWR327686 BGM327686:BGN327686 BQI327686:BQJ327686 CAE327686:CAF327686 CKA327686:CKB327686 CTW327686:CTX327686 DDS327686:DDT327686 DNO327686:DNP327686 DXK327686:DXL327686 EHG327686:EHH327686 ERC327686:ERD327686 FAY327686:FAZ327686 FKU327686:FKV327686 FUQ327686:FUR327686 GEM327686:GEN327686 GOI327686:GOJ327686 GYE327686:GYF327686 HIA327686:HIB327686 HRW327686:HRX327686 IBS327686:IBT327686 ILO327686:ILP327686 IVK327686:IVL327686 JFG327686:JFH327686 JPC327686:JPD327686 JYY327686:JYZ327686 KIU327686:KIV327686 KSQ327686:KSR327686 LCM327686:LCN327686 LMI327686:LMJ327686 LWE327686:LWF327686 MGA327686:MGB327686 MPW327686:MPX327686 MZS327686:MZT327686 NJO327686:NJP327686 NTK327686:NTL327686 ODG327686:ODH327686 ONC327686:OND327686 OWY327686:OWZ327686 PGU327686:PGV327686 PQQ327686:PQR327686 QAM327686:QAN327686 QKI327686:QKJ327686 QUE327686:QUF327686 REA327686:REB327686 RNW327686:RNX327686 RXS327686:RXT327686 SHO327686:SHP327686 SRK327686:SRL327686 TBG327686:TBH327686 TLC327686:TLD327686 TUY327686:TUZ327686 UEU327686:UEV327686 UOQ327686:UOR327686 UYM327686:UYN327686 VII327686:VIJ327686 VSE327686:VSF327686 WCA327686:WCB327686 WLW327686:WLX327686 WVS327686:WVT327686 K393235:L393235 JG393222:JH393222 TC393222:TD393222 ACY393222:ACZ393222 AMU393222:AMV393222 AWQ393222:AWR393222 BGM393222:BGN393222 BQI393222:BQJ393222 CAE393222:CAF393222 CKA393222:CKB393222 CTW393222:CTX393222 DDS393222:DDT393222 DNO393222:DNP393222 DXK393222:DXL393222 EHG393222:EHH393222 ERC393222:ERD393222 FAY393222:FAZ393222 FKU393222:FKV393222 FUQ393222:FUR393222 GEM393222:GEN393222 GOI393222:GOJ393222 GYE393222:GYF393222 HIA393222:HIB393222 HRW393222:HRX393222 IBS393222:IBT393222 ILO393222:ILP393222 IVK393222:IVL393222 JFG393222:JFH393222 JPC393222:JPD393222 JYY393222:JYZ393222 KIU393222:KIV393222 KSQ393222:KSR393222 LCM393222:LCN393222 LMI393222:LMJ393222 LWE393222:LWF393222 MGA393222:MGB393222 MPW393222:MPX393222 MZS393222:MZT393222 NJO393222:NJP393222 NTK393222:NTL393222 ODG393222:ODH393222 ONC393222:OND393222 OWY393222:OWZ393222 PGU393222:PGV393222 PQQ393222:PQR393222 QAM393222:QAN393222 QKI393222:QKJ393222 QUE393222:QUF393222 REA393222:REB393222 RNW393222:RNX393222 RXS393222:RXT393222 SHO393222:SHP393222 SRK393222:SRL393222 TBG393222:TBH393222 TLC393222:TLD393222 TUY393222:TUZ393222 UEU393222:UEV393222 UOQ393222:UOR393222 UYM393222:UYN393222 VII393222:VIJ393222 VSE393222:VSF393222 WCA393222:WCB393222 WLW393222:WLX393222 WVS393222:WVT393222 K458771:L458771 JG458758:JH458758 TC458758:TD458758 ACY458758:ACZ458758 AMU458758:AMV458758 AWQ458758:AWR458758 BGM458758:BGN458758 BQI458758:BQJ458758 CAE458758:CAF458758 CKA458758:CKB458758 CTW458758:CTX458758 DDS458758:DDT458758 DNO458758:DNP458758 DXK458758:DXL458758 EHG458758:EHH458758 ERC458758:ERD458758 FAY458758:FAZ458758 FKU458758:FKV458758 FUQ458758:FUR458758 GEM458758:GEN458758 GOI458758:GOJ458758 GYE458758:GYF458758 HIA458758:HIB458758 HRW458758:HRX458758 IBS458758:IBT458758 ILO458758:ILP458758 IVK458758:IVL458758 JFG458758:JFH458758 JPC458758:JPD458758 JYY458758:JYZ458758 KIU458758:KIV458758 KSQ458758:KSR458758 LCM458758:LCN458758 LMI458758:LMJ458758 LWE458758:LWF458758 MGA458758:MGB458758 MPW458758:MPX458758 MZS458758:MZT458758 NJO458758:NJP458758 NTK458758:NTL458758 ODG458758:ODH458758 ONC458758:OND458758 OWY458758:OWZ458758 PGU458758:PGV458758 PQQ458758:PQR458758 QAM458758:QAN458758 QKI458758:QKJ458758 QUE458758:QUF458758 REA458758:REB458758 RNW458758:RNX458758 RXS458758:RXT458758 SHO458758:SHP458758 SRK458758:SRL458758 TBG458758:TBH458758 TLC458758:TLD458758 TUY458758:TUZ458758 UEU458758:UEV458758 UOQ458758:UOR458758 UYM458758:UYN458758 VII458758:VIJ458758 VSE458758:VSF458758 WCA458758:WCB458758 WLW458758:WLX458758 WVS458758:WVT458758 K524307:L524307 JG524294:JH524294 TC524294:TD524294 ACY524294:ACZ524294 AMU524294:AMV524294 AWQ524294:AWR524294 BGM524294:BGN524294 BQI524294:BQJ524294 CAE524294:CAF524294 CKA524294:CKB524294 CTW524294:CTX524294 DDS524294:DDT524294 DNO524294:DNP524294 DXK524294:DXL524294 EHG524294:EHH524294 ERC524294:ERD524294 FAY524294:FAZ524294 FKU524294:FKV524294 FUQ524294:FUR524294 GEM524294:GEN524294 GOI524294:GOJ524294 GYE524294:GYF524294 HIA524294:HIB524294 HRW524294:HRX524294 IBS524294:IBT524294 ILO524294:ILP524294 IVK524294:IVL524294 JFG524294:JFH524294 JPC524294:JPD524294 JYY524294:JYZ524294 KIU524294:KIV524294 KSQ524294:KSR524294 LCM524294:LCN524294 LMI524294:LMJ524294 LWE524294:LWF524294 MGA524294:MGB524294 MPW524294:MPX524294 MZS524294:MZT524294 NJO524294:NJP524294 NTK524294:NTL524294 ODG524294:ODH524294 ONC524294:OND524294 OWY524294:OWZ524294 PGU524294:PGV524294 PQQ524294:PQR524294 QAM524294:QAN524294 QKI524294:QKJ524294 QUE524294:QUF524294 REA524294:REB524294 RNW524294:RNX524294 RXS524294:RXT524294 SHO524294:SHP524294 SRK524294:SRL524294 TBG524294:TBH524294 TLC524294:TLD524294 TUY524294:TUZ524294 UEU524294:UEV524294 UOQ524294:UOR524294 UYM524294:UYN524294 VII524294:VIJ524294 VSE524294:VSF524294 WCA524294:WCB524294 WLW524294:WLX524294 WVS524294:WVT524294 K589843:L589843 JG589830:JH589830 TC589830:TD589830 ACY589830:ACZ589830 AMU589830:AMV589830 AWQ589830:AWR589830 BGM589830:BGN589830 BQI589830:BQJ589830 CAE589830:CAF589830 CKA589830:CKB589830 CTW589830:CTX589830 DDS589830:DDT589830 DNO589830:DNP589830 DXK589830:DXL589830 EHG589830:EHH589830 ERC589830:ERD589830 FAY589830:FAZ589830 FKU589830:FKV589830 FUQ589830:FUR589830 GEM589830:GEN589830 GOI589830:GOJ589830 GYE589830:GYF589830 HIA589830:HIB589830 HRW589830:HRX589830 IBS589830:IBT589830 ILO589830:ILP589830 IVK589830:IVL589830 JFG589830:JFH589830 JPC589830:JPD589830 JYY589830:JYZ589830 KIU589830:KIV589830 KSQ589830:KSR589830 LCM589830:LCN589830 LMI589830:LMJ589830 LWE589830:LWF589830 MGA589830:MGB589830 MPW589830:MPX589830 MZS589830:MZT589830 NJO589830:NJP589830 NTK589830:NTL589830 ODG589830:ODH589830 ONC589830:OND589830 OWY589830:OWZ589830 PGU589830:PGV589830 PQQ589830:PQR589830 QAM589830:QAN589830 QKI589830:QKJ589830 QUE589830:QUF589830 REA589830:REB589830 RNW589830:RNX589830 RXS589830:RXT589830 SHO589830:SHP589830 SRK589830:SRL589830 TBG589830:TBH589830 TLC589830:TLD589830 TUY589830:TUZ589830 UEU589830:UEV589830 UOQ589830:UOR589830 UYM589830:UYN589830 VII589830:VIJ589830 VSE589830:VSF589830 WCA589830:WCB589830 WLW589830:WLX589830 WVS589830:WVT589830 K655379:L655379 JG655366:JH655366 TC655366:TD655366 ACY655366:ACZ655366 AMU655366:AMV655366 AWQ655366:AWR655366 BGM655366:BGN655366 BQI655366:BQJ655366 CAE655366:CAF655366 CKA655366:CKB655366 CTW655366:CTX655366 DDS655366:DDT655366 DNO655366:DNP655366 DXK655366:DXL655366 EHG655366:EHH655366 ERC655366:ERD655366 FAY655366:FAZ655366 FKU655366:FKV655366 FUQ655366:FUR655366 GEM655366:GEN655366 GOI655366:GOJ655366 GYE655366:GYF655366 HIA655366:HIB655366 HRW655366:HRX655366 IBS655366:IBT655366 ILO655366:ILP655366 IVK655366:IVL655366 JFG655366:JFH655366 JPC655366:JPD655366 JYY655366:JYZ655366 KIU655366:KIV655366 KSQ655366:KSR655366 LCM655366:LCN655366 LMI655366:LMJ655366 LWE655366:LWF655366 MGA655366:MGB655366 MPW655366:MPX655366 MZS655366:MZT655366 NJO655366:NJP655366 NTK655366:NTL655366 ODG655366:ODH655366 ONC655366:OND655366 OWY655366:OWZ655366 PGU655366:PGV655366 PQQ655366:PQR655366 QAM655366:QAN655366 QKI655366:QKJ655366 QUE655366:QUF655366 REA655366:REB655366 RNW655366:RNX655366 RXS655366:RXT655366 SHO655366:SHP655366 SRK655366:SRL655366 TBG655366:TBH655366 TLC655366:TLD655366 TUY655366:TUZ655366 UEU655366:UEV655366 UOQ655366:UOR655366 UYM655366:UYN655366 VII655366:VIJ655366 VSE655366:VSF655366 WCA655366:WCB655366 WLW655366:WLX655366 WVS655366:WVT655366 K720915:L720915 JG720902:JH720902 TC720902:TD720902 ACY720902:ACZ720902 AMU720902:AMV720902 AWQ720902:AWR720902 BGM720902:BGN720902 BQI720902:BQJ720902 CAE720902:CAF720902 CKA720902:CKB720902 CTW720902:CTX720902 DDS720902:DDT720902 DNO720902:DNP720902 DXK720902:DXL720902 EHG720902:EHH720902 ERC720902:ERD720902 FAY720902:FAZ720902 FKU720902:FKV720902 FUQ720902:FUR720902 GEM720902:GEN720902 GOI720902:GOJ720902 GYE720902:GYF720902 HIA720902:HIB720902 HRW720902:HRX720902 IBS720902:IBT720902 ILO720902:ILP720902 IVK720902:IVL720902 JFG720902:JFH720902 JPC720902:JPD720902 JYY720902:JYZ720902 KIU720902:KIV720902 KSQ720902:KSR720902 LCM720902:LCN720902 LMI720902:LMJ720902 LWE720902:LWF720902 MGA720902:MGB720902 MPW720902:MPX720902 MZS720902:MZT720902 NJO720902:NJP720902 NTK720902:NTL720902 ODG720902:ODH720902 ONC720902:OND720902 OWY720902:OWZ720902 PGU720902:PGV720902 PQQ720902:PQR720902 QAM720902:QAN720902 QKI720902:QKJ720902 QUE720902:QUF720902 REA720902:REB720902 RNW720902:RNX720902 RXS720902:RXT720902 SHO720902:SHP720902 SRK720902:SRL720902 TBG720902:TBH720902 TLC720902:TLD720902 TUY720902:TUZ720902 UEU720902:UEV720902 UOQ720902:UOR720902 UYM720902:UYN720902 VII720902:VIJ720902 VSE720902:VSF720902 WCA720902:WCB720902 WLW720902:WLX720902 WVS720902:WVT720902 K786451:L786451 JG786438:JH786438 TC786438:TD786438 ACY786438:ACZ786438 AMU786438:AMV786438 AWQ786438:AWR786438 BGM786438:BGN786438 BQI786438:BQJ786438 CAE786438:CAF786438 CKA786438:CKB786438 CTW786438:CTX786438 DDS786438:DDT786438 DNO786438:DNP786438 DXK786438:DXL786438 EHG786438:EHH786438 ERC786438:ERD786438 FAY786438:FAZ786438 FKU786438:FKV786438 FUQ786438:FUR786438 GEM786438:GEN786438 GOI786438:GOJ786438 GYE786438:GYF786438 HIA786438:HIB786438 HRW786438:HRX786438 IBS786438:IBT786438 ILO786438:ILP786438 IVK786438:IVL786438 JFG786438:JFH786438 JPC786438:JPD786438 JYY786438:JYZ786438 KIU786438:KIV786438 KSQ786438:KSR786438 LCM786438:LCN786438 LMI786438:LMJ786438 LWE786438:LWF786438 MGA786438:MGB786438 MPW786438:MPX786438 MZS786438:MZT786438 NJO786438:NJP786438 NTK786438:NTL786438 ODG786438:ODH786438 ONC786438:OND786438 OWY786438:OWZ786438 PGU786438:PGV786438 PQQ786438:PQR786438 QAM786438:QAN786438 QKI786438:QKJ786438 QUE786438:QUF786438 REA786438:REB786438 RNW786438:RNX786438 RXS786438:RXT786438 SHO786438:SHP786438 SRK786438:SRL786438 TBG786438:TBH786438 TLC786438:TLD786438 TUY786438:TUZ786438 UEU786438:UEV786438 UOQ786438:UOR786438 UYM786438:UYN786438 VII786438:VIJ786438 VSE786438:VSF786438 WCA786438:WCB786438 WLW786438:WLX786438 WVS786438:WVT786438 K851987:L851987 JG851974:JH851974 TC851974:TD851974 ACY851974:ACZ851974 AMU851974:AMV851974 AWQ851974:AWR851974 BGM851974:BGN851974 BQI851974:BQJ851974 CAE851974:CAF851974 CKA851974:CKB851974 CTW851974:CTX851974 DDS851974:DDT851974 DNO851974:DNP851974 DXK851974:DXL851974 EHG851974:EHH851974 ERC851974:ERD851974 FAY851974:FAZ851974 FKU851974:FKV851974 FUQ851974:FUR851974 GEM851974:GEN851974 GOI851974:GOJ851974 GYE851974:GYF851974 HIA851974:HIB851974 HRW851974:HRX851974 IBS851974:IBT851974 ILO851974:ILP851974 IVK851974:IVL851974 JFG851974:JFH851974 JPC851974:JPD851974 JYY851974:JYZ851974 KIU851974:KIV851974 KSQ851974:KSR851974 LCM851974:LCN851974 LMI851974:LMJ851974 LWE851974:LWF851974 MGA851974:MGB851974 MPW851974:MPX851974 MZS851974:MZT851974 NJO851974:NJP851974 NTK851974:NTL851974 ODG851974:ODH851974 ONC851974:OND851974 OWY851974:OWZ851974 PGU851974:PGV851974 PQQ851974:PQR851974 QAM851974:QAN851974 QKI851974:QKJ851974 QUE851974:QUF851974 REA851974:REB851974 RNW851974:RNX851974 RXS851974:RXT851974 SHO851974:SHP851974 SRK851974:SRL851974 TBG851974:TBH851974 TLC851974:TLD851974 TUY851974:TUZ851974 UEU851974:UEV851974 UOQ851974:UOR851974 UYM851974:UYN851974 VII851974:VIJ851974 VSE851974:VSF851974 WCA851974:WCB851974 WLW851974:WLX851974 WVS851974:WVT851974 K917523:L917523 JG917510:JH917510 TC917510:TD917510 ACY917510:ACZ917510 AMU917510:AMV917510 AWQ917510:AWR917510 BGM917510:BGN917510 BQI917510:BQJ917510 CAE917510:CAF917510 CKA917510:CKB917510 CTW917510:CTX917510 DDS917510:DDT917510 DNO917510:DNP917510 DXK917510:DXL917510 EHG917510:EHH917510 ERC917510:ERD917510 FAY917510:FAZ917510 FKU917510:FKV917510 FUQ917510:FUR917510 GEM917510:GEN917510 GOI917510:GOJ917510 GYE917510:GYF917510 HIA917510:HIB917510 HRW917510:HRX917510 IBS917510:IBT917510 ILO917510:ILP917510 IVK917510:IVL917510 JFG917510:JFH917510 JPC917510:JPD917510 JYY917510:JYZ917510 KIU917510:KIV917510 KSQ917510:KSR917510 LCM917510:LCN917510 LMI917510:LMJ917510 LWE917510:LWF917510 MGA917510:MGB917510 MPW917510:MPX917510 MZS917510:MZT917510 NJO917510:NJP917510 NTK917510:NTL917510 ODG917510:ODH917510 ONC917510:OND917510 OWY917510:OWZ917510 PGU917510:PGV917510 PQQ917510:PQR917510 QAM917510:QAN917510 QKI917510:QKJ917510 QUE917510:QUF917510 REA917510:REB917510 RNW917510:RNX917510 RXS917510:RXT917510 SHO917510:SHP917510 SRK917510:SRL917510 TBG917510:TBH917510 TLC917510:TLD917510 TUY917510:TUZ917510 UEU917510:UEV917510 UOQ917510:UOR917510 UYM917510:UYN917510 VII917510:VIJ917510 VSE917510:VSF917510 WCA917510:WCB917510 WLW917510:WLX917510 WVS917510:WVT917510 K983059:L983059 JG983046:JH983046 TC983046:TD983046 ACY983046:ACZ983046 AMU983046:AMV983046 AWQ983046:AWR983046 BGM983046:BGN983046 BQI983046:BQJ983046 CAE983046:CAF983046 CKA983046:CKB983046 CTW983046:CTX983046 DDS983046:DDT983046 DNO983046:DNP983046 DXK983046:DXL983046 EHG983046:EHH983046 ERC983046:ERD983046 FAY983046:FAZ983046 FKU983046:FKV983046 FUQ983046:FUR983046 GEM983046:GEN983046 GOI983046:GOJ983046 GYE983046:GYF983046 HIA983046:HIB983046 HRW983046:HRX983046 IBS983046:IBT983046 ILO983046:ILP983046 IVK983046:IVL983046 JFG983046:JFH983046 JPC983046:JPD983046 JYY983046:JYZ983046 KIU983046:KIV983046 KSQ983046:KSR983046 LCM983046:LCN983046 LMI983046:LMJ983046 LWE983046:LWF983046 MGA983046:MGB983046 MPW983046:MPX983046 MZS983046:MZT983046 NJO983046:NJP983046 NTK983046:NTL983046 ODG983046:ODH983046 ONC983046:OND983046 OWY983046:OWZ983046 PGU983046:PGV983046 PQQ983046:PQR983046 QAM983046:QAN983046 QKI983046:QKJ983046 QUE983046:QUF983046 REA983046:REB983046 RNW983046:RNX983046 RXS983046:RXT983046 SHO983046:SHP983046 SRK983046:SRL983046 TBG983046:TBH983046 TLC983046:TLD983046 TUY983046:TUZ983046 UEU983046:UEV983046 UOQ983046:UOR983046 UYM983046:UYN983046 VII983046:VIJ983046 VSE983046:VSF983046 WCA983046:WCB983046 WLW983046:WLX983046 WVS983046:WVT983046 WLW983017:WLX983017 K65526:L65526 JG65513:JH65513 TC65513:TD65513 ACY65513:ACZ65513 AMU65513:AMV65513 AWQ65513:AWR65513 BGM65513:BGN65513 BQI65513:BQJ65513 CAE65513:CAF65513 CKA65513:CKB65513 CTW65513:CTX65513 DDS65513:DDT65513 DNO65513:DNP65513 DXK65513:DXL65513 EHG65513:EHH65513 ERC65513:ERD65513 FAY65513:FAZ65513 FKU65513:FKV65513 FUQ65513:FUR65513 GEM65513:GEN65513 GOI65513:GOJ65513 GYE65513:GYF65513 HIA65513:HIB65513 HRW65513:HRX65513 IBS65513:IBT65513 ILO65513:ILP65513 IVK65513:IVL65513 JFG65513:JFH65513 JPC65513:JPD65513 JYY65513:JYZ65513 KIU65513:KIV65513 KSQ65513:KSR65513 LCM65513:LCN65513 LMI65513:LMJ65513 LWE65513:LWF65513 MGA65513:MGB65513 MPW65513:MPX65513 MZS65513:MZT65513 NJO65513:NJP65513 NTK65513:NTL65513 ODG65513:ODH65513 ONC65513:OND65513 OWY65513:OWZ65513 PGU65513:PGV65513 PQQ65513:PQR65513 QAM65513:QAN65513 QKI65513:QKJ65513 QUE65513:QUF65513 REA65513:REB65513 RNW65513:RNX65513 RXS65513:RXT65513 SHO65513:SHP65513 SRK65513:SRL65513 TBG65513:TBH65513 TLC65513:TLD65513 TUY65513:TUZ65513 UEU65513:UEV65513 UOQ65513:UOR65513 UYM65513:UYN65513 VII65513:VIJ65513 VSE65513:VSF65513 WCA65513:WCB65513 WLW65513:WLX65513 WVS65513:WVT65513 K131062:L131062 JG131049:JH131049 TC131049:TD131049 ACY131049:ACZ131049 AMU131049:AMV131049 AWQ131049:AWR131049 BGM131049:BGN131049 BQI131049:BQJ131049 CAE131049:CAF131049 CKA131049:CKB131049 CTW131049:CTX131049 DDS131049:DDT131049 DNO131049:DNP131049 DXK131049:DXL131049 EHG131049:EHH131049 ERC131049:ERD131049 FAY131049:FAZ131049 FKU131049:FKV131049 FUQ131049:FUR131049 GEM131049:GEN131049 GOI131049:GOJ131049 GYE131049:GYF131049 HIA131049:HIB131049 HRW131049:HRX131049 IBS131049:IBT131049 ILO131049:ILP131049 IVK131049:IVL131049 JFG131049:JFH131049 JPC131049:JPD131049 JYY131049:JYZ131049 KIU131049:KIV131049 KSQ131049:KSR131049 LCM131049:LCN131049 LMI131049:LMJ131049 LWE131049:LWF131049 MGA131049:MGB131049 MPW131049:MPX131049 MZS131049:MZT131049 NJO131049:NJP131049 NTK131049:NTL131049 ODG131049:ODH131049 ONC131049:OND131049 OWY131049:OWZ131049 PGU131049:PGV131049 PQQ131049:PQR131049 QAM131049:QAN131049 QKI131049:QKJ131049 QUE131049:QUF131049 REA131049:REB131049 RNW131049:RNX131049 RXS131049:RXT131049 SHO131049:SHP131049 SRK131049:SRL131049 TBG131049:TBH131049 TLC131049:TLD131049 TUY131049:TUZ131049 UEU131049:UEV131049 UOQ131049:UOR131049 UYM131049:UYN131049 VII131049:VIJ131049 VSE131049:VSF131049 WCA131049:WCB131049 WLW131049:WLX131049 WVS131049:WVT131049 K196598:L196598 JG196585:JH196585 TC196585:TD196585 ACY196585:ACZ196585 AMU196585:AMV196585 AWQ196585:AWR196585 BGM196585:BGN196585 BQI196585:BQJ196585 CAE196585:CAF196585 CKA196585:CKB196585 CTW196585:CTX196585 DDS196585:DDT196585 DNO196585:DNP196585 DXK196585:DXL196585 EHG196585:EHH196585 ERC196585:ERD196585 FAY196585:FAZ196585 FKU196585:FKV196585 FUQ196585:FUR196585 GEM196585:GEN196585 GOI196585:GOJ196585 GYE196585:GYF196585 HIA196585:HIB196585 HRW196585:HRX196585 IBS196585:IBT196585 ILO196585:ILP196585 IVK196585:IVL196585 JFG196585:JFH196585 JPC196585:JPD196585 JYY196585:JYZ196585 KIU196585:KIV196585 KSQ196585:KSR196585 LCM196585:LCN196585 LMI196585:LMJ196585 LWE196585:LWF196585 MGA196585:MGB196585 MPW196585:MPX196585 MZS196585:MZT196585 NJO196585:NJP196585 NTK196585:NTL196585 ODG196585:ODH196585 ONC196585:OND196585 OWY196585:OWZ196585 PGU196585:PGV196585 PQQ196585:PQR196585 QAM196585:QAN196585 QKI196585:QKJ196585 QUE196585:QUF196585 REA196585:REB196585 RNW196585:RNX196585 RXS196585:RXT196585 SHO196585:SHP196585 SRK196585:SRL196585 TBG196585:TBH196585 TLC196585:TLD196585 TUY196585:TUZ196585 UEU196585:UEV196585 UOQ196585:UOR196585 UYM196585:UYN196585 VII196585:VIJ196585 VSE196585:VSF196585 WCA196585:WCB196585 WLW196585:WLX196585 WVS196585:WVT196585 K262134:L262134 JG262121:JH262121 TC262121:TD262121 ACY262121:ACZ262121 AMU262121:AMV262121 AWQ262121:AWR262121 BGM262121:BGN262121 BQI262121:BQJ262121 CAE262121:CAF262121 CKA262121:CKB262121 CTW262121:CTX262121 DDS262121:DDT262121 DNO262121:DNP262121 DXK262121:DXL262121 EHG262121:EHH262121 ERC262121:ERD262121 FAY262121:FAZ262121 FKU262121:FKV262121 FUQ262121:FUR262121 GEM262121:GEN262121 GOI262121:GOJ262121 GYE262121:GYF262121 HIA262121:HIB262121 HRW262121:HRX262121 IBS262121:IBT262121 ILO262121:ILP262121 IVK262121:IVL262121 JFG262121:JFH262121 JPC262121:JPD262121 JYY262121:JYZ262121 KIU262121:KIV262121 KSQ262121:KSR262121 LCM262121:LCN262121 LMI262121:LMJ262121 LWE262121:LWF262121 MGA262121:MGB262121 MPW262121:MPX262121 MZS262121:MZT262121 NJO262121:NJP262121 NTK262121:NTL262121 ODG262121:ODH262121 ONC262121:OND262121 OWY262121:OWZ262121 PGU262121:PGV262121 PQQ262121:PQR262121 QAM262121:QAN262121 QKI262121:QKJ262121 QUE262121:QUF262121 REA262121:REB262121 RNW262121:RNX262121 RXS262121:RXT262121 SHO262121:SHP262121 SRK262121:SRL262121 TBG262121:TBH262121 TLC262121:TLD262121 TUY262121:TUZ262121 UEU262121:UEV262121 UOQ262121:UOR262121 UYM262121:UYN262121 VII262121:VIJ262121 VSE262121:VSF262121 WCA262121:WCB262121 WLW262121:WLX262121 WVS262121:WVT262121 K327670:L327670 JG327657:JH327657 TC327657:TD327657 ACY327657:ACZ327657 AMU327657:AMV327657 AWQ327657:AWR327657 BGM327657:BGN327657 BQI327657:BQJ327657 CAE327657:CAF327657 CKA327657:CKB327657 CTW327657:CTX327657 DDS327657:DDT327657 DNO327657:DNP327657 DXK327657:DXL327657 EHG327657:EHH327657 ERC327657:ERD327657 FAY327657:FAZ327657 FKU327657:FKV327657 FUQ327657:FUR327657 GEM327657:GEN327657 GOI327657:GOJ327657 GYE327657:GYF327657 HIA327657:HIB327657 HRW327657:HRX327657 IBS327657:IBT327657 ILO327657:ILP327657 IVK327657:IVL327657 JFG327657:JFH327657 JPC327657:JPD327657 JYY327657:JYZ327657 KIU327657:KIV327657 KSQ327657:KSR327657 LCM327657:LCN327657 LMI327657:LMJ327657 LWE327657:LWF327657 MGA327657:MGB327657 MPW327657:MPX327657 MZS327657:MZT327657 NJO327657:NJP327657 NTK327657:NTL327657 ODG327657:ODH327657 ONC327657:OND327657 OWY327657:OWZ327657 PGU327657:PGV327657 PQQ327657:PQR327657 QAM327657:QAN327657 QKI327657:QKJ327657 QUE327657:QUF327657 REA327657:REB327657 RNW327657:RNX327657 RXS327657:RXT327657 SHO327657:SHP327657 SRK327657:SRL327657 TBG327657:TBH327657 TLC327657:TLD327657 TUY327657:TUZ327657 UEU327657:UEV327657 UOQ327657:UOR327657 UYM327657:UYN327657 VII327657:VIJ327657 VSE327657:VSF327657 WCA327657:WCB327657 WLW327657:WLX327657 WVS327657:WVT327657 K393206:L393206 JG393193:JH393193 TC393193:TD393193 ACY393193:ACZ393193 AMU393193:AMV393193 AWQ393193:AWR393193 BGM393193:BGN393193 BQI393193:BQJ393193 CAE393193:CAF393193 CKA393193:CKB393193 CTW393193:CTX393193 DDS393193:DDT393193 DNO393193:DNP393193 DXK393193:DXL393193 EHG393193:EHH393193 ERC393193:ERD393193 FAY393193:FAZ393193 FKU393193:FKV393193 FUQ393193:FUR393193 GEM393193:GEN393193 GOI393193:GOJ393193 GYE393193:GYF393193 HIA393193:HIB393193 HRW393193:HRX393193 IBS393193:IBT393193 ILO393193:ILP393193 IVK393193:IVL393193 JFG393193:JFH393193 JPC393193:JPD393193 JYY393193:JYZ393193 KIU393193:KIV393193 KSQ393193:KSR393193 LCM393193:LCN393193 LMI393193:LMJ393193 LWE393193:LWF393193 MGA393193:MGB393193 MPW393193:MPX393193 MZS393193:MZT393193 NJO393193:NJP393193 NTK393193:NTL393193 ODG393193:ODH393193 ONC393193:OND393193 OWY393193:OWZ393193 PGU393193:PGV393193 PQQ393193:PQR393193 QAM393193:QAN393193 QKI393193:QKJ393193 QUE393193:QUF393193 REA393193:REB393193 RNW393193:RNX393193 RXS393193:RXT393193 SHO393193:SHP393193 SRK393193:SRL393193 TBG393193:TBH393193 TLC393193:TLD393193 TUY393193:TUZ393193 UEU393193:UEV393193 UOQ393193:UOR393193 UYM393193:UYN393193 VII393193:VIJ393193 VSE393193:VSF393193 WCA393193:WCB393193 WLW393193:WLX393193 WVS393193:WVT393193 K458742:L458742 JG458729:JH458729 TC458729:TD458729 ACY458729:ACZ458729 AMU458729:AMV458729 AWQ458729:AWR458729 BGM458729:BGN458729 BQI458729:BQJ458729 CAE458729:CAF458729 CKA458729:CKB458729 CTW458729:CTX458729 DDS458729:DDT458729 DNO458729:DNP458729 DXK458729:DXL458729 EHG458729:EHH458729 ERC458729:ERD458729 FAY458729:FAZ458729 FKU458729:FKV458729 FUQ458729:FUR458729 GEM458729:GEN458729 GOI458729:GOJ458729 GYE458729:GYF458729 HIA458729:HIB458729 HRW458729:HRX458729 IBS458729:IBT458729 ILO458729:ILP458729 IVK458729:IVL458729 JFG458729:JFH458729 JPC458729:JPD458729 JYY458729:JYZ458729 KIU458729:KIV458729 KSQ458729:KSR458729 LCM458729:LCN458729 LMI458729:LMJ458729 LWE458729:LWF458729 MGA458729:MGB458729 MPW458729:MPX458729 MZS458729:MZT458729 NJO458729:NJP458729 NTK458729:NTL458729 ODG458729:ODH458729 ONC458729:OND458729 OWY458729:OWZ458729 PGU458729:PGV458729 PQQ458729:PQR458729 QAM458729:QAN458729 QKI458729:QKJ458729 QUE458729:QUF458729 REA458729:REB458729 RNW458729:RNX458729 RXS458729:RXT458729 SHO458729:SHP458729 SRK458729:SRL458729 TBG458729:TBH458729 TLC458729:TLD458729 TUY458729:TUZ458729 UEU458729:UEV458729 UOQ458729:UOR458729 UYM458729:UYN458729 VII458729:VIJ458729 VSE458729:VSF458729 WCA458729:WCB458729 WLW458729:WLX458729 WVS458729:WVT458729 K524278:L524278 JG524265:JH524265 TC524265:TD524265 ACY524265:ACZ524265 AMU524265:AMV524265 AWQ524265:AWR524265 BGM524265:BGN524265 BQI524265:BQJ524265 CAE524265:CAF524265 CKA524265:CKB524265 CTW524265:CTX524265 DDS524265:DDT524265 DNO524265:DNP524265 DXK524265:DXL524265 EHG524265:EHH524265 ERC524265:ERD524265 FAY524265:FAZ524265 FKU524265:FKV524265 FUQ524265:FUR524265 GEM524265:GEN524265 GOI524265:GOJ524265 GYE524265:GYF524265 HIA524265:HIB524265 HRW524265:HRX524265 IBS524265:IBT524265 ILO524265:ILP524265 IVK524265:IVL524265 JFG524265:JFH524265 JPC524265:JPD524265 JYY524265:JYZ524265 KIU524265:KIV524265 KSQ524265:KSR524265 LCM524265:LCN524265 LMI524265:LMJ524265 LWE524265:LWF524265 MGA524265:MGB524265 MPW524265:MPX524265 MZS524265:MZT524265 NJO524265:NJP524265 NTK524265:NTL524265 ODG524265:ODH524265 ONC524265:OND524265 OWY524265:OWZ524265 PGU524265:PGV524265 PQQ524265:PQR524265 QAM524265:QAN524265 QKI524265:QKJ524265 QUE524265:QUF524265 REA524265:REB524265 RNW524265:RNX524265 RXS524265:RXT524265 SHO524265:SHP524265 SRK524265:SRL524265 TBG524265:TBH524265 TLC524265:TLD524265 TUY524265:TUZ524265 UEU524265:UEV524265 UOQ524265:UOR524265 UYM524265:UYN524265 VII524265:VIJ524265 VSE524265:VSF524265 WCA524265:WCB524265 WLW524265:WLX524265 WVS524265:WVT524265 K589814:L589814 JG589801:JH589801 TC589801:TD589801 ACY589801:ACZ589801 AMU589801:AMV589801 AWQ589801:AWR589801 BGM589801:BGN589801 BQI589801:BQJ589801 CAE589801:CAF589801 CKA589801:CKB589801 CTW589801:CTX589801 DDS589801:DDT589801 DNO589801:DNP589801 DXK589801:DXL589801 EHG589801:EHH589801 ERC589801:ERD589801 FAY589801:FAZ589801 FKU589801:FKV589801 FUQ589801:FUR589801 GEM589801:GEN589801 GOI589801:GOJ589801 GYE589801:GYF589801 HIA589801:HIB589801 HRW589801:HRX589801 IBS589801:IBT589801 ILO589801:ILP589801 IVK589801:IVL589801 JFG589801:JFH589801 JPC589801:JPD589801 JYY589801:JYZ589801 KIU589801:KIV589801 KSQ589801:KSR589801 LCM589801:LCN589801 LMI589801:LMJ589801 LWE589801:LWF589801 MGA589801:MGB589801 MPW589801:MPX589801 MZS589801:MZT589801 NJO589801:NJP589801 NTK589801:NTL589801 ODG589801:ODH589801 ONC589801:OND589801 OWY589801:OWZ589801 PGU589801:PGV589801 PQQ589801:PQR589801 QAM589801:QAN589801 QKI589801:QKJ589801 QUE589801:QUF589801 REA589801:REB589801 RNW589801:RNX589801 RXS589801:RXT589801 SHO589801:SHP589801 SRK589801:SRL589801 TBG589801:TBH589801 TLC589801:TLD589801 TUY589801:TUZ589801 UEU589801:UEV589801 UOQ589801:UOR589801 UYM589801:UYN589801 VII589801:VIJ589801 VSE589801:VSF589801 WCA589801:WCB589801 WLW589801:WLX589801 WVS589801:WVT589801 K655350:L655350 JG655337:JH655337 TC655337:TD655337 ACY655337:ACZ655337 AMU655337:AMV655337 AWQ655337:AWR655337 BGM655337:BGN655337 BQI655337:BQJ655337 CAE655337:CAF655337 CKA655337:CKB655337 CTW655337:CTX655337 DDS655337:DDT655337 DNO655337:DNP655337 DXK655337:DXL655337 EHG655337:EHH655337 ERC655337:ERD655337 FAY655337:FAZ655337 FKU655337:FKV655337 FUQ655337:FUR655337 GEM655337:GEN655337 GOI655337:GOJ655337 GYE655337:GYF655337 HIA655337:HIB655337 HRW655337:HRX655337 IBS655337:IBT655337 ILO655337:ILP655337 IVK655337:IVL655337 JFG655337:JFH655337 JPC655337:JPD655337 JYY655337:JYZ655337 KIU655337:KIV655337 KSQ655337:KSR655337 LCM655337:LCN655337 LMI655337:LMJ655337 LWE655337:LWF655337 MGA655337:MGB655337 MPW655337:MPX655337 MZS655337:MZT655337 NJO655337:NJP655337 NTK655337:NTL655337 ODG655337:ODH655337 ONC655337:OND655337 OWY655337:OWZ655337 PGU655337:PGV655337 PQQ655337:PQR655337 QAM655337:QAN655337 QKI655337:QKJ655337 QUE655337:QUF655337 REA655337:REB655337 RNW655337:RNX655337 RXS655337:RXT655337 SHO655337:SHP655337 SRK655337:SRL655337 TBG655337:TBH655337 TLC655337:TLD655337 TUY655337:TUZ655337 UEU655337:UEV655337 UOQ655337:UOR655337 UYM655337:UYN655337 VII655337:VIJ655337 VSE655337:VSF655337 WCA655337:WCB655337 WLW655337:WLX655337 WVS655337:WVT655337 K720886:L720886 JG720873:JH720873 TC720873:TD720873 ACY720873:ACZ720873 AMU720873:AMV720873 AWQ720873:AWR720873 BGM720873:BGN720873 BQI720873:BQJ720873 CAE720873:CAF720873 CKA720873:CKB720873 CTW720873:CTX720873 DDS720873:DDT720873 DNO720873:DNP720873 DXK720873:DXL720873 EHG720873:EHH720873 ERC720873:ERD720873 FAY720873:FAZ720873 FKU720873:FKV720873 FUQ720873:FUR720873 GEM720873:GEN720873 GOI720873:GOJ720873 GYE720873:GYF720873 HIA720873:HIB720873 HRW720873:HRX720873 IBS720873:IBT720873 ILO720873:ILP720873 IVK720873:IVL720873 JFG720873:JFH720873 JPC720873:JPD720873 JYY720873:JYZ720873 KIU720873:KIV720873 KSQ720873:KSR720873 LCM720873:LCN720873 LMI720873:LMJ720873 LWE720873:LWF720873 MGA720873:MGB720873 MPW720873:MPX720873 MZS720873:MZT720873 NJO720873:NJP720873 NTK720873:NTL720873 ODG720873:ODH720873 ONC720873:OND720873 OWY720873:OWZ720873 PGU720873:PGV720873 PQQ720873:PQR720873 QAM720873:QAN720873 QKI720873:QKJ720873 QUE720873:QUF720873 REA720873:REB720873 RNW720873:RNX720873 RXS720873:RXT720873 SHO720873:SHP720873 SRK720873:SRL720873 TBG720873:TBH720873 TLC720873:TLD720873 TUY720873:TUZ720873 UEU720873:UEV720873 UOQ720873:UOR720873 UYM720873:UYN720873 VII720873:VIJ720873 VSE720873:VSF720873 WCA720873:WCB720873 WLW720873:WLX720873 WVS720873:WVT720873 K786422:L786422 JG786409:JH786409 TC786409:TD786409 ACY786409:ACZ786409 AMU786409:AMV786409 AWQ786409:AWR786409 BGM786409:BGN786409 BQI786409:BQJ786409 CAE786409:CAF786409 CKA786409:CKB786409 CTW786409:CTX786409 DDS786409:DDT786409 DNO786409:DNP786409 DXK786409:DXL786409 EHG786409:EHH786409 ERC786409:ERD786409 FAY786409:FAZ786409 FKU786409:FKV786409 FUQ786409:FUR786409 GEM786409:GEN786409 GOI786409:GOJ786409 GYE786409:GYF786409 HIA786409:HIB786409 HRW786409:HRX786409 IBS786409:IBT786409 ILO786409:ILP786409 IVK786409:IVL786409 JFG786409:JFH786409 JPC786409:JPD786409 JYY786409:JYZ786409 KIU786409:KIV786409 KSQ786409:KSR786409 LCM786409:LCN786409 LMI786409:LMJ786409 LWE786409:LWF786409 MGA786409:MGB786409 MPW786409:MPX786409 MZS786409:MZT786409 NJO786409:NJP786409 NTK786409:NTL786409 ODG786409:ODH786409 ONC786409:OND786409 OWY786409:OWZ786409 PGU786409:PGV786409 PQQ786409:PQR786409 QAM786409:QAN786409 QKI786409:QKJ786409 QUE786409:QUF786409 REA786409:REB786409 RNW786409:RNX786409 RXS786409:RXT786409 SHO786409:SHP786409 SRK786409:SRL786409 TBG786409:TBH786409 TLC786409:TLD786409 TUY786409:TUZ786409 UEU786409:UEV786409 UOQ786409:UOR786409 UYM786409:UYN786409 VII786409:VIJ786409 VSE786409:VSF786409 WCA786409:WCB786409 WLW786409:WLX786409 WVS786409:WVT786409 K851958:L851958 JG851945:JH851945 TC851945:TD851945 ACY851945:ACZ851945 AMU851945:AMV851945 AWQ851945:AWR851945 BGM851945:BGN851945 BQI851945:BQJ851945 CAE851945:CAF851945 CKA851945:CKB851945 CTW851945:CTX851945 DDS851945:DDT851945 DNO851945:DNP851945 DXK851945:DXL851945 EHG851945:EHH851945 ERC851945:ERD851945 FAY851945:FAZ851945 FKU851945:FKV851945 FUQ851945:FUR851945 GEM851945:GEN851945 GOI851945:GOJ851945 GYE851945:GYF851945 HIA851945:HIB851945 HRW851945:HRX851945 IBS851945:IBT851945 ILO851945:ILP851945 IVK851945:IVL851945 JFG851945:JFH851945 JPC851945:JPD851945 JYY851945:JYZ851945 KIU851945:KIV851945 KSQ851945:KSR851945 LCM851945:LCN851945 LMI851945:LMJ851945 LWE851945:LWF851945 MGA851945:MGB851945 MPW851945:MPX851945 MZS851945:MZT851945 NJO851945:NJP851945 NTK851945:NTL851945 ODG851945:ODH851945 ONC851945:OND851945 OWY851945:OWZ851945 PGU851945:PGV851945 PQQ851945:PQR851945 QAM851945:QAN851945 QKI851945:QKJ851945 QUE851945:QUF851945 REA851945:REB851945 RNW851945:RNX851945 RXS851945:RXT851945 SHO851945:SHP851945 SRK851945:SRL851945 TBG851945:TBH851945 TLC851945:TLD851945 TUY851945:TUZ851945 UEU851945:UEV851945 UOQ851945:UOR851945 UYM851945:UYN851945 VII851945:VIJ851945 VSE851945:VSF851945 WCA851945:WCB851945 WLW851945:WLX851945 WVS851945:WVT851945 K917494:L917494 JG917481:JH917481 TC917481:TD917481 ACY917481:ACZ917481 AMU917481:AMV917481 AWQ917481:AWR917481 BGM917481:BGN917481 BQI917481:BQJ917481 CAE917481:CAF917481 CKA917481:CKB917481 CTW917481:CTX917481 DDS917481:DDT917481 DNO917481:DNP917481 DXK917481:DXL917481 EHG917481:EHH917481 ERC917481:ERD917481 FAY917481:FAZ917481 FKU917481:FKV917481 FUQ917481:FUR917481 GEM917481:GEN917481 GOI917481:GOJ917481 GYE917481:GYF917481 HIA917481:HIB917481 HRW917481:HRX917481 IBS917481:IBT917481 ILO917481:ILP917481 IVK917481:IVL917481 JFG917481:JFH917481 JPC917481:JPD917481 JYY917481:JYZ917481 KIU917481:KIV917481 KSQ917481:KSR917481 LCM917481:LCN917481 LMI917481:LMJ917481 LWE917481:LWF917481 MGA917481:MGB917481 MPW917481:MPX917481 MZS917481:MZT917481 NJO917481:NJP917481 NTK917481:NTL917481 ODG917481:ODH917481 ONC917481:OND917481 OWY917481:OWZ917481 PGU917481:PGV917481 PQQ917481:PQR917481 QAM917481:QAN917481 QKI917481:QKJ917481 QUE917481:QUF917481 REA917481:REB917481 RNW917481:RNX917481 RXS917481:RXT917481 SHO917481:SHP917481 SRK917481:SRL917481 TBG917481:TBH917481 TLC917481:TLD917481 TUY917481:TUZ917481 UEU917481:UEV917481 UOQ917481:UOR917481 UYM917481:UYN917481 VII917481:VIJ917481 VSE917481:VSF917481 WCA917481:WCB917481 WLW917481:WLX917481 WVS917481:WVT917481 K983030:L983030 JG983017:JH983017 TC983017:TD983017 ACY983017:ACZ983017 AMU983017:AMV983017 AWQ983017:AWR983017 BGM983017:BGN983017 BQI983017:BQJ983017 CAE983017:CAF983017 CKA983017:CKB983017 CTW983017:CTX983017 DDS983017:DDT983017 DNO983017:DNP983017 DXK983017:DXL983017 EHG983017:EHH983017 ERC983017:ERD983017 FAY983017:FAZ983017 FKU983017:FKV983017 FUQ983017:FUR983017 GEM983017:GEN983017 GOI983017:GOJ983017 GYE983017:GYF983017 HIA983017:HIB983017 HRW983017:HRX983017 IBS983017:IBT983017 ILO983017:ILP983017 IVK983017:IVL983017 JFG983017:JFH983017 JPC983017:JPD983017 JYY983017:JYZ983017 KIU983017:KIV983017 KSQ983017:KSR983017 LCM983017:LCN983017 LMI983017:LMJ983017 LWE983017:LWF983017 MGA983017:MGB983017 MPW983017:MPX983017 MZS983017:MZT983017 NJO983017:NJP983017 NTK983017:NTL983017 ODG983017:ODH983017 ONC983017:OND983017 OWY983017:OWZ983017 PGU983017:PGV983017 PQQ983017:PQR983017 QAM983017:QAN983017 QKI983017:QKJ983017 QUE983017:QUF983017 REA983017:REB983017 RNW983017:RNX983017 RXS983017:RXT983017 SHO983017:SHP983017 SRK983017:SRL983017 TBG983017:TBH983017 TLC983017:TLD983017 TUY983017:TUZ983017 UEU983017:UEV983017 UOQ983017:UOR983017 UYM983017:UYN983017 VII983017:VIJ983017 VSE983017:VSF983017 WCA983017:WCB983017">
      <formula1>Aus_MU</formula1>
    </dataValidation>
    <dataValidation type="date" operator="greaterThan" allowBlank="1" showInputMessage="1" showErrorMessage="1" errorTitle="Fehler" error="Geben Sie ein gültiges Datum dd.mm.yyyy ein!" sqref="E15 F12:F14">
      <formula1>1</formula1>
    </dataValidation>
  </dataValidations>
  <hyperlinks>
    <hyperlink ref="U10:W11" location="Grunddaten!A1" tooltip="Zurück zu Grunddaten" display="Zurück zu Grunddaten"/>
  </hyperlinks>
  <pageMargins left="0.70866141732283472" right="0.70866141732283472" top="0.78740157480314965" bottom="0.78740157480314965" header="0.31496062992125984" footer="0.31496062992125984"/>
  <pageSetup paperSize="9" fitToHeight="0" orientation="portrait" r:id="rId1"/>
  <headerFooter>
    <oddFooter>Seite &amp;P von &amp;N</oddFooter>
  </headerFooter>
  <drawing r:id="rId2"/>
  <legacyDrawing r:id="rId3"/>
  <extLst>
    <ext xmlns:x14="http://schemas.microsoft.com/office/spreadsheetml/2009/9/main" uri="{CCE6A557-97BC-4b89-ADB6-D9C93CAAB3DF}">
      <x14:dataValidations xmlns:xm="http://schemas.microsoft.com/office/excel/2006/main" count="2">
        <x14:dataValidation type="list" allowBlank="1" showDropDown="1" showInputMessage="1" error="Bitte MU per DropDown auswählen.">
          <x14:formula1>
            <xm:f>'MU-Daten'!$U:$U</xm:f>
          </x14:formula1>
          <xm:sqref>H18:I18</xm:sqref>
        </x14:dataValidation>
        <x14:dataValidation type="list" allowBlank="1" showDropDown="1" showInputMessage="1">
          <x14:formula1>
            <xm:f>'MU-Daten'!$U:$U</xm:f>
          </x14:formula1>
          <xm:sqref>H21:I21</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pageSetUpPr fitToPage="1"/>
  </sheetPr>
  <dimension ref="B3:J57"/>
  <sheetViews>
    <sheetView workbookViewId="0">
      <selection activeCell="N37" sqref="N37"/>
    </sheetView>
  </sheetViews>
  <sheetFormatPr baseColWidth="10" defaultColWidth="11.5703125" defaultRowHeight="12.75" x14ac:dyDescent="0.2"/>
  <cols>
    <col min="1" max="6" width="11.5703125" style="93"/>
    <col min="7" max="7" width="19.140625" style="93" customWidth="1"/>
    <col min="8" max="16384" width="11.5703125" style="93"/>
  </cols>
  <sheetData>
    <row r="3" spans="2:8" x14ac:dyDescent="0.2">
      <c r="B3" s="287" t="s">
        <v>1064</v>
      </c>
      <c r="H3" s="287" t="s">
        <v>1059</v>
      </c>
    </row>
    <row r="5" spans="2:8" x14ac:dyDescent="0.2">
      <c r="B5" s="93" t="s">
        <v>1062</v>
      </c>
      <c r="H5" s="93" t="s">
        <v>1060</v>
      </c>
    </row>
    <row r="6" spans="2:8" x14ac:dyDescent="0.2">
      <c r="B6" s="93" t="s">
        <v>1063</v>
      </c>
      <c r="H6" s="93" t="s">
        <v>1061</v>
      </c>
    </row>
    <row r="42" spans="8:10" x14ac:dyDescent="0.2">
      <c r="H42" s="1155" t="s">
        <v>1040</v>
      </c>
      <c r="I42" s="1163"/>
      <c r="J42" s="1156"/>
    </row>
    <row r="43" spans="8:10" x14ac:dyDescent="0.2">
      <c r="H43" s="1157"/>
      <c r="I43" s="1164"/>
      <c r="J43" s="1158"/>
    </row>
    <row r="54" spans="2:2" x14ac:dyDescent="0.2">
      <c r="B54" s="287" t="s">
        <v>1065</v>
      </c>
    </row>
    <row r="56" spans="2:2" x14ac:dyDescent="0.2">
      <c r="B56" s="93" t="s">
        <v>1066</v>
      </c>
    </row>
    <row r="57" spans="2:2" x14ac:dyDescent="0.2">
      <c r="B57" s="93" t="s">
        <v>1067</v>
      </c>
    </row>
  </sheetData>
  <sheetProtection algorithmName="SHA-512" hashValue="04nwVJuqvDnQIEDsDRnodlZxBkN+EgOE9zP2bFiJ2Qg3444fQg/BMYckh9NtofAPkV0UENFwhz4ZBbzRPm42iQ==" saltValue="8g5e5XRWetOVZzOpzGWujQ==" spinCount="100000" sheet="1"/>
  <mergeCells count="1">
    <mergeCell ref="H42:J43"/>
  </mergeCells>
  <hyperlinks>
    <hyperlink ref="H42:J43" location="Grunddaten!A1" tooltip="Zurück zu Grunddaten" display="Zurück zu Grunddaten"/>
  </hyperlinks>
  <pageMargins left="0.7" right="0.7" top="0.78740157499999996" bottom="0.78740157499999996" header="0.3" footer="0.3"/>
  <pageSetup paperSize="9" scale="56"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tabColor theme="0" tint="-0.249977111117893"/>
  </sheetPr>
  <dimension ref="A2:G120"/>
  <sheetViews>
    <sheetView topLeftCell="A76" zoomScale="85" zoomScaleNormal="85" workbookViewId="0">
      <selection activeCell="F99" sqref="F99"/>
    </sheetView>
  </sheetViews>
  <sheetFormatPr baseColWidth="10" defaultRowHeight="12.75" x14ac:dyDescent="0.2"/>
  <cols>
    <col min="1" max="1" width="69.5703125" style="23" bestFit="1" customWidth="1"/>
    <col min="3" max="3" width="26.5703125" customWidth="1"/>
    <col min="5" max="5" width="48.28515625" bestFit="1" customWidth="1"/>
  </cols>
  <sheetData>
    <row r="2" spans="1:7" x14ac:dyDescent="0.2">
      <c r="A2" s="38" t="s">
        <v>770</v>
      </c>
      <c r="C2" s="37" t="s">
        <v>780</v>
      </c>
    </row>
    <row r="3" spans="1:7" ht="12.75" customHeight="1" x14ac:dyDescent="0.2">
      <c r="A3" s="39" t="s">
        <v>772</v>
      </c>
      <c r="C3" s="39" t="s">
        <v>589</v>
      </c>
      <c r="E3" s="1264" t="s">
        <v>808</v>
      </c>
      <c r="F3" s="1264"/>
      <c r="G3" s="1264"/>
    </row>
    <row r="4" spans="1:7" x14ac:dyDescent="0.2">
      <c r="A4" s="39" t="s">
        <v>773</v>
      </c>
      <c r="C4" s="39" t="s">
        <v>588</v>
      </c>
      <c r="E4" s="1264"/>
      <c r="F4" s="1264"/>
      <c r="G4" s="1264"/>
    </row>
    <row r="5" spans="1:7" x14ac:dyDescent="0.2">
      <c r="A5" s="39" t="s">
        <v>774</v>
      </c>
      <c r="C5" s="39" t="s">
        <v>591</v>
      </c>
      <c r="E5" s="1264"/>
      <c r="F5" s="1264"/>
      <c r="G5" s="1264"/>
    </row>
    <row r="6" spans="1:7" x14ac:dyDescent="0.2">
      <c r="A6" s="39" t="s">
        <v>775</v>
      </c>
      <c r="C6" s="39" t="s">
        <v>592</v>
      </c>
      <c r="E6" s="1264"/>
      <c r="F6" s="1264"/>
      <c r="G6" s="1264"/>
    </row>
    <row r="7" spans="1:7" x14ac:dyDescent="0.2">
      <c r="A7" s="39" t="s">
        <v>776</v>
      </c>
      <c r="C7" s="39" t="s">
        <v>781</v>
      </c>
      <c r="E7" s="1264"/>
      <c r="F7" s="1264"/>
      <c r="G7" s="1264"/>
    </row>
    <row r="8" spans="1:7" x14ac:dyDescent="0.2">
      <c r="A8" s="39" t="s">
        <v>777</v>
      </c>
      <c r="E8" s="1264"/>
      <c r="F8" s="1264"/>
      <c r="G8" s="1264"/>
    </row>
    <row r="9" spans="1:7" x14ac:dyDescent="0.2">
      <c r="A9" s="39" t="s">
        <v>778</v>
      </c>
      <c r="C9" s="37" t="s">
        <v>782</v>
      </c>
      <c r="E9" s="1264"/>
      <c r="F9" s="1264"/>
      <c r="G9" s="1264"/>
    </row>
    <row r="10" spans="1:7" x14ac:dyDescent="0.2">
      <c r="A10" s="39" t="s">
        <v>779</v>
      </c>
      <c r="C10" s="39" t="s">
        <v>593</v>
      </c>
      <c r="E10" s="1264"/>
      <c r="F10" s="1264"/>
      <c r="G10" s="1264"/>
    </row>
    <row r="11" spans="1:7" x14ac:dyDescent="0.2">
      <c r="C11" s="39" t="s">
        <v>806</v>
      </c>
    </row>
    <row r="12" spans="1:7" x14ac:dyDescent="0.2">
      <c r="A12" s="37" t="s">
        <v>783</v>
      </c>
      <c r="E12" s="37" t="s">
        <v>762</v>
      </c>
    </row>
    <row r="13" spans="1:7" x14ac:dyDescent="0.2">
      <c r="A13" s="39" t="s">
        <v>986</v>
      </c>
      <c r="C13" s="37" t="s">
        <v>785</v>
      </c>
      <c r="E13" s="44">
        <f>DATE(Lohnberechnung!K10,Lohnberechnung!J10,Lohnberechnung!I10)</f>
        <v>45292</v>
      </c>
    </row>
    <row r="14" spans="1:7" x14ac:dyDescent="0.2">
      <c r="A14" s="39" t="s">
        <v>784</v>
      </c>
      <c r="B14">
        <v>1</v>
      </c>
      <c r="C14" s="40" t="s">
        <v>879</v>
      </c>
    </row>
    <row r="15" spans="1:7" x14ac:dyDescent="0.2">
      <c r="A15" s="39" t="s">
        <v>929</v>
      </c>
      <c r="B15">
        <v>2</v>
      </c>
      <c r="C15" s="40" t="s">
        <v>880</v>
      </c>
      <c r="E15" s="37" t="s">
        <v>924</v>
      </c>
    </row>
    <row r="16" spans="1:7" x14ac:dyDescent="0.2">
      <c r="B16">
        <v>3</v>
      </c>
      <c r="C16" s="40" t="s">
        <v>881</v>
      </c>
      <c r="E16" s="39" t="s">
        <v>813</v>
      </c>
    </row>
    <row r="17" spans="1:5" x14ac:dyDescent="0.2">
      <c r="A17" s="37" t="s">
        <v>766</v>
      </c>
      <c r="B17">
        <v>4</v>
      </c>
      <c r="C17" s="40" t="s">
        <v>882</v>
      </c>
      <c r="E17" s="39" t="s">
        <v>814</v>
      </c>
    </row>
    <row r="18" spans="1:5" x14ac:dyDescent="0.2">
      <c r="A18" s="39" t="s">
        <v>802</v>
      </c>
      <c r="B18">
        <v>5</v>
      </c>
      <c r="C18" s="40" t="s">
        <v>883</v>
      </c>
      <c r="E18" s="39" t="s">
        <v>965</v>
      </c>
    </row>
    <row r="19" spans="1:5" x14ac:dyDescent="0.2">
      <c r="A19" s="39" t="s">
        <v>930</v>
      </c>
      <c r="B19">
        <v>6</v>
      </c>
      <c r="C19" s="40" t="s">
        <v>884</v>
      </c>
      <c r="E19" s="39" t="s">
        <v>984</v>
      </c>
    </row>
    <row r="20" spans="1:5" x14ac:dyDescent="0.2">
      <c r="A20" s="39" t="s">
        <v>803</v>
      </c>
      <c r="B20">
        <v>7</v>
      </c>
      <c r="C20" s="40" t="s">
        <v>885</v>
      </c>
    </row>
    <row r="21" spans="1:5" x14ac:dyDescent="0.2">
      <c r="A21" s="39" t="s">
        <v>804</v>
      </c>
      <c r="B21">
        <v>8</v>
      </c>
      <c r="C21" s="40" t="s">
        <v>886</v>
      </c>
      <c r="E21" s="39"/>
    </row>
    <row r="22" spans="1:5" x14ac:dyDescent="0.2">
      <c r="A22" s="39" t="s">
        <v>805</v>
      </c>
      <c r="B22">
        <v>9</v>
      </c>
      <c r="C22" s="40" t="s">
        <v>887</v>
      </c>
    </row>
    <row r="23" spans="1:5" x14ac:dyDescent="0.2">
      <c r="B23">
        <v>31</v>
      </c>
      <c r="C23" s="40" t="s">
        <v>888</v>
      </c>
      <c r="E23" s="37" t="s">
        <v>767</v>
      </c>
    </row>
    <row r="24" spans="1:5" ht="13.5" thickBot="1" x14ac:dyDescent="0.25">
      <c r="A24" s="41" t="s">
        <v>807</v>
      </c>
      <c r="B24">
        <v>32</v>
      </c>
      <c r="C24" s="40" t="s">
        <v>889</v>
      </c>
      <c r="E24" s="39" t="s">
        <v>831</v>
      </c>
    </row>
    <row r="25" spans="1:5" ht="13.5" thickBot="1" x14ac:dyDescent="0.25">
      <c r="A25" s="42">
        <v>10</v>
      </c>
      <c r="B25">
        <v>33</v>
      </c>
      <c r="C25" s="40" t="s">
        <v>890</v>
      </c>
      <c r="E25" s="39" t="s">
        <v>832</v>
      </c>
    </row>
    <row r="26" spans="1:5" x14ac:dyDescent="0.2">
      <c r="B26">
        <v>34</v>
      </c>
      <c r="C26" s="40" t="s">
        <v>786</v>
      </c>
    </row>
    <row r="27" spans="1:5" x14ac:dyDescent="0.2">
      <c r="A27" s="37" t="s">
        <v>817</v>
      </c>
      <c r="B27">
        <v>41</v>
      </c>
      <c r="C27" s="40" t="s">
        <v>891</v>
      </c>
      <c r="E27" s="37" t="s">
        <v>932</v>
      </c>
    </row>
    <row r="28" spans="1:5" x14ac:dyDescent="0.2">
      <c r="A28" s="39" t="s">
        <v>818</v>
      </c>
      <c r="B28">
        <v>42</v>
      </c>
      <c r="C28" s="40" t="s">
        <v>892</v>
      </c>
      <c r="E28" s="39" t="s">
        <v>831</v>
      </c>
    </row>
    <row r="29" spans="1:5" x14ac:dyDescent="0.2">
      <c r="A29" s="39" t="s">
        <v>819</v>
      </c>
      <c r="B29">
        <v>43</v>
      </c>
      <c r="C29" s="40" t="s">
        <v>893</v>
      </c>
      <c r="E29" s="39" t="s">
        <v>832</v>
      </c>
    </row>
    <row r="30" spans="1:5" x14ac:dyDescent="0.2">
      <c r="B30">
        <v>44</v>
      </c>
      <c r="C30" s="40" t="s">
        <v>894</v>
      </c>
    </row>
    <row r="31" spans="1:5" x14ac:dyDescent="0.2">
      <c r="A31" s="37" t="s">
        <v>847</v>
      </c>
      <c r="B31">
        <v>50</v>
      </c>
      <c r="C31" s="40" t="s">
        <v>787</v>
      </c>
      <c r="E31" s="37" t="s">
        <v>1092</v>
      </c>
    </row>
    <row r="32" spans="1:5" x14ac:dyDescent="0.2">
      <c r="A32" s="39" t="s">
        <v>820</v>
      </c>
      <c r="B32">
        <v>51</v>
      </c>
      <c r="C32" s="40" t="s">
        <v>895</v>
      </c>
      <c r="E32" s="39" t="s">
        <v>1138</v>
      </c>
    </row>
    <row r="33" spans="1:5" x14ac:dyDescent="0.2">
      <c r="A33" s="39" t="s">
        <v>928</v>
      </c>
      <c r="B33">
        <v>52</v>
      </c>
      <c r="C33" s="40" t="s">
        <v>788</v>
      </c>
      <c r="E33" s="39" t="s">
        <v>1139</v>
      </c>
    </row>
    <row r="34" spans="1:5" x14ac:dyDescent="0.2">
      <c r="A34" s="39" t="s">
        <v>821</v>
      </c>
      <c r="B34">
        <v>53</v>
      </c>
      <c r="C34" s="40" t="s">
        <v>896</v>
      </c>
      <c r="E34" s="39" t="s">
        <v>1089</v>
      </c>
    </row>
    <row r="35" spans="1:5" x14ac:dyDescent="0.2">
      <c r="A35" s="39" t="s">
        <v>1188</v>
      </c>
      <c r="B35">
        <v>54</v>
      </c>
      <c r="C35" s="40" t="s">
        <v>897</v>
      </c>
      <c r="E35" s="39" t="s">
        <v>1090</v>
      </c>
    </row>
    <row r="36" spans="1:5" x14ac:dyDescent="0.2">
      <c r="B36">
        <v>55</v>
      </c>
      <c r="C36" s="40" t="s">
        <v>789</v>
      </c>
      <c r="E36" s="39" t="s">
        <v>1091</v>
      </c>
    </row>
    <row r="37" spans="1:5" x14ac:dyDescent="0.2">
      <c r="A37" s="37" t="s">
        <v>849</v>
      </c>
      <c r="B37">
        <v>56</v>
      </c>
      <c r="C37" s="40" t="s">
        <v>790</v>
      </c>
    </row>
    <row r="38" spans="1:5" x14ac:dyDescent="0.2">
      <c r="A38" s="39" t="s">
        <v>831</v>
      </c>
      <c r="B38">
        <v>57</v>
      </c>
      <c r="C38" s="40" t="s">
        <v>791</v>
      </c>
      <c r="E38" s="37" t="s">
        <v>1109</v>
      </c>
    </row>
    <row r="39" spans="1:5" x14ac:dyDescent="0.2">
      <c r="A39" s="39" t="s">
        <v>832</v>
      </c>
      <c r="B39">
        <v>58</v>
      </c>
      <c r="C39" s="40" t="s">
        <v>898</v>
      </c>
      <c r="E39" s="39" t="s">
        <v>1140</v>
      </c>
    </row>
    <row r="40" spans="1:5" x14ac:dyDescent="0.2">
      <c r="B40">
        <v>59</v>
      </c>
      <c r="C40" s="40" t="s">
        <v>792</v>
      </c>
      <c r="E40" s="39" t="s">
        <v>1141</v>
      </c>
    </row>
    <row r="41" spans="1:5" x14ac:dyDescent="0.2">
      <c r="A41" s="37" t="s">
        <v>1079</v>
      </c>
      <c r="B41">
        <v>60</v>
      </c>
      <c r="C41" s="40" t="s">
        <v>793</v>
      </c>
      <c r="E41" s="39" t="s">
        <v>1142</v>
      </c>
    </row>
    <row r="42" spans="1:5" x14ac:dyDescent="0.2">
      <c r="A42" s="39" t="s">
        <v>835</v>
      </c>
      <c r="B42">
        <v>61</v>
      </c>
      <c r="C42" s="40" t="s">
        <v>794</v>
      </c>
    </row>
    <row r="43" spans="1:5" x14ac:dyDescent="0.2">
      <c r="A43" s="39" t="s">
        <v>836</v>
      </c>
      <c r="B43">
        <v>62</v>
      </c>
      <c r="C43" s="40" t="s">
        <v>795</v>
      </c>
    </row>
    <row r="44" spans="1:5" x14ac:dyDescent="0.2">
      <c r="A44" s="39" t="s">
        <v>837</v>
      </c>
      <c r="B44">
        <v>63</v>
      </c>
      <c r="C44" s="40" t="s">
        <v>899</v>
      </c>
    </row>
    <row r="45" spans="1:5" x14ac:dyDescent="0.2">
      <c r="A45" s="39" t="s">
        <v>981</v>
      </c>
      <c r="B45">
        <v>64</v>
      </c>
      <c r="C45" s="40" t="s">
        <v>796</v>
      </c>
    </row>
    <row r="46" spans="1:5" x14ac:dyDescent="0.2">
      <c r="A46" s="39" t="s">
        <v>838</v>
      </c>
      <c r="B46">
        <v>65</v>
      </c>
      <c r="C46" s="40" t="s">
        <v>797</v>
      </c>
      <c r="E46" s="37" t="s">
        <v>1230</v>
      </c>
    </row>
    <row r="47" spans="1:5" x14ac:dyDescent="0.2">
      <c r="A47" s="39" t="s">
        <v>839</v>
      </c>
      <c r="B47">
        <v>66</v>
      </c>
      <c r="C47" s="40" t="s">
        <v>900</v>
      </c>
      <c r="E47" s="39" t="s">
        <v>1237</v>
      </c>
    </row>
    <row r="48" spans="1:5" x14ac:dyDescent="0.2">
      <c r="A48" s="39" t="s">
        <v>931</v>
      </c>
      <c r="B48">
        <v>67</v>
      </c>
      <c r="C48" s="40" t="s">
        <v>798</v>
      </c>
      <c r="E48" s="39" t="s">
        <v>1238</v>
      </c>
    </row>
    <row r="49" spans="1:5" x14ac:dyDescent="0.2">
      <c r="B49">
        <v>68</v>
      </c>
      <c r="C49" s="40" t="s">
        <v>901</v>
      </c>
      <c r="E49" s="39" t="s">
        <v>1239</v>
      </c>
    </row>
    <row r="50" spans="1:5" x14ac:dyDescent="0.2">
      <c r="A50" s="37" t="s">
        <v>848</v>
      </c>
      <c r="B50">
        <v>69</v>
      </c>
      <c r="C50" s="40" t="s">
        <v>799</v>
      </c>
      <c r="E50" s="39" t="s">
        <v>1240</v>
      </c>
    </row>
    <row r="51" spans="1:5" x14ac:dyDescent="0.2">
      <c r="A51" s="39" t="s">
        <v>840</v>
      </c>
      <c r="B51">
        <v>70</v>
      </c>
      <c r="C51" s="40" t="s">
        <v>902</v>
      </c>
      <c r="E51" s="39" t="s">
        <v>1231</v>
      </c>
    </row>
    <row r="52" spans="1:5" x14ac:dyDescent="0.2">
      <c r="A52" s="39" t="s">
        <v>841</v>
      </c>
      <c r="B52">
        <v>71</v>
      </c>
      <c r="C52" s="40" t="s">
        <v>903</v>
      </c>
      <c r="E52" s="39" t="s">
        <v>1241</v>
      </c>
    </row>
    <row r="53" spans="1:5" x14ac:dyDescent="0.2">
      <c r="A53" s="39" t="s">
        <v>927</v>
      </c>
      <c r="B53">
        <v>72</v>
      </c>
      <c r="C53" s="40" t="s">
        <v>904</v>
      </c>
    </row>
    <row r="54" spans="1:5" x14ac:dyDescent="0.2">
      <c r="A54" s="39" t="s">
        <v>842</v>
      </c>
      <c r="B54">
        <v>73</v>
      </c>
      <c r="C54" s="40" t="s">
        <v>800</v>
      </c>
      <c r="E54" s="37" t="s">
        <v>1232</v>
      </c>
    </row>
    <row r="55" spans="1:5" x14ac:dyDescent="0.2">
      <c r="B55">
        <v>74</v>
      </c>
      <c r="C55" s="40" t="s">
        <v>801</v>
      </c>
      <c r="E55" s="814" t="s">
        <v>818</v>
      </c>
    </row>
    <row r="56" spans="1:5" x14ac:dyDescent="0.2">
      <c r="A56" s="37" t="s">
        <v>844</v>
      </c>
      <c r="E56" s="814" t="s">
        <v>819</v>
      </c>
    </row>
    <row r="57" spans="1:5" x14ac:dyDescent="0.2">
      <c r="A57" s="39" t="s">
        <v>845</v>
      </c>
      <c r="C57" s="37" t="s">
        <v>868</v>
      </c>
      <c r="E57" s="814" t="s">
        <v>1188</v>
      </c>
    </row>
    <row r="58" spans="1:5" x14ac:dyDescent="0.2">
      <c r="A58" s="43" t="s">
        <v>846</v>
      </c>
      <c r="C58" s="39" t="s">
        <v>869</v>
      </c>
    </row>
    <row r="59" spans="1:5" x14ac:dyDescent="0.2">
      <c r="C59" s="39" t="s">
        <v>870</v>
      </c>
    </row>
    <row r="60" spans="1:5" x14ac:dyDescent="0.2">
      <c r="A60" s="37" t="s">
        <v>853</v>
      </c>
    </row>
    <row r="61" spans="1:5" x14ac:dyDescent="0.2">
      <c r="A61" s="39" t="s">
        <v>356</v>
      </c>
      <c r="C61" s="37" t="s">
        <v>910</v>
      </c>
      <c r="E61" s="37" t="s">
        <v>356</v>
      </c>
    </row>
    <row r="62" spans="1:5" x14ac:dyDescent="0.2">
      <c r="A62" s="39" t="s">
        <v>854</v>
      </c>
      <c r="C62" s="39" t="s">
        <v>356</v>
      </c>
      <c r="E62" s="39" t="s">
        <v>857</v>
      </c>
    </row>
    <row r="63" spans="1:5" x14ac:dyDescent="0.2">
      <c r="A63" s="39" t="s">
        <v>855</v>
      </c>
      <c r="C63" s="39" t="s">
        <v>854</v>
      </c>
      <c r="E63" s="39" t="s">
        <v>858</v>
      </c>
    </row>
    <row r="64" spans="1:5" x14ac:dyDescent="0.2">
      <c r="A64" s="39" t="s">
        <v>856</v>
      </c>
      <c r="C64" s="39" t="s">
        <v>857</v>
      </c>
      <c r="E64" s="39" t="s">
        <v>1963</v>
      </c>
    </row>
    <row r="65" spans="1:5" x14ac:dyDescent="0.2">
      <c r="A65" s="39"/>
      <c r="C65" s="39" t="s">
        <v>858</v>
      </c>
    </row>
    <row r="66" spans="1:5" x14ac:dyDescent="0.2">
      <c r="C66" s="39" t="s">
        <v>906</v>
      </c>
      <c r="E66" s="37" t="s">
        <v>854</v>
      </c>
    </row>
    <row r="67" spans="1:5" x14ac:dyDescent="0.2">
      <c r="A67" s="37" t="s">
        <v>905</v>
      </c>
      <c r="C67" s="39" t="s">
        <v>859</v>
      </c>
      <c r="E67" s="39" t="s">
        <v>857</v>
      </c>
    </row>
    <row r="68" spans="1:5" x14ac:dyDescent="0.2">
      <c r="A68" s="39" t="s">
        <v>871</v>
      </c>
      <c r="C68" s="39" t="s">
        <v>865</v>
      </c>
      <c r="E68" s="39" t="s">
        <v>858</v>
      </c>
    </row>
    <row r="69" spans="1:5" x14ac:dyDescent="0.2">
      <c r="A69" s="39" t="s">
        <v>872</v>
      </c>
      <c r="C69" s="39" t="s">
        <v>855</v>
      </c>
      <c r="E69" s="39" t="s">
        <v>1963</v>
      </c>
    </row>
    <row r="70" spans="1:5" x14ac:dyDescent="0.2">
      <c r="A70" s="39" t="s">
        <v>863</v>
      </c>
      <c r="C70" s="39" t="s">
        <v>856</v>
      </c>
    </row>
    <row r="71" spans="1:5" x14ac:dyDescent="0.2">
      <c r="A71" s="39" t="s">
        <v>862</v>
      </c>
      <c r="C71" s="39" t="s">
        <v>908</v>
      </c>
      <c r="E71" s="37" t="s">
        <v>855</v>
      </c>
    </row>
    <row r="72" spans="1:5" x14ac:dyDescent="0.2">
      <c r="A72" s="39" t="s">
        <v>925</v>
      </c>
      <c r="C72" s="39" t="s">
        <v>860</v>
      </c>
      <c r="E72" s="39" t="s">
        <v>857</v>
      </c>
    </row>
    <row r="73" spans="1:5" x14ac:dyDescent="0.2">
      <c r="A73" s="39" t="s">
        <v>865</v>
      </c>
      <c r="C73" s="39" t="s">
        <v>909</v>
      </c>
      <c r="E73" s="39" t="s">
        <v>1135</v>
      </c>
    </row>
    <row r="74" spans="1:5" x14ac:dyDescent="0.2">
      <c r="A74" s="39" t="s">
        <v>907</v>
      </c>
      <c r="C74" s="39" t="s">
        <v>1134</v>
      </c>
      <c r="E74" s="39" t="s">
        <v>1129</v>
      </c>
    </row>
    <row r="75" spans="1:5" x14ac:dyDescent="0.2">
      <c r="A75" s="39" t="s">
        <v>926</v>
      </c>
      <c r="C75" s="39" t="s">
        <v>861</v>
      </c>
      <c r="E75" s="39" t="s">
        <v>585</v>
      </c>
    </row>
    <row r="76" spans="1:5" x14ac:dyDescent="0.2">
      <c r="C76" s="39" t="s">
        <v>585</v>
      </c>
      <c r="E76" s="39" t="s">
        <v>858</v>
      </c>
    </row>
    <row r="77" spans="1:5" x14ac:dyDescent="0.2">
      <c r="A77" s="37" t="s">
        <v>911</v>
      </c>
      <c r="C77" s="39" t="s">
        <v>862</v>
      </c>
      <c r="E77" s="39" t="s">
        <v>907</v>
      </c>
    </row>
    <row r="78" spans="1:5" x14ac:dyDescent="0.2">
      <c r="A78" s="39" t="s">
        <v>593</v>
      </c>
      <c r="C78" s="39" t="s">
        <v>907</v>
      </c>
      <c r="E78" s="39" t="s">
        <v>863</v>
      </c>
    </row>
    <row r="79" spans="1:5" x14ac:dyDescent="0.2">
      <c r="A79" s="39" t="s">
        <v>806</v>
      </c>
      <c r="C79" s="39" t="s">
        <v>863</v>
      </c>
      <c r="E79" s="39" t="s">
        <v>1130</v>
      </c>
    </row>
    <row r="80" spans="1:5" x14ac:dyDescent="0.2">
      <c r="C80" s="39" t="s">
        <v>906</v>
      </c>
    </row>
    <row r="81" spans="1:5" x14ac:dyDescent="0.2">
      <c r="A81" s="37" t="s">
        <v>912</v>
      </c>
      <c r="C81" s="39" t="s">
        <v>864</v>
      </c>
      <c r="E81" s="37" t="s">
        <v>856</v>
      </c>
    </row>
    <row r="82" spans="1:5" x14ac:dyDescent="0.2">
      <c r="A82" s="39" t="s">
        <v>913</v>
      </c>
      <c r="E82" s="39" t="s">
        <v>857</v>
      </c>
    </row>
    <row r="83" spans="1:5" x14ac:dyDescent="0.2">
      <c r="A83" s="39" t="s">
        <v>914</v>
      </c>
      <c r="C83" s="37" t="s">
        <v>918</v>
      </c>
      <c r="E83" s="39" t="s">
        <v>1135</v>
      </c>
    </row>
    <row r="84" spans="1:5" x14ac:dyDescent="0.2">
      <c r="A84" s="39" t="s">
        <v>915</v>
      </c>
      <c r="C84" s="39" t="s">
        <v>919</v>
      </c>
      <c r="E84" s="39" t="s">
        <v>1129</v>
      </c>
    </row>
    <row r="85" spans="1:5" x14ac:dyDescent="0.2">
      <c r="A85" s="39" t="s">
        <v>916</v>
      </c>
      <c r="C85" s="39" t="s">
        <v>920</v>
      </c>
      <c r="E85" s="39" t="s">
        <v>585</v>
      </c>
    </row>
    <row r="86" spans="1:5" x14ac:dyDescent="0.2">
      <c r="A86" s="39" t="s">
        <v>917</v>
      </c>
      <c r="E86" s="39" t="s">
        <v>858</v>
      </c>
    </row>
    <row r="87" spans="1:5" x14ac:dyDescent="0.2">
      <c r="C87" s="37" t="s">
        <v>954</v>
      </c>
      <c r="E87" s="39" t="s">
        <v>907</v>
      </c>
    </row>
    <row r="88" spans="1:5" x14ac:dyDescent="0.2">
      <c r="A88" s="37" t="s">
        <v>921</v>
      </c>
      <c r="C88" s="39" t="s">
        <v>857</v>
      </c>
      <c r="E88" s="39" t="s">
        <v>863</v>
      </c>
    </row>
    <row r="89" spans="1:5" x14ac:dyDescent="0.2">
      <c r="A89" s="39" t="s">
        <v>922</v>
      </c>
      <c r="C89" s="39" t="s">
        <v>858</v>
      </c>
      <c r="E89" s="39" t="s">
        <v>1130</v>
      </c>
    </row>
    <row r="90" spans="1:5" x14ac:dyDescent="0.2">
      <c r="A90" s="39" t="s">
        <v>923</v>
      </c>
      <c r="C90" s="39" t="s">
        <v>955</v>
      </c>
    </row>
    <row r="91" spans="1:5" x14ac:dyDescent="0.2">
      <c r="C91" s="39" t="s">
        <v>1134</v>
      </c>
      <c r="E91" s="37" t="s">
        <v>1965</v>
      </c>
    </row>
    <row r="92" spans="1:5" x14ac:dyDescent="0.2">
      <c r="A92" s="37" t="s">
        <v>974</v>
      </c>
      <c r="C92" s="39" t="s">
        <v>956</v>
      </c>
      <c r="E92" s="892" t="s">
        <v>2001</v>
      </c>
    </row>
    <row r="93" spans="1:5" x14ac:dyDescent="0.2">
      <c r="A93" s="39" t="s">
        <v>975</v>
      </c>
      <c r="C93" s="39" t="s">
        <v>957</v>
      </c>
      <c r="E93" s="892" t="s">
        <v>2002</v>
      </c>
    </row>
    <row r="94" spans="1:5" x14ac:dyDescent="0.2">
      <c r="A94" s="39" t="s">
        <v>976</v>
      </c>
      <c r="C94" s="39" t="s">
        <v>585</v>
      </c>
      <c r="E94" s="892" t="s">
        <v>2003</v>
      </c>
    </row>
    <row r="95" spans="1:5" x14ac:dyDescent="0.2">
      <c r="A95" s="39" t="s">
        <v>977</v>
      </c>
      <c r="C95" s="39" t="s">
        <v>863</v>
      </c>
      <c r="E95" s="892" t="s">
        <v>2004</v>
      </c>
    </row>
    <row r="96" spans="1:5" x14ac:dyDescent="0.2">
      <c r="C96" s="39" t="s">
        <v>864</v>
      </c>
      <c r="E96" s="892" t="s">
        <v>2005</v>
      </c>
    </row>
    <row r="97" spans="1:5" x14ac:dyDescent="0.2">
      <c r="A97" s="37" t="s">
        <v>983</v>
      </c>
      <c r="C97" s="39" t="s">
        <v>958</v>
      </c>
      <c r="E97" s="892" t="s">
        <v>2006</v>
      </c>
    </row>
    <row r="98" spans="1:5" x14ac:dyDescent="0.2">
      <c r="A98" s="39" t="s">
        <v>1050</v>
      </c>
      <c r="E98" s="892" t="s">
        <v>2007</v>
      </c>
    </row>
    <row r="99" spans="1:5" x14ac:dyDescent="0.2">
      <c r="A99" s="39" t="s">
        <v>1051</v>
      </c>
      <c r="E99" s="892" t="s">
        <v>2008</v>
      </c>
    </row>
    <row r="100" spans="1:5" x14ac:dyDescent="0.2">
      <c r="A100" s="39" t="s">
        <v>1052</v>
      </c>
    </row>
    <row r="101" spans="1:5" x14ac:dyDescent="0.2">
      <c r="A101" s="39" t="s">
        <v>1053</v>
      </c>
      <c r="E101" s="37" t="s">
        <v>1967</v>
      </c>
    </row>
    <row r="102" spans="1:5" x14ac:dyDescent="0.2">
      <c r="E102" s="892" t="s">
        <v>831</v>
      </c>
    </row>
    <row r="103" spans="1:5" x14ac:dyDescent="0.2">
      <c r="A103" s="1261" t="s">
        <v>993</v>
      </c>
      <c r="B103" s="1262"/>
      <c r="C103" s="1263"/>
      <c r="E103" s="892" t="s">
        <v>832</v>
      </c>
    </row>
    <row r="104" spans="1:5" x14ac:dyDescent="0.2">
      <c r="A104" s="215" t="s">
        <v>1242</v>
      </c>
      <c r="B104" s="215"/>
      <c r="C104" s="215"/>
    </row>
    <row r="105" spans="1:5" x14ac:dyDescent="0.2">
      <c r="A105" s="215" t="s">
        <v>1243</v>
      </c>
      <c r="B105" s="215"/>
      <c r="C105" s="215"/>
      <c r="E105" s="37" t="s">
        <v>1971</v>
      </c>
    </row>
    <row r="106" spans="1:5" x14ac:dyDescent="0.2">
      <c r="A106" s="215" t="s">
        <v>987</v>
      </c>
      <c r="B106" s="215"/>
      <c r="C106" s="215"/>
      <c r="E106" s="892" t="s">
        <v>590</v>
      </c>
    </row>
    <row r="107" spans="1:5" x14ac:dyDescent="0.2">
      <c r="A107" s="215" t="s">
        <v>988</v>
      </c>
      <c r="B107" s="215"/>
      <c r="C107" s="215"/>
      <c r="E107" s="892" t="s">
        <v>1972</v>
      </c>
    </row>
    <row r="108" spans="1:5" x14ac:dyDescent="0.2">
      <c r="A108" s="215" t="s">
        <v>989</v>
      </c>
      <c r="B108" s="215"/>
      <c r="C108" s="215"/>
      <c r="E108" s="892" t="s">
        <v>1973</v>
      </c>
    </row>
    <row r="109" spans="1:5" x14ac:dyDescent="0.2">
      <c r="A109" s="215" t="s">
        <v>990</v>
      </c>
      <c r="B109" s="215"/>
      <c r="C109" s="215"/>
      <c r="E109" s="892" t="s">
        <v>589</v>
      </c>
    </row>
    <row r="110" spans="1:5" x14ac:dyDescent="0.2">
      <c r="A110" s="215" t="s">
        <v>991</v>
      </c>
      <c r="B110" s="215"/>
      <c r="C110" s="215"/>
    </row>
    <row r="111" spans="1:5" x14ac:dyDescent="0.2">
      <c r="A111" s="215" t="s">
        <v>992</v>
      </c>
      <c r="B111" s="215"/>
      <c r="C111" s="215"/>
    </row>
    <row r="112" spans="1:5" x14ac:dyDescent="0.2">
      <c r="B112" s="23"/>
      <c r="C112" s="23"/>
    </row>
    <row r="113" spans="1:2" x14ac:dyDescent="0.2">
      <c r="A113" s="23" t="s">
        <v>1967</v>
      </c>
    </row>
    <row r="114" spans="1:2" x14ac:dyDescent="0.2">
      <c r="A114" s="895" t="s">
        <v>1968</v>
      </c>
    </row>
    <row r="115" spans="1:2" x14ac:dyDescent="0.2">
      <c r="A115" s="895" t="str">
        <f>CONCATENATE("Bei einem Neueintritt nach dem 01.07.",LohntabelleM!I1," ist keine individuelle Lohnentwicklung vorgesehen.")</f>
        <v>Bei einem Neueintritt nach dem 01.07.2024 ist keine individuelle Lohnentwicklung vorgesehen.</v>
      </c>
    </row>
    <row r="116" spans="1:2" x14ac:dyDescent="0.2">
      <c r="A116" s="895" t="s">
        <v>1969</v>
      </c>
    </row>
    <row r="117" spans="1:2" x14ac:dyDescent="0.2">
      <c r="A117" s="895" t="s">
        <v>1974</v>
      </c>
    </row>
    <row r="118" spans="1:2" x14ac:dyDescent="0.2">
      <c r="A118" s="895" t="s">
        <v>1970</v>
      </c>
    </row>
    <row r="120" spans="1:2" x14ac:dyDescent="0.2">
      <c r="A120" s="896"/>
      <c r="B120" s="897"/>
    </row>
  </sheetData>
  <mergeCells count="2">
    <mergeCell ref="A103:C103"/>
    <mergeCell ref="E3:G10"/>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tabColor theme="0" tint="-0.249977111117893"/>
  </sheetPr>
  <dimension ref="A1:AE62"/>
  <sheetViews>
    <sheetView workbookViewId="0">
      <selection activeCell="I39" sqref="I39"/>
    </sheetView>
  </sheetViews>
  <sheetFormatPr baseColWidth="10" defaultColWidth="11.42578125" defaultRowHeight="12.75" x14ac:dyDescent="0.2"/>
  <cols>
    <col min="1" max="16384" width="11.42578125" style="22"/>
  </cols>
  <sheetData>
    <row r="1" spans="1:31" x14ac:dyDescent="0.2">
      <c r="A1" s="713" t="str">
        <f>CONCATENATE("Lohntabelle Monatslohn ",I1)</f>
        <v>Lohntabelle Monatslohn 2024</v>
      </c>
      <c r="B1" s="82"/>
      <c r="C1" s="82"/>
      <c r="D1" s="83"/>
      <c r="E1" s="83">
        <v>13</v>
      </c>
      <c r="F1" s="82" t="s">
        <v>1258</v>
      </c>
      <c r="G1" s="820" t="s">
        <v>2018</v>
      </c>
      <c r="H1" s="82" t="s">
        <v>1259</v>
      </c>
      <c r="I1" s="820">
        <v>2024</v>
      </c>
      <c r="J1" s="83"/>
      <c r="K1" s="83"/>
      <c r="L1" s="83"/>
      <c r="M1" s="83"/>
      <c r="N1" s="83"/>
      <c r="O1" s="83"/>
      <c r="P1" s="83"/>
      <c r="Q1" s="83"/>
      <c r="R1" s="83"/>
      <c r="S1" s="83"/>
      <c r="T1" s="83"/>
      <c r="U1" s="83"/>
      <c r="V1" s="83"/>
      <c r="W1" s="83"/>
      <c r="X1" s="83"/>
      <c r="Y1" s="83"/>
      <c r="Z1" s="83"/>
      <c r="AA1" s="83"/>
      <c r="AB1" s="83"/>
      <c r="AC1" s="83"/>
      <c r="AD1" s="83"/>
      <c r="AE1" s="83"/>
    </row>
    <row r="2" spans="1:31" x14ac:dyDescent="0.2">
      <c r="A2" s="81"/>
      <c r="B2" s="82" t="s">
        <v>809</v>
      </c>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row>
    <row r="3" spans="1:31" x14ac:dyDescent="0.2">
      <c r="A3" s="84" t="s">
        <v>765</v>
      </c>
      <c r="B3" s="84" t="s">
        <v>588</v>
      </c>
      <c r="C3" s="84" t="s">
        <v>589</v>
      </c>
      <c r="D3" s="85" t="s">
        <v>590</v>
      </c>
      <c r="E3" s="84">
        <v>1</v>
      </c>
      <c r="F3" s="84">
        <v>2</v>
      </c>
      <c r="G3" s="84">
        <v>3</v>
      </c>
      <c r="H3" s="84">
        <v>4</v>
      </c>
      <c r="I3" s="84">
        <v>5</v>
      </c>
      <c r="J3" s="84">
        <v>6</v>
      </c>
      <c r="K3" s="84">
        <v>7</v>
      </c>
      <c r="L3" s="84">
        <v>8</v>
      </c>
      <c r="M3" s="84">
        <v>9</v>
      </c>
      <c r="N3" s="84">
        <v>10</v>
      </c>
      <c r="O3" s="84">
        <v>11</v>
      </c>
      <c r="P3" s="84">
        <v>12</v>
      </c>
      <c r="Q3" s="84">
        <v>13</v>
      </c>
      <c r="R3" s="84">
        <v>14</v>
      </c>
      <c r="S3" s="84">
        <v>15</v>
      </c>
      <c r="T3" s="84">
        <v>16</v>
      </c>
      <c r="U3" s="84">
        <v>17</v>
      </c>
      <c r="V3" s="84">
        <v>18</v>
      </c>
      <c r="W3" s="84">
        <v>19</v>
      </c>
      <c r="X3" s="84">
        <v>20</v>
      </c>
      <c r="Y3" s="84">
        <v>21</v>
      </c>
      <c r="Z3" s="84">
        <v>22</v>
      </c>
      <c r="AA3" s="84">
        <v>23</v>
      </c>
      <c r="AB3" s="84">
        <v>24</v>
      </c>
      <c r="AC3" s="84">
        <v>25</v>
      </c>
      <c r="AD3" s="84">
        <v>26</v>
      </c>
      <c r="AE3" s="84">
        <v>27</v>
      </c>
    </row>
    <row r="4" spans="1:31" x14ac:dyDescent="0.2">
      <c r="A4" s="84">
        <v>1</v>
      </c>
      <c r="B4" s="86">
        <v>13970.85</v>
      </c>
      <c r="C4" s="86">
        <v>14614.75</v>
      </c>
      <c r="D4" s="86">
        <v>15258.85</v>
      </c>
      <c r="E4" s="86">
        <v>15902.8</v>
      </c>
      <c r="F4" s="86">
        <v>16524.25</v>
      </c>
      <c r="G4" s="86">
        <v>17145.650000000001</v>
      </c>
      <c r="H4" s="86">
        <v>17767.150000000001</v>
      </c>
      <c r="I4" s="86">
        <v>18388.650000000001</v>
      </c>
      <c r="J4" s="86">
        <v>18660.55</v>
      </c>
      <c r="K4" s="86">
        <v>18932.75</v>
      </c>
      <c r="L4" s="86">
        <v>19204.8</v>
      </c>
      <c r="M4" s="86">
        <v>19476.849999999999</v>
      </c>
      <c r="N4" s="86">
        <v>19665.05</v>
      </c>
      <c r="O4" s="86">
        <v>19853.3</v>
      </c>
      <c r="P4" s="86">
        <v>20041.599999999999</v>
      </c>
      <c r="Q4" s="86">
        <v>20229.8</v>
      </c>
      <c r="R4" s="86">
        <v>20417.8</v>
      </c>
      <c r="S4" s="86">
        <v>20606.150000000001</v>
      </c>
      <c r="T4" s="86">
        <v>20794.45</v>
      </c>
      <c r="U4" s="86">
        <v>20982.65</v>
      </c>
      <c r="V4" s="86">
        <v>20982.65</v>
      </c>
      <c r="W4" s="86">
        <v>21083.75</v>
      </c>
      <c r="X4" s="86">
        <v>21083.75</v>
      </c>
      <c r="Y4" s="86">
        <v>21185</v>
      </c>
      <c r="Z4" s="86">
        <v>21185</v>
      </c>
      <c r="AA4" s="86">
        <v>21286.400000000001</v>
      </c>
      <c r="AB4" s="86">
        <v>21286.400000000001</v>
      </c>
      <c r="AC4" s="86">
        <v>21387.7</v>
      </c>
      <c r="AD4" s="86">
        <v>21387.7</v>
      </c>
      <c r="AE4" s="86">
        <v>21489.05</v>
      </c>
    </row>
    <row r="5" spans="1:31" x14ac:dyDescent="0.2">
      <c r="A5" s="84">
        <v>2</v>
      </c>
      <c r="B5" s="86">
        <v>13216.45</v>
      </c>
      <c r="C5" s="86">
        <v>13824.35</v>
      </c>
      <c r="D5" s="86">
        <v>14432.4</v>
      </c>
      <c r="E5" s="86">
        <v>15040.4</v>
      </c>
      <c r="F5" s="86">
        <v>15627.05</v>
      </c>
      <c r="G5" s="86">
        <v>16213.9</v>
      </c>
      <c r="H5" s="86">
        <v>16800.55</v>
      </c>
      <c r="I5" s="86">
        <v>17387.3</v>
      </c>
      <c r="J5" s="86">
        <v>17644.099999999999</v>
      </c>
      <c r="K5" s="86">
        <v>17901.099999999999</v>
      </c>
      <c r="L5" s="86">
        <v>18158</v>
      </c>
      <c r="M5" s="86">
        <v>18414.75</v>
      </c>
      <c r="N5" s="86">
        <v>18600.099999999999</v>
      </c>
      <c r="O5" s="86">
        <v>18785.5</v>
      </c>
      <c r="P5" s="86">
        <v>18970.900000000001</v>
      </c>
      <c r="Q5" s="86">
        <v>19156.099999999999</v>
      </c>
      <c r="R5" s="86">
        <v>19341.650000000001</v>
      </c>
      <c r="S5" s="86">
        <v>19526.8</v>
      </c>
      <c r="T5" s="86">
        <v>19712.45</v>
      </c>
      <c r="U5" s="86">
        <v>19897.599999999999</v>
      </c>
      <c r="V5" s="86">
        <v>19897.599999999999</v>
      </c>
      <c r="W5" s="86">
        <v>19993</v>
      </c>
      <c r="X5" s="86">
        <v>19993</v>
      </c>
      <c r="Y5" s="86">
        <v>20088.5</v>
      </c>
      <c r="Z5" s="86">
        <v>20088.5</v>
      </c>
      <c r="AA5" s="86">
        <v>20183.8</v>
      </c>
      <c r="AB5" s="86">
        <v>20183.8</v>
      </c>
      <c r="AC5" s="86">
        <v>20279.2</v>
      </c>
      <c r="AD5" s="86">
        <v>20279.2</v>
      </c>
      <c r="AE5" s="86">
        <v>20374.599999999999</v>
      </c>
    </row>
    <row r="6" spans="1:31" x14ac:dyDescent="0.2">
      <c r="A6" s="84">
        <v>3</v>
      </c>
      <c r="B6" s="86">
        <v>12461.7</v>
      </c>
      <c r="C6" s="86">
        <v>13033.75</v>
      </c>
      <c r="D6" s="86">
        <v>13605.8</v>
      </c>
      <c r="E6" s="86">
        <v>14178</v>
      </c>
      <c r="F6" s="86">
        <v>14729.85</v>
      </c>
      <c r="G6" s="86">
        <v>15281.95</v>
      </c>
      <c r="H6" s="86">
        <v>15834</v>
      </c>
      <c r="I6" s="86">
        <v>16385.8</v>
      </c>
      <c r="J6" s="86">
        <v>16627.5</v>
      </c>
      <c r="K6" s="86">
        <v>16869.349999999999</v>
      </c>
      <c r="L6" s="86">
        <v>17111</v>
      </c>
      <c r="M6" s="86">
        <v>17352.650000000001</v>
      </c>
      <c r="N6" s="86">
        <v>17535.25</v>
      </c>
      <c r="O6" s="86">
        <v>17717.8</v>
      </c>
      <c r="P6" s="86">
        <v>17900.349999999999</v>
      </c>
      <c r="Q6" s="86">
        <v>18082.95</v>
      </c>
      <c r="R6" s="86">
        <v>18265.45</v>
      </c>
      <c r="S6" s="86">
        <v>18448</v>
      </c>
      <c r="T6" s="86">
        <v>18630.599999999999</v>
      </c>
      <c r="U6" s="86">
        <v>18813.05</v>
      </c>
      <c r="V6" s="86">
        <v>18813.05</v>
      </c>
      <c r="W6" s="86">
        <v>18902.599999999999</v>
      </c>
      <c r="X6" s="86">
        <v>18902.599999999999</v>
      </c>
      <c r="Y6" s="86">
        <v>18992.05</v>
      </c>
      <c r="Z6" s="86">
        <v>18992.05</v>
      </c>
      <c r="AA6" s="86">
        <v>19081.599999999999</v>
      </c>
      <c r="AB6" s="86">
        <v>19081.599999999999</v>
      </c>
      <c r="AC6" s="86">
        <v>19171.099999999999</v>
      </c>
      <c r="AD6" s="86">
        <v>19171.099999999999</v>
      </c>
      <c r="AE6" s="86">
        <v>19260.5</v>
      </c>
    </row>
    <row r="7" spans="1:31" x14ac:dyDescent="0.2">
      <c r="A7" s="84">
        <v>4</v>
      </c>
      <c r="B7" s="86">
        <v>11707.25</v>
      </c>
      <c r="C7" s="86">
        <v>12243.25</v>
      </c>
      <c r="D7" s="86">
        <v>12779.35</v>
      </c>
      <c r="E7" s="86">
        <v>13315.45</v>
      </c>
      <c r="F7" s="86">
        <v>13832.9</v>
      </c>
      <c r="G7" s="86">
        <v>14350.1</v>
      </c>
      <c r="H7" s="86">
        <v>14867.6</v>
      </c>
      <c r="I7" s="86">
        <v>15385</v>
      </c>
      <c r="J7" s="86">
        <v>15611.6</v>
      </c>
      <c r="K7" s="86">
        <v>15838.1</v>
      </c>
      <c r="L7" s="86">
        <v>16064.65</v>
      </c>
      <c r="M7" s="86">
        <v>16291.1</v>
      </c>
      <c r="N7" s="86">
        <v>16470.75</v>
      </c>
      <c r="O7" s="86">
        <v>16650.45</v>
      </c>
      <c r="P7" s="86">
        <v>16830.2</v>
      </c>
      <c r="Q7" s="86">
        <v>17009.900000000001</v>
      </c>
      <c r="R7" s="86">
        <v>17189.400000000001</v>
      </c>
      <c r="S7" s="86">
        <v>17369.150000000001</v>
      </c>
      <c r="T7" s="86">
        <v>17548.8</v>
      </c>
      <c r="U7" s="86">
        <v>17728.5</v>
      </c>
      <c r="V7" s="86">
        <v>17728.5</v>
      </c>
      <c r="W7" s="86">
        <v>17812.150000000001</v>
      </c>
      <c r="X7" s="86">
        <v>17812.150000000001</v>
      </c>
      <c r="Y7" s="86">
        <v>17895.650000000001</v>
      </c>
      <c r="Z7" s="86">
        <v>17895.650000000001</v>
      </c>
      <c r="AA7" s="86">
        <v>17979.349999999999</v>
      </c>
      <c r="AB7" s="86">
        <v>17979.349999999999</v>
      </c>
      <c r="AC7" s="86">
        <v>18062.8</v>
      </c>
      <c r="AD7" s="86">
        <v>18062.8</v>
      </c>
      <c r="AE7" s="86">
        <v>18146.599999999999</v>
      </c>
    </row>
    <row r="8" spans="1:31" x14ac:dyDescent="0.2">
      <c r="A8" s="84">
        <v>5</v>
      </c>
      <c r="B8" s="86">
        <v>10952.15</v>
      </c>
      <c r="C8" s="86">
        <v>11452.3</v>
      </c>
      <c r="D8" s="86">
        <v>11952.55</v>
      </c>
      <c r="E8" s="86">
        <v>12452.85</v>
      </c>
      <c r="F8" s="86">
        <v>12935.5</v>
      </c>
      <c r="G8" s="86">
        <v>13418.3</v>
      </c>
      <c r="H8" s="86">
        <v>13901</v>
      </c>
      <c r="I8" s="86">
        <v>14383.8</v>
      </c>
      <c r="J8" s="86">
        <v>14595.15</v>
      </c>
      <c r="K8" s="86">
        <v>14806.45</v>
      </c>
      <c r="L8" s="86">
        <v>15017.85</v>
      </c>
      <c r="M8" s="86">
        <v>15229.2</v>
      </c>
      <c r="N8" s="86">
        <v>15404.65</v>
      </c>
      <c r="O8" s="86">
        <v>15580.15</v>
      </c>
      <c r="P8" s="86">
        <v>15755.4</v>
      </c>
      <c r="Q8" s="86">
        <v>15930.9</v>
      </c>
      <c r="R8" s="86">
        <v>16106.4</v>
      </c>
      <c r="S8" s="86">
        <v>16281.85</v>
      </c>
      <c r="T8" s="86">
        <v>16457.349999999999</v>
      </c>
      <c r="U8" s="86">
        <v>16632.75</v>
      </c>
      <c r="V8" s="86">
        <v>16632.75</v>
      </c>
      <c r="W8" s="86">
        <v>16712.599999999999</v>
      </c>
      <c r="X8" s="86">
        <v>16712.599999999999</v>
      </c>
      <c r="Y8" s="86">
        <v>16792.650000000001</v>
      </c>
      <c r="Z8" s="86">
        <v>16792.650000000001</v>
      </c>
      <c r="AA8" s="86">
        <v>16872.55</v>
      </c>
      <c r="AB8" s="86">
        <v>16872.55</v>
      </c>
      <c r="AC8" s="86">
        <v>16952.45</v>
      </c>
      <c r="AD8" s="86">
        <v>16952.45</v>
      </c>
      <c r="AE8" s="86">
        <v>17032.55</v>
      </c>
    </row>
    <row r="9" spans="1:31" x14ac:dyDescent="0.2">
      <c r="A9" s="84">
        <v>6</v>
      </c>
      <c r="B9" s="86">
        <v>10197.6</v>
      </c>
      <c r="C9" s="86">
        <v>10661.8</v>
      </c>
      <c r="D9" s="86">
        <v>11126.2</v>
      </c>
      <c r="E9" s="86">
        <v>11590.35</v>
      </c>
      <c r="F9" s="86">
        <v>12038.5</v>
      </c>
      <c r="G9" s="86">
        <v>12486.55</v>
      </c>
      <c r="H9" s="86">
        <v>12934.55</v>
      </c>
      <c r="I9" s="86">
        <v>13382.6</v>
      </c>
      <c r="J9" s="86">
        <v>13578.7</v>
      </c>
      <c r="K9" s="86">
        <v>13774.85</v>
      </c>
      <c r="L9" s="86">
        <v>13971.05</v>
      </c>
      <c r="M9" s="86">
        <v>14167.15</v>
      </c>
      <c r="N9" s="86">
        <v>14338.7</v>
      </c>
      <c r="O9" s="86">
        <v>14510</v>
      </c>
      <c r="P9" s="86">
        <v>14681.45</v>
      </c>
      <c r="Q9" s="86">
        <v>14852.85</v>
      </c>
      <c r="R9" s="86">
        <v>15024.35</v>
      </c>
      <c r="S9" s="86">
        <v>15195.75</v>
      </c>
      <c r="T9" s="86">
        <v>15367.1</v>
      </c>
      <c r="U9" s="86">
        <v>15538.5</v>
      </c>
      <c r="V9" s="86">
        <v>15538.5</v>
      </c>
      <c r="W9" s="86">
        <v>15614.6</v>
      </c>
      <c r="X9" s="86">
        <v>15614.6</v>
      </c>
      <c r="Y9" s="86">
        <v>15690.7</v>
      </c>
      <c r="Z9" s="86">
        <v>15690.7</v>
      </c>
      <c r="AA9" s="86">
        <v>15766.7</v>
      </c>
      <c r="AB9" s="86">
        <v>15766.7</v>
      </c>
      <c r="AC9" s="86">
        <v>15842.7</v>
      </c>
      <c r="AD9" s="86">
        <v>15842.7</v>
      </c>
      <c r="AE9" s="86">
        <v>15918.85</v>
      </c>
    </row>
    <row r="10" spans="1:31" x14ac:dyDescent="0.2">
      <c r="A10" s="84">
        <v>7</v>
      </c>
      <c r="B10" s="86">
        <v>9434.85</v>
      </c>
      <c r="C10" s="86">
        <v>9865.9</v>
      </c>
      <c r="D10" s="86">
        <v>10296.9</v>
      </c>
      <c r="E10" s="86">
        <v>10728</v>
      </c>
      <c r="F10" s="86">
        <v>11141.3</v>
      </c>
      <c r="G10" s="86">
        <v>11554.6</v>
      </c>
      <c r="H10" s="86">
        <v>11968.05</v>
      </c>
      <c r="I10" s="86">
        <v>12381.3</v>
      </c>
      <c r="J10" s="86">
        <v>12562.3</v>
      </c>
      <c r="K10" s="86">
        <v>12743.3</v>
      </c>
      <c r="L10" s="86">
        <v>12924.1</v>
      </c>
      <c r="M10" s="86">
        <v>13105.1</v>
      </c>
      <c r="N10" s="86">
        <v>13271.9</v>
      </c>
      <c r="O10" s="86">
        <v>13438.9</v>
      </c>
      <c r="P10" s="86">
        <v>13605.7</v>
      </c>
      <c r="Q10" s="86">
        <v>13772.6</v>
      </c>
      <c r="R10" s="86">
        <v>13939.65</v>
      </c>
      <c r="S10" s="86">
        <v>14106.45</v>
      </c>
      <c r="T10" s="86">
        <v>14273.3</v>
      </c>
      <c r="U10" s="86">
        <v>14440.3</v>
      </c>
      <c r="V10" s="86">
        <v>14440.3</v>
      </c>
      <c r="W10" s="86">
        <v>14513</v>
      </c>
      <c r="X10" s="86">
        <v>14513</v>
      </c>
      <c r="Y10" s="86">
        <v>14585.85</v>
      </c>
      <c r="Z10" s="86">
        <v>14585.85</v>
      </c>
      <c r="AA10" s="86">
        <v>14658.8</v>
      </c>
      <c r="AB10" s="86">
        <v>14658.8</v>
      </c>
      <c r="AC10" s="86">
        <v>14731.5</v>
      </c>
      <c r="AD10" s="86">
        <v>14731.5</v>
      </c>
      <c r="AE10" s="86">
        <v>14804.3</v>
      </c>
    </row>
    <row r="11" spans="1:31" x14ac:dyDescent="0.2">
      <c r="A11" s="84">
        <v>8</v>
      </c>
      <c r="B11" s="86">
        <v>8739.5499999999993</v>
      </c>
      <c r="C11" s="86">
        <v>9143.1</v>
      </c>
      <c r="D11" s="86">
        <v>9546.6</v>
      </c>
      <c r="E11" s="86">
        <v>9950.1</v>
      </c>
      <c r="F11" s="86">
        <v>10331.950000000001</v>
      </c>
      <c r="G11" s="86">
        <v>10713.7</v>
      </c>
      <c r="H11" s="86">
        <v>11095.8</v>
      </c>
      <c r="I11" s="86">
        <v>11477.6</v>
      </c>
      <c r="J11" s="86">
        <v>11644.5</v>
      </c>
      <c r="K11" s="86">
        <v>11811.6</v>
      </c>
      <c r="L11" s="86">
        <v>11978.7</v>
      </c>
      <c r="M11" s="86">
        <v>12145.8</v>
      </c>
      <c r="N11" s="86">
        <v>12297.8</v>
      </c>
      <c r="O11" s="86">
        <v>12449.85</v>
      </c>
      <c r="P11" s="86">
        <v>12601.8</v>
      </c>
      <c r="Q11" s="86">
        <v>12753.85</v>
      </c>
      <c r="R11" s="86">
        <v>12905.85</v>
      </c>
      <c r="S11" s="86">
        <v>13057.9</v>
      </c>
      <c r="T11" s="86">
        <v>13209.85</v>
      </c>
      <c r="U11" s="86">
        <v>13361.8</v>
      </c>
      <c r="V11" s="86">
        <v>13361.8</v>
      </c>
      <c r="W11" s="86">
        <v>13428.4</v>
      </c>
      <c r="X11" s="86">
        <v>13428.4</v>
      </c>
      <c r="Y11" s="86">
        <v>13494.65</v>
      </c>
      <c r="Z11" s="86">
        <v>13494.65</v>
      </c>
      <c r="AA11" s="86">
        <v>13561.15</v>
      </c>
      <c r="AB11" s="86">
        <v>13561.15</v>
      </c>
      <c r="AC11" s="86">
        <v>13627.55</v>
      </c>
      <c r="AD11" s="86">
        <v>13627.55</v>
      </c>
      <c r="AE11" s="86">
        <v>13694.05</v>
      </c>
    </row>
    <row r="12" spans="1:31" x14ac:dyDescent="0.2">
      <c r="A12" s="84">
        <v>9</v>
      </c>
      <c r="B12" s="86">
        <v>8119.55</v>
      </c>
      <c r="C12" s="86">
        <v>8494.5</v>
      </c>
      <c r="D12" s="86">
        <v>8869.4500000000007</v>
      </c>
      <c r="E12" s="86">
        <v>9244.6</v>
      </c>
      <c r="F12" s="86">
        <v>9600.4</v>
      </c>
      <c r="G12" s="86">
        <v>9956.25</v>
      </c>
      <c r="H12" s="86">
        <v>10312.299999999999</v>
      </c>
      <c r="I12" s="86">
        <v>10668.1</v>
      </c>
      <c r="J12" s="86">
        <v>10823.9</v>
      </c>
      <c r="K12" s="86">
        <v>10979.55</v>
      </c>
      <c r="L12" s="86">
        <v>11135.3</v>
      </c>
      <c r="M12" s="86">
        <v>11291.05</v>
      </c>
      <c r="N12" s="86">
        <v>11428.25</v>
      </c>
      <c r="O12" s="86">
        <v>11565.3</v>
      </c>
      <c r="P12" s="86">
        <v>11702.45</v>
      </c>
      <c r="Q12" s="86">
        <v>11839.65</v>
      </c>
      <c r="R12" s="86">
        <v>11976.7</v>
      </c>
      <c r="S12" s="86">
        <v>12113.85</v>
      </c>
      <c r="T12" s="86">
        <v>12250.85</v>
      </c>
      <c r="U12" s="86">
        <v>12388.05</v>
      </c>
      <c r="V12" s="86">
        <v>12388.05</v>
      </c>
      <c r="W12" s="86">
        <v>12448.85</v>
      </c>
      <c r="X12" s="86">
        <v>12448.85</v>
      </c>
      <c r="Y12" s="86">
        <v>12509.55</v>
      </c>
      <c r="Z12" s="86">
        <v>12509.55</v>
      </c>
      <c r="AA12" s="86">
        <v>12570.3</v>
      </c>
      <c r="AB12" s="86">
        <v>12570.3</v>
      </c>
      <c r="AC12" s="86">
        <v>12631.1</v>
      </c>
      <c r="AD12" s="86">
        <v>12631.1</v>
      </c>
      <c r="AE12" s="86">
        <v>12691.9</v>
      </c>
    </row>
    <row r="13" spans="1:31" x14ac:dyDescent="0.2">
      <c r="A13" s="84">
        <v>10</v>
      </c>
      <c r="B13" s="86">
        <v>7577.15</v>
      </c>
      <c r="C13" s="86">
        <v>7926.5</v>
      </c>
      <c r="D13" s="86">
        <v>8275.7999999999993</v>
      </c>
      <c r="E13" s="86">
        <v>8625.1</v>
      </c>
      <c r="F13" s="86">
        <v>8959</v>
      </c>
      <c r="G13" s="86">
        <v>9292.9</v>
      </c>
      <c r="H13" s="86">
        <v>9626.7000000000007</v>
      </c>
      <c r="I13" s="86">
        <v>9960.65</v>
      </c>
      <c r="J13" s="86">
        <v>10106.799999999999</v>
      </c>
      <c r="K13" s="86">
        <v>10252.950000000001</v>
      </c>
      <c r="L13" s="86">
        <v>10399</v>
      </c>
      <c r="M13" s="86">
        <v>10545.25</v>
      </c>
      <c r="N13" s="86">
        <v>10668</v>
      </c>
      <c r="O13" s="86">
        <v>10790.9</v>
      </c>
      <c r="P13" s="86">
        <v>10913.7</v>
      </c>
      <c r="Q13" s="86">
        <v>11036.6</v>
      </c>
      <c r="R13" s="86">
        <v>11159.45</v>
      </c>
      <c r="S13" s="86">
        <v>11282.25</v>
      </c>
      <c r="T13" s="86">
        <v>11405.1</v>
      </c>
      <c r="U13" s="86">
        <v>11527.9</v>
      </c>
      <c r="V13" s="86">
        <v>11527.9</v>
      </c>
      <c r="W13" s="86">
        <v>11582.4</v>
      </c>
      <c r="X13" s="86">
        <v>11582.4</v>
      </c>
      <c r="Y13" s="86">
        <v>11636.75</v>
      </c>
      <c r="Z13" s="86">
        <v>11636.75</v>
      </c>
      <c r="AA13" s="86">
        <v>11691.3</v>
      </c>
      <c r="AB13" s="86">
        <v>11691.3</v>
      </c>
      <c r="AC13" s="86">
        <v>11745.8</v>
      </c>
      <c r="AD13" s="86">
        <v>11745.8</v>
      </c>
      <c r="AE13" s="86">
        <v>11800</v>
      </c>
    </row>
    <row r="14" spans="1:31" x14ac:dyDescent="0.2">
      <c r="A14" s="84">
        <v>11</v>
      </c>
      <c r="B14" s="86">
        <v>7074.15</v>
      </c>
      <c r="C14" s="86">
        <v>7399.65</v>
      </c>
      <c r="D14" s="86">
        <v>7725</v>
      </c>
      <c r="E14" s="86">
        <v>8050.5</v>
      </c>
      <c r="F14" s="86">
        <v>8363.85</v>
      </c>
      <c r="G14" s="86">
        <v>8677.0499999999993</v>
      </c>
      <c r="H14" s="86">
        <v>8990.2999999999993</v>
      </c>
      <c r="I14" s="86">
        <v>9303.6</v>
      </c>
      <c r="J14" s="86">
        <v>9440.7000000000007</v>
      </c>
      <c r="K14" s="86">
        <v>9577.9500000000007</v>
      </c>
      <c r="L14" s="86">
        <v>9715.15</v>
      </c>
      <c r="M14" s="86">
        <v>9852.1</v>
      </c>
      <c r="N14" s="86">
        <v>9967</v>
      </c>
      <c r="O14" s="86">
        <v>10081.65</v>
      </c>
      <c r="P14" s="86">
        <v>10196.5</v>
      </c>
      <c r="Q14" s="86">
        <v>10311.15</v>
      </c>
      <c r="R14" s="86">
        <v>10425.799999999999</v>
      </c>
      <c r="S14" s="86">
        <v>10540.6</v>
      </c>
      <c r="T14" s="86">
        <v>10655.3</v>
      </c>
      <c r="U14" s="86">
        <v>10770.05</v>
      </c>
      <c r="V14" s="86">
        <v>10770.05</v>
      </c>
      <c r="W14" s="86">
        <v>10819.9</v>
      </c>
      <c r="X14" s="86">
        <v>10819.9</v>
      </c>
      <c r="Y14" s="86">
        <v>10869.85</v>
      </c>
      <c r="Z14" s="86">
        <v>10869.85</v>
      </c>
      <c r="AA14" s="86">
        <v>10919.75</v>
      </c>
      <c r="AB14" s="86">
        <v>10919.75</v>
      </c>
      <c r="AC14" s="86">
        <v>10969.4</v>
      </c>
      <c r="AD14" s="86">
        <v>10969.4</v>
      </c>
      <c r="AE14" s="86">
        <v>11019.3</v>
      </c>
    </row>
    <row r="15" spans="1:31" x14ac:dyDescent="0.2">
      <c r="A15" s="84">
        <v>12</v>
      </c>
      <c r="B15" s="86">
        <v>6610.45</v>
      </c>
      <c r="C15" s="86">
        <v>6913.85</v>
      </c>
      <c r="D15" s="86">
        <v>7217.1</v>
      </c>
      <c r="E15" s="86">
        <v>7520.25</v>
      </c>
      <c r="F15" s="86">
        <v>7812.85</v>
      </c>
      <c r="G15" s="86">
        <v>8105.65</v>
      </c>
      <c r="H15" s="86">
        <v>8398.2000000000007</v>
      </c>
      <c r="I15" s="86">
        <v>8690.7999999999993</v>
      </c>
      <c r="J15" s="86">
        <v>8818.9</v>
      </c>
      <c r="K15" s="86">
        <v>8946.9</v>
      </c>
      <c r="L15" s="86">
        <v>9075.0499999999993</v>
      </c>
      <c r="M15" s="86">
        <v>9203.15</v>
      </c>
      <c r="N15" s="86">
        <v>9311.0499999999993</v>
      </c>
      <c r="O15" s="86">
        <v>9419</v>
      </c>
      <c r="P15" s="86">
        <v>9526.75</v>
      </c>
      <c r="Q15" s="86">
        <v>9634.75</v>
      </c>
      <c r="R15" s="86">
        <v>9742.7000000000007</v>
      </c>
      <c r="S15" s="86">
        <v>9850.5</v>
      </c>
      <c r="T15" s="86">
        <v>9958.4500000000007</v>
      </c>
      <c r="U15" s="86">
        <v>10066.35</v>
      </c>
      <c r="V15" s="86">
        <v>10066.35</v>
      </c>
      <c r="W15" s="86">
        <v>10112.15</v>
      </c>
      <c r="X15" s="86">
        <v>10112.15</v>
      </c>
      <c r="Y15" s="86">
        <v>10157.9</v>
      </c>
      <c r="Z15" s="86">
        <v>10157.9</v>
      </c>
      <c r="AA15" s="86">
        <v>10203.700000000001</v>
      </c>
      <c r="AB15" s="86">
        <v>10203.700000000001</v>
      </c>
      <c r="AC15" s="86">
        <v>10249.5</v>
      </c>
      <c r="AD15" s="86">
        <v>10249.5</v>
      </c>
      <c r="AE15" s="86">
        <v>10295.35</v>
      </c>
    </row>
    <row r="16" spans="1:31" x14ac:dyDescent="0.2">
      <c r="A16" s="84">
        <v>13</v>
      </c>
      <c r="B16" s="86">
        <v>6183.05</v>
      </c>
      <c r="C16" s="86">
        <v>6466.05</v>
      </c>
      <c r="D16" s="86">
        <v>6749.05</v>
      </c>
      <c r="E16" s="86">
        <v>7032</v>
      </c>
      <c r="F16" s="86">
        <v>7305.1</v>
      </c>
      <c r="G16" s="86">
        <v>7578.1</v>
      </c>
      <c r="H16" s="86">
        <v>7851.15</v>
      </c>
      <c r="I16" s="86">
        <v>8124.3</v>
      </c>
      <c r="J16" s="86">
        <v>8243.9</v>
      </c>
      <c r="K16" s="86">
        <v>8363.5</v>
      </c>
      <c r="L16" s="86">
        <v>8482.9</v>
      </c>
      <c r="M16" s="86">
        <v>8602.5499999999993</v>
      </c>
      <c r="N16" s="86">
        <v>8702.5499999999993</v>
      </c>
      <c r="O16" s="86">
        <v>8802.6</v>
      </c>
      <c r="P16" s="86">
        <v>8902.7000000000007</v>
      </c>
      <c r="Q16" s="86">
        <v>9002.7000000000007</v>
      </c>
      <c r="R16" s="86">
        <v>9102.85</v>
      </c>
      <c r="S16" s="86">
        <v>9202.7999999999993</v>
      </c>
      <c r="T16" s="86">
        <v>9302.9500000000007</v>
      </c>
      <c r="U16" s="86">
        <v>9402.7999999999993</v>
      </c>
      <c r="V16" s="86">
        <v>9402.7999999999993</v>
      </c>
      <c r="W16" s="86">
        <v>9446.85</v>
      </c>
      <c r="X16" s="86">
        <v>9446.85</v>
      </c>
      <c r="Y16" s="86">
        <v>9490.9</v>
      </c>
      <c r="Z16" s="86">
        <v>9490.9</v>
      </c>
      <c r="AA16" s="86">
        <v>9534.7999999999993</v>
      </c>
      <c r="AB16" s="86">
        <v>9534.7999999999993</v>
      </c>
      <c r="AC16" s="86">
        <v>9578.9500000000007</v>
      </c>
      <c r="AD16" s="86">
        <v>9578.9500000000007</v>
      </c>
      <c r="AE16" s="86">
        <v>9622.9</v>
      </c>
    </row>
    <row r="17" spans="1:31" x14ac:dyDescent="0.2">
      <c r="A17" s="84">
        <v>14</v>
      </c>
      <c r="B17" s="86">
        <v>5797.85</v>
      </c>
      <c r="C17" s="86">
        <v>6062.4</v>
      </c>
      <c r="D17" s="86">
        <v>6326.7</v>
      </c>
      <c r="E17" s="86">
        <v>6591.25</v>
      </c>
      <c r="F17" s="86">
        <v>6846.6</v>
      </c>
      <c r="G17" s="86">
        <v>7101.8</v>
      </c>
      <c r="H17" s="86">
        <v>7357.15</v>
      </c>
      <c r="I17" s="86">
        <v>7612.3</v>
      </c>
      <c r="J17" s="86">
        <v>7724.05</v>
      </c>
      <c r="K17" s="86">
        <v>7835.7</v>
      </c>
      <c r="L17" s="86">
        <v>7947.6</v>
      </c>
      <c r="M17" s="86">
        <v>8059.5</v>
      </c>
      <c r="N17" s="86">
        <v>8150.5</v>
      </c>
      <c r="O17" s="86">
        <v>8241.75</v>
      </c>
      <c r="P17" s="86">
        <v>8332.85</v>
      </c>
      <c r="Q17" s="86">
        <v>8424</v>
      </c>
      <c r="R17" s="86">
        <v>8515.2999999999993</v>
      </c>
      <c r="S17" s="86">
        <v>8606.4</v>
      </c>
      <c r="T17" s="86">
        <v>8697.5499999999993</v>
      </c>
      <c r="U17" s="86">
        <v>8788.6</v>
      </c>
      <c r="V17" s="86">
        <v>8788.6</v>
      </c>
      <c r="W17" s="86">
        <v>8829.85</v>
      </c>
      <c r="X17" s="86">
        <v>8829.85</v>
      </c>
      <c r="Y17" s="86">
        <v>8870.9500000000007</v>
      </c>
      <c r="Z17" s="86">
        <v>8870.9500000000007</v>
      </c>
      <c r="AA17" s="86">
        <v>8912.2000000000007</v>
      </c>
      <c r="AB17" s="86">
        <v>8912.2000000000007</v>
      </c>
      <c r="AC17" s="86">
        <v>8953.4</v>
      </c>
      <c r="AD17" s="86">
        <v>8953.4</v>
      </c>
      <c r="AE17" s="86">
        <v>8994.6</v>
      </c>
    </row>
    <row r="18" spans="1:31" x14ac:dyDescent="0.2">
      <c r="A18" s="84">
        <v>15</v>
      </c>
      <c r="B18" s="86">
        <v>5448.7</v>
      </c>
      <c r="C18" s="86">
        <v>5696.55</v>
      </c>
      <c r="D18" s="86">
        <v>5944.3</v>
      </c>
      <c r="E18" s="86">
        <v>6192.2</v>
      </c>
      <c r="F18" s="86">
        <v>6431.35</v>
      </c>
      <c r="G18" s="86">
        <v>6670.6</v>
      </c>
      <c r="H18" s="86">
        <v>6909.8</v>
      </c>
      <c r="I18" s="86">
        <v>7149.05</v>
      </c>
      <c r="J18" s="86">
        <v>7253.75</v>
      </c>
      <c r="K18" s="86">
        <v>7358.45</v>
      </c>
      <c r="L18" s="86">
        <v>7463.2</v>
      </c>
      <c r="M18" s="86">
        <v>7567.9</v>
      </c>
      <c r="N18" s="86">
        <v>7650.95</v>
      </c>
      <c r="O18" s="86">
        <v>7734.15</v>
      </c>
      <c r="P18" s="86">
        <v>7817.25</v>
      </c>
      <c r="Q18" s="86">
        <v>7900.35</v>
      </c>
      <c r="R18" s="86">
        <v>7983.4</v>
      </c>
      <c r="S18" s="86">
        <v>8066.5</v>
      </c>
      <c r="T18" s="86">
        <v>8149.65</v>
      </c>
      <c r="U18" s="86">
        <v>8232.85</v>
      </c>
      <c r="V18" s="86">
        <v>8232.85</v>
      </c>
      <c r="W18" s="86">
        <v>8271.5</v>
      </c>
      <c r="X18" s="86">
        <v>8271.5</v>
      </c>
      <c r="Y18" s="86">
        <v>8310.2000000000007</v>
      </c>
      <c r="Z18" s="86">
        <v>8310.2000000000007</v>
      </c>
      <c r="AA18" s="86">
        <v>8348.7000000000007</v>
      </c>
      <c r="AB18" s="86">
        <v>8348.7000000000007</v>
      </c>
      <c r="AC18" s="86">
        <v>8387.35</v>
      </c>
      <c r="AD18" s="86">
        <v>8387.35</v>
      </c>
      <c r="AE18" s="86">
        <v>8426.0499999999993</v>
      </c>
    </row>
    <row r="19" spans="1:31" x14ac:dyDescent="0.2">
      <c r="A19" s="84">
        <v>16</v>
      </c>
      <c r="B19" s="86">
        <v>5138.55</v>
      </c>
      <c r="C19" s="86">
        <v>5371.55</v>
      </c>
      <c r="D19" s="86">
        <v>5604.8</v>
      </c>
      <c r="E19" s="86">
        <v>5837.85</v>
      </c>
      <c r="F19" s="86">
        <v>6062.9</v>
      </c>
      <c r="G19" s="86">
        <v>6287.9</v>
      </c>
      <c r="H19" s="86">
        <v>6512.95</v>
      </c>
      <c r="I19" s="86">
        <v>6737.9</v>
      </c>
      <c r="J19" s="86">
        <v>6836.4</v>
      </c>
      <c r="K19" s="86">
        <v>6935</v>
      </c>
      <c r="L19" s="86">
        <v>7033.4</v>
      </c>
      <c r="M19" s="86">
        <v>7131.95</v>
      </c>
      <c r="N19" s="86">
        <v>7206.65</v>
      </c>
      <c r="O19" s="86">
        <v>7281.4</v>
      </c>
      <c r="P19" s="86">
        <v>7356.25</v>
      </c>
      <c r="Q19" s="86">
        <v>7430.95</v>
      </c>
      <c r="R19" s="86">
        <v>7505.7</v>
      </c>
      <c r="S19" s="86">
        <v>7580.6</v>
      </c>
      <c r="T19" s="86">
        <v>7655.3</v>
      </c>
      <c r="U19" s="86">
        <v>7730</v>
      </c>
      <c r="V19" s="86">
        <v>7730</v>
      </c>
      <c r="W19" s="86">
        <v>7766.55</v>
      </c>
      <c r="X19" s="86">
        <v>7766.55</v>
      </c>
      <c r="Y19" s="86">
        <v>7803</v>
      </c>
      <c r="Z19" s="86">
        <v>7803</v>
      </c>
      <c r="AA19" s="86">
        <v>7839.35</v>
      </c>
      <c r="AB19" s="86">
        <v>7839.35</v>
      </c>
      <c r="AC19" s="86">
        <v>7875.85</v>
      </c>
      <c r="AD19" s="86">
        <v>7875.85</v>
      </c>
      <c r="AE19" s="86">
        <v>7912.25</v>
      </c>
    </row>
    <row r="20" spans="1:31" x14ac:dyDescent="0.2">
      <c r="A20" s="84">
        <v>17</v>
      </c>
      <c r="B20" s="86">
        <v>4866.7</v>
      </c>
      <c r="C20" s="86">
        <v>5087.25</v>
      </c>
      <c r="D20" s="86">
        <v>5307.85</v>
      </c>
      <c r="E20" s="86">
        <v>5528.2</v>
      </c>
      <c r="F20" s="86">
        <v>5740.8</v>
      </c>
      <c r="G20" s="86">
        <v>5953.25</v>
      </c>
      <c r="H20" s="86">
        <v>6165.75</v>
      </c>
      <c r="I20" s="86">
        <v>6378.45</v>
      </c>
      <c r="J20" s="86">
        <v>6471.45</v>
      </c>
      <c r="K20" s="86">
        <v>6564.5</v>
      </c>
      <c r="L20" s="86">
        <v>6657.6</v>
      </c>
      <c r="M20" s="86">
        <v>6750.55</v>
      </c>
      <c r="N20" s="86">
        <v>6817.4</v>
      </c>
      <c r="O20" s="86">
        <v>6884.05</v>
      </c>
      <c r="P20" s="86">
        <v>6950.7</v>
      </c>
      <c r="Q20" s="86">
        <v>7017.3</v>
      </c>
      <c r="R20" s="86">
        <v>7084.25</v>
      </c>
      <c r="S20" s="86">
        <v>7150.8</v>
      </c>
      <c r="T20" s="86">
        <v>7217.55</v>
      </c>
      <c r="U20" s="86">
        <v>7284.3</v>
      </c>
      <c r="V20" s="86">
        <v>7284.3</v>
      </c>
      <c r="W20" s="86">
        <v>7318.75</v>
      </c>
      <c r="X20" s="86">
        <v>7318.75</v>
      </c>
      <c r="Y20" s="86">
        <v>7353.4</v>
      </c>
      <c r="Z20" s="86">
        <v>7353.4</v>
      </c>
      <c r="AA20" s="86">
        <v>7387.95</v>
      </c>
      <c r="AB20" s="86">
        <v>7387.95</v>
      </c>
      <c r="AC20" s="86">
        <v>7422.5</v>
      </c>
      <c r="AD20" s="86">
        <v>7422.5</v>
      </c>
      <c r="AE20" s="86">
        <v>7457.15</v>
      </c>
    </row>
    <row r="21" spans="1:31" x14ac:dyDescent="0.2">
      <c r="A21" s="84">
        <v>18</v>
      </c>
      <c r="B21" s="86">
        <v>4630.7</v>
      </c>
      <c r="C21" s="86">
        <v>4841.6000000000004</v>
      </c>
      <c r="D21" s="86">
        <v>5052.5</v>
      </c>
      <c r="E21" s="86">
        <v>5263.25</v>
      </c>
      <c r="F21" s="86">
        <v>5465.05</v>
      </c>
      <c r="G21" s="86">
        <v>5666.85</v>
      </c>
      <c r="H21" s="86">
        <v>5868.6</v>
      </c>
      <c r="I21" s="86">
        <v>6070.4</v>
      </c>
      <c r="J21" s="86">
        <v>6158.8</v>
      </c>
      <c r="K21" s="86">
        <v>6247.25</v>
      </c>
      <c r="L21" s="86">
        <v>6335.45</v>
      </c>
      <c r="M21" s="86">
        <v>6423.75</v>
      </c>
      <c r="N21" s="86">
        <v>6482.5</v>
      </c>
      <c r="O21" s="86">
        <v>6541.35</v>
      </c>
      <c r="P21" s="86">
        <v>6600.2</v>
      </c>
      <c r="Q21" s="86">
        <v>6658.85</v>
      </c>
      <c r="R21" s="86">
        <v>6717.6</v>
      </c>
      <c r="S21" s="86">
        <v>6776.3</v>
      </c>
      <c r="T21" s="86">
        <v>6835.1</v>
      </c>
      <c r="U21" s="86">
        <v>6894</v>
      </c>
      <c r="V21" s="86">
        <v>6894</v>
      </c>
      <c r="W21" s="86">
        <v>6926.85</v>
      </c>
      <c r="X21" s="86">
        <v>6926.85</v>
      </c>
      <c r="Y21" s="86">
        <v>6959.85</v>
      </c>
      <c r="Z21" s="86">
        <v>6959.85</v>
      </c>
      <c r="AA21" s="86">
        <v>6992.7</v>
      </c>
      <c r="AB21" s="86">
        <v>6992.7</v>
      </c>
      <c r="AC21" s="86">
        <v>7025.65</v>
      </c>
      <c r="AD21" s="86">
        <v>7025.65</v>
      </c>
      <c r="AE21" s="86">
        <v>7058.6</v>
      </c>
    </row>
    <row r="22" spans="1:31" x14ac:dyDescent="0.2">
      <c r="A22" s="84">
        <v>19</v>
      </c>
      <c r="B22" s="86">
        <v>4422.3999999999996</v>
      </c>
      <c r="C22" s="86">
        <v>4625.3</v>
      </c>
      <c r="D22" s="86">
        <v>4828</v>
      </c>
      <c r="E22" s="86">
        <v>5030.95</v>
      </c>
      <c r="F22" s="86">
        <v>5223.5</v>
      </c>
      <c r="G22" s="86">
        <v>5416</v>
      </c>
      <c r="H22" s="86">
        <v>5608.5</v>
      </c>
      <c r="I22" s="86">
        <v>5801</v>
      </c>
      <c r="J22" s="86">
        <v>5885.3</v>
      </c>
      <c r="K22" s="86">
        <v>5969.65</v>
      </c>
      <c r="L22" s="86">
        <v>6053.85</v>
      </c>
      <c r="M22" s="86">
        <v>6138</v>
      </c>
      <c r="N22" s="86">
        <v>6190.85</v>
      </c>
      <c r="O22" s="86">
        <v>6243.6</v>
      </c>
      <c r="P22" s="86">
        <v>6296.35</v>
      </c>
      <c r="Q22" s="86">
        <v>6349.1</v>
      </c>
      <c r="R22" s="86">
        <v>6402</v>
      </c>
      <c r="S22" s="86">
        <v>6454.7</v>
      </c>
      <c r="T22" s="86">
        <v>6507.5</v>
      </c>
      <c r="U22" s="86">
        <v>6560.3</v>
      </c>
      <c r="V22" s="86">
        <v>6560.3</v>
      </c>
      <c r="W22" s="86">
        <v>6591.85</v>
      </c>
      <c r="X22" s="86">
        <v>6591.85</v>
      </c>
      <c r="Y22" s="86">
        <v>6623.5</v>
      </c>
      <c r="Z22" s="86">
        <v>6623.5</v>
      </c>
      <c r="AA22" s="86">
        <v>6655</v>
      </c>
      <c r="AB22" s="86">
        <v>6655</v>
      </c>
      <c r="AC22" s="86">
        <v>6686.45</v>
      </c>
      <c r="AD22" s="86">
        <v>6686.45</v>
      </c>
      <c r="AE22" s="86">
        <v>6718.05</v>
      </c>
    </row>
    <row r="23" spans="1:31" x14ac:dyDescent="0.2">
      <c r="A23" s="84">
        <v>20</v>
      </c>
      <c r="B23" s="86">
        <v>4217.8999999999996</v>
      </c>
      <c r="C23" s="86">
        <v>4411.95</v>
      </c>
      <c r="D23" s="86">
        <v>4606</v>
      </c>
      <c r="E23" s="86">
        <v>4800</v>
      </c>
      <c r="F23" s="86">
        <v>4983.55</v>
      </c>
      <c r="G23" s="86">
        <v>5167.1000000000004</v>
      </c>
      <c r="H23" s="86">
        <v>5350.5</v>
      </c>
      <c r="I23" s="86">
        <v>5534.05</v>
      </c>
      <c r="J23" s="86">
        <v>5614.3</v>
      </c>
      <c r="K23" s="86">
        <v>5694.7</v>
      </c>
      <c r="L23" s="86">
        <v>5775</v>
      </c>
      <c r="M23" s="86">
        <v>5855.15</v>
      </c>
      <c r="N23" s="86">
        <v>5906.85</v>
      </c>
      <c r="O23" s="86">
        <v>5958.45</v>
      </c>
      <c r="P23" s="86">
        <v>6010.1</v>
      </c>
      <c r="Q23" s="86">
        <v>6061.8</v>
      </c>
      <c r="R23" s="86">
        <v>6113.35</v>
      </c>
      <c r="S23" s="86">
        <v>6164.9</v>
      </c>
      <c r="T23" s="86">
        <v>6216.7</v>
      </c>
      <c r="U23" s="86">
        <v>6268.25</v>
      </c>
      <c r="V23" s="86">
        <v>6268.25</v>
      </c>
      <c r="W23" s="86">
        <v>6298.15</v>
      </c>
      <c r="X23" s="86">
        <v>6298.15</v>
      </c>
      <c r="Y23" s="86">
        <v>6328.15</v>
      </c>
      <c r="Z23" s="86">
        <v>6328.15</v>
      </c>
      <c r="AA23" s="86">
        <v>6358.1</v>
      </c>
      <c r="AB23" s="86">
        <v>6358.1</v>
      </c>
      <c r="AC23" s="86">
        <v>6388.05</v>
      </c>
      <c r="AD23" s="86">
        <v>6388.05</v>
      </c>
      <c r="AE23" s="86">
        <v>6417.95</v>
      </c>
    </row>
    <row r="24" spans="1:31" x14ac:dyDescent="0.2">
      <c r="A24" s="84">
        <v>21</v>
      </c>
      <c r="B24" s="86">
        <v>4038.65</v>
      </c>
      <c r="C24" s="86">
        <v>4225.6499999999996</v>
      </c>
      <c r="D24" s="86">
        <v>4412.7</v>
      </c>
      <c r="E24" s="86">
        <v>4599.75</v>
      </c>
      <c r="F24" s="86">
        <v>4777.25</v>
      </c>
      <c r="G24" s="86">
        <v>4955</v>
      </c>
      <c r="H24" s="86">
        <v>5132.45</v>
      </c>
      <c r="I24" s="86">
        <v>5310</v>
      </c>
      <c r="J24" s="86">
        <v>5387.7</v>
      </c>
      <c r="K24" s="86">
        <v>5465.4</v>
      </c>
      <c r="L24" s="86">
        <v>5543.15</v>
      </c>
      <c r="M24" s="86">
        <v>5620.85</v>
      </c>
      <c r="N24" s="86">
        <v>5666.85</v>
      </c>
      <c r="O24" s="86">
        <v>5712.85</v>
      </c>
      <c r="P24" s="86">
        <v>5759.05</v>
      </c>
      <c r="Q24" s="86">
        <v>5805</v>
      </c>
      <c r="R24" s="86">
        <v>5851</v>
      </c>
      <c r="S24" s="86">
        <v>5897.1</v>
      </c>
      <c r="T24" s="86">
        <v>5943.1</v>
      </c>
      <c r="U24" s="86">
        <v>5989.1</v>
      </c>
      <c r="V24" s="86">
        <v>5989.1</v>
      </c>
      <c r="W24" s="86">
        <v>6016.25</v>
      </c>
      <c r="X24" s="86">
        <v>6016.25</v>
      </c>
      <c r="Y24" s="86">
        <v>6043.35</v>
      </c>
      <c r="Z24" s="86">
        <v>6043.35</v>
      </c>
      <c r="AA24" s="86">
        <v>6070.35</v>
      </c>
      <c r="AB24" s="86">
        <v>6070.35</v>
      </c>
      <c r="AC24" s="86">
        <v>6097.5</v>
      </c>
      <c r="AD24" s="86">
        <v>6097.5</v>
      </c>
      <c r="AE24" s="86">
        <v>6124.55</v>
      </c>
    </row>
    <row r="25" spans="1:31" x14ac:dyDescent="0.2">
      <c r="A25" s="84">
        <v>22</v>
      </c>
      <c r="B25" s="86">
        <v>3873.95</v>
      </c>
      <c r="C25" s="86">
        <v>4054.45</v>
      </c>
      <c r="D25" s="86">
        <v>4235.1499999999996</v>
      </c>
      <c r="E25" s="86">
        <v>4415.8</v>
      </c>
      <c r="F25" s="86">
        <v>4587.95</v>
      </c>
      <c r="G25" s="86">
        <v>4760.05</v>
      </c>
      <c r="H25" s="86">
        <v>4932.25</v>
      </c>
      <c r="I25" s="86">
        <v>5104.3500000000004</v>
      </c>
      <c r="J25" s="86">
        <v>5179.7</v>
      </c>
      <c r="K25" s="86">
        <v>5254.95</v>
      </c>
      <c r="L25" s="86">
        <v>5330.3</v>
      </c>
      <c r="M25" s="86">
        <v>5405.75</v>
      </c>
      <c r="N25" s="86">
        <v>5450</v>
      </c>
      <c r="O25" s="86">
        <v>5494.05</v>
      </c>
      <c r="P25" s="86">
        <v>5538.25</v>
      </c>
      <c r="Q25" s="86">
        <v>5582.45</v>
      </c>
      <c r="R25" s="86">
        <v>5626.55</v>
      </c>
      <c r="S25" s="86">
        <v>5670.8</v>
      </c>
      <c r="T25" s="86">
        <v>5715.05</v>
      </c>
      <c r="U25" s="86">
        <v>5759.35</v>
      </c>
      <c r="V25" s="86">
        <v>5759.35</v>
      </c>
      <c r="W25" s="86">
        <v>5783.5</v>
      </c>
      <c r="X25" s="86">
        <v>5783.5</v>
      </c>
      <c r="Y25" s="86">
        <v>5807.95</v>
      </c>
      <c r="Z25" s="86">
        <v>5807.95</v>
      </c>
      <c r="AA25" s="86">
        <v>5832.3</v>
      </c>
      <c r="AB25" s="86">
        <v>5832.3</v>
      </c>
      <c r="AC25" s="86">
        <v>5856.5</v>
      </c>
      <c r="AD25" s="86">
        <v>5856.5</v>
      </c>
      <c r="AE25" s="86">
        <v>5881</v>
      </c>
    </row>
    <row r="26" spans="1:31" x14ac:dyDescent="0.2">
      <c r="A26" s="84">
        <v>23</v>
      </c>
      <c r="B26" s="86">
        <v>3723.8</v>
      </c>
      <c r="C26" s="86">
        <v>3898.6</v>
      </c>
      <c r="D26" s="86">
        <v>4073.3</v>
      </c>
      <c r="E26" s="86">
        <v>4248.05</v>
      </c>
      <c r="F26" s="86">
        <v>4415.3500000000004</v>
      </c>
      <c r="G26" s="86">
        <v>4582.6499999999996</v>
      </c>
      <c r="H26" s="86">
        <v>4749.8999999999996</v>
      </c>
      <c r="I26" s="86">
        <v>4917.1000000000004</v>
      </c>
      <c r="J26" s="86">
        <v>4990.25</v>
      </c>
      <c r="K26" s="86">
        <v>5063.45</v>
      </c>
      <c r="L26" s="86">
        <v>5136.6499999999996</v>
      </c>
      <c r="M26" s="86">
        <v>5209.8500000000004</v>
      </c>
      <c r="N26" s="86">
        <v>5252.15</v>
      </c>
      <c r="O26" s="86">
        <v>5294.25</v>
      </c>
      <c r="P26" s="86">
        <v>5336.6</v>
      </c>
      <c r="Q26" s="86">
        <v>5378.85</v>
      </c>
      <c r="R26" s="86">
        <v>5421.2</v>
      </c>
      <c r="S26" s="86">
        <v>5463.4</v>
      </c>
      <c r="T26" s="86">
        <v>5505.7</v>
      </c>
      <c r="U26" s="86">
        <v>5539.55</v>
      </c>
      <c r="V26" s="86">
        <v>5539.55</v>
      </c>
      <c r="W26" s="86">
        <v>5563.05</v>
      </c>
      <c r="X26" s="86">
        <v>5563.05</v>
      </c>
      <c r="Y26" s="86">
        <v>5586.65</v>
      </c>
      <c r="Z26" s="86">
        <v>5586.65</v>
      </c>
      <c r="AA26" s="86">
        <v>5610.15</v>
      </c>
      <c r="AB26" s="86">
        <v>5610.15</v>
      </c>
      <c r="AC26" s="86">
        <v>5633.55</v>
      </c>
      <c r="AD26" s="86">
        <v>5633.55</v>
      </c>
      <c r="AE26" s="86">
        <v>5657.2</v>
      </c>
    </row>
    <row r="27" spans="1:31" x14ac:dyDescent="0.2">
      <c r="A27" s="84">
        <v>24</v>
      </c>
      <c r="B27" s="86">
        <v>3587.55</v>
      </c>
      <c r="C27" s="86">
        <v>3757.1</v>
      </c>
      <c r="D27" s="86">
        <v>3926.65</v>
      </c>
      <c r="E27" s="86">
        <v>4096.3500000000004</v>
      </c>
      <c r="F27" s="86">
        <v>4259.25</v>
      </c>
      <c r="G27" s="86">
        <v>4422.3500000000004</v>
      </c>
      <c r="H27" s="86">
        <v>4585.2</v>
      </c>
      <c r="I27" s="86">
        <v>4748.2</v>
      </c>
      <c r="J27" s="86">
        <v>4819.55</v>
      </c>
      <c r="K27" s="86">
        <v>4890.8500000000004</v>
      </c>
      <c r="L27" s="86">
        <v>4962.05</v>
      </c>
      <c r="M27" s="86">
        <v>5033.5</v>
      </c>
      <c r="N27" s="86">
        <v>5073.8500000000004</v>
      </c>
      <c r="O27" s="86">
        <v>5114.1499999999996</v>
      </c>
      <c r="P27" s="86">
        <v>5154.6000000000004</v>
      </c>
      <c r="Q27" s="86">
        <v>5195</v>
      </c>
      <c r="R27" s="86">
        <v>5235.2</v>
      </c>
      <c r="S27" s="86">
        <v>5275.5</v>
      </c>
      <c r="T27" s="86">
        <v>5313.2</v>
      </c>
      <c r="U27" s="86">
        <v>5336.65</v>
      </c>
      <c r="V27" s="86">
        <v>5336.65</v>
      </c>
      <c r="W27" s="86">
        <v>5360.25</v>
      </c>
      <c r="X27" s="86">
        <v>5360.25</v>
      </c>
      <c r="Y27" s="86">
        <v>5383.7</v>
      </c>
      <c r="Z27" s="86">
        <v>5383.7</v>
      </c>
      <c r="AA27" s="86">
        <v>5407.15</v>
      </c>
      <c r="AB27" s="86">
        <v>5407.15</v>
      </c>
      <c r="AC27" s="86">
        <v>5430.55</v>
      </c>
      <c r="AD27" s="86">
        <v>5430.55</v>
      </c>
      <c r="AE27" s="86">
        <v>5454.2</v>
      </c>
    </row>
    <row r="28" spans="1:31" x14ac:dyDescent="0.2">
      <c r="A28" s="84">
        <v>25</v>
      </c>
      <c r="B28" s="86">
        <v>3465.3</v>
      </c>
      <c r="C28" s="86">
        <v>3630.4</v>
      </c>
      <c r="D28" s="86">
        <v>3795.65</v>
      </c>
      <c r="E28" s="86">
        <v>3960.85</v>
      </c>
      <c r="F28" s="86">
        <v>4120</v>
      </c>
      <c r="G28" s="86">
        <v>4279.2</v>
      </c>
      <c r="H28" s="86">
        <v>4438.3</v>
      </c>
      <c r="I28" s="86">
        <v>4597.3999999999996</v>
      </c>
      <c r="J28" s="86">
        <v>4667.1499999999996</v>
      </c>
      <c r="K28" s="86">
        <v>4736.8</v>
      </c>
      <c r="L28" s="86">
        <v>4806.5</v>
      </c>
      <c r="M28" s="86">
        <v>4876.1000000000004</v>
      </c>
      <c r="N28" s="86">
        <v>4914.6499999999996</v>
      </c>
      <c r="O28" s="86">
        <v>4953.05</v>
      </c>
      <c r="P28" s="86">
        <v>4991.45</v>
      </c>
      <c r="Q28" s="86">
        <v>5029.95</v>
      </c>
      <c r="R28" s="86">
        <v>5068.45</v>
      </c>
      <c r="S28" s="86">
        <v>5106.6499999999996</v>
      </c>
      <c r="T28" s="86">
        <v>5130.25</v>
      </c>
      <c r="U28" s="86">
        <v>5153.7</v>
      </c>
      <c r="V28" s="86">
        <v>5153.7</v>
      </c>
      <c r="W28" s="86">
        <v>5177.2</v>
      </c>
      <c r="X28" s="86">
        <v>5177.2</v>
      </c>
      <c r="Y28" s="86">
        <v>5200.6000000000004</v>
      </c>
      <c r="Z28" s="86">
        <v>5200.6000000000004</v>
      </c>
      <c r="AA28" s="86">
        <v>5224.2</v>
      </c>
      <c r="AB28" s="86">
        <v>5224.2</v>
      </c>
      <c r="AC28" s="86">
        <v>5247.75</v>
      </c>
      <c r="AD28" s="86">
        <v>5247.75</v>
      </c>
      <c r="AE28" s="86">
        <v>5271.25</v>
      </c>
    </row>
    <row r="29" spans="1:31" x14ac:dyDescent="0.2">
      <c r="A29" s="84">
        <v>26</v>
      </c>
      <c r="B29" s="86">
        <v>3360.5</v>
      </c>
      <c r="C29" s="86">
        <v>3521.4</v>
      </c>
      <c r="D29" s="86">
        <v>3682.5</v>
      </c>
      <c r="E29" s="86">
        <v>3843.45</v>
      </c>
      <c r="F29" s="86">
        <v>3999</v>
      </c>
      <c r="G29" s="86">
        <v>4154.25</v>
      </c>
      <c r="H29" s="86">
        <v>4309.6000000000004</v>
      </c>
      <c r="I29" s="86">
        <v>4465</v>
      </c>
      <c r="J29" s="86">
        <v>4533.05</v>
      </c>
      <c r="K29" s="86">
        <v>4601.1499999999996</v>
      </c>
      <c r="L29" s="86">
        <v>4669.05</v>
      </c>
      <c r="M29" s="86">
        <v>4737.05</v>
      </c>
      <c r="N29" s="86">
        <v>4773.6499999999996</v>
      </c>
      <c r="O29" s="86">
        <v>4810.3999999999996</v>
      </c>
      <c r="P29" s="86">
        <v>4846.8999999999996</v>
      </c>
      <c r="Q29" s="86">
        <v>4883.6000000000004</v>
      </c>
      <c r="R29" s="86">
        <v>4920.3</v>
      </c>
      <c r="S29" s="86">
        <v>4943.8500000000004</v>
      </c>
      <c r="T29" s="86">
        <v>4967.25</v>
      </c>
      <c r="U29" s="86">
        <v>4990.75</v>
      </c>
      <c r="V29" s="86">
        <v>4990.75</v>
      </c>
      <c r="W29" s="86">
        <v>5014.25</v>
      </c>
      <c r="X29" s="86">
        <v>5014.25</v>
      </c>
      <c r="Y29" s="86">
        <v>5037.6499999999996</v>
      </c>
      <c r="Z29" s="86">
        <v>5037.6499999999996</v>
      </c>
      <c r="AA29" s="86">
        <v>5061.3</v>
      </c>
      <c r="AB29" s="86">
        <v>5061.3</v>
      </c>
      <c r="AC29" s="86">
        <v>5084.6499999999996</v>
      </c>
      <c r="AD29" s="86">
        <v>5084.6499999999996</v>
      </c>
      <c r="AE29" s="86">
        <v>5108.25</v>
      </c>
    </row>
    <row r="30" spans="1:31" x14ac:dyDescent="0.2">
      <c r="A30" s="84">
        <v>27</v>
      </c>
      <c r="B30" s="86">
        <v>3263.8</v>
      </c>
      <c r="C30" s="86">
        <v>3421.95</v>
      </c>
      <c r="D30" s="86">
        <v>3580.2</v>
      </c>
      <c r="E30" s="86">
        <v>3738.3</v>
      </c>
      <c r="F30" s="86">
        <v>3890.95</v>
      </c>
      <c r="G30" s="86">
        <v>4043.65</v>
      </c>
      <c r="H30" s="86">
        <v>4196.3</v>
      </c>
      <c r="I30" s="86">
        <v>4348.8500000000004</v>
      </c>
      <c r="J30" s="86">
        <v>4415.75</v>
      </c>
      <c r="K30" s="86">
        <v>4482.6000000000004</v>
      </c>
      <c r="L30" s="86">
        <v>4549.3999999999996</v>
      </c>
      <c r="M30" s="86">
        <v>4616.2</v>
      </c>
      <c r="N30" s="86">
        <v>4650.95</v>
      </c>
      <c r="O30" s="86">
        <v>4685.8</v>
      </c>
      <c r="P30" s="86">
        <v>4720.6000000000004</v>
      </c>
      <c r="Q30" s="86">
        <v>4754.1499999999996</v>
      </c>
      <c r="R30" s="86">
        <v>4777.6499999999996</v>
      </c>
      <c r="S30" s="86">
        <v>4801.2</v>
      </c>
      <c r="T30" s="86">
        <v>4824.75</v>
      </c>
      <c r="U30" s="86">
        <v>4848.3</v>
      </c>
      <c r="V30" s="86">
        <v>4848.3</v>
      </c>
      <c r="W30" s="86">
        <v>4871.6000000000004</v>
      </c>
      <c r="X30" s="86">
        <v>4871.6000000000004</v>
      </c>
      <c r="Y30" s="86">
        <v>4895.1000000000004</v>
      </c>
      <c r="Z30" s="86">
        <v>4895.1000000000004</v>
      </c>
      <c r="AA30" s="86">
        <v>4918.7</v>
      </c>
      <c r="AB30" s="86">
        <v>4918.7</v>
      </c>
      <c r="AC30" s="86">
        <v>4942.1499999999996</v>
      </c>
      <c r="AD30" s="86">
        <v>4942.1499999999996</v>
      </c>
      <c r="AE30" s="86">
        <v>4965.6499999999996</v>
      </c>
    </row>
    <row r="31" spans="1:31" x14ac:dyDescent="0.2">
      <c r="A31" s="84">
        <v>28</v>
      </c>
      <c r="B31" s="86">
        <v>3184.55</v>
      </c>
      <c r="C31" s="86">
        <v>3340.05</v>
      </c>
      <c r="D31" s="86">
        <v>3495.8</v>
      </c>
      <c r="E31" s="86">
        <v>3651.25</v>
      </c>
      <c r="F31" s="86">
        <v>3801.35</v>
      </c>
      <c r="G31" s="86">
        <v>3951.6</v>
      </c>
      <c r="H31" s="86">
        <v>4101.75</v>
      </c>
      <c r="I31" s="86">
        <v>4251.95</v>
      </c>
      <c r="J31" s="86">
        <v>4319.3</v>
      </c>
      <c r="K31" s="86">
        <v>4386.75</v>
      </c>
      <c r="L31" s="86">
        <v>4454.3999999999996</v>
      </c>
      <c r="M31" s="86">
        <v>4521.8</v>
      </c>
      <c r="N31" s="86">
        <v>4553.7</v>
      </c>
      <c r="O31" s="86">
        <v>4583.8500000000004</v>
      </c>
      <c r="P31" s="86">
        <v>4607.3999999999996</v>
      </c>
      <c r="Q31" s="86">
        <v>4630.8999999999996</v>
      </c>
      <c r="R31" s="86">
        <v>4654.3500000000004</v>
      </c>
      <c r="S31" s="86">
        <v>4677.8999999999996</v>
      </c>
      <c r="T31" s="86">
        <v>4701.3999999999996</v>
      </c>
      <c r="U31" s="86">
        <v>4724.8999999999996</v>
      </c>
      <c r="V31" s="86">
        <v>4724.8999999999996</v>
      </c>
      <c r="W31" s="86">
        <v>4748.3500000000004</v>
      </c>
      <c r="X31" s="86">
        <v>4748.3500000000004</v>
      </c>
      <c r="Y31" s="86">
        <v>4771.95</v>
      </c>
      <c r="Z31" s="86">
        <v>4771.95</v>
      </c>
      <c r="AA31" s="86">
        <v>4795.45</v>
      </c>
      <c r="AB31" s="86">
        <v>4795.45</v>
      </c>
      <c r="AC31" s="86">
        <v>4818.8999999999996</v>
      </c>
      <c r="AD31" s="86">
        <v>4818.8999999999996</v>
      </c>
      <c r="AE31" s="86">
        <v>4842.3999999999996</v>
      </c>
    </row>
    <row r="32" spans="1:31" x14ac:dyDescent="0.2">
      <c r="A32" s="84"/>
      <c r="B32" s="83"/>
      <c r="C32" s="83"/>
      <c r="D32" s="83"/>
      <c r="E32" s="83"/>
      <c r="F32" s="83"/>
      <c r="G32" s="83"/>
      <c r="H32" s="83"/>
      <c r="I32" s="83"/>
      <c r="J32" s="83"/>
      <c r="K32" s="83"/>
      <c r="L32" s="83"/>
      <c r="M32" s="83"/>
      <c r="N32" s="83"/>
      <c r="O32" s="83"/>
      <c r="P32" s="83"/>
      <c r="Q32" s="83"/>
      <c r="R32" s="83"/>
      <c r="S32" s="83"/>
      <c r="T32" s="83"/>
      <c r="U32" s="83"/>
      <c r="V32" s="83"/>
      <c r="W32" s="83"/>
      <c r="X32" s="83"/>
      <c r="Y32" s="83"/>
      <c r="Z32" s="83"/>
    </row>
    <row r="33" spans="1:26" x14ac:dyDescent="0.2">
      <c r="A33" s="84"/>
      <c r="B33" s="83"/>
      <c r="C33" s="83"/>
      <c r="D33" s="83"/>
      <c r="E33" s="83"/>
      <c r="F33" s="83"/>
      <c r="G33" s="83"/>
      <c r="H33" s="83"/>
      <c r="I33" s="83"/>
      <c r="J33" s="83"/>
      <c r="K33" s="83"/>
      <c r="L33" s="83"/>
      <c r="M33" s="83"/>
      <c r="N33" s="83"/>
      <c r="O33" s="83"/>
      <c r="P33" s="83"/>
      <c r="Q33" s="83"/>
      <c r="R33" s="83"/>
      <c r="S33" s="83"/>
      <c r="T33" s="83"/>
      <c r="U33" s="83"/>
      <c r="V33" s="83"/>
      <c r="W33" s="83"/>
      <c r="X33" s="83"/>
      <c r="Y33" s="83"/>
      <c r="Z33" s="83"/>
    </row>
    <row r="34" spans="1:26" x14ac:dyDescent="0.2">
      <c r="A34" s="84"/>
      <c r="B34" s="83"/>
      <c r="C34" s="83"/>
      <c r="D34" s="83"/>
      <c r="E34" s="83"/>
      <c r="F34" s="83"/>
      <c r="G34" s="83"/>
      <c r="H34" s="83"/>
      <c r="I34" s="83"/>
      <c r="J34" s="83"/>
      <c r="K34" s="83"/>
      <c r="L34" s="83"/>
      <c r="M34" s="83"/>
      <c r="N34" s="83"/>
      <c r="O34" s="83"/>
      <c r="P34" s="83"/>
      <c r="Q34" s="83"/>
      <c r="R34" s="83"/>
      <c r="S34" s="83"/>
      <c r="T34" s="83"/>
      <c r="U34" s="83"/>
      <c r="V34" s="83"/>
      <c r="W34" s="83"/>
      <c r="X34" s="83"/>
      <c r="Y34" s="83"/>
      <c r="Z34" s="83"/>
    </row>
    <row r="35" spans="1:26" x14ac:dyDescent="0.2">
      <c r="A35" s="81"/>
      <c r="B35" s="83"/>
      <c r="C35" s="83"/>
      <c r="D35" s="83"/>
      <c r="E35" s="83"/>
      <c r="F35" s="83"/>
      <c r="G35" s="83"/>
      <c r="H35" s="83"/>
      <c r="I35" s="83"/>
      <c r="J35" s="83"/>
      <c r="K35" s="83"/>
      <c r="L35" s="83"/>
      <c r="M35" s="83"/>
      <c r="N35" s="83"/>
      <c r="O35" s="83"/>
      <c r="P35" s="83"/>
      <c r="Q35" s="83"/>
      <c r="R35" s="83"/>
      <c r="S35" s="83"/>
      <c r="T35" s="83"/>
      <c r="U35" s="83"/>
      <c r="V35" s="83"/>
      <c r="W35" s="83"/>
      <c r="X35" s="83"/>
      <c r="Y35" s="83"/>
      <c r="Z35" s="83"/>
    </row>
    <row r="36" spans="1:26" x14ac:dyDescent="0.2">
      <c r="A36" s="81"/>
      <c r="B36" s="83"/>
      <c r="C36" s="83"/>
      <c r="D36" s="83"/>
      <c r="E36" s="83"/>
      <c r="F36" s="83"/>
      <c r="G36" s="83"/>
      <c r="H36" s="83"/>
      <c r="I36" s="83"/>
      <c r="J36" s="83"/>
      <c r="K36" s="83"/>
      <c r="L36" s="83"/>
      <c r="M36" s="83"/>
      <c r="N36" s="83"/>
      <c r="O36" s="83"/>
      <c r="P36" s="83"/>
      <c r="Q36" s="83"/>
      <c r="R36" s="83"/>
      <c r="S36" s="83"/>
      <c r="T36" s="83"/>
      <c r="U36" s="83"/>
      <c r="V36" s="83"/>
      <c r="W36" s="83"/>
      <c r="X36" s="83"/>
      <c r="Y36" s="83"/>
      <c r="Z36" s="83"/>
    </row>
    <row r="37" spans="1:26" x14ac:dyDescent="0.2">
      <c r="A37" s="81"/>
      <c r="B37" s="83"/>
      <c r="C37" s="83"/>
      <c r="D37" s="83"/>
      <c r="E37" s="83"/>
      <c r="F37" s="83"/>
      <c r="G37" s="83"/>
      <c r="H37" s="83"/>
      <c r="I37" s="83"/>
      <c r="J37" s="83"/>
      <c r="K37" s="83"/>
      <c r="L37" s="83"/>
      <c r="M37" s="83"/>
      <c r="N37" s="83"/>
      <c r="O37" s="83"/>
      <c r="P37" s="83"/>
      <c r="Q37" s="83"/>
      <c r="R37" s="83"/>
      <c r="S37" s="83"/>
      <c r="T37" s="83"/>
      <c r="U37" s="83"/>
      <c r="V37" s="83"/>
      <c r="W37" s="83"/>
      <c r="X37" s="83"/>
      <c r="Y37" s="83"/>
      <c r="Z37" s="83"/>
    </row>
    <row r="38" spans="1:26" x14ac:dyDescent="0.2">
      <c r="A38" s="81"/>
      <c r="B38" s="83"/>
      <c r="C38" s="83"/>
      <c r="D38" s="83"/>
      <c r="E38" s="83"/>
      <c r="F38" s="83"/>
      <c r="G38" s="83"/>
      <c r="H38" s="83"/>
      <c r="I38" s="83"/>
      <c r="J38" s="83"/>
      <c r="K38" s="83"/>
      <c r="L38" s="83"/>
      <c r="M38" s="83"/>
      <c r="N38" s="83"/>
      <c r="O38" s="83"/>
      <c r="P38" s="83"/>
      <c r="Q38" s="83"/>
      <c r="R38" s="83"/>
      <c r="S38" s="83"/>
      <c r="T38" s="83"/>
      <c r="U38" s="83"/>
      <c r="V38" s="83"/>
      <c r="W38" s="83"/>
      <c r="X38" s="83"/>
      <c r="Y38" s="83"/>
      <c r="Z38" s="83"/>
    </row>
    <row r="39" spans="1:26" x14ac:dyDescent="0.2">
      <c r="A39" s="81"/>
      <c r="B39" s="83"/>
      <c r="C39" s="83"/>
      <c r="D39" s="83"/>
      <c r="E39" s="83"/>
      <c r="F39" s="83"/>
      <c r="G39" s="83"/>
      <c r="H39" s="83"/>
      <c r="I39" s="83"/>
      <c r="J39" s="83"/>
      <c r="K39" s="83"/>
      <c r="L39" s="83"/>
      <c r="M39" s="83"/>
      <c r="N39" s="83"/>
      <c r="O39" s="83"/>
      <c r="P39" s="83"/>
      <c r="Q39" s="83"/>
      <c r="R39" s="83"/>
      <c r="S39" s="83"/>
      <c r="T39" s="83"/>
      <c r="U39" s="83"/>
      <c r="V39" s="83"/>
      <c r="W39" s="83"/>
      <c r="X39" s="83"/>
      <c r="Y39" s="83"/>
      <c r="Z39" s="83"/>
    </row>
    <row r="40" spans="1:26" x14ac:dyDescent="0.2">
      <c r="A40" s="81"/>
      <c r="B40" s="83"/>
      <c r="C40" s="83"/>
      <c r="D40" s="83"/>
      <c r="E40" s="83"/>
      <c r="F40" s="83"/>
      <c r="G40" s="83"/>
      <c r="H40" s="83"/>
      <c r="I40" s="83"/>
      <c r="J40" s="83"/>
      <c r="K40" s="83"/>
      <c r="L40" s="83"/>
      <c r="M40" s="83"/>
      <c r="N40" s="83"/>
      <c r="O40" s="83"/>
      <c r="P40" s="83"/>
      <c r="Q40" s="83"/>
      <c r="R40" s="83"/>
      <c r="S40" s="83"/>
      <c r="T40" s="83"/>
      <c r="U40" s="83"/>
      <c r="V40" s="83"/>
      <c r="W40" s="83"/>
      <c r="X40" s="83"/>
      <c r="Y40" s="83"/>
      <c r="Z40" s="83"/>
    </row>
    <row r="41" spans="1:26" x14ac:dyDescent="0.2">
      <c r="A41" s="81"/>
      <c r="B41" s="83"/>
      <c r="C41" s="83"/>
      <c r="D41" s="83"/>
      <c r="E41" s="83"/>
      <c r="F41" s="83"/>
      <c r="G41" s="83"/>
      <c r="H41" s="83"/>
      <c r="I41" s="83"/>
      <c r="J41" s="83"/>
      <c r="K41" s="83"/>
      <c r="L41" s="83"/>
      <c r="M41" s="83"/>
      <c r="N41" s="83"/>
      <c r="O41" s="83"/>
      <c r="P41" s="83"/>
      <c r="Q41" s="83"/>
      <c r="R41" s="83"/>
      <c r="S41" s="83"/>
      <c r="T41" s="83"/>
      <c r="U41" s="83"/>
      <c r="V41" s="83"/>
      <c r="W41" s="83"/>
      <c r="X41" s="83"/>
      <c r="Y41" s="83"/>
      <c r="Z41" s="83"/>
    </row>
    <row r="42" spans="1:26" x14ac:dyDescent="0.2">
      <c r="A42" s="81"/>
      <c r="B42" s="83"/>
      <c r="C42" s="83"/>
      <c r="D42" s="83"/>
      <c r="E42" s="83"/>
      <c r="F42" s="83"/>
      <c r="G42" s="83"/>
      <c r="H42" s="83"/>
      <c r="I42" s="83"/>
      <c r="J42" s="83"/>
      <c r="K42" s="83"/>
      <c r="L42" s="83"/>
      <c r="M42" s="83"/>
      <c r="N42" s="83"/>
      <c r="O42" s="83"/>
      <c r="P42" s="83"/>
      <c r="Q42" s="83"/>
      <c r="R42" s="83"/>
      <c r="S42" s="83"/>
      <c r="T42" s="83"/>
      <c r="U42" s="83"/>
      <c r="V42" s="83"/>
      <c r="W42" s="83"/>
      <c r="X42" s="83"/>
      <c r="Y42" s="83"/>
      <c r="Z42" s="83"/>
    </row>
    <row r="43" spans="1:26" x14ac:dyDescent="0.2">
      <c r="A43" s="81"/>
      <c r="B43" s="83"/>
      <c r="C43" s="83"/>
      <c r="D43" s="83"/>
      <c r="E43" s="83"/>
      <c r="F43" s="83"/>
      <c r="G43" s="83"/>
      <c r="H43" s="83"/>
      <c r="I43" s="83"/>
      <c r="J43" s="83"/>
      <c r="K43" s="83"/>
      <c r="L43" s="83"/>
      <c r="M43" s="83"/>
      <c r="N43" s="83"/>
      <c r="O43" s="83"/>
      <c r="P43" s="83"/>
      <c r="Q43" s="83"/>
      <c r="R43" s="83"/>
      <c r="S43" s="83"/>
      <c r="T43" s="83"/>
      <c r="U43" s="83"/>
      <c r="V43" s="83"/>
      <c r="W43" s="83"/>
      <c r="X43" s="83"/>
      <c r="Y43" s="83"/>
      <c r="Z43" s="83"/>
    </row>
    <row r="44" spans="1:26" x14ac:dyDescent="0.2">
      <c r="A44" s="81"/>
      <c r="B44" s="83"/>
      <c r="C44" s="83"/>
      <c r="D44" s="83"/>
      <c r="E44" s="83"/>
      <c r="F44" s="83"/>
      <c r="G44" s="83"/>
      <c r="H44" s="83"/>
      <c r="I44" s="83"/>
      <c r="J44" s="83"/>
      <c r="K44" s="83"/>
      <c r="L44" s="83"/>
      <c r="M44" s="83"/>
      <c r="N44" s="83"/>
      <c r="O44" s="83"/>
      <c r="P44" s="83"/>
      <c r="Q44" s="83"/>
      <c r="R44" s="83"/>
      <c r="S44" s="83"/>
      <c r="T44" s="83"/>
      <c r="U44" s="83"/>
      <c r="V44" s="83"/>
      <c r="W44" s="83"/>
      <c r="X44" s="83"/>
      <c r="Y44" s="83"/>
      <c r="Z44" s="83"/>
    </row>
    <row r="45" spans="1:26" x14ac:dyDescent="0.2">
      <c r="A45" s="81"/>
      <c r="B45" s="83"/>
      <c r="C45" s="83"/>
      <c r="D45" s="83"/>
      <c r="E45" s="83"/>
      <c r="F45" s="83"/>
      <c r="G45" s="83"/>
      <c r="H45" s="83"/>
      <c r="I45" s="83"/>
      <c r="J45" s="83"/>
      <c r="K45" s="83"/>
      <c r="L45" s="83"/>
      <c r="M45" s="83"/>
      <c r="N45" s="83"/>
      <c r="O45" s="83"/>
      <c r="P45" s="83"/>
      <c r="Q45" s="83"/>
      <c r="R45" s="83"/>
      <c r="S45" s="83"/>
      <c r="T45" s="83"/>
      <c r="U45" s="83"/>
      <c r="V45" s="83"/>
      <c r="W45" s="83"/>
      <c r="X45" s="83"/>
      <c r="Y45" s="83"/>
      <c r="Z45" s="83"/>
    </row>
    <row r="46" spans="1:26" x14ac:dyDescent="0.2">
      <c r="A46" s="81"/>
      <c r="B46" s="83"/>
      <c r="C46" s="83"/>
      <c r="D46" s="83"/>
      <c r="E46" s="83"/>
      <c r="F46" s="83"/>
      <c r="G46" s="83"/>
      <c r="H46" s="83"/>
      <c r="I46" s="83"/>
      <c r="J46" s="83"/>
      <c r="K46" s="83"/>
      <c r="L46" s="83"/>
      <c r="M46" s="83"/>
      <c r="N46" s="83"/>
      <c r="O46" s="83"/>
      <c r="P46" s="83"/>
      <c r="Q46" s="83"/>
      <c r="R46" s="83"/>
      <c r="S46" s="83"/>
      <c r="T46" s="83"/>
      <c r="U46" s="83"/>
      <c r="V46" s="83"/>
      <c r="W46" s="83"/>
      <c r="X46" s="83"/>
      <c r="Y46" s="83"/>
      <c r="Z46" s="83"/>
    </row>
    <row r="47" spans="1:26" x14ac:dyDescent="0.2">
      <c r="A47" s="81"/>
      <c r="B47" s="83"/>
      <c r="C47" s="83"/>
      <c r="D47" s="83"/>
      <c r="E47" s="83"/>
      <c r="F47" s="83"/>
      <c r="G47" s="83"/>
      <c r="H47" s="83"/>
      <c r="I47" s="83"/>
      <c r="J47" s="83"/>
      <c r="K47" s="83"/>
      <c r="L47" s="83"/>
      <c r="M47" s="83"/>
      <c r="N47" s="83"/>
      <c r="O47" s="83"/>
      <c r="P47" s="83"/>
      <c r="Q47" s="83"/>
      <c r="R47" s="83"/>
      <c r="S47" s="83"/>
      <c r="T47" s="83"/>
      <c r="U47" s="83"/>
      <c r="V47" s="83"/>
      <c r="W47" s="83"/>
      <c r="X47" s="83"/>
      <c r="Y47" s="83"/>
      <c r="Z47" s="83"/>
    </row>
    <row r="48" spans="1:26" x14ac:dyDescent="0.2">
      <c r="A48" s="81"/>
      <c r="B48" s="83"/>
      <c r="C48" s="83"/>
      <c r="D48" s="83"/>
      <c r="E48" s="83"/>
      <c r="F48" s="83"/>
      <c r="G48" s="83"/>
      <c r="H48" s="83"/>
      <c r="I48" s="83"/>
      <c r="J48" s="83"/>
      <c r="K48" s="83"/>
      <c r="L48" s="83"/>
      <c r="M48" s="83"/>
      <c r="N48" s="83"/>
      <c r="O48" s="83"/>
      <c r="P48" s="83"/>
      <c r="Q48" s="83"/>
      <c r="R48" s="83"/>
      <c r="S48" s="83"/>
      <c r="T48" s="83"/>
      <c r="U48" s="83"/>
      <c r="V48" s="83"/>
      <c r="W48" s="83"/>
      <c r="X48" s="83"/>
      <c r="Y48" s="83"/>
      <c r="Z48" s="83"/>
    </row>
    <row r="49" spans="1:26" x14ac:dyDescent="0.2">
      <c r="A49" s="81"/>
      <c r="B49" s="83"/>
      <c r="C49" s="83"/>
      <c r="D49" s="83"/>
      <c r="E49" s="83"/>
      <c r="F49" s="83"/>
      <c r="G49" s="83"/>
      <c r="H49" s="83"/>
      <c r="I49" s="83"/>
      <c r="J49" s="83"/>
      <c r="K49" s="83"/>
      <c r="L49" s="83"/>
      <c r="M49" s="83"/>
      <c r="N49" s="83"/>
      <c r="O49" s="83"/>
      <c r="P49" s="83"/>
      <c r="Q49" s="83"/>
      <c r="R49" s="83"/>
      <c r="S49" s="83"/>
      <c r="T49" s="83"/>
      <c r="U49" s="83"/>
      <c r="V49" s="83"/>
      <c r="W49" s="83"/>
      <c r="X49" s="83"/>
      <c r="Y49" s="83"/>
      <c r="Z49" s="83"/>
    </row>
    <row r="50" spans="1:26" x14ac:dyDescent="0.2">
      <c r="A50" s="81"/>
      <c r="B50" s="83"/>
      <c r="C50" s="83"/>
      <c r="D50" s="83"/>
      <c r="E50" s="83"/>
      <c r="F50" s="83"/>
      <c r="G50" s="83"/>
      <c r="H50" s="83"/>
      <c r="I50" s="83"/>
      <c r="J50" s="83"/>
      <c r="K50" s="83"/>
      <c r="L50" s="83"/>
      <c r="M50" s="83"/>
      <c r="N50" s="83"/>
      <c r="O50" s="83"/>
      <c r="P50" s="83"/>
      <c r="Q50" s="83"/>
      <c r="R50" s="83"/>
      <c r="S50" s="83"/>
      <c r="T50" s="83"/>
      <c r="U50" s="83"/>
      <c r="V50" s="83"/>
      <c r="W50" s="83"/>
      <c r="X50" s="83"/>
      <c r="Y50" s="83"/>
      <c r="Z50" s="83"/>
    </row>
    <row r="51" spans="1:26" x14ac:dyDescent="0.2">
      <c r="A51" s="81"/>
      <c r="B51" s="83"/>
      <c r="C51" s="83"/>
      <c r="D51" s="83"/>
      <c r="E51" s="83"/>
      <c r="F51" s="83"/>
      <c r="G51" s="83"/>
      <c r="H51" s="83"/>
      <c r="I51" s="83"/>
      <c r="J51" s="83"/>
      <c r="K51" s="83"/>
      <c r="L51" s="83"/>
      <c r="M51" s="83"/>
      <c r="N51" s="83"/>
      <c r="O51" s="83"/>
      <c r="P51" s="83"/>
      <c r="Q51" s="83"/>
      <c r="R51" s="83"/>
      <c r="S51" s="83"/>
      <c r="T51" s="83"/>
      <c r="U51" s="83"/>
      <c r="V51" s="83"/>
      <c r="W51" s="83"/>
      <c r="X51" s="83"/>
      <c r="Y51" s="83"/>
      <c r="Z51" s="83"/>
    </row>
    <row r="52" spans="1:26" x14ac:dyDescent="0.2">
      <c r="A52" s="81"/>
      <c r="B52" s="83"/>
      <c r="C52" s="83"/>
      <c r="D52" s="83"/>
      <c r="E52" s="83"/>
      <c r="F52" s="83"/>
      <c r="G52" s="83"/>
      <c r="H52" s="83"/>
      <c r="I52" s="83"/>
      <c r="J52" s="83"/>
      <c r="K52" s="83"/>
      <c r="L52" s="83"/>
      <c r="M52" s="83"/>
      <c r="N52" s="83"/>
      <c r="O52" s="83"/>
      <c r="P52" s="83"/>
      <c r="Q52" s="83"/>
      <c r="R52" s="83"/>
      <c r="S52" s="83"/>
      <c r="T52" s="83"/>
      <c r="U52" s="83"/>
      <c r="V52" s="83"/>
      <c r="W52" s="83"/>
      <c r="X52" s="83"/>
      <c r="Y52" s="83"/>
      <c r="Z52" s="83"/>
    </row>
    <row r="53" spans="1:26" x14ac:dyDescent="0.2">
      <c r="A53" s="81"/>
      <c r="B53" s="83"/>
      <c r="C53" s="83"/>
      <c r="D53" s="83"/>
      <c r="E53" s="83"/>
      <c r="F53" s="83"/>
      <c r="G53" s="83"/>
      <c r="H53" s="83"/>
      <c r="I53" s="83"/>
      <c r="J53" s="83"/>
      <c r="K53" s="83"/>
      <c r="L53" s="83"/>
      <c r="M53" s="83"/>
      <c r="N53" s="83"/>
      <c r="O53" s="83"/>
      <c r="P53" s="83"/>
      <c r="Q53" s="83"/>
      <c r="R53" s="83"/>
      <c r="S53" s="83"/>
      <c r="T53" s="83"/>
      <c r="U53" s="83"/>
      <c r="V53" s="83"/>
      <c r="W53" s="83"/>
      <c r="X53" s="83"/>
      <c r="Y53" s="83"/>
      <c r="Z53" s="83"/>
    </row>
    <row r="54" spans="1:26" x14ac:dyDescent="0.2">
      <c r="A54" s="81"/>
      <c r="B54" s="83"/>
      <c r="C54" s="83"/>
      <c r="D54" s="83"/>
      <c r="E54" s="83"/>
      <c r="F54" s="83"/>
      <c r="G54" s="83"/>
      <c r="H54" s="83"/>
      <c r="I54" s="83"/>
      <c r="J54" s="83"/>
      <c r="K54" s="83"/>
      <c r="L54" s="83"/>
      <c r="M54" s="83"/>
      <c r="N54" s="83"/>
      <c r="O54" s="83"/>
      <c r="P54" s="83"/>
      <c r="Q54" s="83"/>
      <c r="R54" s="83"/>
      <c r="S54" s="83"/>
      <c r="T54" s="83"/>
      <c r="U54" s="83"/>
      <c r="V54" s="83"/>
      <c r="W54" s="83"/>
      <c r="X54" s="83"/>
      <c r="Y54" s="83"/>
      <c r="Z54" s="83"/>
    </row>
    <row r="55" spans="1:26" x14ac:dyDescent="0.2">
      <c r="A55" s="81"/>
      <c r="B55" s="83"/>
      <c r="C55" s="83"/>
      <c r="D55" s="83"/>
      <c r="E55" s="83"/>
      <c r="F55" s="83"/>
      <c r="G55" s="83"/>
      <c r="H55" s="83"/>
      <c r="I55" s="83"/>
      <c r="J55" s="83"/>
      <c r="K55" s="83"/>
      <c r="L55" s="83"/>
      <c r="M55" s="83"/>
      <c r="N55" s="83"/>
      <c r="O55" s="83"/>
      <c r="P55" s="83"/>
      <c r="Q55" s="83"/>
      <c r="R55" s="83"/>
      <c r="S55" s="83"/>
      <c r="T55" s="83"/>
      <c r="U55" s="83"/>
      <c r="V55" s="83"/>
      <c r="W55" s="83"/>
      <c r="X55" s="83"/>
      <c r="Y55" s="83"/>
      <c r="Z55" s="83"/>
    </row>
    <row r="56" spans="1:26" x14ac:dyDescent="0.2">
      <c r="A56" s="81"/>
      <c r="B56" s="83"/>
      <c r="C56" s="83"/>
      <c r="D56" s="83"/>
      <c r="E56" s="83"/>
      <c r="F56" s="83"/>
      <c r="G56" s="83"/>
      <c r="H56" s="83"/>
      <c r="I56" s="83"/>
      <c r="J56" s="83"/>
      <c r="K56" s="83"/>
      <c r="L56" s="83"/>
      <c r="M56" s="83"/>
      <c r="N56" s="83"/>
      <c r="O56" s="83"/>
      <c r="P56" s="83"/>
      <c r="Q56" s="83"/>
      <c r="R56" s="83"/>
      <c r="S56" s="83"/>
      <c r="T56" s="83"/>
      <c r="U56" s="83"/>
      <c r="V56" s="83"/>
      <c r="W56" s="83"/>
      <c r="X56" s="83"/>
      <c r="Y56" s="83"/>
      <c r="Z56" s="83"/>
    </row>
    <row r="57" spans="1:26" x14ac:dyDescent="0.2">
      <c r="A57" s="81"/>
      <c r="B57" s="83"/>
      <c r="C57" s="83"/>
      <c r="D57" s="83"/>
      <c r="E57" s="83"/>
      <c r="F57" s="83"/>
      <c r="G57" s="83"/>
      <c r="H57" s="83"/>
      <c r="I57" s="83"/>
      <c r="J57" s="83"/>
      <c r="K57" s="83"/>
      <c r="L57" s="83"/>
      <c r="M57" s="83"/>
      <c r="N57" s="83"/>
      <c r="O57" s="83"/>
      <c r="P57" s="83"/>
      <c r="Q57" s="83"/>
      <c r="R57" s="83"/>
      <c r="S57" s="83"/>
      <c r="T57" s="83"/>
      <c r="U57" s="83"/>
      <c r="V57" s="83"/>
      <c r="W57" s="83"/>
      <c r="X57" s="83"/>
      <c r="Y57" s="83"/>
      <c r="Z57" s="83"/>
    </row>
    <row r="58" spans="1:26" x14ac:dyDescent="0.2">
      <c r="A58" s="81"/>
      <c r="B58" s="83"/>
      <c r="C58" s="83"/>
      <c r="D58" s="83"/>
      <c r="E58" s="83"/>
      <c r="F58" s="83"/>
      <c r="G58" s="83"/>
      <c r="H58" s="83"/>
      <c r="I58" s="83"/>
      <c r="J58" s="83"/>
      <c r="K58" s="83"/>
      <c r="L58" s="83"/>
      <c r="M58" s="83"/>
      <c r="N58" s="83"/>
      <c r="O58" s="83"/>
      <c r="P58" s="83"/>
      <c r="Q58" s="83"/>
      <c r="R58" s="83"/>
      <c r="S58" s="83"/>
      <c r="T58" s="83"/>
      <c r="U58" s="83"/>
      <c r="V58" s="83"/>
      <c r="W58" s="83"/>
      <c r="X58" s="83"/>
      <c r="Y58" s="83"/>
      <c r="Z58" s="83"/>
    </row>
    <row r="59" spans="1:26" x14ac:dyDescent="0.2">
      <c r="A59" s="81"/>
      <c r="B59" s="83"/>
      <c r="C59" s="83"/>
      <c r="D59" s="83"/>
      <c r="E59" s="83"/>
      <c r="F59" s="83"/>
      <c r="G59" s="83"/>
      <c r="H59" s="83"/>
      <c r="I59" s="83"/>
      <c r="J59" s="83"/>
      <c r="K59" s="83"/>
      <c r="L59" s="83"/>
      <c r="M59" s="83"/>
      <c r="N59" s="83"/>
      <c r="O59" s="83"/>
      <c r="P59" s="83"/>
      <c r="Q59" s="83"/>
      <c r="R59" s="83"/>
      <c r="S59" s="83"/>
      <c r="T59" s="83"/>
      <c r="U59" s="83"/>
      <c r="V59" s="83"/>
      <c r="W59" s="83"/>
      <c r="X59" s="83"/>
      <c r="Y59" s="83"/>
      <c r="Z59" s="83"/>
    </row>
    <row r="60" spans="1:26" x14ac:dyDescent="0.2">
      <c r="A60" s="81"/>
      <c r="B60" s="83"/>
      <c r="C60" s="83"/>
      <c r="D60" s="83"/>
      <c r="E60" s="83"/>
      <c r="F60" s="83"/>
      <c r="G60" s="83"/>
      <c r="H60" s="83"/>
      <c r="I60" s="83"/>
      <c r="J60" s="83"/>
      <c r="K60" s="83"/>
      <c r="L60" s="83"/>
      <c r="M60" s="83"/>
      <c r="N60" s="83"/>
      <c r="O60" s="83"/>
      <c r="P60" s="83"/>
      <c r="Q60" s="83"/>
      <c r="R60" s="83"/>
      <c r="S60" s="83"/>
      <c r="T60" s="83"/>
      <c r="U60" s="83"/>
      <c r="V60" s="83"/>
      <c r="W60" s="83"/>
      <c r="X60" s="83"/>
      <c r="Y60" s="83"/>
      <c r="Z60" s="83"/>
    </row>
    <row r="61" spans="1:26" x14ac:dyDescent="0.2">
      <c r="A61" s="81"/>
      <c r="B61" s="83"/>
      <c r="C61" s="83"/>
      <c r="D61" s="83"/>
      <c r="E61" s="83"/>
      <c r="F61" s="83"/>
      <c r="G61" s="83"/>
      <c r="H61" s="83"/>
      <c r="I61" s="83"/>
      <c r="J61" s="83"/>
      <c r="K61" s="83"/>
      <c r="L61" s="83"/>
      <c r="M61" s="83"/>
      <c r="N61" s="83"/>
      <c r="O61" s="83"/>
      <c r="P61" s="83"/>
      <c r="Q61" s="83"/>
      <c r="R61" s="83"/>
      <c r="S61" s="83"/>
      <c r="T61" s="83"/>
      <c r="U61" s="83"/>
      <c r="V61" s="83"/>
      <c r="W61" s="83"/>
      <c r="X61" s="83"/>
      <c r="Y61" s="83"/>
      <c r="Z61" s="83"/>
    </row>
    <row r="62" spans="1:26" x14ac:dyDescent="0.2">
      <c r="A62" s="81"/>
      <c r="B62" s="83"/>
      <c r="C62" s="83"/>
      <c r="D62" s="83"/>
      <c r="E62" s="83"/>
      <c r="F62" s="83"/>
      <c r="G62" s="83"/>
      <c r="H62" s="83"/>
      <c r="I62" s="83"/>
      <c r="J62" s="83"/>
      <c r="K62" s="83"/>
      <c r="L62" s="83"/>
      <c r="M62" s="83"/>
      <c r="N62" s="83"/>
      <c r="O62" s="83"/>
      <c r="P62" s="83"/>
      <c r="Q62" s="83"/>
      <c r="R62" s="83"/>
      <c r="S62" s="83"/>
      <c r="T62" s="83"/>
      <c r="U62" s="83"/>
      <c r="V62" s="83"/>
      <c r="W62" s="83"/>
      <c r="X62" s="83"/>
      <c r="Y62" s="83"/>
      <c r="Z62" s="83"/>
    </row>
  </sheetData>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tabColor theme="0" tint="-0.249977111117893"/>
  </sheetPr>
  <dimension ref="A1:AE34"/>
  <sheetViews>
    <sheetView workbookViewId="0">
      <selection activeCell="B1" sqref="B1"/>
    </sheetView>
  </sheetViews>
  <sheetFormatPr baseColWidth="10" defaultColWidth="11.42578125" defaultRowHeight="12.75" x14ac:dyDescent="0.2"/>
  <cols>
    <col min="1" max="1" width="11.42578125" style="81" customWidth="1"/>
    <col min="2" max="27" width="11.42578125" style="83" customWidth="1"/>
    <col min="28" max="16384" width="11.42578125" style="83"/>
  </cols>
  <sheetData>
    <row r="1" spans="1:31" x14ac:dyDescent="0.2">
      <c r="A1" s="713" t="str">
        <f>CONCATENATE("Lohnschlüssel neu ",LohntabelleM!I1,", Jahreslohn inkl. 13.")</f>
        <v>Lohnschlüssel neu 2024, Jahreslohn inkl. 13.</v>
      </c>
      <c r="B1" s="82"/>
      <c r="C1" s="82"/>
      <c r="E1" s="83">
        <v>13</v>
      </c>
    </row>
    <row r="2" spans="1:31" x14ac:dyDescent="0.2">
      <c r="B2" s="82" t="s">
        <v>809</v>
      </c>
    </row>
    <row r="3" spans="1:31" x14ac:dyDescent="0.2">
      <c r="A3" s="81" t="s">
        <v>765</v>
      </c>
      <c r="B3" s="84" t="s">
        <v>588</v>
      </c>
      <c r="C3" s="84" t="s">
        <v>589</v>
      </c>
      <c r="D3" s="87" t="s">
        <v>590</v>
      </c>
      <c r="E3" s="87">
        <v>1</v>
      </c>
      <c r="F3" s="87">
        <v>2</v>
      </c>
      <c r="G3" s="87">
        <v>3</v>
      </c>
      <c r="H3" s="84">
        <v>4</v>
      </c>
      <c r="I3" s="84">
        <v>5</v>
      </c>
      <c r="J3" s="84">
        <v>6</v>
      </c>
      <c r="K3" s="84">
        <v>7</v>
      </c>
      <c r="L3" s="84">
        <v>8</v>
      </c>
      <c r="M3" s="84">
        <v>9</v>
      </c>
      <c r="N3" s="84">
        <v>10</v>
      </c>
      <c r="O3" s="84">
        <v>11</v>
      </c>
      <c r="P3" s="84">
        <v>12</v>
      </c>
      <c r="Q3" s="84">
        <v>13</v>
      </c>
      <c r="R3" s="84">
        <v>14</v>
      </c>
      <c r="S3" s="84">
        <v>15</v>
      </c>
      <c r="T3" s="84">
        <v>16</v>
      </c>
      <c r="U3" s="84">
        <v>17</v>
      </c>
      <c r="V3" s="84">
        <v>18</v>
      </c>
      <c r="W3" s="84">
        <v>19</v>
      </c>
      <c r="X3" s="84">
        <v>20</v>
      </c>
      <c r="Y3" s="84">
        <v>21</v>
      </c>
      <c r="Z3" s="84">
        <v>22</v>
      </c>
      <c r="AA3" s="84">
        <v>23</v>
      </c>
      <c r="AB3" s="84">
        <v>24</v>
      </c>
      <c r="AC3" s="84">
        <v>25</v>
      </c>
      <c r="AD3" s="84">
        <v>26</v>
      </c>
      <c r="AE3" s="84">
        <v>27</v>
      </c>
    </row>
    <row r="4" spans="1:31" x14ac:dyDescent="0.2">
      <c r="A4" s="84">
        <v>1</v>
      </c>
      <c r="B4" s="88">
        <v>181621.05000000002</v>
      </c>
      <c r="C4" s="88">
        <v>189991.75</v>
      </c>
      <c r="D4" s="88">
        <v>198365.05000000002</v>
      </c>
      <c r="E4" s="88">
        <v>206736.4</v>
      </c>
      <c r="F4" s="88">
        <v>214815.25</v>
      </c>
      <c r="G4" s="88">
        <v>222893.45</v>
      </c>
      <c r="H4" s="88">
        <v>230972.95</v>
      </c>
      <c r="I4" s="88">
        <v>239052.45</v>
      </c>
      <c r="J4" s="88">
        <v>242587.15</v>
      </c>
      <c r="K4" s="88">
        <v>246125.75</v>
      </c>
      <c r="L4" s="88">
        <v>249662.4</v>
      </c>
      <c r="M4" s="88">
        <v>253199.05</v>
      </c>
      <c r="N4" s="88">
        <v>255645.65</v>
      </c>
      <c r="O4" s="88">
        <v>258092.9</v>
      </c>
      <c r="P4" s="88">
        <v>260540.79999999999</v>
      </c>
      <c r="Q4" s="88">
        <v>262987.39999999997</v>
      </c>
      <c r="R4" s="88">
        <v>265431.39999999997</v>
      </c>
      <c r="S4" s="88">
        <v>267879.95</v>
      </c>
      <c r="T4" s="88">
        <v>270327.85000000003</v>
      </c>
      <c r="U4" s="88">
        <v>272774.45</v>
      </c>
      <c r="V4" s="88">
        <v>272774.45</v>
      </c>
      <c r="W4" s="88">
        <v>274088.75</v>
      </c>
      <c r="X4" s="88">
        <v>274088.75</v>
      </c>
      <c r="Y4" s="88">
        <v>275405</v>
      </c>
      <c r="Z4" s="88">
        <v>275405</v>
      </c>
      <c r="AA4" s="88">
        <v>276723.20000000001</v>
      </c>
      <c r="AB4" s="88">
        <v>276723.20000000001</v>
      </c>
      <c r="AC4" s="88">
        <v>278040.10000000003</v>
      </c>
      <c r="AD4" s="88">
        <v>278040.10000000003</v>
      </c>
      <c r="AE4" s="88">
        <v>279357.64999999997</v>
      </c>
    </row>
    <row r="5" spans="1:31" x14ac:dyDescent="0.2">
      <c r="A5" s="84">
        <v>2</v>
      </c>
      <c r="B5" s="88">
        <v>171813.85</v>
      </c>
      <c r="C5" s="88">
        <v>179716.55000000002</v>
      </c>
      <c r="D5" s="88">
        <v>187621.19999999998</v>
      </c>
      <c r="E5" s="88">
        <v>195525.19999999998</v>
      </c>
      <c r="F5" s="88">
        <v>203151.65</v>
      </c>
      <c r="G5" s="88">
        <v>210780.69999999998</v>
      </c>
      <c r="H5" s="88">
        <v>218407.15</v>
      </c>
      <c r="I5" s="88">
        <v>226034.9</v>
      </c>
      <c r="J5" s="88">
        <v>229373.3</v>
      </c>
      <c r="K5" s="88">
        <v>232714.3</v>
      </c>
      <c r="L5" s="88">
        <v>236054</v>
      </c>
      <c r="M5" s="88">
        <v>239391.75</v>
      </c>
      <c r="N5" s="88">
        <v>241801.3</v>
      </c>
      <c r="O5" s="88">
        <v>244211.5</v>
      </c>
      <c r="P5" s="88">
        <v>246621.7</v>
      </c>
      <c r="Q5" s="88">
        <v>249029.3</v>
      </c>
      <c r="R5" s="88">
        <v>251441.45</v>
      </c>
      <c r="S5" s="88">
        <v>253848.4</v>
      </c>
      <c r="T5" s="88">
        <v>256261.85</v>
      </c>
      <c r="U5" s="88">
        <v>258668.79999999999</v>
      </c>
      <c r="V5" s="88">
        <v>258668.79999999999</v>
      </c>
      <c r="W5" s="88">
        <v>259909</v>
      </c>
      <c r="X5" s="88">
        <v>259909</v>
      </c>
      <c r="Y5" s="88">
        <v>261150.5</v>
      </c>
      <c r="Z5" s="88">
        <v>261150.5</v>
      </c>
      <c r="AA5" s="88">
        <v>262389.39999999997</v>
      </c>
      <c r="AB5" s="88">
        <v>262389.39999999997</v>
      </c>
      <c r="AC5" s="88">
        <v>263629.60000000003</v>
      </c>
      <c r="AD5" s="88">
        <v>263629.60000000003</v>
      </c>
      <c r="AE5" s="88">
        <v>264869.8</v>
      </c>
    </row>
    <row r="6" spans="1:31" x14ac:dyDescent="0.2">
      <c r="A6" s="84">
        <v>3</v>
      </c>
      <c r="B6" s="88">
        <v>162002.1</v>
      </c>
      <c r="C6" s="88">
        <v>169438.75</v>
      </c>
      <c r="D6" s="88">
        <v>176875.4</v>
      </c>
      <c r="E6" s="88">
        <v>184314</v>
      </c>
      <c r="F6" s="88">
        <v>191488.05000000002</v>
      </c>
      <c r="G6" s="88">
        <v>198665.35</v>
      </c>
      <c r="H6" s="88">
        <v>205842</v>
      </c>
      <c r="I6" s="88">
        <v>213015.4</v>
      </c>
      <c r="J6" s="88">
        <v>216157.5</v>
      </c>
      <c r="K6" s="88">
        <v>219301.55</v>
      </c>
      <c r="L6" s="88">
        <v>222443</v>
      </c>
      <c r="M6" s="88">
        <v>225584.45</v>
      </c>
      <c r="N6" s="88">
        <v>227958.25</v>
      </c>
      <c r="O6" s="88">
        <v>230331.4</v>
      </c>
      <c r="P6" s="88">
        <v>232704.55</v>
      </c>
      <c r="Q6" s="88">
        <v>235078.35</v>
      </c>
      <c r="R6" s="88">
        <v>237450.85</v>
      </c>
      <c r="S6" s="88">
        <v>239824</v>
      </c>
      <c r="T6" s="88">
        <v>242197.8</v>
      </c>
      <c r="U6" s="88">
        <v>244569.65</v>
      </c>
      <c r="V6" s="88">
        <v>244569.65</v>
      </c>
      <c r="W6" s="88">
        <v>245733.8</v>
      </c>
      <c r="X6" s="88">
        <v>245733.8</v>
      </c>
      <c r="Y6" s="88">
        <v>246896.65</v>
      </c>
      <c r="Z6" s="88">
        <v>246896.65</v>
      </c>
      <c r="AA6" s="88">
        <v>248060.79999999999</v>
      </c>
      <c r="AB6" s="88">
        <v>248060.79999999999</v>
      </c>
      <c r="AC6" s="88">
        <v>249224.3</v>
      </c>
      <c r="AD6" s="88">
        <v>249224.3</v>
      </c>
      <c r="AE6" s="88">
        <v>250386.5</v>
      </c>
    </row>
    <row r="7" spans="1:31" x14ac:dyDescent="0.2">
      <c r="A7" s="84">
        <v>4</v>
      </c>
      <c r="B7" s="88">
        <v>152194.25</v>
      </c>
      <c r="C7" s="88">
        <v>159162.25</v>
      </c>
      <c r="D7" s="88">
        <v>166131.55000000002</v>
      </c>
      <c r="E7" s="88">
        <v>173100.85</v>
      </c>
      <c r="F7" s="88">
        <v>179827.69999999998</v>
      </c>
      <c r="G7" s="88">
        <v>186551.30000000002</v>
      </c>
      <c r="H7" s="88">
        <v>193278.80000000002</v>
      </c>
      <c r="I7" s="88">
        <v>200005</v>
      </c>
      <c r="J7" s="88">
        <v>202950.80000000002</v>
      </c>
      <c r="K7" s="88">
        <v>205895.30000000002</v>
      </c>
      <c r="L7" s="88">
        <v>208840.44999999998</v>
      </c>
      <c r="M7" s="88">
        <v>211784.30000000002</v>
      </c>
      <c r="N7" s="88">
        <v>214119.75</v>
      </c>
      <c r="O7" s="88">
        <v>216455.85</v>
      </c>
      <c r="P7" s="88">
        <v>218792.6</v>
      </c>
      <c r="Q7" s="88">
        <v>221128.7</v>
      </c>
      <c r="R7" s="88">
        <v>223462.2</v>
      </c>
      <c r="S7" s="88">
        <v>225798.95</v>
      </c>
      <c r="T7" s="88">
        <v>228134.39999999999</v>
      </c>
      <c r="U7" s="88">
        <v>230470.5</v>
      </c>
      <c r="V7" s="88">
        <v>230470.5</v>
      </c>
      <c r="W7" s="88">
        <v>231557.95</v>
      </c>
      <c r="X7" s="88">
        <v>231557.95</v>
      </c>
      <c r="Y7" s="88">
        <v>232643.45</v>
      </c>
      <c r="Z7" s="88">
        <v>232643.45</v>
      </c>
      <c r="AA7" s="88">
        <v>233731.55</v>
      </c>
      <c r="AB7" s="88">
        <v>233731.55</v>
      </c>
      <c r="AC7" s="88">
        <v>234816.4</v>
      </c>
      <c r="AD7" s="88">
        <v>234816.4</v>
      </c>
      <c r="AE7" s="88">
        <v>235905.8</v>
      </c>
    </row>
    <row r="8" spans="1:31" x14ac:dyDescent="0.2">
      <c r="A8" s="84">
        <v>5</v>
      </c>
      <c r="B8" s="88">
        <v>142377.94999999998</v>
      </c>
      <c r="C8" s="88">
        <v>148879.9</v>
      </c>
      <c r="D8" s="88">
        <v>155383.15</v>
      </c>
      <c r="E8" s="88">
        <v>161887.05000000002</v>
      </c>
      <c r="F8" s="88">
        <v>168161.5</v>
      </c>
      <c r="G8" s="88">
        <v>174437.9</v>
      </c>
      <c r="H8" s="88">
        <v>180713</v>
      </c>
      <c r="I8" s="88">
        <v>186989.4</v>
      </c>
      <c r="J8" s="88">
        <v>189736.94999999998</v>
      </c>
      <c r="K8" s="88">
        <v>192483.85</v>
      </c>
      <c r="L8" s="88">
        <v>195232.05000000002</v>
      </c>
      <c r="M8" s="88">
        <v>197979.6</v>
      </c>
      <c r="N8" s="88">
        <v>200260.44999999998</v>
      </c>
      <c r="O8" s="88">
        <v>202541.94999999998</v>
      </c>
      <c r="P8" s="88">
        <v>204820.19999999998</v>
      </c>
      <c r="Q8" s="88">
        <v>207101.69999999998</v>
      </c>
      <c r="R8" s="88">
        <v>209383.19999999998</v>
      </c>
      <c r="S8" s="88">
        <v>211664.05000000002</v>
      </c>
      <c r="T8" s="88">
        <v>213945.55</v>
      </c>
      <c r="U8" s="88">
        <v>216225.75</v>
      </c>
      <c r="V8" s="88">
        <v>216225.75</v>
      </c>
      <c r="W8" s="88">
        <v>217263.8</v>
      </c>
      <c r="X8" s="88">
        <v>217263.8</v>
      </c>
      <c r="Y8" s="88">
        <v>218304.45</v>
      </c>
      <c r="Z8" s="88">
        <v>218304.45</v>
      </c>
      <c r="AA8" s="88">
        <v>219343.15</v>
      </c>
      <c r="AB8" s="88">
        <v>219343.15</v>
      </c>
      <c r="AC8" s="88">
        <v>220381.85</v>
      </c>
      <c r="AD8" s="88">
        <v>220381.85</v>
      </c>
      <c r="AE8" s="88">
        <v>221423.15</v>
      </c>
    </row>
    <row r="9" spans="1:31" x14ac:dyDescent="0.2">
      <c r="A9" s="84">
        <v>6</v>
      </c>
      <c r="B9" s="88">
        <v>132568.80000000002</v>
      </c>
      <c r="C9" s="88">
        <v>138603.4</v>
      </c>
      <c r="D9" s="88">
        <v>144640.6</v>
      </c>
      <c r="E9" s="88">
        <v>150674.55000000002</v>
      </c>
      <c r="F9" s="88">
        <v>156500.5</v>
      </c>
      <c r="G9" s="88">
        <v>162325.15</v>
      </c>
      <c r="H9" s="88">
        <v>168149.15</v>
      </c>
      <c r="I9" s="88">
        <v>173973.80000000002</v>
      </c>
      <c r="J9" s="88">
        <v>176523.1</v>
      </c>
      <c r="K9" s="88">
        <v>179073.05000000002</v>
      </c>
      <c r="L9" s="88">
        <v>181623.65</v>
      </c>
      <c r="M9" s="88">
        <v>184172.94999999998</v>
      </c>
      <c r="N9" s="88">
        <v>186403.1</v>
      </c>
      <c r="O9" s="88">
        <v>188630</v>
      </c>
      <c r="P9" s="88">
        <v>190858.85</v>
      </c>
      <c r="Q9" s="88">
        <v>193087.05000000002</v>
      </c>
      <c r="R9" s="88">
        <v>195316.55000000002</v>
      </c>
      <c r="S9" s="88">
        <v>197544.75</v>
      </c>
      <c r="T9" s="88">
        <v>199772.30000000002</v>
      </c>
      <c r="U9" s="88">
        <v>202000.5</v>
      </c>
      <c r="V9" s="88">
        <v>202000.5</v>
      </c>
      <c r="W9" s="88">
        <v>202989.80000000002</v>
      </c>
      <c r="X9" s="88">
        <v>202989.80000000002</v>
      </c>
      <c r="Y9" s="88">
        <v>203979.1</v>
      </c>
      <c r="Z9" s="88">
        <v>203979.1</v>
      </c>
      <c r="AA9" s="88">
        <v>204967.1</v>
      </c>
      <c r="AB9" s="88">
        <v>204967.1</v>
      </c>
      <c r="AC9" s="88">
        <v>205955.1</v>
      </c>
      <c r="AD9" s="88">
        <v>205955.1</v>
      </c>
      <c r="AE9" s="88">
        <v>206945.05000000002</v>
      </c>
    </row>
    <row r="10" spans="1:31" x14ac:dyDescent="0.2">
      <c r="A10" s="84">
        <v>7</v>
      </c>
      <c r="B10" s="88">
        <v>122653.05</v>
      </c>
      <c r="C10" s="88">
        <v>128256.7</v>
      </c>
      <c r="D10" s="88">
        <v>133859.69999999998</v>
      </c>
      <c r="E10" s="88">
        <v>139464</v>
      </c>
      <c r="F10" s="88">
        <v>144836.9</v>
      </c>
      <c r="G10" s="88">
        <v>150209.80000000002</v>
      </c>
      <c r="H10" s="88">
        <v>155584.65</v>
      </c>
      <c r="I10" s="88">
        <v>160956.9</v>
      </c>
      <c r="J10" s="88">
        <v>163309.9</v>
      </c>
      <c r="K10" s="88">
        <v>165662.9</v>
      </c>
      <c r="L10" s="88">
        <v>168013.30000000002</v>
      </c>
      <c r="M10" s="88">
        <v>170366.30000000002</v>
      </c>
      <c r="N10" s="88">
        <v>172534.69999999998</v>
      </c>
      <c r="O10" s="88">
        <v>174705.69999999998</v>
      </c>
      <c r="P10" s="88">
        <v>176874.1</v>
      </c>
      <c r="Q10" s="88">
        <v>179043.80000000002</v>
      </c>
      <c r="R10" s="88">
        <v>181215.44999999998</v>
      </c>
      <c r="S10" s="88">
        <v>183383.85</v>
      </c>
      <c r="T10" s="88">
        <v>185552.9</v>
      </c>
      <c r="U10" s="88">
        <v>187723.9</v>
      </c>
      <c r="V10" s="88">
        <v>187723.9</v>
      </c>
      <c r="W10" s="88">
        <v>188669</v>
      </c>
      <c r="X10" s="88">
        <v>188669</v>
      </c>
      <c r="Y10" s="88">
        <v>189616.05000000002</v>
      </c>
      <c r="Z10" s="88">
        <v>189616.05000000002</v>
      </c>
      <c r="AA10" s="88">
        <v>190564.4</v>
      </c>
      <c r="AB10" s="88">
        <v>190564.4</v>
      </c>
      <c r="AC10" s="88">
        <v>191509.5</v>
      </c>
      <c r="AD10" s="88">
        <v>191509.5</v>
      </c>
      <c r="AE10" s="88">
        <v>192455.9</v>
      </c>
    </row>
    <row r="11" spans="1:31" x14ac:dyDescent="0.2">
      <c r="A11" s="84">
        <v>8</v>
      </c>
      <c r="B11" s="88">
        <v>113614.15</v>
      </c>
      <c r="C11" s="88">
        <v>118860.3</v>
      </c>
      <c r="D11" s="88">
        <v>124105.8</v>
      </c>
      <c r="E11" s="88">
        <v>129351.3</v>
      </c>
      <c r="F11" s="88">
        <v>134315.35</v>
      </c>
      <c r="G11" s="88">
        <v>139278.1</v>
      </c>
      <c r="H11" s="88">
        <v>144245.4</v>
      </c>
      <c r="I11" s="88">
        <v>149208.80000000002</v>
      </c>
      <c r="J11" s="88">
        <v>151378.5</v>
      </c>
      <c r="K11" s="88">
        <v>153550.80000000002</v>
      </c>
      <c r="L11" s="88">
        <v>155723.1</v>
      </c>
      <c r="M11" s="88">
        <v>157895.4</v>
      </c>
      <c r="N11" s="88">
        <v>159871.4</v>
      </c>
      <c r="O11" s="88">
        <v>161848.05000000002</v>
      </c>
      <c r="P11" s="88">
        <v>163823.4</v>
      </c>
      <c r="Q11" s="88">
        <v>165800.05000000002</v>
      </c>
      <c r="R11" s="88">
        <v>167776.05000000002</v>
      </c>
      <c r="S11" s="88">
        <v>169752.69999999998</v>
      </c>
      <c r="T11" s="88">
        <v>171728.05000000002</v>
      </c>
      <c r="U11" s="88">
        <v>173703.4</v>
      </c>
      <c r="V11" s="88">
        <v>173703.4</v>
      </c>
      <c r="W11" s="88">
        <v>174569.19999999998</v>
      </c>
      <c r="X11" s="88">
        <v>174569.19999999998</v>
      </c>
      <c r="Y11" s="88">
        <v>175430.44999999998</v>
      </c>
      <c r="Z11" s="88">
        <v>175430.44999999998</v>
      </c>
      <c r="AA11" s="88">
        <v>176294.94999999998</v>
      </c>
      <c r="AB11" s="88">
        <v>176294.94999999998</v>
      </c>
      <c r="AC11" s="88">
        <v>177158.15</v>
      </c>
      <c r="AD11" s="88">
        <v>177158.15</v>
      </c>
      <c r="AE11" s="88">
        <v>178022.65</v>
      </c>
    </row>
    <row r="12" spans="1:31" x14ac:dyDescent="0.2">
      <c r="A12" s="84">
        <v>9</v>
      </c>
      <c r="B12" s="88">
        <v>105554.15000000001</v>
      </c>
      <c r="C12" s="88">
        <v>110428.5</v>
      </c>
      <c r="D12" s="88">
        <v>115302.85</v>
      </c>
      <c r="E12" s="88">
        <v>120179.8</v>
      </c>
      <c r="F12" s="88">
        <v>124805.2</v>
      </c>
      <c r="G12" s="88">
        <v>129431.25</v>
      </c>
      <c r="H12" s="88">
        <v>134059.9</v>
      </c>
      <c r="I12" s="88">
        <v>138685.30000000002</v>
      </c>
      <c r="J12" s="88">
        <v>140710.69999999998</v>
      </c>
      <c r="K12" s="88">
        <v>142734.15</v>
      </c>
      <c r="L12" s="88">
        <v>144758.9</v>
      </c>
      <c r="M12" s="88">
        <v>146783.65</v>
      </c>
      <c r="N12" s="88">
        <v>148567.25</v>
      </c>
      <c r="O12" s="88">
        <v>150348.9</v>
      </c>
      <c r="P12" s="88">
        <v>152131.85</v>
      </c>
      <c r="Q12" s="88">
        <v>153915.44999999998</v>
      </c>
      <c r="R12" s="88">
        <v>155697.1</v>
      </c>
      <c r="S12" s="88">
        <v>157480.05000000002</v>
      </c>
      <c r="T12" s="88">
        <v>159261.05000000002</v>
      </c>
      <c r="U12" s="88">
        <v>161044.65</v>
      </c>
      <c r="V12" s="88">
        <v>161044.65</v>
      </c>
      <c r="W12" s="88">
        <v>161835.05000000002</v>
      </c>
      <c r="X12" s="88">
        <v>161835.05000000002</v>
      </c>
      <c r="Y12" s="88">
        <v>162624.15</v>
      </c>
      <c r="Z12" s="88">
        <v>162624.15</v>
      </c>
      <c r="AA12" s="88">
        <v>163413.9</v>
      </c>
      <c r="AB12" s="88">
        <v>163413.9</v>
      </c>
      <c r="AC12" s="88">
        <v>164204.30000000002</v>
      </c>
      <c r="AD12" s="88">
        <v>164204.30000000002</v>
      </c>
      <c r="AE12" s="88">
        <v>164994.69999999998</v>
      </c>
    </row>
    <row r="13" spans="1:31" x14ac:dyDescent="0.2">
      <c r="A13" s="84">
        <v>10</v>
      </c>
      <c r="B13" s="88">
        <v>98502.95</v>
      </c>
      <c r="C13" s="88">
        <v>103044.5</v>
      </c>
      <c r="D13" s="88">
        <v>107585.4</v>
      </c>
      <c r="E13" s="88">
        <v>112126.3</v>
      </c>
      <c r="F13" s="88">
        <v>116467</v>
      </c>
      <c r="G13" s="88">
        <v>120807.7</v>
      </c>
      <c r="H13" s="88">
        <v>125147.1</v>
      </c>
      <c r="I13" s="88">
        <v>129488.45</v>
      </c>
      <c r="J13" s="88">
        <v>131388.4</v>
      </c>
      <c r="K13" s="88">
        <v>133288.35</v>
      </c>
      <c r="L13" s="88">
        <v>135187</v>
      </c>
      <c r="M13" s="88">
        <v>137088.25</v>
      </c>
      <c r="N13" s="88">
        <v>138684</v>
      </c>
      <c r="O13" s="88">
        <v>140281.69999999998</v>
      </c>
      <c r="P13" s="88">
        <v>141878.1</v>
      </c>
      <c r="Q13" s="88">
        <v>143475.80000000002</v>
      </c>
      <c r="R13" s="88">
        <v>145072.85</v>
      </c>
      <c r="S13" s="88">
        <v>146669.25</v>
      </c>
      <c r="T13" s="88">
        <v>148266.30000000002</v>
      </c>
      <c r="U13" s="88">
        <v>149862.69999999998</v>
      </c>
      <c r="V13" s="88">
        <v>149862.69999999998</v>
      </c>
      <c r="W13" s="88">
        <v>150571.19999999998</v>
      </c>
      <c r="X13" s="88">
        <v>150571.19999999998</v>
      </c>
      <c r="Y13" s="88">
        <v>151277.75</v>
      </c>
      <c r="Z13" s="88">
        <v>151277.75</v>
      </c>
      <c r="AA13" s="88">
        <v>151986.9</v>
      </c>
      <c r="AB13" s="88">
        <v>151986.9</v>
      </c>
      <c r="AC13" s="88">
        <v>152695.4</v>
      </c>
      <c r="AD13" s="88">
        <v>152695.4</v>
      </c>
      <c r="AE13" s="88">
        <v>153400</v>
      </c>
    </row>
    <row r="14" spans="1:31" x14ac:dyDescent="0.2">
      <c r="A14" s="84">
        <v>11</v>
      </c>
      <c r="B14" s="88">
        <v>91963.95</v>
      </c>
      <c r="C14" s="88">
        <v>96195.45</v>
      </c>
      <c r="D14" s="88">
        <v>100425</v>
      </c>
      <c r="E14" s="88">
        <v>104656.5</v>
      </c>
      <c r="F14" s="88">
        <v>108730.05</v>
      </c>
      <c r="G14" s="88">
        <v>112801.65</v>
      </c>
      <c r="H14" s="88">
        <v>116873.9</v>
      </c>
      <c r="I14" s="88">
        <v>120946.8</v>
      </c>
      <c r="J14" s="88">
        <v>122729.1</v>
      </c>
      <c r="K14" s="88">
        <v>124513.35</v>
      </c>
      <c r="L14" s="88">
        <v>126296.95</v>
      </c>
      <c r="M14" s="88">
        <v>128077.3</v>
      </c>
      <c r="N14" s="88">
        <v>129571</v>
      </c>
      <c r="O14" s="88">
        <v>131061.45</v>
      </c>
      <c r="P14" s="88">
        <v>132554.5</v>
      </c>
      <c r="Q14" s="88">
        <v>134044.94999999998</v>
      </c>
      <c r="R14" s="88">
        <v>135535.4</v>
      </c>
      <c r="S14" s="88">
        <v>137027.80000000002</v>
      </c>
      <c r="T14" s="88">
        <v>138518.9</v>
      </c>
      <c r="U14" s="88">
        <v>140010.65</v>
      </c>
      <c r="V14" s="88">
        <v>140010.65</v>
      </c>
      <c r="W14" s="88">
        <v>140658.69999999998</v>
      </c>
      <c r="X14" s="88">
        <v>140658.69999999998</v>
      </c>
      <c r="Y14" s="88">
        <v>141308.05000000002</v>
      </c>
      <c r="Z14" s="88">
        <v>141308.05000000002</v>
      </c>
      <c r="AA14" s="88">
        <v>141956.75</v>
      </c>
      <c r="AB14" s="88">
        <v>141956.75</v>
      </c>
      <c r="AC14" s="88">
        <v>142602.19999999998</v>
      </c>
      <c r="AD14" s="88">
        <v>142602.19999999998</v>
      </c>
      <c r="AE14" s="88">
        <v>143250.9</v>
      </c>
    </row>
    <row r="15" spans="1:31" x14ac:dyDescent="0.2">
      <c r="A15" s="84">
        <v>12</v>
      </c>
      <c r="B15" s="88">
        <v>85935.849999999991</v>
      </c>
      <c r="C15" s="88">
        <v>89880.05</v>
      </c>
      <c r="D15" s="88">
        <v>93822.3</v>
      </c>
      <c r="E15" s="88">
        <v>97763.25</v>
      </c>
      <c r="F15" s="88">
        <v>101567.05</v>
      </c>
      <c r="G15" s="88">
        <v>105373.45</v>
      </c>
      <c r="H15" s="88">
        <v>109176.6</v>
      </c>
      <c r="I15" s="88">
        <v>112980.4</v>
      </c>
      <c r="J15" s="88">
        <v>114645.7</v>
      </c>
      <c r="K15" s="88">
        <v>116309.7</v>
      </c>
      <c r="L15" s="88">
        <v>117975.65</v>
      </c>
      <c r="M15" s="88">
        <v>119640.95</v>
      </c>
      <c r="N15" s="88">
        <v>121043.65</v>
      </c>
      <c r="O15" s="88">
        <v>122447</v>
      </c>
      <c r="P15" s="88">
        <v>123847.75</v>
      </c>
      <c r="Q15" s="88">
        <v>125251.75</v>
      </c>
      <c r="R15" s="88">
        <v>126655.1</v>
      </c>
      <c r="S15" s="88">
        <v>128056.5</v>
      </c>
      <c r="T15" s="88">
        <v>129459.85</v>
      </c>
      <c r="U15" s="88">
        <v>130862.55</v>
      </c>
      <c r="V15" s="88">
        <v>130862.55</v>
      </c>
      <c r="W15" s="88">
        <v>131457.94999999998</v>
      </c>
      <c r="X15" s="88">
        <v>131457.94999999998</v>
      </c>
      <c r="Y15" s="88">
        <v>132052.69999999998</v>
      </c>
      <c r="Z15" s="88">
        <v>132052.69999999998</v>
      </c>
      <c r="AA15" s="88">
        <v>132648.1</v>
      </c>
      <c r="AB15" s="88">
        <v>132648.1</v>
      </c>
      <c r="AC15" s="88">
        <v>133243.5</v>
      </c>
      <c r="AD15" s="88">
        <v>133243.5</v>
      </c>
      <c r="AE15" s="88">
        <v>133839.55000000002</v>
      </c>
    </row>
    <row r="16" spans="1:31" x14ac:dyDescent="0.2">
      <c r="A16" s="84">
        <v>13</v>
      </c>
      <c r="B16" s="88">
        <v>80379.650000000009</v>
      </c>
      <c r="C16" s="88">
        <v>84058.650000000009</v>
      </c>
      <c r="D16" s="88">
        <v>87737.650000000009</v>
      </c>
      <c r="E16" s="88">
        <v>91416</v>
      </c>
      <c r="F16" s="88">
        <v>94966.3</v>
      </c>
      <c r="G16" s="88">
        <v>98515.3</v>
      </c>
      <c r="H16" s="88">
        <v>102064.95</v>
      </c>
      <c r="I16" s="88">
        <v>105615.90000000001</v>
      </c>
      <c r="J16" s="88">
        <v>107170.7</v>
      </c>
      <c r="K16" s="88">
        <v>108725.5</v>
      </c>
      <c r="L16" s="88">
        <v>110277.7</v>
      </c>
      <c r="M16" s="88">
        <v>111833.15</v>
      </c>
      <c r="N16" s="88">
        <v>113133.15</v>
      </c>
      <c r="O16" s="88">
        <v>114433.8</v>
      </c>
      <c r="P16" s="88">
        <v>115735.1</v>
      </c>
      <c r="Q16" s="88">
        <v>117035.1</v>
      </c>
      <c r="R16" s="88">
        <v>118337.05</v>
      </c>
      <c r="S16" s="88">
        <v>119636.4</v>
      </c>
      <c r="T16" s="88">
        <v>120938.35</v>
      </c>
      <c r="U16" s="88">
        <v>122236.4</v>
      </c>
      <c r="V16" s="88">
        <v>122236.4</v>
      </c>
      <c r="W16" s="88">
        <v>122809.05</v>
      </c>
      <c r="X16" s="88">
        <v>122809.05</v>
      </c>
      <c r="Y16" s="88">
        <v>123381.7</v>
      </c>
      <c r="Z16" s="88">
        <v>123381.7</v>
      </c>
      <c r="AA16" s="88">
        <v>123952.4</v>
      </c>
      <c r="AB16" s="88">
        <v>123952.4</v>
      </c>
      <c r="AC16" s="88">
        <v>124526.35</v>
      </c>
      <c r="AD16" s="88">
        <v>124526.35</v>
      </c>
      <c r="AE16" s="88">
        <v>125097.7</v>
      </c>
    </row>
    <row r="17" spans="1:31" x14ac:dyDescent="0.2">
      <c r="A17" s="84">
        <v>14</v>
      </c>
      <c r="B17" s="88">
        <v>75372.05</v>
      </c>
      <c r="C17" s="88">
        <v>78811.199999999997</v>
      </c>
      <c r="D17" s="88">
        <v>82247.099999999991</v>
      </c>
      <c r="E17" s="88">
        <v>85686.25</v>
      </c>
      <c r="F17" s="88">
        <v>89005.8</v>
      </c>
      <c r="G17" s="88">
        <v>92323.400000000009</v>
      </c>
      <c r="H17" s="88">
        <v>95642.95</v>
      </c>
      <c r="I17" s="88">
        <v>98959.900000000009</v>
      </c>
      <c r="J17" s="88">
        <v>100412.65000000001</v>
      </c>
      <c r="K17" s="88">
        <v>101864.09999999999</v>
      </c>
      <c r="L17" s="88">
        <v>103318.8</v>
      </c>
      <c r="M17" s="88">
        <v>104773.5</v>
      </c>
      <c r="N17" s="88">
        <v>105956.5</v>
      </c>
      <c r="O17" s="88">
        <v>107142.75</v>
      </c>
      <c r="P17" s="88">
        <v>108327.05</v>
      </c>
      <c r="Q17" s="88">
        <v>109512</v>
      </c>
      <c r="R17" s="88">
        <v>110698.9</v>
      </c>
      <c r="S17" s="88">
        <v>111883.2</v>
      </c>
      <c r="T17" s="88">
        <v>113068.15</v>
      </c>
      <c r="U17" s="88">
        <v>114251.8</v>
      </c>
      <c r="V17" s="88">
        <v>114251.8</v>
      </c>
      <c r="W17" s="88">
        <v>114788.05</v>
      </c>
      <c r="X17" s="88">
        <v>114788.05</v>
      </c>
      <c r="Y17" s="88">
        <v>115322.35</v>
      </c>
      <c r="Z17" s="88">
        <v>115322.35</v>
      </c>
      <c r="AA17" s="88">
        <v>115858.6</v>
      </c>
      <c r="AB17" s="88">
        <v>115858.6</v>
      </c>
      <c r="AC17" s="88">
        <v>116394.2</v>
      </c>
      <c r="AD17" s="88">
        <v>116394.2</v>
      </c>
      <c r="AE17" s="88">
        <v>116929.8</v>
      </c>
    </row>
    <row r="18" spans="1:31" x14ac:dyDescent="0.2">
      <c r="A18" s="84">
        <v>15</v>
      </c>
      <c r="B18" s="88">
        <v>70833.099999999991</v>
      </c>
      <c r="C18" s="88">
        <v>74055.150000000009</v>
      </c>
      <c r="D18" s="88">
        <v>77275.900000000009</v>
      </c>
      <c r="E18" s="88">
        <v>80498.599999999991</v>
      </c>
      <c r="F18" s="88">
        <v>83607.55</v>
      </c>
      <c r="G18" s="88">
        <v>86717.8</v>
      </c>
      <c r="H18" s="88">
        <v>89827.400000000009</v>
      </c>
      <c r="I18" s="88">
        <v>92937.650000000009</v>
      </c>
      <c r="J18" s="88">
        <v>94298.75</v>
      </c>
      <c r="K18" s="88">
        <v>95659.849999999991</v>
      </c>
      <c r="L18" s="88">
        <v>97021.599999999991</v>
      </c>
      <c r="M18" s="88">
        <v>98382.7</v>
      </c>
      <c r="N18" s="88">
        <v>99462.349999999991</v>
      </c>
      <c r="O18" s="88">
        <v>100543.95</v>
      </c>
      <c r="P18" s="88">
        <v>101624.25</v>
      </c>
      <c r="Q18" s="88">
        <v>102704.55</v>
      </c>
      <c r="R18" s="88">
        <v>103784.2</v>
      </c>
      <c r="S18" s="88">
        <v>104864.5</v>
      </c>
      <c r="T18" s="88">
        <v>105945.45</v>
      </c>
      <c r="U18" s="88">
        <v>107027.05</v>
      </c>
      <c r="V18" s="88">
        <v>107027.05</v>
      </c>
      <c r="W18" s="88">
        <v>107529.5</v>
      </c>
      <c r="X18" s="88">
        <v>107529.5</v>
      </c>
      <c r="Y18" s="88">
        <v>108032.6</v>
      </c>
      <c r="Z18" s="88">
        <v>108032.6</v>
      </c>
      <c r="AA18" s="88">
        <v>108533.1</v>
      </c>
      <c r="AB18" s="88">
        <v>108533.1</v>
      </c>
      <c r="AC18" s="88">
        <v>109035.55</v>
      </c>
      <c r="AD18" s="88">
        <v>109035.55</v>
      </c>
      <c r="AE18" s="88">
        <v>109538.65</v>
      </c>
    </row>
    <row r="19" spans="1:31" x14ac:dyDescent="0.2">
      <c r="A19" s="84">
        <v>16</v>
      </c>
      <c r="B19" s="88">
        <v>66801.150000000009</v>
      </c>
      <c r="C19" s="88">
        <v>69830.150000000009</v>
      </c>
      <c r="D19" s="88">
        <v>72862.400000000009</v>
      </c>
      <c r="E19" s="88">
        <v>75892.05</v>
      </c>
      <c r="F19" s="88">
        <v>78817.7</v>
      </c>
      <c r="G19" s="88">
        <v>81742.7</v>
      </c>
      <c r="H19" s="88">
        <v>84668.349999999991</v>
      </c>
      <c r="I19" s="88">
        <v>87592.7</v>
      </c>
      <c r="J19" s="88">
        <v>88873.2</v>
      </c>
      <c r="K19" s="88">
        <v>90155</v>
      </c>
      <c r="L19" s="88">
        <v>91434.2</v>
      </c>
      <c r="M19" s="88">
        <v>92715.349999999991</v>
      </c>
      <c r="N19" s="88">
        <v>93686.45</v>
      </c>
      <c r="O19" s="88">
        <v>94658.2</v>
      </c>
      <c r="P19" s="88">
        <v>95631.25</v>
      </c>
      <c r="Q19" s="88">
        <v>96602.349999999991</v>
      </c>
      <c r="R19" s="88">
        <v>97574.099999999991</v>
      </c>
      <c r="S19" s="88">
        <v>98547.8</v>
      </c>
      <c r="T19" s="88">
        <v>99518.900000000009</v>
      </c>
      <c r="U19" s="88">
        <v>100490</v>
      </c>
      <c r="V19" s="88">
        <v>100490</v>
      </c>
      <c r="W19" s="88">
        <v>100965.15000000001</v>
      </c>
      <c r="X19" s="88">
        <v>100965.15000000001</v>
      </c>
      <c r="Y19" s="88">
        <v>101439</v>
      </c>
      <c r="Z19" s="88">
        <v>101439</v>
      </c>
      <c r="AA19" s="88">
        <v>101911.55</v>
      </c>
      <c r="AB19" s="88">
        <v>101911.55</v>
      </c>
      <c r="AC19" s="88">
        <v>102386.05</v>
      </c>
      <c r="AD19" s="88">
        <v>102386.05</v>
      </c>
      <c r="AE19" s="88">
        <v>102859.25</v>
      </c>
    </row>
    <row r="20" spans="1:31" x14ac:dyDescent="0.2">
      <c r="A20" s="84">
        <v>17</v>
      </c>
      <c r="B20" s="88">
        <v>63267.1</v>
      </c>
      <c r="C20" s="88">
        <v>66134.25</v>
      </c>
      <c r="D20" s="88">
        <v>69002.05</v>
      </c>
      <c r="E20" s="88">
        <v>71866.599999999991</v>
      </c>
      <c r="F20" s="88">
        <v>74630.400000000009</v>
      </c>
      <c r="G20" s="88">
        <v>77392.25</v>
      </c>
      <c r="H20" s="88">
        <v>80154.75</v>
      </c>
      <c r="I20" s="88">
        <v>82919.849999999991</v>
      </c>
      <c r="J20" s="88">
        <v>84128.849999999991</v>
      </c>
      <c r="K20" s="88">
        <v>85338.5</v>
      </c>
      <c r="L20" s="88">
        <v>86548.800000000003</v>
      </c>
      <c r="M20" s="88">
        <v>87757.150000000009</v>
      </c>
      <c r="N20" s="88">
        <v>88626.2</v>
      </c>
      <c r="O20" s="88">
        <v>89492.650000000009</v>
      </c>
      <c r="P20" s="88">
        <v>90359.099999999991</v>
      </c>
      <c r="Q20" s="88">
        <v>91224.900000000009</v>
      </c>
      <c r="R20" s="88">
        <v>92095.25</v>
      </c>
      <c r="S20" s="88">
        <v>92960.400000000009</v>
      </c>
      <c r="T20" s="88">
        <v>93828.150000000009</v>
      </c>
      <c r="U20" s="88">
        <v>94695.900000000009</v>
      </c>
      <c r="V20" s="88">
        <v>94695.900000000009</v>
      </c>
      <c r="W20" s="88">
        <v>95143.75</v>
      </c>
      <c r="X20" s="88">
        <v>95143.75</v>
      </c>
      <c r="Y20" s="88">
        <v>95594.2</v>
      </c>
      <c r="Z20" s="88">
        <v>95594.2</v>
      </c>
      <c r="AA20" s="88">
        <v>96043.349999999991</v>
      </c>
      <c r="AB20" s="88">
        <v>96043.349999999991</v>
      </c>
      <c r="AC20" s="88">
        <v>96492.5</v>
      </c>
      <c r="AD20" s="88">
        <v>96492.5</v>
      </c>
      <c r="AE20" s="88">
        <v>96942.95</v>
      </c>
    </row>
    <row r="21" spans="1:31" x14ac:dyDescent="0.2">
      <c r="A21" s="84">
        <v>18</v>
      </c>
      <c r="B21" s="88">
        <v>60199.1</v>
      </c>
      <c r="C21" s="88">
        <v>62940.800000000003</v>
      </c>
      <c r="D21" s="88">
        <v>65682.5</v>
      </c>
      <c r="E21" s="88">
        <v>68422.25</v>
      </c>
      <c r="F21" s="88">
        <v>71045.650000000009</v>
      </c>
      <c r="G21" s="88">
        <v>73669.05</v>
      </c>
      <c r="H21" s="88">
        <v>76291.8</v>
      </c>
      <c r="I21" s="88">
        <v>78915.199999999997</v>
      </c>
      <c r="J21" s="88">
        <v>80064.400000000009</v>
      </c>
      <c r="K21" s="88">
        <v>81214.25</v>
      </c>
      <c r="L21" s="88">
        <v>82360.849999999991</v>
      </c>
      <c r="M21" s="88">
        <v>83508.75</v>
      </c>
      <c r="N21" s="88">
        <v>84272.5</v>
      </c>
      <c r="O21" s="88">
        <v>85037.55</v>
      </c>
      <c r="P21" s="88">
        <v>85802.599999999991</v>
      </c>
      <c r="Q21" s="88">
        <v>86565.05</v>
      </c>
      <c r="R21" s="88">
        <v>87328.8</v>
      </c>
      <c r="S21" s="88">
        <v>88091.900000000009</v>
      </c>
      <c r="T21" s="88">
        <v>88856.3</v>
      </c>
      <c r="U21" s="88">
        <v>89622</v>
      </c>
      <c r="V21" s="88">
        <v>89622</v>
      </c>
      <c r="W21" s="88">
        <v>90049.05</v>
      </c>
      <c r="X21" s="88">
        <v>90049.05</v>
      </c>
      <c r="Y21" s="88">
        <v>90478.05</v>
      </c>
      <c r="Z21" s="88">
        <v>90478.05</v>
      </c>
      <c r="AA21" s="88">
        <v>90905.099999999991</v>
      </c>
      <c r="AB21" s="88">
        <v>90905.099999999991</v>
      </c>
      <c r="AC21" s="88">
        <v>91333.45</v>
      </c>
      <c r="AD21" s="88">
        <v>91333.45</v>
      </c>
      <c r="AE21" s="88">
        <v>91761.8</v>
      </c>
    </row>
    <row r="22" spans="1:31" x14ac:dyDescent="0.2">
      <c r="A22" s="84">
        <v>19</v>
      </c>
      <c r="B22" s="88">
        <v>57491.199999999997</v>
      </c>
      <c r="C22" s="88">
        <v>60128.9</v>
      </c>
      <c r="D22" s="88">
        <v>62764</v>
      </c>
      <c r="E22" s="88">
        <v>65402.35</v>
      </c>
      <c r="F22" s="88">
        <v>67905.5</v>
      </c>
      <c r="G22" s="88">
        <v>70408</v>
      </c>
      <c r="H22" s="88">
        <v>72910.5</v>
      </c>
      <c r="I22" s="88">
        <v>75413</v>
      </c>
      <c r="J22" s="88">
        <v>76508.900000000009</v>
      </c>
      <c r="K22" s="88">
        <v>77605.45</v>
      </c>
      <c r="L22" s="88">
        <v>78700.05</v>
      </c>
      <c r="M22" s="88">
        <v>79794</v>
      </c>
      <c r="N22" s="88">
        <v>80481.05</v>
      </c>
      <c r="O22" s="88">
        <v>81166.8</v>
      </c>
      <c r="P22" s="88">
        <v>81852.55</v>
      </c>
      <c r="Q22" s="88">
        <v>82538.3</v>
      </c>
      <c r="R22" s="88">
        <v>83226</v>
      </c>
      <c r="S22" s="88">
        <v>83911.099999999991</v>
      </c>
      <c r="T22" s="88">
        <v>84597.5</v>
      </c>
      <c r="U22" s="88">
        <v>85283.900000000009</v>
      </c>
      <c r="V22" s="88">
        <v>85283.900000000009</v>
      </c>
      <c r="W22" s="88">
        <v>85694.05</v>
      </c>
      <c r="X22" s="88">
        <v>85694.05</v>
      </c>
      <c r="Y22" s="88">
        <v>86105.5</v>
      </c>
      <c r="Z22" s="88">
        <v>86105.5</v>
      </c>
      <c r="AA22" s="88">
        <v>86515</v>
      </c>
      <c r="AB22" s="88">
        <v>86515</v>
      </c>
      <c r="AC22" s="88">
        <v>86923.849999999991</v>
      </c>
      <c r="AD22" s="88">
        <v>86923.849999999991</v>
      </c>
      <c r="AE22" s="88">
        <v>87334.650000000009</v>
      </c>
    </row>
    <row r="23" spans="1:31" x14ac:dyDescent="0.2">
      <c r="A23" s="84">
        <v>20</v>
      </c>
      <c r="B23" s="88">
        <v>54832.7</v>
      </c>
      <c r="C23" s="88">
        <v>57355.35</v>
      </c>
      <c r="D23" s="88">
        <v>59878</v>
      </c>
      <c r="E23" s="88">
        <v>62400</v>
      </c>
      <c r="F23" s="88">
        <v>64786.15</v>
      </c>
      <c r="G23" s="88">
        <v>67172.3</v>
      </c>
      <c r="H23" s="88">
        <v>69556.5</v>
      </c>
      <c r="I23" s="88">
        <v>71942.650000000009</v>
      </c>
      <c r="J23" s="88">
        <v>72985.900000000009</v>
      </c>
      <c r="K23" s="88">
        <v>74031.099999999991</v>
      </c>
      <c r="L23" s="88">
        <v>75075</v>
      </c>
      <c r="M23" s="88">
        <v>76116.95</v>
      </c>
      <c r="N23" s="88">
        <v>76789.05</v>
      </c>
      <c r="O23" s="88">
        <v>77459.849999999991</v>
      </c>
      <c r="P23" s="88">
        <v>78131.3</v>
      </c>
      <c r="Q23" s="88">
        <v>78803.400000000009</v>
      </c>
      <c r="R23" s="88">
        <v>79473.55</v>
      </c>
      <c r="S23" s="88">
        <v>80143.7</v>
      </c>
      <c r="T23" s="88">
        <v>80817.099999999991</v>
      </c>
      <c r="U23" s="88">
        <v>81487.25</v>
      </c>
      <c r="V23" s="88">
        <v>81487.25</v>
      </c>
      <c r="W23" s="88">
        <v>81875.95</v>
      </c>
      <c r="X23" s="88">
        <v>81875.95</v>
      </c>
      <c r="Y23" s="88">
        <v>82265.95</v>
      </c>
      <c r="Z23" s="88">
        <v>82265.95</v>
      </c>
      <c r="AA23" s="88">
        <v>82655.3</v>
      </c>
      <c r="AB23" s="88">
        <v>82655.3</v>
      </c>
      <c r="AC23" s="88">
        <v>83044.650000000009</v>
      </c>
      <c r="AD23" s="88">
        <v>83044.650000000009</v>
      </c>
      <c r="AE23" s="88">
        <v>83433.349999999991</v>
      </c>
    </row>
    <row r="24" spans="1:31" x14ac:dyDescent="0.2">
      <c r="A24" s="84">
        <v>21</v>
      </c>
      <c r="B24" s="88">
        <v>52502.450000000004</v>
      </c>
      <c r="C24" s="88">
        <v>54933.45</v>
      </c>
      <c r="D24" s="88">
        <v>57365.1</v>
      </c>
      <c r="E24" s="88">
        <v>59796.75</v>
      </c>
      <c r="F24" s="88">
        <v>62104.25</v>
      </c>
      <c r="G24" s="88">
        <v>64415</v>
      </c>
      <c r="H24" s="88">
        <v>66721.849999999991</v>
      </c>
      <c r="I24" s="88">
        <v>69030</v>
      </c>
      <c r="J24" s="88">
        <v>70040.099999999991</v>
      </c>
      <c r="K24" s="88">
        <v>71050.2</v>
      </c>
      <c r="L24" s="88">
        <v>72060.95</v>
      </c>
      <c r="M24" s="88">
        <v>73071.05</v>
      </c>
      <c r="N24" s="88">
        <v>73669.05</v>
      </c>
      <c r="O24" s="88">
        <v>74267.05</v>
      </c>
      <c r="P24" s="88">
        <v>74867.650000000009</v>
      </c>
      <c r="Q24" s="88">
        <v>75465</v>
      </c>
      <c r="R24" s="88">
        <v>76063</v>
      </c>
      <c r="S24" s="88">
        <v>76662.3</v>
      </c>
      <c r="T24" s="88">
        <v>77260.3</v>
      </c>
      <c r="U24" s="88">
        <v>77858.3</v>
      </c>
      <c r="V24" s="88">
        <v>77858.3</v>
      </c>
      <c r="W24" s="88">
        <v>78211.25</v>
      </c>
      <c r="X24" s="88">
        <v>78211.25</v>
      </c>
      <c r="Y24" s="88">
        <v>78563.55</v>
      </c>
      <c r="Z24" s="88">
        <v>78563.55</v>
      </c>
      <c r="AA24" s="88">
        <v>78914.55</v>
      </c>
      <c r="AB24" s="88">
        <v>78914.55</v>
      </c>
      <c r="AC24" s="88">
        <v>79267.5</v>
      </c>
      <c r="AD24" s="88">
        <v>79267.5</v>
      </c>
      <c r="AE24" s="88">
        <v>79619.150000000009</v>
      </c>
    </row>
    <row r="25" spans="1:31" x14ac:dyDescent="0.2">
      <c r="A25" s="84">
        <v>22</v>
      </c>
      <c r="B25" s="88">
        <v>50361.35</v>
      </c>
      <c r="C25" s="88">
        <v>52707.85</v>
      </c>
      <c r="D25" s="88">
        <v>55056.95</v>
      </c>
      <c r="E25" s="88">
        <v>57405.4</v>
      </c>
      <c r="F25" s="88">
        <v>59643.35</v>
      </c>
      <c r="G25" s="88">
        <v>61880.65</v>
      </c>
      <c r="H25" s="88">
        <v>64119.25</v>
      </c>
      <c r="I25" s="88">
        <v>66356.55</v>
      </c>
      <c r="J25" s="88">
        <v>67336.099999999991</v>
      </c>
      <c r="K25" s="88">
        <v>68314.349999999991</v>
      </c>
      <c r="L25" s="88">
        <v>69293.900000000009</v>
      </c>
      <c r="M25" s="88">
        <v>70274.75</v>
      </c>
      <c r="N25" s="88">
        <v>70850</v>
      </c>
      <c r="O25" s="88">
        <v>71422.650000000009</v>
      </c>
      <c r="P25" s="88">
        <v>71997.25</v>
      </c>
      <c r="Q25" s="88">
        <v>72571.849999999991</v>
      </c>
      <c r="R25" s="88">
        <v>73145.150000000009</v>
      </c>
      <c r="S25" s="88">
        <v>73720.400000000009</v>
      </c>
      <c r="T25" s="88">
        <v>74295.650000000009</v>
      </c>
      <c r="U25" s="88">
        <v>74871.55</v>
      </c>
      <c r="V25" s="88">
        <v>74871.55</v>
      </c>
      <c r="W25" s="88">
        <v>75185.5</v>
      </c>
      <c r="X25" s="88">
        <v>75185.5</v>
      </c>
      <c r="Y25" s="88">
        <v>75503.349999999991</v>
      </c>
      <c r="Z25" s="88">
        <v>75503.349999999991</v>
      </c>
      <c r="AA25" s="88">
        <v>75819.900000000009</v>
      </c>
      <c r="AB25" s="88">
        <v>75819.900000000009</v>
      </c>
      <c r="AC25" s="88">
        <v>76134.5</v>
      </c>
      <c r="AD25" s="88">
        <v>76134.5</v>
      </c>
      <c r="AE25" s="88">
        <v>76453</v>
      </c>
    </row>
    <row r="26" spans="1:31" x14ac:dyDescent="0.2">
      <c r="A26" s="84">
        <v>23</v>
      </c>
      <c r="B26" s="88">
        <v>48409.4</v>
      </c>
      <c r="C26" s="88">
        <v>50681.799999999996</v>
      </c>
      <c r="D26" s="88">
        <v>52952.9</v>
      </c>
      <c r="E26" s="88">
        <v>55224.65</v>
      </c>
      <c r="F26" s="88">
        <v>57399.55</v>
      </c>
      <c r="G26" s="88">
        <v>59574.45</v>
      </c>
      <c r="H26" s="88">
        <v>61748.7</v>
      </c>
      <c r="I26" s="88">
        <v>63922.3</v>
      </c>
      <c r="J26" s="88">
        <v>64873.25</v>
      </c>
      <c r="K26" s="88">
        <v>65824.849999999991</v>
      </c>
      <c r="L26" s="88">
        <v>66776.45</v>
      </c>
      <c r="M26" s="88">
        <v>67728.05</v>
      </c>
      <c r="N26" s="88">
        <v>68277.95</v>
      </c>
      <c r="O26" s="88">
        <v>68825.25</v>
      </c>
      <c r="P26" s="88">
        <v>69375.8</v>
      </c>
      <c r="Q26" s="88">
        <v>69925.05</v>
      </c>
      <c r="R26" s="88">
        <v>70475.599999999991</v>
      </c>
      <c r="S26" s="88">
        <v>71024.2</v>
      </c>
      <c r="T26" s="88">
        <v>71574.099999999991</v>
      </c>
      <c r="U26" s="88">
        <v>72014.150000000009</v>
      </c>
      <c r="V26" s="88">
        <v>72014.150000000009</v>
      </c>
      <c r="W26" s="88">
        <v>72319.650000000009</v>
      </c>
      <c r="X26" s="88">
        <v>72319.650000000009</v>
      </c>
      <c r="Y26" s="88">
        <v>72626.45</v>
      </c>
      <c r="Z26" s="88">
        <v>72626.45</v>
      </c>
      <c r="AA26" s="88">
        <v>72931.95</v>
      </c>
      <c r="AB26" s="88">
        <v>72931.95</v>
      </c>
      <c r="AC26" s="88">
        <v>73236.150000000009</v>
      </c>
      <c r="AD26" s="88">
        <v>73236.150000000009</v>
      </c>
      <c r="AE26" s="88">
        <v>73543.599999999991</v>
      </c>
    </row>
    <row r="27" spans="1:31" x14ac:dyDescent="0.2">
      <c r="A27" s="84">
        <v>24</v>
      </c>
      <c r="B27" s="88">
        <v>46638.15</v>
      </c>
      <c r="C27" s="88">
        <v>48842.299999999996</v>
      </c>
      <c r="D27" s="88">
        <v>51046.450000000004</v>
      </c>
      <c r="E27" s="88">
        <v>53252.55</v>
      </c>
      <c r="F27" s="88">
        <v>55370.25</v>
      </c>
      <c r="G27" s="88">
        <v>57490.55</v>
      </c>
      <c r="H27" s="88">
        <v>59607.6</v>
      </c>
      <c r="I27" s="88">
        <v>61726.6</v>
      </c>
      <c r="J27" s="88">
        <v>62654.15</v>
      </c>
      <c r="K27" s="88">
        <v>63581.05</v>
      </c>
      <c r="L27" s="88">
        <v>64506.65</v>
      </c>
      <c r="M27" s="88">
        <v>65435.5</v>
      </c>
      <c r="N27" s="88">
        <v>65960.05</v>
      </c>
      <c r="O27" s="88">
        <v>66483.95</v>
      </c>
      <c r="P27" s="88">
        <v>67009.8</v>
      </c>
      <c r="Q27" s="88">
        <v>67535</v>
      </c>
      <c r="R27" s="88">
        <v>68057.599999999991</v>
      </c>
      <c r="S27" s="88">
        <v>68581.5</v>
      </c>
      <c r="T27" s="88">
        <v>69071.599999999991</v>
      </c>
      <c r="U27" s="88">
        <v>69376.45</v>
      </c>
      <c r="V27" s="88">
        <v>69376.45</v>
      </c>
      <c r="W27" s="88">
        <v>69683.25</v>
      </c>
      <c r="X27" s="88">
        <v>69683.25</v>
      </c>
      <c r="Y27" s="88">
        <v>69988.099999999991</v>
      </c>
      <c r="Z27" s="88">
        <v>69988.099999999991</v>
      </c>
      <c r="AA27" s="88">
        <v>70292.95</v>
      </c>
      <c r="AB27" s="88">
        <v>70292.95</v>
      </c>
      <c r="AC27" s="88">
        <v>70597.150000000009</v>
      </c>
      <c r="AD27" s="88">
        <v>70597.150000000009</v>
      </c>
      <c r="AE27" s="88">
        <v>70904.599999999991</v>
      </c>
    </row>
    <row r="28" spans="1:31" x14ac:dyDescent="0.2">
      <c r="A28" s="84">
        <v>25</v>
      </c>
      <c r="B28" s="88">
        <v>45048.9</v>
      </c>
      <c r="C28" s="88">
        <v>47195.200000000004</v>
      </c>
      <c r="D28" s="88">
        <v>49343.450000000004</v>
      </c>
      <c r="E28" s="88">
        <v>51491.049999999996</v>
      </c>
      <c r="F28" s="88">
        <v>53560</v>
      </c>
      <c r="G28" s="88">
        <v>55629.599999999999</v>
      </c>
      <c r="H28" s="88">
        <v>57697.9</v>
      </c>
      <c r="I28" s="88">
        <v>59766.2</v>
      </c>
      <c r="J28" s="88">
        <v>60672.95</v>
      </c>
      <c r="K28" s="88">
        <v>61578.400000000001</v>
      </c>
      <c r="L28" s="88">
        <v>62484.5</v>
      </c>
      <c r="M28" s="88">
        <v>63389.3</v>
      </c>
      <c r="N28" s="88">
        <v>63890.45</v>
      </c>
      <c r="O28" s="88">
        <v>64389.65</v>
      </c>
      <c r="P28" s="88">
        <v>64888.85</v>
      </c>
      <c r="Q28" s="88">
        <v>65389.35</v>
      </c>
      <c r="R28" s="88">
        <v>65889.849999999991</v>
      </c>
      <c r="S28" s="88">
        <v>66386.45</v>
      </c>
      <c r="T28" s="88">
        <v>66693.25</v>
      </c>
      <c r="U28" s="88">
        <v>66998.099999999991</v>
      </c>
      <c r="V28" s="88">
        <v>66998.099999999991</v>
      </c>
      <c r="W28" s="88">
        <v>67303.599999999991</v>
      </c>
      <c r="X28" s="88">
        <v>67303.599999999991</v>
      </c>
      <c r="Y28" s="88">
        <v>67607.8</v>
      </c>
      <c r="Z28" s="88">
        <v>67607.8</v>
      </c>
      <c r="AA28" s="88">
        <v>67914.599999999991</v>
      </c>
      <c r="AB28" s="88">
        <v>67914.599999999991</v>
      </c>
      <c r="AC28" s="88">
        <v>68220.75</v>
      </c>
      <c r="AD28" s="88">
        <v>68220.75</v>
      </c>
      <c r="AE28" s="88">
        <v>68526.25</v>
      </c>
    </row>
    <row r="29" spans="1:31" x14ac:dyDescent="0.2">
      <c r="A29" s="84">
        <v>26</v>
      </c>
      <c r="B29" s="88">
        <v>43686.5</v>
      </c>
      <c r="C29" s="88">
        <v>45778.200000000004</v>
      </c>
      <c r="D29" s="88">
        <v>47872.5</v>
      </c>
      <c r="E29" s="88">
        <v>49964.85</v>
      </c>
      <c r="F29" s="88">
        <v>51987</v>
      </c>
      <c r="G29" s="88">
        <v>54005.25</v>
      </c>
      <c r="H29" s="88">
        <v>56024.800000000003</v>
      </c>
      <c r="I29" s="88">
        <v>58045</v>
      </c>
      <c r="J29" s="88">
        <v>58929.65</v>
      </c>
      <c r="K29" s="88">
        <v>59814.95</v>
      </c>
      <c r="L29" s="88">
        <v>60697.65</v>
      </c>
      <c r="M29" s="88">
        <v>61581.65</v>
      </c>
      <c r="N29" s="88">
        <v>62057.45</v>
      </c>
      <c r="O29" s="88">
        <v>62535.199999999997</v>
      </c>
      <c r="P29" s="88">
        <v>63009.7</v>
      </c>
      <c r="Q29" s="88">
        <v>63486.8</v>
      </c>
      <c r="R29" s="88">
        <v>63963.9</v>
      </c>
      <c r="S29" s="88">
        <v>64270.05</v>
      </c>
      <c r="T29" s="88">
        <v>64574.25</v>
      </c>
      <c r="U29" s="88">
        <v>64879.75</v>
      </c>
      <c r="V29" s="88">
        <v>64879.75</v>
      </c>
      <c r="W29" s="88">
        <v>65185.25</v>
      </c>
      <c r="X29" s="88">
        <v>65185.25</v>
      </c>
      <c r="Y29" s="88">
        <v>65489.45</v>
      </c>
      <c r="Z29" s="88">
        <v>65489.45</v>
      </c>
      <c r="AA29" s="88">
        <v>65796.900000000009</v>
      </c>
      <c r="AB29" s="88">
        <v>65796.900000000009</v>
      </c>
      <c r="AC29" s="88">
        <v>66100.45</v>
      </c>
      <c r="AD29" s="88">
        <v>66100.45</v>
      </c>
      <c r="AE29" s="88">
        <v>66407.25</v>
      </c>
    </row>
    <row r="30" spans="1:31" x14ac:dyDescent="0.2">
      <c r="A30" s="84">
        <v>27</v>
      </c>
      <c r="B30" s="88">
        <v>42429.4</v>
      </c>
      <c r="C30" s="88">
        <v>44485.35</v>
      </c>
      <c r="D30" s="88">
        <v>46542.6</v>
      </c>
      <c r="E30" s="88">
        <v>48597.9</v>
      </c>
      <c r="F30" s="88">
        <v>50582.35</v>
      </c>
      <c r="G30" s="88">
        <v>52567.450000000004</v>
      </c>
      <c r="H30" s="88">
        <v>54551.9</v>
      </c>
      <c r="I30" s="88">
        <v>56535.05</v>
      </c>
      <c r="J30" s="88">
        <v>57404.75</v>
      </c>
      <c r="K30" s="88">
        <v>58273.8</v>
      </c>
      <c r="L30" s="88">
        <v>59142.2</v>
      </c>
      <c r="M30" s="88">
        <v>60010.6</v>
      </c>
      <c r="N30" s="88">
        <v>60462.35</v>
      </c>
      <c r="O30" s="88">
        <v>60915.4</v>
      </c>
      <c r="P30" s="88">
        <v>61367.8</v>
      </c>
      <c r="Q30" s="88">
        <v>61803.95</v>
      </c>
      <c r="R30" s="88">
        <v>62109.45</v>
      </c>
      <c r="S30" s="88">
        <v>62415.6</v>
      </c>
      <c r="T30" s="88">
        <v>62721.75</v>
      </c>
      <c r="U30" s="88">
        <v>63027.9</v>
      </c>
      <c r="V30" s="88">
        <v>63027.9</v>
      </c>
      <c r="W30" s="88">
        <v>63330.8</v>
      </c>
      <c r="X30" s="88">
        <v>63330.8</v>
      </c>
      <c r="Y30" s="88">
        <v>63636.3</v>
      </c>
      <c r="Z30" s="88">
        <v>63636.3</v>
      </c>
      <c r="AA30" s="88">
        <v>63943.1</v>
      </c>
      <c r="AB30" s="88">
        <v>63943.1</v>
      </c>
      <c r="AC30" s="88">
        <v>64247.95</v>
      </c>
      <c r="AD30" s="88">
        <v>64247.95</v>
      </c>
      <c r="AE30" s="88">
        <v>64553.45</v>
      </c>
    </row>
    <row r="31" spans="1:31" x14ac:dyDescent="0.2">
      <c r="A31" s="84">
        <v>28</v>
      </c>
      <c r="B31" s="88">
        <v>41399.15</v>
      </c>
      <c r="C31" s="88">
        <v>43420.65</v>
      </c>
      <c r="D31" s="88">
        <v>45445.4</v>
      </c>
      <c r="E31" s="88">
        <v>47466.25</v>
      </c>
      <c r="F31" s="88">
        <v>49417.549999999996</v>
      </c>
      <c r="G31" s="88">
        <v>51370.799999999996</v>
      </c>
      <c r="H31" s="88">
        <v>53322.75</v>
      </c>
      <c r="I31" s="88">
        <v>55275.35</v>
      </c>
      <c r="J31" s="88">
        <v>56150.9</v>
      </c>
      <c r="K31" s="88">
        <v>57027.75</v>
      </c>
      <c r="L31" s="88">
        <v>57907.199999999997</v>
      </c>
      <c r="M31" s="88">
        <v>58783.4</v>
      </c>
      <c r="N31" s="88">
        <v>59198.1</v>
      </c>
      <c r="O31" s="88">
        <v>59590.05</v>
      </c>
      <c r="P31" s="88">
        <v>59896.2</v>
      </c>
      <c r="Q31" s="88">
        <v>60201.7</v>
      </c>
      <c r="R31" s="88">
        <v>60506.55</v>
      </c>
      <c r="S31" s="88">
        <v>60812.7</v>
      </c>
      <c r="T31" s="88">
        <v>61118.2</v>
      </c>
      <c r="U31" s="88">
        <v>61423.7</v>
      </c>
      <c r="V31" s="88">
        <v>61423.7</v>
      </c>
      <c r="W31" s="88">
        <v>61728.55</v>
      </c>
      <c r="X31" s="88">
        <v>61728.55</v>
      </c>
      <c r="Y31" s="88">
        <v>62035.35</v>
      </c>
      <c r="Z31" s="88">
        <v>62035.35</v>
      </c>
      <c r="AA31" s="88">
        <v>62340.85</v>
      </c>
      <c r="AB31" s="88">
        <v>62340.85</v>
      </c>
      <c r="AC31" s="88">
        <v>62645.7</v>
      </c>
      <c r="AD31" s="88">
        <v>62645.7</v>
      </c>
      <c r="AE31" s="88">
        <v>62951.199999999997</v>
      </c>
    </row>
    <row r="32" spans="1:31" x14ac:dyDescent="0.2">
      <c r="A32" s="84"/>
    </row>
    <row r="33" spans="1:1" x14ac:dyDescent="0.2">
      <c r="A33" s="84"/>
    </row>
    <row r="34" spans="1:1" x14ac:dyDescent="0.2">
      <c r="A34" s="84"/>
    </row>
  </sheetData>
  <sheetProtection selectLockedCells="1" selectUnlockedCells="1"/>
  <phoneticPr fontId="27" type="noConversion"/>
  <pageMargins left="0.78740157499999996" right="0.78740157499999996" top="0.984251969" bottom="0.984251969" header="0.4921259845" footer="0.4921259845"/>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indexed="22"/>
  </sheetPr>
  <dimension ref="A1:R23"/>
  <sheetViews>
    <sheetView workbookViewId="0">
      <selection activeCell="I25" sqref="I25"/>
    </sheetView>
  </sheetViews>
  <sheetFormatPr baseColWidth="10" defaultColWidth="11.42578125" defaultRowHeight="12.75" x14ac:dyDescent="0.2"/>
  <cols>
    <col min="1" max="2" width="16.5703125" style="10" customWidth="1"/>
    <col min="3" max="3" width="14.5703125" style="10" customWidth="1"/>
    <col min="4" max="9" width="11.42578125" style="10" customWidth="1"/>
    <col min="10" max="18" width="11.42578125" style="10"/>
    <col min="19" max="16384" width="11.42578125" style="1"/>
  </cols>
  <sheetData>
    <row r="1" spans="1:2" x14ac:dyDescent="0.2">
      <c r="A1" s="9">
        <v>0</v>
      </c>
      <c r="B1" s="9" t="s">
        <v>88</v>
      </c>
    </row>
    <row r="2" spans="1:2" x14ac:dyDescent="0.2">
      <c r="A2" s="9">
        <v>0.5</v>
      </c>
      <c r="B2" s="9" t="s">
        <v>354</v>
      </c>
    </row>
    <row r="3" spans="1:2" x14ac:dyDescent="0.2">
      <c r="A3" s="9">
        <v>1</v>
      </c>
      <c r="B3" s="9" t="s">
        <v>85</v>
      </c>
    </row>
    <row r="4" spans="1:2" x14ac:dyDescent="0.2">
      <c r="A4" s="9">
        <v>1.5</v>
      </c>
      <c r="B4" s="9" t="s">
        <v>86</v>
      </c>
    </row>
    <row r="5" spans="1:2" x14ac:dyDescent="0.2">
      <c r="A5" s="9">
        <v>2</v>
      </c>
      <c r="B5" s="9" t="s">
        <v>344</v>
      </c>
    </row>
    <row r="6" spans="1:2" x14ac:dyDescent="0.2">
      <c r="A6" s="9">
        <v>3</v>
      </c>
      <c r="B6" s="9" t="s">
        <v>93</v>
      </c>
    </row>
    <row r="7" spans="1:2" x14ac:dyDescent="0.2">
      <c r="A7" s="9">
        <v>3.5</v>
      </c>
      <c r="B7" s="9" t="s">
        <v>345</v>
      </c>
    </row>
    <row r="8" spans="1:2" x14ac:dyDescent="0.2">
      <c r="A8" s="9">
        <v>4</v>
      </c>
      <c r="B8" s="9" t="s">
        <v>89</v>
      </c>
    </row>
    <row r="9" spans="1:2" x14ac:dyDescent="0.2">
      <c r="A9" s="9">
        <v>5</v>
      </c>
      <c r="B9" s="9" t="s">
        <v>87</v>
      </c>
    </row>
    <row r="10" spans="1:2" x14ac:dyDescent="0.2">
      <c r="A10" s="9">
        <v>5.5</v>
      </c>
      <c r="B10" s="9" t="s">
        <v>671</v>
      </c>
    </row>
    <row r="11" spans="1:2" x14ac:dyDescent="0.2">
      <c r="A11" s="9">
        <v>6</v>
      </c>
      <c r="B11" s="9" t="s">
        <v>672</v>
      </c>
    </row>
    <row r="12" spans="1:2" x14ac:dyDescent="0.2">
      <c r="A12" s="9">
        <v>6.5</v>
      </c>
      <c r="B12" s="9" t="s">
        <v>346</v>
      </c>
    </row>
    <row r="13" spans="1:2" x14ac:dyDescent="0.2">
      <c r="A13" s="9">
        <v>7</v>
      </c>
      <c r="B13" s="9" t="s">
        <v>673</v>
      </c>
    </row>
    <row r="14" spans="1:2" x14ac:dyDescent="0.2">
      <c r="A14" s="9">
        <v>7.5</v>
      </c>
      <c r="B14" s="9" t="s">
        <v>674</v>
      </c>
    </row>
    <row r="15" spans="1:2" x14ac:dyDescent="0.2">
      <c r="A15" s="9">
        <v>8</v>
      </c>
      <c r="B15" s="9" t="s">
        <v>352</v>
      </c>
    </row>
    <row r="16" spans="1:2" x14ac:dyDescent="0.2">
      <c r="A16" s="9">
        <v>8.5</v>
      </c>
      <c r="B16" s="9" t="s">
        <v>90</v>
      </c>
    </row>
    <row r="17" spans="1:2" x14ac:dyDescent="0.2">
      <c r="A17" s="9">
        <v>9</v>
      </c>
      <c r="B17" s="9" t="s">
        <v>351</v>
      </c>
    </row>
    <row r="18" spans="1:2" x14ac:dyDescent="0.2">
      <c r="A18" s="9">
        <v>9.5</v>
      </c>
      <c r="B18" s="9" t="s">
        <v>347</v>
      </c>
    </row>
    <row r="19" spans="1:2" x14ac:dyDescent="0.2">
      <c r="A19" s="9">
        <v>10</v>
      </c>
      <c r="B19" s="9" t="s">
        <v>348</v>
      </c>
    </row>
    <row r="20" spans="1:2" x14ac:dyDescent="0.2">
      <c r="A20" s="9">
        <v>10.5</v>
      </c>
      <c r="B20" s="9" t="s">
        <v>353</v>
      </c>
    </row>
    <row r="21" spans="1:2" x14ac:dyDescent="0.2">
      <c r="A21" s="9">
        <v>11</v>
      </c>
      <c r="B21" s="9" t="s">
        <v>349</v>
      </c>
    </row>
    <row r="22" spans="1:2" x14ac:dyDescent="0.2">
      <c r="A22" s="9">
        <v>12.5</v>
      </c>
      <c r="B22" s="9" t="s">
        <v>350</v>
      </c>
    </row>
    <row r="23" spans="1:2" x14ac:dyDescent="0.2">
      <c r="A23" s="9" t="s">
        <v>91</v>
      </c>
      <c r="B23" s="9" t="s">
        <v>92</v>
      </c>
    </row>
  </sheetData>
  <sheetProtection selectLockedCells="1" selectUnlockedCells="1"/>
  <phoneticPr fontId="12" type="noConversion"/>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3">
    <tabColor indexed="22"/>
    <pageSetUpPr fitToPage="1"/>
  </sheetPr>
  <dimension ref="A1:W528"/>
  <sheetViews>
    <sheetView topLeftCell="H1" workbookViewId="0">
      <selection activeCell="R27" sqref="R27"/>
    </sheetView>
  </sheetViews>
  <sheetFormatPr baseColWidth="10" defaultColWidth="11.42578125" defaultRowHeight="13.5" x14ac:dyDescent="0.25"/>
  <cols>
    <col min="1" max="1" width="10.5703125" style="26" customWidth="1"/>
    <col min="2" max="2" width="12.42578125" style="24" customWidth="1"/>
    <col min="3" max="3" width="10.42578125" style="24" customWidth="1"/>
    <col min="4" max="4" width="10" style="24" customWidth="1"/>
    <col min="5" max="5" width="13.42578125" style="24" customWidth="1"/>
    <col min="6" max="6" width="39.5703125" style="26" customWidth="1"/>
    <col min="7" max="7" width="46.140625" style="24" customWidth="1"/>
    <col min="8" max="8" width="10.5703125" style="24" customWidth="1"/>
    <col min="9" max="10" width="9.42578125" style="24" customWidth="1"/>
    <col min="11" max="11" width="48.5703125" style="29" customWidth="1"/>
    <col min="12" max="12" width="49.5703125" style="31" bestFit="1" customWidth="1"/>
    <col min="13" max="14" width="10.5703125" style="32" customWidth="1"/>
    <col min="15" max="15" width="13.5703125" style="31" customWidth="1"/>
    <col min="16" max="16" width="12.42578125" style="32" customWidth="1"/>
    <col min="17" max="17" width="11.5703125" style="32" customWidth="1"/>
    <col min="18" max="18" width="48.42578125" style="8" customWidth="1"/>
    <col min="19" max="19" width="64.140625" style="8" customWidth="1"/>
    <col min="20" max="20" width="30.140625" style="7" customWidth="1"/>
    <col min="21" max="21" width="11.42578125" style="7" customWidth="1"/>
    <col min="22" max="16384" width="11.42578125" style="7"/>
  </cols>
  <sheetData>
    <row r="1" spans="1:23" s="21" customFormat="1" ht="12.75" x14ac:dyDescent="0.2">
      <c r="A1" s="70" t="s">
        <v>830</v>
      </c>
      <c r="B1" s="71" t="s">
        <v>74</v>
      </c>
      <c r="C1" s="72" t="s">
        <v>68</v>
      </c>
      <c r="D1" s="72" t="s">
        <v>69</v>
      </c>
      <c r="E1" s="72" t="s">
        <v>75</v>
      </c>
      <c r="F1" s="72" t="s">
        <v>70</v>
      </c>
      <c r="G1" s="71" t="s">
        <v>71</v>
      </c>
      <c r="H1" s="72" t="s">
        <v>1094</v>
      </c>
      <c r="I1" s="72" t="s">
        <v>72</v>
      </c>
      <c r="J1" s="72" t="s">
        <v>73</v>
      </c>
      <c r="K1" s="72" t="s">
        <v>10</v>
      </c>
      <c r="L1" s="821" t="s">
        <v>84</v>
      </c>
      <c r="M1" s="73" t="s">
        <v>80</v>
      </c>
      <c r="N1" s="30" t="s">
        <v>78</v>
      </c>
      <c r="O1" s="30" t="s">
        <v>79</v>
      </c>
      <c r="P1" s="73" t="s">
        <v>81</v>
      </c>
      <c r="Q1" s="30" t="s">
        <v>82</v>
      </c>
      <c r="R1" s="30" t="s">
        <v>83</v>
      </c>
      <c r="S1" s="822" t="s">
        <v>264</v>
      </c>
      <c r="T1" s="822" t="s">
        <v>265</v>
      </c>
      <c r="U1" s="823" t="s">
        <v>1260</v>
      </c>
      <c r="V1" s="824" t="s">
        <v>1094</v>
      </c>
      <c r="W1" s="824" t="s">
        <v>71</v>
      </c>
    </row>
    <row r="2" spans="1:23" s="21" customFormat="1" ht="12.75" x14ac:dyDescent="0.2">
      <c r="A2" s="74" t="str">
        <f t="shared" ref="A2:A65" si="0">RIGHT(B2,LEN(B2)-1)</f>
        <v>101.19</v>
      </c>
      <c r="B2" s="71" t="s">
        <v>94</v>
      </c>
      <c r="C2" s="72" t="s">
        <v>1261</v>
      </c>
      <c r="D2" s="72" t="s">
        <v>65</v>
      </c>
      <c r="E2" s="72"/>
      <c r="F2" s="72">
        <v>101</v>
      </c>
      <c r="G2" s="71" t="s">
        <v>45</v>
      </c>
      <c r="H2" s="72">
        <v>19</v>
      </c>
      <c r="I2" s="72">
        <v>312.39999999999998</v>
      </c>
      <c r="J2" s="72">
        <v>5</v>
      </c>
      <c r="K2" s="72">
        <v>3</v>
      </c>
      <c r="L2" s="821" t="s">
        <v>87</v>
      </c>
      <c r="M2" s="73"/>
      <c r="N2" s="30">
        <v>3.5</v>
      </c>
      <c r="O2" s="30">
        <v>6</v>
      </c>
      <c r="P2" s="73"/>
      <c r="Q2" s="30"/>
      <c r="R2" s="30"/>
      <c r="S2" s="822" t="s">
        <v>345</v>
      </c>
      <c r="T2" s="822" t="s">
        <v>65</v>
      </c>
      <c r="U2" s="823" t="s">
        <v>1829</v>
      </c>
      <c r="V2" s="824">
        <v>19</v>
      </c>
      <c r="W2" s="824" t="str">
        <f t="shared" ref="W2:W65" si="1">G2</f>
        <v>Administrative Angestellte</v>
      </c>
    </row>
    <row r="3" spans="1:23" s="21" customFormat="1" ht="12.75" x14ac:dyDescent="0.2">
      <c r="A3" s="74" t="str">
        <f t="shared" si="0"/>
        <v>101.20</v>
      </c>
      <c r="B3" s="825" t="s">
        <v>95</v>
      </c>
      <c r="C3" s="72" t="s">
        <v>1261</v>
      </c>
      <c r="D3" s="72" t="s">
        <v>65</v>
      </c>
      <c r="E3" s="72"/>
      <c r="F3" s="72">
        <v>101</v>
      </c>
      <c r="G3" s="71" t="s">
        <v>45</v>
      </c>
      <c r="H3" s="72">
        <v>20</v>
      </c>
      <c r="I3" s="72">
        <v>291.39999999999998</v>
      </c>
      <c r="J3" s="72">
        <v>5</v>
      </c>
      <c r="K3" s="72">
        <v>1</v>
      </c>
      <c r="L3" s="821" t="s">
        <v>87</v>
      </c>
      <c r="M3" s="73">
        <v>292.8</v>
      </c>
      <c r="N3" s="30">
        <v>3.5</v>
      </c>
      <c r="O3" s="30">
        <v>3</v>
      </c>
      <c r="P3" s="73"/>
      <c r="Q3" s="30"/>
      <c r="R3" s="30"/>
      <c r="S3" s="822" t="s">
        <v>345</v>
      </c>
      <c r="T3" s="822" t="s">
        <v>65</v>
      </c>
      <c r="U3" s="823" t="s">
        <v>1830</v>
      </c>
      <c r="V3" s="824">
        <v>20</v>
      </c>
      <c r="W3" s="824" t="str">
        <f t="shared" si="1"/>
        <v>Administrative Angestellte</v>
      </c>
    </row>
    <row r="4" spans="1:23" s="21" customFormat="1" ht="12.75" x14ac:dyDescent="0.2">
      <c r="A4" s="74" t="str">
        <f t="shared" si="0"/>
        <v>101.21</v>
      </c>
      <c r="B4" s="71" t="s">
        <v>96</v>
      </c>
      <c r="C4" s="72" t="s">
        <v>1261</v>
      </c>
      <c r="D4" s="72" t="s">
        <v>65</v>
      </c>
      <c r="E4" s="72"/>
      <c r="F4" s="72">
        <v>101</v>
      </c>
      <c r="G4" s="71" t="s">
        <v>45</v>
      </c>
      <c r="H4" s="72">
        <v>21</v>
      </c>
      <c r="I4" s="72"/>
      <c r="J4" s="72">
        <v>3.5</v>
      </c>
      <c r="K4" s="72">
        <v>1</v>
      </c>
      <c r="L4" s="821" t="s">
        <v>345</v>
      </c>
      <c r="M4" s="73"/>
      <c r="N4" s="30"/>
      <c r="O4" s="30"/>
      <c r="P4" s="73"/>
      <c r="Q4" s="30"/>
      <c r="R4" s="30"/>
      <c r="S4" s="822" t="s">
        <v>65</v>
      </c>
      <c r="T4" s="822" t="s">
        <v>65</v>
      </c>
      <c r="U4" s="823" t="s">
        <v>1831</v>
      </c>
      <c r="V4" s="824">
        <v>21</v>
      </c>
      <c r="W4" s="824" t="str">
        <f t="shared" si="1"/>
        <v>Administrative Angestellte</v>
      </c>
    </row>
    <row r="5" spans="1:23" s="21" customFormat="1" ht="12.75" x14ac:dyDescent="0.2">
      <c r="A5" s="74" t="str">
        <f t="shared" si="0"/>
        <v>101.22</v>
      </c>
      <c r="B5" s="825" t="s">
        <v>97</v>
      </c>
      <c r="C5" s="72" t="s">
        <v>1261</v>
      </c>
      <c r="D5" s="72" t="s">
        <v>65</v>
      </c>
      <c r="E5" s="72"/>
      <c r="F5" s="72">
        <v>101</v>
      </c>
      <c r="G5" s="71" t="s">
        <v>45</v>
      </c>
      <c r="H5" s="72">
        <v>22</v>
      </c>
      <c r="I5" s="72">
        <v>246.2</v>
      </c>
      <c r="J5" s="72">
        <v>3.5</v>
      </c>
      <c r="K5" s="72">
        <v>2</v>
      </c>
      <c r="L5" s="821" t="s">
        <v>345</v>
      </c>
      <c r="M5" s="73"/>
      <c r="N5" s="30"/>
      <c r="O5" s="30"/>
      <c r="P5" s="73"/>
      <c r="Q5" s="30"/>
      <c r="R5" s="30"/>
      <c r="S5" s="822" t="s">
        <v>65</v>
      </c>
      <c r="T5" s="822" t="s">
        <v>65</v>
      </c>
      <c r="U5" s="823" t="s">
        <v>1832</v>
      </c>
      <c r="V5" s="824">
        <v>22</v>
      </c>
      <c r="W5" s="824" t="str">
        <f t="shared" si="1"/>
        <v>Administrative Angestellte</v>
      </c>
    </row>
    <row r="6" spans="1:23" s="21" customFormat="1" ht="12.75" x14ac:dyDescent="0.2">
      <c r="A6" s="74" t="str">
        <f t="shared" si="0"/>
        <v>101.23</v>
      </c>
      <c r="B6" s="71" t="s">
        <v>98</v>
      </c>
      <c r="C6" s="72" t="s">
        <v>1261</v>
      </c>
      <c r="D6" s="72" t="s">
        <v>65</v>
      </c>
      <c r="E6" s="72"/>
      <c r="F6" s="72">
        <v>101</v>
      </c>
      <c r="G6" s="71" t="s">
        <v>45</v>
      </c>
      <c r="H6" s="72">
        <v>23</v>
      </c>
      <c r="I6" s="72"/>
      <c r="J6" s="72">
        <v>3.5</v>
      </c>
      <c r="K6" s="72">
        <v>0</v>
      </c>
      <c r="L6" s="821" t="s">
        <v>345</v>
      </c>
      <c r="M6" s="73"/>
      <c r="N6" s="30">
        <v>2</v>
      </c>
      <c r="O6" s="30">
        <v>4</v>
      </c>
      <c r="P6" s="73"/>
      <c r="Q6" s="30"/>
      <c r="R6" s="30"/>
      <c r="S6" s="822" t="s">
        <v>344</v>
      </c>
      <c r="T6" s="822" t="s">
        <v>65</v>
      </c>
      <c r="U6" s="823" t="s">
        <v>1833</v>
      </c>
      <c r="V6" s="824">
        <v>23</v>
      </c>
      <c r="W6" s="824" t="str">
        <f t="shared" si="1"/>
        <v>Administrative Angestellte</v>
      </c>
    </row>
    <row r="7" spans="1:23" s="21" customFormat="1" ht="12.75" x14ac:dyDescent="0.2">
      <c r="A7" s="74" t="str">
        <f t="shared" si="0"/>
        <v>101.24</v>
      </c>
      <c r="B7" s="825" t="s">
        <v>99</v>
      </c>
      <c r="C7" s="72" t="s">
        <v>1261</v>
      </c>
      <c r="D7" s="72" t="s">
        <v>65</v>
      </c>
      <c r="E7" s="72"/>
      <c r="F7" s="72">
        <v>101</v>
      </c>
      <c r="G7" s="71" t="s">
        <v>45</v>
      </c>
      <c r="H7" s="72">
        <v>24</v>
      </c>
      <c r="I7" s="72">
        <v>192.7</v>
      </c>
      <c r="J7" s="72">
        <v>2</v>
      </c>
      <c r="K7" s="72">
        <v>2</v>
      </c>
      <c r="L7" s="821" t="s">
        <v>344</v>
      </c>
      <c r="M7" s="73"/>
      <c r="N7" s="30"/>
      <c r="O7" s="30"/>
      <c r="P7" s="73"/>
      <c r="Q7" s="30"/>
      <c r="R7" s="30"/>
      <c r="S7" s="822" t="s">
        <v>65</v>
      </c>
      <c r="T7" s="822" t="s">
        <v>65</v>
      </c>
      <c r="U7" s="823" t="s">
        <v>1834</v>
      </c>
      <c r="V7" s="824">
        <v>24</v>
      </c>
      <c r="W7" s="824" t="str">
        <f t="shared" si="1"/>
        <v>Administrative Angestellte</v>
      </c>
    </row>
    <row r="8" spans="1:23" s="21" customFormat="1" ht="12.75" x14ac:dyDescent="0.2">
      <c r="A8" s="74" t="str">
        <f t="shared" si="0"/>
        <v>101.25</v>
      </c>
      <c r="B8" s="71" t="s">
        <v>100</v>
      </c>
      <c r="C8" s="72" t="s">
        <v>1261</v>
      </c>
      <c r="D8" s="72" t="s">
        <v>65</v>
      </c>
      <c r="E8" s="72"/>
      <c r="F8" s="72">
        <v>101</v>
      </c>
      <c r="G8" s="71" t="s">
        <v>45</v>
      </c>
      <c r="H8" s="72">
        <v>25</v>
      </c>
      <c r="I8" s="72"/>
      <c r="J8" s="72">
        <v>2</v>
      </c>
      <c r="K8" s="72">
        <v>0</v>
      </c>
      <c r="L8" s="821" t="s">
        <v>344</v>
      </c>
      <c r="M8" s="73"/>
      <c r="N8" s="30">
        <v>1.5</v>
      </c>
      <c r="O8" s="30">
        <v>2</v>
      </c>
      <c r="P8" s="73"/>
      <c r="Q8" s="30"/>
      <c r="R8" s="30"/>
      <c r="S8" s="822" t="s">
        <v>86</v>
      </c>
      <c r="T8" s="822" t="s">
        <v>65</v>
      </c>
      <c r="U8" s="823" t="s">
        <v>1835</v>
      </c>
      <c r="V8" s="824">
        <v>25</v>
      </c>
      <c r="W8" s="824" t="str">
        <f t="shared" si="1"/>
        <v>Administrative Angestellte</v>
      </c>
    </row>
    <row r="9" spans="1:23" s="21" customFormat="1" ht="12.75" x14ac:dyDescent="0.2">
      <c r="A9" s="74" t="str">
        <f t="shared" si="0"/>
        <v>101.26</v>
      </c>
      <c r="B9" s="825" t="s">
        <v>101</v>
      </c>
      <c r="C9" s="72" t="s">
        <v>1261</v>
      </c>
      <c r="D9" s="72" t="s">
        <v>65</v>
      </c>
      <c r="E9" s="72"/>
      <c r="F9" s="72">
        <v>101</v>
      </c>
      <c r="G9" s="71" t="s">
        <v>45</v>
      </c>
      <c r="H9" s="72">
        <v>26</v>
      </c>
      <c r="I9" s="72">
        <v>146.9</v>
      </c>
      <c r="J9" s="72">
        <v>1.5</v>
      </c>
      <c r="K9" s="72">
        <v>1</v>
      </c>
      <c r="L9" s="821" t="s">
        <v>86</v>
      </c>
      <c r="M9" s="73"/>
      <c r="N9" s="30"/>
      <c r="O9" s="30"/>
      <c r="P9" s="73"/>
      <c r="Q9" s="30"/>
      <c r="R9" s="30"/>
      <c r="S9" s="822" t="s">
        <v>65</v>
      </c>
      <c r="T9" s="822" t="s">
        <v>65</v>
      </c>
      <c r="U9" s="823" t="s">
        <v>1836</v>
      </c>
      <c r="V9" s="824">
        <v>26</v>
      </c>
      <c r="W9" s="824" t="str">
        <f t="shared" si="1"/>
        <v>Administrative Angestellte</v>
      </c>
    </row>
    <row r="10" spans="1:23" s="21" customFormat="1" ht="12.75" x14ac:dyDescent="0.2">
      <c r="A10" s="826" t="str">
        <f t="shared" si="0"/>
        <v>102.13</v>
      </c>
      <c r="B10" s="827" t="s">
        <v>102</v>
      </c>
      <c r="C10" s="828" t="s">
        <v>1262</v>
      </c>
      <c r="D10" s="828"/>
      <c r="E10" s="828"/>
      <c r="F10" s="828" t="s">
        <v>46</v>
      </c>
      <c r="G10" s="827" t="s">
        <v>47</v>
      </c>
      <c r="H10" s="828">
        <v>13</v>
      </c>
      <c r="I10" s="828"/>
      <c r="J10" s="828">
        <v>7</v>
      </c>
      <c r="K10" s="828">
        <v>6</v>
      </c>
      <c r="L10" s="829" t="s">
        <v>673</v>
      </c>
      <c r="M10" s="830"/>
      <c r="N10" s="831"/>
      <c r="O10" s="831"/>
      <c r="P10" s="830"/>
      <c r="Q10" s="831"/>
      <c r="R10" s="831"/>
      <c r="S10" s="832" t="s">
        <v>65</v>
      </c>
      <c r="T10" s="832" t="s">
        <v>65</v>
      </c>
      <c r="U10" s="823" t="s">
        <v>1837</v>
      </c>
      <c r="V10" s="824">
        <v>13</v>
      </c>
      <c r="W10" s="824" t="str">
        <f t="shared" si="1"/>
        <v>Sachbearbeitung 2 (mbA)</v>
      </c>
    </row>
    <row r="11" spans="1:23" s="21" customFormat="1" ht="12.75" x14ac:dyDescent="0.2">
      <c r="A11" s="74" t="str">
        <f t="shared" si="0"/>
        <v>102.14a</v>
      </c>
      <c r="B11" s="825" t="s">
        <v>192</v>
      </c>
      <c r="C11" s="72" t="s">
        <v>1262</v>
      </c>
      <c r="D11" s="72" t="s">
        <v>66</v>
      </c>
      <c r="E11" s="72"/>
      <c r="F11" s="72" t="s">
        <v>46</v>
      </c>
      <c r="G11" s="71" t="s">
        <v>47</v>
      </c>
      <c r="H11" s="72">
        <v>14</v>
      </c>
      <c r="I11" s="72">
        <v>435.9</v>
      </c>
      <c r="J11" s="72">
        <v>7</v>
      </c>
      <c r="K11" s="72">
        <v>4</v>
      </c>
      <c r="L11" s="821" t="s">
        <v>673</v>
      </c>
      <c r="M11" s="73"/>
      <c r="N11" s="30"/>
      <c r="O11" s="30"/>
      <c r="P11" s="73"/>
      <c r="Q11" s="30"/>
      <c r="R11" s="30"/>
      <c r="S11" s="822" t="s">
        <v>65</v>
      </c>
      <c r="T11" s="822" t="s">
        <v>65</v>
      </c>
      <c r="U11" s="823" t="s">
        <v>1265</v>
      </c>
      <c r="V11" s="824">
        <v>14</v>
      </c>
      <c r="W11" s="824" t="str">
        <f t="shared" si="1"/>
        <v>Sachbearbeitung 2 (mbA)</v>
      </c>
    </row>
    <row r="12" spans="1:23" s="21" customFormat="1" ht="12.75" x14ac:dyDescent="0.2">
      <c r="A12" s="74" t="str">
        <f t="shared" si="0"/>
        <v>102.14b</v>
      </c>
      <c r="B12" s="825" t="s">
        <v>193</v>
      </c>
      <c r="C12" s="72" t="s">
        <v>1262</v>
      </c>
      <c r="D12" s="72" t="s">
        <v>67</v>
      </c>
      <c r="E12" s="72"/>
      <c r="F12" s="72" t="s">
        <v>46</v>
      </c>
      <c r="G12" s="71" t="s">
        <v>47</v>
      </c>
      <c r="H12" s="72">
        <v>14</v>
      </c>
      <c r="I12" s="72">
        <v>435.9</v>
      </c>
      <c r="J12" s="72">
        <v>7</v>
      </c>
      <c r="K12" s="72">
        <v>4</v>
      </c>
      <c r="L12" s="821" t="s">
        <v>673</v>
      </c>
      <c r="M12" s="73"/>
      <c r="N12" s="30"/>
      <c r="O12" s="30"/>
      <c r="P12" s="73"/>
      <c r="Q12" s="30"/>
      <c r="R12" s="30"/>
      <c r="S12" s="822" t="s">
        <v>65</v>
      </c>
      <c r="T12" s="822" t="s">
        <v>65</v>
      </c>
      <c r="U12" s="823" t="s">
        <v>1266</v>
      </c>
      <c r="V12" s="824">
        <v>14</v>
      </c>
      <c r="W12" s="824" t="str">
        <f t="shared" si="1"/>
        <v>Sachbearbeitung 2 (mbA)</v>
      </c>
    </row>
    <row r="13" spans="1:23" s="21" customFormat="1" ht="12.75" x14ac:dyDescent="0.2">
      <c r="A13" s="826" t="str">
        <f t="shared" si="0"/>
        <v>102.15</v>
      </c>
      <c r="B13" s="827" t="s">
        <v>103</v>
      </c>
      <c r="C13" s="828" t="s">
        <v>1262</v>
      </c>
      <c r="D13" s="828"/>
      <c r="E13" s="828"/>
      <c r="F13" s="828" t="s">
        <v>46</v>
      </c>
      <c r="G13" s="827" t="s">
        <v>47</v>
      </c>
      <c r="H13" s="828">
        <v>15</v>
      </c>
      <c r="I13" s="828"/>
      <c r="J13" s="828">
        <v>7</v>
      </c>
      <c r="K13" s="828">
        <v>2</v>
      </c>
      <c r="L13" s="829" t="s">
        <v>673</v>
      </c>
      <c r="M13" s="830"/>
      <c r="N13" s="831">
        <v>5.5</v>
      </c>
      <c r="O13" s="831">
        <v>6</v>
      </c>
      <c r="P13" s="830"/>
      <c r="Q13" s="831"/>
      <c r="R13" s="831"/>
      <c r="S13" s="832" t="s">
        <v>671</v>
      </c>
      <c r="T13" s="832" t="s">
        <v>65</v>
      </c>
      <c r="U13" s="823" t="s">
        <v>1838</v>
      </c>
      <c r="V13" s="824">
        <v>15</v>
      </c>
      <c r="W13" s="824" t="str">
        <f t="shared" si="1"/>
        <v>Sachbearbeitung 2 (mbA)</v>
      </c>
    </row>
    <row r="14" spans="1:23" s="21" customFormat="1" ht="12.75" x14ac:dyDescent="0.2">
      <c r="A14" s="74" t="str">
        <f t="shared" si="0"/>
        <v>102.16a</v>
      </c>
      <c r="B14" s="825" t="s">
        <v>194</v>
      </c>
      <c r="C14" s="72" t="s">
        <v>1262</v>
      </c>
      <c r="D14" s="72" t="s">
        <v>66</v>
      </c>
      <c r="E14" s="72"/>
      <c r="F14" s="72" t="s">
        <v>46</v>
      </c>
      <c r="G14" s="71" t="s">
        <v>47</v>
      </c>
      <c r="H14" s="72">
        <v>16</v>
      </c>
      <c r="I14" s="72">
        <v>393.1</v>
      </c>
      <c r="J14" s="72">
        <v>5.5</v>
      </c>
      <c r="K14" s="72">
        <v>4</v>
      </c>
      <c r="L14" s="821" t="s">
        <v>671</v>
      </c>
      <c r="M14" s="73"/>
      <c r="N14" s="30"/>
      <c r="O14" s="30"/>
      <c r="P14" s="73"/>
      <c r="Q14" s="30"/>
      <c r="R14" s="30"/>
      <c r="S14" s="822" t="s">
        <v>65</v>
      </c>
      <c r="T14" s="822" t="s">
        <v>65</v>
      </c>
      <c r="U14" s="823" t="s">
        <v>1269</v>
      </c>
      <c r="V14" s="824">
        <v>16</v>
      </c>
      <c r="W14" s="824" t="str">
        <f t="shared" si="1"/>
        <v>Sachbearbeitung 2 (mbA)</v>
      </c>
    </row>
    <row r="15" spans="1:23" s="21" customFormat="1" ht="12.75" x14ac:dyDescent="0.2">
      <c r="A15" s="74" t="str">
        <f t="shared" si="0"/>
        <v>102.16b</v>
      </c>
      <c r="B15" s="825" t="s">
        <v>195</v>
      </c>
      <c r="C15" s="72" t="s">
        <v>1262</v>
      </c>
      <c r="D15" s="72" t="s">
        <v>67</v>
      </c>
      <c r="E15" s="72"/>
      <c r="F15" s="72" t="s">
        <v>46</v>
      </c>
      <c r="G15" s="71" t="s">
        <v>47</v>
      </c>
      <c r="H15" s="72">
        <v>16</v>
      </c>
      <c r="I15" s="72">
        <v>393.1</v>
      </c>
      <c r="J15" s="72">
        <v>5.5</v>
      </c>
      <c r="K15" s="72">
        <v>4</v>
      </c>
      <c r="L15" s="821" t="s">
        <v>671</v>
      </c>
      <c r="M15" s="73"/>
      <c r="N15" s="30"/>
      <c r="O15" s="30"/>
      <c r="P15" s="73"/>
      <c r="Q15" s="30"/>
      <c r="R15" s="30"/>
      <c r="S15" s="822" t="s">
        <v>65</v>
      </c>
      <c r="T15" s="822" t="s">
        <v>65</v>
      </c>
      <c r="U15" s="823" t="s">
        <v>1270</v>
      </c>
      <c r="V15" s="824">
        <v>16</v>
      </c>
      <c r="W15" s="824" t="str">
        <f t="shared" si="1"/>
        <v>Sachbearbeitung 2 (mbA)</v>
      </c>
    </row>
    <row r="16" spans="1:23" s="21" customFormat="1" ht="12.75" x14ac:dyDescent="0.2">
      <c r="A16" s="826" t="str">
        <f t="shared" si="0"/>
        <v>102.17</v>
      </c>
      <c r="B16" s="827" t="s">
        <v>104</v>
      </c>
      <c r="C16" s="828" t="s">
        <v>1262</v>
      </c>
      <c r="D16" s="828"/>
      <c r="E16" s="828"/>
      <c r="F16" s="828" t="s">
        <v>46</v>
      </c>
      <c r="G16" s="827" t="s">
        <v>47</v>
      </c>
      <c r="H16" s="828">
        <v>17</v>
      </c>
      <c r="I16" s="828"/>
      <c r="J16" s="828">
        <v>5</v>
      </c>
      <c r="K16" s="828">
        <v>5</v>
      </c>
      <c r="L16" s="829" t="s">
        <v>87</v>
      </c>
      <c r="M16" s="830"/>
      <c r="N16" s="831">
        <v>5.5</v>
      </c>
      <c r="O16" s="831">
        <v>2</v>
      </c>
      <c r="P16" s="830"/>
      <c r="Q16" s="831"/>
      <c r="R16" s="831"/>
      <c r="S16" s="832" t="s">
        <v>671</v>
      </c>
      <c r="T16" s="832" t="s">
        <v>65</v>
      </c>
      <c r="U16" s="823" t="s">
        <v>1839</v>
      </c>
      <c r="V16" s="824">
        <v>17</v>
      </c>
      <c r="W16" s="824" t="str">
        <f t="shared" si="1"/>
        <v>Sachbearbeitung 2 (mbA)</v>
      </c>
    </row>
    <row r="17" spans="1:23" s="21" customFormat="1" ht="12.75" x14ac:dyDescent="0.2">
      <c r="A17" s="74" t="str">
        <f t="shared" si="0"/>
        <v>102.18a</v>
      </c>
      <c r="B17" s="825" t="s">
        <v>196</v>
      </c>
      <c r="C17" s="72" t="s">
        <v>1262</v>
      </c>
      <c r="D17" s="72" t="s">
        <v>66</v>
      </c>
      <c r="E17" s="72"/>
      <c r="F17" s="72" t="s">
        <v>46</v>
      </c>
      <c r="G17" s="71" t="s">
        <v>47</v>
      </c>
      <c r="H17" s="72">
        <v>18</v>
      </c>
      <c r="I17" s="72">
        <v>343</v>
      </c>
      <c r="J17" s="72">
        <v>5</v>
      </c>
      <c r="K17" s="72">
        <v>3</v>
      </c>
      <c r="L17" s="821" t="s">
        <v>87</v>
      </c>
      <c r="M17" s="73">
        <v>340.6</v>
      </c>
      <c r="N17" s="30">
        <v>5.5</v>
      </c>
      <c r="O17" s="30">
        <v>0</v>
      </c>
      <c r="P17" s="73"/>
      <c r="Q17" s="30"/>
      <c r="R17" s="30"/>
      <c r="S17" s="822" t="s">
        <v>671</v>
      </c>
      <c r="T17" s="822" t="s">
        <v>65</v>
      </c>
      <c r="U17" s="823" t="s">
        <v>1273</v>
      </c>
      <c r="V17" s="824">
        <v>18</v>
      </c>
      <c r="W17" s="824" t="str">
        <f t="shared" si="1"/>
        <v>Sachbearbeitung 2 (mbA)</v>
      </c>
    </row>
    <row r="18" spans="1:23" s="21" customFormat="1" ht="12.75" x14ac:dyDescent="0.2">
      <c r="A18" s="74" t="str">
        <f t="shared" si="0"/>
        <v>102.18b</v>
      </c>
      <c r="B18" s="825" t="s">
        <v>197</v>
      </c>
      <c r="C18" s="72" t="s">
        <v>1262</v>
      </c>
      <c r="D18" s="72" t="s">
        <v>67</v>
      </c>
      <c r="E18" s="72"/>
      <c r="F18" s="72" t="s">
        <v>46</v>
      </c>
      <c r="G18" s="71" t="s">
        <v>47</v>
      </c>
      <c r="H18" s="72">
        <v>18</v>
      </c>
      <c r="I18" s="72">
        <v>343</v>
      </c>
      <c r="J18" s="72">
        <v>5</v>
      </c>
      <c r="K18" s="72">
        <v>3</v>
      </c>
      <c r="L18" s="821" t="s">
        <v>87</v>
      </c>
      <c r="M18" s="73">
        <v>340.6</v>
      </c>
      <c r="N18" s="30">
        <v>5.5</v>
      </c>
      <c r="O18" s="30">
        <v>0</v>
      </c>
      <c r="P18" s="73"/>
      <c r="Q18" s="30"/>
      <c r="R18" s="30"/>
      <c r="S18" s="822" t="s">
        <v>671</v>
      </c>
      <c r="T18" s="822" t="s">
        <v>65</v>
      </c>
      <c r="U18" s="823" t="s">
        <v>1274</v>
      </c>
      <c r="V18" s="824">
        <v>18</v>
      </c>
      <c r="W18" s="824" t="str">
        <f t="shared" si="1"/>
        <v>Sachbearbeitung 2 (mbA)</v>
      </c>
    </row>
    <row r="19" spans="1:23" s="21" customFormat="1" ht="12.75" x14ac:dyDescent="0.2">
      <c r="A19" s="826" t="str">
        <f t="shared" si="0"/>
        <v>102.19</v>
      </c>
      <c r="B19" s="827" t="s">
        <v>105</v>
      </c>
      <c r="C19" s="828" t="s">
        <v>1262</v>
      </c>
      <c r="D19" s="828"/>
      <c r="E19" s="828"/>
      <c r="F19" s="828" t="s">
        <v>46</v>
      </c>
      <c r="G19" s="827" t="s">
        <v>47</v>
      </c>
      <c r="H19" s="828">
        <v>19</v>
      </c>
      <c r="I19" s="828"/>
      <c r="J19" s="828">
        <v>5</v>
      </c>
      <c r="K19" s="828">
        <v>1</v>
      </c>
      <c r="L19" s="829" t="s">
        <v>87</v>
      </c>
      <c r="M19" s="830"/>
      <c r="N19" s="831"/>
      <c r="O19" s="831"/>
      <c r="P19" s="830"/>
      <c r="Q19" s="831"/>
      <c r="R19" s="831"/>
      <c r="S19" s="832" t="s">
        <v>65</v>
      </c>
      <c r="T19" s="832" t="s">
        <v>65</v>
      </c>
      <c r="U19" s="823" t="s">
        <v>1840</v>
      </c>
      <c r="V19" s="824">
        <v>19</v>
      </c>
      <c r="W19" s="824" t="str">
        <f t="shared" si="1"/>
        <v>Sachbearbeitung 2 (mbA)</v>
      </c>
    </row>
    <row r="20" spans="1:23" s="21" customFormat="1" ht="12.75" x14ac:dyDescent="0.2">
      <c r="A20" s="826" t="str">
        <f t="shared" si="0"/>
        <v>103.07</v>
      </c>
      <c r="B20" s="827" t="s">
        <v>321</v>
      </c>
      <c r="C20" s="828" t="s">
        <v>1277</v>
      </c>
      <c r="D20" s="828"/>
      <c r="E20" s="828"/>
      <c r="F20" s="828" t="s">
        <v>48</v>
      </c>
      <c r="G20" s="827" t="s">
        <v>49</v>
      </c>
      <c r="H20" s="828">
        <v>7</v>
      </c>
      <c r="I20" s="828"/>
      <c r="J20" s="828">
        <v>9.5</v>
      </c>
      <c r="K20" s="828">
        <v>6</v>
      </c>
      <c r="L20" s="829" t="s">
        <v>347</v>
      </c>
      <c r="M20" s="830"/>
      <c r="N20" s="831"/>
      <c r="O20" s="831"/>
      <c r="P20" s="830"/>
      <c r="Q20" s="831"/>
      <c r="R20" s="831"/>
      <c r="S20" s="832" t="s">
        <v>65</v>
      </c>
      <c r="T20" s="832" t="s">
        <v>65</v>
      </c>
      <c r="U20" s="823" t="s">
        <v>1841</v>
      </c>
      <c r="V20" s="824">
        <v>7</v>
      </c>
      <c r="W20" s="824" t="str">
        <f t="shared" si="1"/>
        <v>Sachbearbeitung 1 (wiss.)</v>
      </c>
    </row>
    <row r="21" spans="1:23" s="21" customFormat="1" ht="12.75" x14ac:dyDescent="0.2">
      <c r="A21" s="74" t="str">
        <f t="shared" si="0"/>
        <v>103.08a</v>
      </c>
      <c r="B21" s="825" t="s">
        <v>678</v>
      </c>
      <c r="C21" s="72" t="s">
        <v>1277</v>
      </c>
      <c r="D21" s="72" t="s">
        <v>66</v>
      </c>
      <c r="E21" s="72"/>
      <c r="F21" s="72" t="s">
        <v>48</v>
      </c>
      <c r="G21" s="71" t="s">
        <v>49</v>
      </c>
      <c r="H21" s="72">
        <v>8</v>
      </c>
      <c r="I21" s="72">
        <v>593.4</v>
      </c>
      <c r="J21" s="72">
        <v>9.5</v>
      </c>
      <c r="K21" s="72">
        <v>4</v>
      </c>
      <c r="L21" s="821" t="s">
        <v>347</v>
      </c>
      <c r="M21" s="73"/>
      <c r="N21" s="30"/>
      <c r="O21" s="30"/>
      <c r="P21" s="73"/>
      <c r="Q21" s="30"/>
      <c r="R21" s="30"/>
      <c r="S21" s="822" t="s">
        <v>65</v>
      </c>
      <c r="T21" s="822" t="s">
        <v>65</v>
      </c>
      <c r="U21" s="823" t="s">
        <v>1280</v>
      </c>
      <c r="V21" s="824">
        <v>8</v>
      </c>
      <c r="W21" s="824" t="str">
        <f t="shared" si="1"/>
        <v>Sachbearbeitung 1 (wiss.)</v>
      </c>
    </row>
    <row r="22" spans="1:23" s="21" customFormat="1" ht="12.75" x14ac:dyDescent="0.2">
      <c r="A22" s="74" t="str">
        <f t="shared" si="0"/>
        <v>103.08c</v>
      </c>
      <c r="B22" s="825" t="s">
        <v>622</v>
      </c>
      <c r="C22" s="72" t="s">
        <v>1277</v>
      </c>
      <c r="D22" s="72" t="s">
        <v>76</v>
      </c>
      <c r="E22" s="72"/>
      <c r="F22" s="72" t="s">
        <v>623</v>
      </c>
      <c r="G22" s="71" t="s">
        <v>624</v>
      </c>
      <c r="H22" s="72">
        <v>8</v>
      </c>
      <c r="I22" s="72">
        <v>606.4</v>
      </c>
      <c r="J22" s="72">
        <v>9.5</v>
      </c>
      <c r="K22" s="72">
        <v>5</v>
      </c>
      <c r="L22" s="821" t="s">
        <v>706</v>
      </c>
      <c r="M22" s="73"/>
      <c r="N22" s="30"/>
      <c r="O22" s="30"/>
      <c r="P22" s="73"/>
      <c r="Q22" s="30"/>
      <c r="R22" s="30"/>
      <c r="S22" s="822" t="s">
        <v>65</v>
      </c>
      <c r="T22" s="822" t="s">
        <v>65</v>
      </c>
      <c r="U22" s="823" t="s">
        <v>1282</v>
      </c>
      <c r="V22" s="824">
        <v>8</v>
      </c>
      <c r="W22" s="824" t="str">
        <f t="shared" si="1"/>
        <v>Revisionsbereichsleitung</v>
      </c>
    </row>
    <row r="23" spans="1:23" s="21" customFormat="1" ht="12.75" x14ac:dyDescent="0.2">
      <c r="A23" s="826" t="str">
        <f t="shared" si="0"/>
        <v>103.09</v>
      </c>
      <c r="B23" s="827" t="s">
        <v>331</v>
      </c>
      <c r="C23" s="828" t="s">
        <v>1277</v>
      </c>
      <c r="D23" s="828"/>
      <c r="E23" s="828"/>
      <c r="F23" s="828" t="s">
        <v>48</v>
      </c>
      <c r="G23" s="827" t="s">
        <v>49</v>
      </c>
      <c r="H23" s="828">
        <v>9</v>
      </c>
      <c r="I23" s="828"/>
      <c r="J23" s="828">
        <v>9.5</v>
      </c>
      <c r="K23" s="828">
        <v>3</v>
      </c>
      <c r="L23" s="829" t="s">
        <v>347</v>
      </c>
      <c r="M23" s="830"/>
      <c r="N23" s="831"/>
      <c r="O23" s="831"/>
      <c r="P23" s="830"/>
      <c r="Q23" s="831"/>
      <c r="R23" s="831"/>
      <c r="S23" s="832" t="s">
        <v>65</v>
      </c>
      <c r="T23" s="832" t="s">
        <v>65</v>
      </c>
      <c r="U23" s="823" t="s">
        <v>1842</v>
      </c>
      <c r="V23" s="824">
        <v>9</v>
      </c>
      <c r="W23" s="824" t="str">
        <f t="shared" si="1"/>
        <v>Sachbearbeitung 1 (wiss.)</v>
      </c>
    </row>
    <row r="24" spans="1:23" s="21" customFormat="1" ht="12.75" x14ac:dyDescent="0.2">
      <c r="A24" s="74" t="str">
        <f t="shared" si="0"/>
        <v>103.09c</v>
      </c>
      <c r="B24" s="825" t="s">
        <v>620</v>
      </c>
      <c r="C24" s="72" t="s">
        <v>1277</v>
      </c>
      <c r="D24" s="72" t="s">
        <v>76</v>
      </c>
      <c r="E24" s="72"/>
      <c r="F24" s="72" t="s">
        <v>623</v>
      </c>
      <c r="G24" s="71" t="s">
        <v>621</v>
      </c>
      <c r="H24" s="72">
        <v>9</v>
      </c>
      <c r="I24" s="72">
        <v>565.6</v>
      </c>
      <c r="J24" s="72">
        <v>9.5</v>
      </c>
      <c r="K24" s="72">
        <v>4</v>
      </c>
      <c r="L24" s="821" t="s">
        <v>706</v>
      </c>
      <c r="M24" s="73"/>
      <c r="N24" s="30"/>
      <c r="O24" s="30"/>
      <c r="P24" s="73"/>
      <c r="Q24" s="30"/>
      <c r="R24" s="30"/>
      <c r="S24" s="822" t="s">
        <v>65</v>
      </c>
      <c r="T24" s="822" t="s">
        <v>65</v>
      </c>
      <c r="U24" s="823" t="s">
        <v>1285</v>
      </c>
      <c r="V24" s="824">
        <v>9</v>
      </c>
      <c r="W24" s="824" t="str">
        <f t="shared" si="1"/>
        <v>Revisionsleitung 2</v>
      </c>
    </row>
    <row r="25" spans="1:23" s="21" customFormat="1" ht="12.75" x14ac:dyDescent="0.2">
      <c r="A25" s="74" t="str">
        <f t="shared" si="0"/>
        <v>103.10a</v>
      </c>
      <c r="B25" s="825" t="s">
        <v>198</v>
      </c>
      <c r="C25" s="72" t="s">
        <v>1277</v>
      </c>
      <c r="D25" s="72" t="s">
        <v>66</v>
      </c>
      <c r="E25" s="72"/>
      <c r="F25" s="72" t="s">
        <v>48</v>
      </c>
      <c r="G25" s="71" t="s">
        <v>49</v>
      </c>
      <c r="H25" s="72">
        <v>10</v>
      </c>
      <c r="I25" s="72">
        <v>552.4</v>
      </c>
      <c r="J25" s="72">
        <v>9.5</v>
      </c>
      <c r="K25" s="72">
        <v>2</v>
      </c>
      <c r="L25" s="821" t="s">
        <v>347</v>
      </c>
      <c r="M25" s="73"/>
      <c r="N25" s="30"/>
      <c r="O25" s="30"/>
      <c r="P25" s="73"/>
      <c r="Q25" s="30"/>
      <c r="R25" s="30"/>
      <c r="S25" s="822" t="s">
        <v>65</v>
      </c>
      <c r="T25" s="822" t="s">
        <v>65</v>
      </c>
      <c r="U25" s="823" t="s">
        <v>1286</v>
      </c>
      <c r="V25" s="824">
        <v>10</v>
      </c>
      <c r="W25" s="824" t="str">
        <f t="shared" si="1"/>
        <v>Sachbearbeitung 1 (wiss.)</v>
      </c>
    </row>
    <row r="26" spans="1:23" s="21" customFormat="1" ht="12.75" x14ac:dyDescent="0.2">
      <c r="A26" s="74" t="str">
        <f t="shared" si="0"/>
        <v>103.10b</v>
      </c>
      <c r="B26" s="825" t="s">
        <v>199</v>
      </c>
      <c r="C26" s="72" t="s">
        <v>1277</v>
      </c>
      <c r="D26" s="72" t="s">
        <v>67</v>
      </c>
      <c r="E26" s="72"/>
      <c r="F26" s="72" t="s">
        <v>48</v>
      </c>
      <c r="G26" s="71" t="s">
        <v>49</v>
      </c>
      <c r="H26" s="72">
        <v>10</v>
      </c>
      <c r="I26" s="72">
        <v>552.4</v>
      </c>
      <c r="J26" s="72">
        <v>9.5</v>
      </c>
      <c r="K26" s="72">
        <v>2</v>
      </c>
      <c r="L26" s="821" t="s">
        <v>347</v>
      </c>
      <c r="M26" s="73"/>
      <c r="N26" s="30"/>
      <c r="O26" s="30"/>
      <c r="P26" s="73"/>
      <c r="Q26" s="30"/>
      <c r="R26" s="30"/>
      <c r="S26" s="822" t="s">
        <v>65</v>
      </c>
      <c r="T26" s="822" t="s">
        <v>65</v>
      </c>
      <c r="U26" s="823" t="s">
        <v>1287</v>
      </c>
      <c r="V26" s="824">
        <v>10</v>
      </c>
      <c r="W26" s="824" t="str">
        <f t="shared" si="1"/>
        <v>Sachbearbeitung 1 (wiss.)</v>
      </c>
    </row>
    <row r="27" spans="1:23" s="21" customFormat="1" ht="12.75" x14ac:dyDescent="0.2">
      <c r="A27" s="74" t="str">
        <f t="shared" si="0"/>
        <v>103.10c</v>
      </c>
      <c r="B27" s="71" t="s">
        <v>661</v>
      </c>
      <c r="C27" s="72" t="s">
        <v>1277</v>
      </c>
      <c r="D27" s="72" t="s">
        <v>76</v>
      </c>
      <c r="E27" s="72"/>
      <c r="F27" s="72" t="s">
        <v>623</v>
      </c>
      <c r="G27" s="71" t="s">
        <v>619</v>
      </c>
      <c r="H27" s="72">
        <v>10</v>
      </c>
      <c r="I27" s="72">
        <v>523.4</v>
      </c>
      <c r="J27" s="72">
        <v>8.5</v>
      </c>
      <c r="K27" s="72">
        <v>5</v>
      </c>
      <c r="L27" s="821" t="s">
        <v>90</v>
      </c>
      <c r="M27" s="73"/>
      <c r="N27" s="30">
        <v>9.5</v>
      </c>
      <c r="O27" s="30">
        <v>4</v>
      </c>
      <c r="P27" s="73"/>
      <c r="Q27" s="30"/>
      <c r="R27" s="30"/>
      <c r="S27" s="822" t="s">
        <v>347</v>
      </c>
      <c r="T27" s="822" t="s">
        <v>65</v>
      </c>
      <c r="U27" s="823" t="s">
        <v>1288</v>
      </c>
      <c r="V27" s="824">
        <v>10</v>
      </c>
      <c r="W27" s="824" t="str">
        <f t="shared" si="1"/>
        <v>Revisionsleitung 1</v>
      </c>
    </row>
    <row r="28" spans="1:23" s="21" customFormat="1" ht="12.75" x14ac:dyDescent="0.2">
      <c r="A28" s="826" t="str">
        <f t="shared" si="0"/>
        <v>103.11</v>
      </c>
      <c r="B28" s="827" t="s">
        <v>106</v>
      </c>
      <c r="C28" s="828" t="s">
        <v>1277</v>
      </c>
      <c r="D28" s="828" t="s">
        <v>66</v>
      </c>
      <c r="E28" s="828"/>
      <c r="F28" s="828" t="s">
        <v>48</v>
      </c>
      <c r="G28" s="827" t="s">
        <v>49</v>
      </c>
      <c r="H28" s="828">
        <v>11</v>
      </c>
      <c r="I28" s="828"/>
      <c r="J28" s="828">
        <v>9.5</v>
      </c>
      <c r="K28" s="828">
        <v>1</v>
      </c>
      <c r="L28" s="829" t="s">
        <v>347</v>
      </c>
      <c r="M28" s="830"/>
      <c r="N28" s="831"/>
      <c r="O28" s="831"/>
      <c r="P28" s="830"/>
      <c r="Q28" s="831"/>
      <c r="R28" s="831"/>
      <c r="S28" s="832" t="s">
        <v>65</v>
      </c>
      <c r="T28" s="832" t="s">
        <v>65</v>
      </c>
      <c r="U28" s="823" t="s">
        <v>1843</v>
      </c>
      <c r="V28" s="824">
        <v>11</v>
      </c>
      <c r="W28" s="824" t="str">
        <f t="shared" si="1"/>
        <v>Sachbearbeitung 1 (wiss.)</v>
      </c>
    </row>
    <row r="29" spans="1:23" s="21" customFormat="1" ht="12.75" x14ac:dyDescent="0.2">
      <c r="A29" s="74" t="str">
        <f t="shared" si="0"/>
        <v>103.11c</v>
      </c>
      <c r="B29" s="825" t="s">
        <v>618</v>
      </c>
      <c r="C29" s="72" t="s">
        <v>1277</v>
      </c>
      <c r="D29" s="72" t="s">
        <v>76</v>
      </c>
      <c r="E29" s="72"/>
      <c r="F29" s="72" t="s">
        <v>623</v>
      </c>
      <c r="G29" s="71" t="s">
        <v>619</v>
      </c>
      <c r="H29" s="72">
        <v>11</v>
      </c>
      <c r="I29" s="72">
        <v>523.4</v>
      </c>
      <c r="J29" s="72">
        <v>8.5</v>
      </c>
      <c r="K29" s="72">
        <v>3</v>
      </c>
      <c r="L29" s="821" t="s">
        <v>90</v>
      </c>
      <c r="M29" s="73"/>
      <c r="N29" s="30"/>
      <c r="O29" s="30"/>
      <c r="P29" s="73"/>
      <c r="Q29" s="30"/>
      <c r="R29" s="30"/>
      <c r="S29" s="822" t="s">
        <v>65</v>
      </c>
      <c r="T29" s="822" t="s">
        <v>65</v>
      </c>
      <c r="U29" s="823" t="s">
        <v>1291</v>
      </c>
      <c r="V29" s="824">
        <v>11</v>
      </c>
      <c r="W29" s="824" t="str">
        <f t="shared" si="1"/>
        <v>Revisionsleitung 1</v>
      </c>
    </row>
    <row r="30" spans="1:23" s="21" customFormat="1" ht="12.75" x14ac:dyDescent="0.2">
      <c r="A30" s="74" t="str">
        <f t="shared" si="0"/>
        <v>103.12a</v>
      </c>
      <c r="B30" s="825" t="s">
        <v>200</v>
      </c>
      <c r="C30" s="72" t="s">
        <v>1277</v>
      </c>
      <c r="D30" s="72" t="s">
        <v>66</v>
      </c>
      <c r="E30" s="72"/>
      <c r="F30" s="72" t="s">
        <v>48</v>
      </c>
      <c r="G30" s="71" t="s">
        <v>49</v>
      </c>
      <c r="H30" s="72">
        <v>12</v>
      </c>
      <c r="I30" s="72">
        <v>499.1</v>
      </c>
      <c r="J30" s="72">
        <v>9.5</v>
      </c>
      <c r="K30" s="72">
        <v>1</v>
      </c>
      <c r="L30" s="821" t="s">
        <v>347</v>
      </c>
      <c r="M30" s="73"/>
      <c r="N30" s="30"/>
      <c r="O30" s="30"/>
      <c r="P30" s="73"/>
      <c r="Q30" s="30"/>
      <c r="R30" s="30"/>
      <c r="S30" s="822" t="s">
        <v>65</v>
      </c>
      <c r="T30" s="822" t="s">
        <v>65</v>
      </c>
      <c r="U30" s="823" t="s">
        <v>1292</v>
      </c>
      <c r="V30" s="824">
        <v>12</v>
      </c>
      <c r="W30" s="824" t="str">
        <f t="shared" si="1"/>
        <v>Sachbearbeitung 1 (wiss.)</v>
      </c>
    </row>
    <row r="31" spans="1:23" s="21" customFormat="1" ht="12.75" x14ac:dyDescent="0.2">
      <c r="A31" s="74" t="str">
        <f t="shared" si="0"/>
        <v>103.12b</v>
      </c>
      <c r="B31" s="825" t="s">
        <v>201</v>
      </c>
      <c r="C31" s="72" t="s">
        <v>1277</v>
      </c>
      <c r="D31" s="72" t="s">
        <v>67</v>
      </c>
      <c r="E31" s="72"/>
      <c r="F31" s="72" t="s">
        <v>48</v>
      </c>
      <c r="G31" s="71" t="s">
        <v>49</v>
      </c>
      <c r="H31" s="72">
        <v>12</v>
      </c>
      <c r="I31" s="72">
        <v>499.1</v>
      </c>
      <c r="J31" s="72">
        <v>9.5</v>
      </c>
      <c r="K31" s="72">
        <v>1</v>
      </c>
      <c r="L31" s="821" t="s">
        <v>347</v>
      </c>
      <c r="M31" s="73"/>
      <c r="N31" s="30"/>
      <c r="O31" s="30"/>
      <c r="P31" s="73"/>
      <c r="Q31" s="30"/>
      <c r="R31" s="30"/>
      <c r="S31" s="822" t="s">
        <v>65</v>
      </c>
      <c r="T31" s="822" t="s">
        <v>65</v>
      </c>
      <c r="U31" s="823" t="s">
        <v>1293</v>
      </c>
      <c r="V31" s="824">
        <v>12</v>
      </c>
      <c r="W31" s="824" t="str">
        <f t="shared" si="1"/>
        <v>Sachbearbeitung 1 (wiss.)</v>
      </c>
    </row>
    <row r="32" spans="1:23" s="21" customFormat="1" ht="12.75" x14ac:dyDescent="0.2">
      <c r="A32" s="74" t="str">
        <f t="shared" si="0"/>
        <v>103.12c</v>
      </c>
      <c r="B32" s="71" t="s">
        <v>750</v>
      </c>
      <c r="C32" s="72" t="s">
        <v>1277</v>
      </c>
      <c r="D32" s="72" t="s">
        <v>76</v>
      </c>
      <c r="E32" s="72"/>
      <c r="F32" s="72" t="s">
        <v>623</v>
      </c>
      <c r="G32" s="71" t="s">
        <v>751</v>
      </c>
      <c r="H32" s="72">
        <v>12</v>
      </c>
      <c r="I32" s="72"/>
      <c r="J32" s="72">
        <v>8</v>
      </c>
      <c r="K32" s="72">
        <v>2</v>
      </c>
      <c r="L32" s="821" t="s">
        <v>352</v>
      </c>
      <c r="M32" s="73"/>
      <c r="N32" s="30"/>
      <c r="O32" s="30"/>
      <c r="P32" s="73"/>
      <c r="Q32" s="30"/>
      <c r="R32" s="30"/>
      <c r="S32" s="822"/>
      <c r="T32" s="822"/>
      <c r="U32" s="823" t="s">
        <v>1294</v>
      </c>
      <c r="V32" s="824">
        <v>12</v>
      </c>
      <c r="W32" s="824" t="str">
        <f t="shared" si="1"/>
        <v>Revisionsleitung</v>
      </c>
    </row>
    <row r="33" spans="1:23" s="21" customFormat="1" ht="12.75" x14ac:dyDescent="0.2">
      <c r="A33" s="826" t="str">
        <f t="shared" si="0"/>
        <v>103.13</v>
      </c>
      <c r="B33" s="827" t="s">
        <v>107</v>
      </c>
      <c r="C33" s="828" t="s">
        <v>1277</v>
      </c>
      <c r="D33" s="828" t="s">
        <v>66</v>
      </c>
      <c r="E33" s="828"/>
      <c r="F33" s="828" t="s">
        <v>48</v>
      </c>
      <c r="G33" s="827" t="s">
        <v>49</v>
      </c>
      <c r="H33" s="828">
        <v>13</v>
      </c>
      <c r="I33" s="828"/>
      <c r="J33" s="828">
        <v>8</v>
      </c>
      <c r="K33" s="828">
        <v>4</v>
      </c>
      <c r="L33" s="829" t="s">
        <v>352</v>
      </c>
      <c r="M33" s="830"/>
      <c r="N33" s="831">
        <v>9.5</v>
      </c>
      <c r="O33" s="831">
        <v>0</v>
      </c>
      <c r="P33" s="830"/>
      <c r="Q33" s="831"/>
      <c r="R33" s="831"/>
      <c r="S33" s="832" t="s">
        <v>347</v>
      </c>
      <c r="T33" s="832" t="s">
        <v>65</v>
      </c>
      <c r="U33" s="823" t="s">
        <v>1844</v>
      </c>
      <c r="V33" s="824">
        <v>13</v>
      </c>
      <c r="W33" s="824" t="str">
        <f t="shared" si="1"/>
        <v>Sachbearbeitung 1 (wiss.)</v>
      </c>
    </row>
    <row r="34" spans="1:23" s="21" customFormat="1" ht="12.75" x14ac:dyDescent="0.2">
      <c r="A34" s="74" t="str">
        <f t="shared" si="0"/>
        <v>103.14a</v>
      </c>
      <c r="B34" s="825" t="s">
        <v>202</v>
      </c>
      <c r="C34" s="72" t="s">
        <v>1277</v>
      </c>
      <c r="D34" s="72" t="s">
        <v>66</v>
      </c>
      <c r="E34" s="72"/>
      <c r="F34" s="72" t="s">
        <v>48</v>
      </c>
      <c r="G34" s="71" t="s">
        <v>49</v>
      </c>
      <c r="H34" s="72">
        <v>14</v>
      </c>
      <c r="I34" s="72">
        <v>441.7</v>
      </c>
      <c r="J34" s="72">
        <v>8</v>
      </c>
      <c r="K34" s="72">
        <v>2</v>
      </c>
      <c r="L34" s="821" t="s">
        <v>352</v>
      </c>
      <c r="M34" s="73"/>
      <c r="N34" s="30"/>
      <c r="O34" s="30"/>
      <c r="P34" s="73"/>
      <c r="Q34" s="30"/>
      <c r="R34" s="30"/>
      <c r="S34" s="822" t="s">
        <v>65</v>
      </c>
      <c r="T34" s="822" t="s">
        <v>65</v>
      </c>
      <c r="U34" s="823" t="s">
        <v>1297</v>
      </c>
      <c r="V34" s="824">
        <v>14</v>
      </c>
      <c r="W34" s="824" t="str">
        <f t="shared" si="1"/>
        <v>Sachbearbeitung 1 (wiss.)</v>
      </c>
    </row>
    <row r="35" spans="1:23" s="21" customFormat="1" ht="12.75" x14ac:dyDescent="0.2">
      <c r="A35" s="74" t="str">
        <f t="shared" si="0"/>
        <v>103.14b</v>
      </c>
      <c r="B35" s="825" t="s">
        <v>203</v>
      </c>
      <c r="C35" s="72" t="s">
        <v>1277</v>
      </c>
      <c r="D35" s="72" t="s">
        <v>67</v>
      </c>
      <c r="E35" s="72"/>
      <c r="F35" s="72" t="s">
        <v>48</v>
      </c>
      <c r="G35" s="71" t="s">
        <v>49</v>
      </c>
      <c r="H35" s="72">
        <v>14</v>
      </c>
      <c r="I35" s="72">
        <v>441.7</v>
      </c>
      <c r="J35" s="72">
        <v>8</v>
      </c>
      <c r="K35" s="72">
        <v>2</v>
      </c>
      <c r="L35" s="821" t="s">
        <v>352</v>
      </c>
      <c r="M35" s="73"/>
      <c r="N35" s="30"/>
      <c r="O35" s="30"/>
      <c r="P35" s="73"/>
      <c r="Q35" s="30"/>
      <c r="R35" s="30"/>
      <c r="S35" s="822" t="s">
        <v>65</v>
      </c>
      <c r="T35" s="822" t="s">
        <v>65</v>
      </c>
      <c r="U35" s="823" t="s">
        <v>1298</v>
      </c>
      <c r="V35" s="824">
        <v>14</v>
      </c>
      <c r="W35" s="824" t="str">
        <f t="shared" si="1"/>
        <v>Sachbearbeitung 1 (wiss.)</v>
      </c>
    </row>
    <row r="36" spans="1:23" s="21" customFormat="1" ht="12.75" x14ac:dyDescent="0.2">
      <c r="A36" s="74" t="str">
        <f t="shared" si="0"/>
        <v>11.09b</v>
      </c>
      <c r="B36" s="28" t="s">
        <v>1299</v>
      </c>
      <c r="C36" s="79">
        <v>711</v>
      </c>
      <c r="D36" s="79" t="s">
        <v>67</v>
      </c>
      <c r="E36" s="79"/>
      <c r="F36" s="79" t="s">
        <v>1300</v>
      </c>
      <c r="G36" s="28" t="s">
        <v>1301</v>
      </c>
      <c r="H36" s="79">
        <v>9</v>
      </c>
      <c r="I36" s="79"/>
      <c r="J36" s="79">
        <v>8.5</v>
      </c>
      <c r="K36" s="79">
        <v>5</v>
      </c>
      <c r="L36" s="833" t="s">
        <v>90</v>
      </c>
      <c r="M36" s="35"/>
      <c r="N36" s="36"/>
      <c r="O36" s="36"/>
      <c r="P36" s="35"/>
      <c r="Q36" s="36"/>
      <c r="R36" s="36"/>
      <c r="S36" s="834"/>
      <c r="T36" s="834"/>
      <c r="U36" s="823" t="s">
        <v>1302</v>
      </c>
      <c r="V36" s="824">
        <v>9</v>
      </c>
      <c r="W36" s="824" t="str">
        <f t="shared" si="1"/>
        <v>Konrektorat Sekundarstufe I</v>
      </c>
    </row>
    <row r="37" spans="1:23" s="21" customFormat="1" ht="12.75" x14ac:dyDescent="0.2">
      <c r="A37" s="74" t="str">
        <f t="shared" si="0"/>
        <v>111.10</v>
      </c>
      <c r="B37" s="71" t="s">
        <v>108</v>
      </c>
      <c r="C37" s="72" t="s">
        <v>1303</v>
      </c>
      <c r="D37" s="72" t="s">
        <v>65</v>
      </c>
      <c r="E37" s="72"/>
      <c r="F37" s="72">
        <v>111</v>
      </c>
      <c r="G37" s="71" t="s">
        <v>24</v>
      </c>
      <c r="H37" s="72">
        <v>10</v>
      </c>
      <c r="I37" s="72"/>
      <c r="J37" s="72">
        <v>8</v>
      </c>
      <c r="K37" s="72">
        <v>7</v>
      </c>
      <c r="L37" s="821" t="s">
        <v>352</v>
      </c>
      <c r="M37" s="73"/>
      <c r="N37" s="30"/>
      <c r="O37" s="30"/>
      <c r="P37" s="73"/>
      <c r="Q37" s="30"/>
      <c r="R37" s="30"/>
      <c r="S37" s="822" t="s">
        <v>65</v>
      </c>
      <c r="T37" s="822" t="s">
        <v>65</v>
      </c>
      <c r="U37" s="823" t="s">
        <v>1845</v>
      </c>
      <c r="V37" s="824">
        <v>10</v>
      </c>
      <c r="W37" s="824" t="str">
        <f t="shared" si="1"/>
        <v xml:space="preserve">Spezifische Führungsfunktion </v>
      </c>
    </row>
    <row r="38" spans="1:23" s="21" customFormat="1" ht="12.75" x14ac:dyDescent="0.2">
      <c r="A38" s="74" t="str">
        <f t="shared" si="0"/>
        <v>111.11</v>
      </c>
      <c r="B38" s="825" t="s">
        <v>109</v>
      </c>
      <c r="C38" s="72" t="s">
        <v>1303</v>
      </c>
      <c r="D38" s="72" t="s">
        <v>65</v>
      </c>
      <c r="E38" s="72"/>
      <c r="F38" s="72">
        <v>111</v>
      </c>
      <c r="G38" s="71" t="s">
        <v>24</v>
      </c>
      <c r="H38" s="72">
        <v>11</v>
      </c>
      <c r="I38" s="72">
        <v>525</v>
      </c>
      <c r="J38" s="72">
        <v>8</v>
      </c>
      <c r="K38" s="72">
        <v>5</v>
      </c>
      <c r="L38" s="821" t="s">
        <v>352</v>
      </c>
      <c r="M38" s="73"/>
      <c r="N38" s="30"/>
      <c r="O38" s="30"/>
      <c r="P38" s="73"/>
      <c r="Q38" s="30"/>
      <c r="R38" s="30"/>
      <c r="S38" s="822" t="s">
        <v>65</v>
      </c>
      <c r="T38" s="822" t="s">
        <v>65</v>
      </c>
      <c r="U38" s="823" t="s">
        <v>1846</v>
      </c>
      <c r="V38" s="824">
        <v>11</v>
      </c>
      <c r="W38" s="824" t="str">
        <f t="shared" si="1"/>
        <v xml:space="preserve">Spezifische Führungsfunktion </v>
      </c>
    </row>
    <row r="39" spans="1:23" s="21" customFormat="1" ht="12.75" x14ac:dyDescent="0.2">
      <c r="A39" s="74" t="str">
        <f t="shared" si="0"/>
        <v>111.12</v>
      </c>
      <c r="B39" s="71" t="s">
        <v>110</v>
      </c>
      <c r="C39" s="72" t="s">
        <v>1303</v>
      </c>
      <c r="D39" s="72" t="s">
        <v>65</v>
      </c>
      <c r="E39" s="72"/>
      <c r="F39" s="72">
        <v>111</v>
      </c>
      <c r="G39" s="71" t="s">
        <v>24</v>
      </c>
      <c r="H39" s="72">
        <v>12</v>
      </c>
      <c r="I39" s="72"/>
      <c r="J39" s="72">
        <v>8</v>
      </c>
      <c r="K39" s="72">
        <v>4.5</v>
      </c>
      <c r="L39" s="821" t="s">
        <v>352</v>
      </c>
      <c r="M39" s="73"/>
      <c r="N39" s="30"/>
      <c r="O39" s="30"/>
      <c r="P39" s="73"/>
      <c r="Q39" s="30"/>
      <c r="R39" s="30"/>
      <c r="S39" s="822" t="s">
        <v>65</v>
      </c>
      <c r="T39" s="822" t="s">
        <v>65</v>
      </c>
      <c r="U39" s="823" t="s">
        <v>1847</v>
      </c>
      <c r="V39" s="824">
        <v>12</v>
      </c>
      <c r="W39" s="824" t="str">
        <f t="shared" si="1"/>
        <v xml:space="preserve">Spezifische Führungsfunktion </v>
      </c>
    </row>
    <row r="40" spans="1:23" s="21" customFormat="1" ht="12.75" x14ac:dyDescent="0.2">
      <c r="A40" s="74" t="str">
        <f t="shared" si="0"/>
        <v>111.13</v>
      </c>
      <c r="B40" s="825" t="s">
        <v>111</v>
      </c>
      <c r="C40" s="72" t="s">
        <v>1303</v>
      </c>
      <c r="D40" s="72" t="s">
        <v>65</v>
      </c>
      <c r="E40" s="72"/>
      <c r="F40" s="72">
        <v>111</v>
      </c>
      <c r="G40" s="71" t="s">
        <v>24</v>
      </c>
      <c r="H40" s="72">
        <v>13</v>
      </c>
      <c r="I40" s="72">
        <v>481</v>
      </c>
      <c r="J40" s="72">
        <v>8</v>
      </c>
      <c r="K40" s="72">
        <v>4</v>
      </c>
      <c r="L40" s="821" t="s">
        <v>352</v>
      </c>
      <c r="M40" s="73"/>
      <c r="N40" s="30"/>
      <c r="O40" s="30"/>
      <c r="P40" s="73"/>
      <c r="Q40" s="30"/>
      <c r="R40" s="30"/>
      <c r="S40" s="822" t="s">
        <v>65</v>
      </c>
      <c r="T40" s="822" t="s">
        <v>65</v>
      </c>
      <c r="U40" s="823" t="s">
        <v>1848</v>
      </c>
      <c r="V40" s="824">
        <v>13</v>
      </c>
      <c r="W40" s="824" t="str">
        <f t="shared" si="1"/>
        <v xml:space="preserve">Spezifische Führungsfunktion </v>
      </c>
    </row>
    <row r="41" spans="1:23" s="21" customFormat="1" ht="12.75" x14ac:dyDescent="0.2">
      <c r="A41" s="74" t="str">
        <f t="shared" si="0"/>
        <v>111.14</v>
      </c>
      <c r="B41" s="71" t="s">
        <v>112</v>
      </c>
      <c r="C41" s="72" t="s">
        <v>1303</v>
      </c>
      <c r="D41" s="72" t="s">
        <v>65</v>
      </c>
      <c r="E41" s="72"/>
      <c r="F41" s="72">
        <v>111</v>
      </c>
      <c r="G41" s="71" t="s">
        <v>24</v>
      </c>
      <c r="H41" s="72">
        <v>14</v>
      </c>
      <c r="I41" s="72"/>
      <c r="J41" s="72">
        <v>6</v>
      </c>
      <c r="K41" s="72">
        <v>7</v>
      </c>
      <c r="L41" s="821" t="s">
        <v>672</v>
      </c>
      <c r="M41" s="73"/>
      <c r="N41" s="30">
        <v>8</v>
      </c>
      <c r="O41" s="30">
        <v>2</v>
      </c>
      <c r="P41" s="73"/>
      <c r="Q41" s="30"/>
      <c r="R41" s="30"/>
      <c r="S41" s="822" t="s">
        <v>352</v>
      </c>
      <c r="T41" s="822" t="s">
        <v>65</v>
      </c>
      <c r="U41" s="823" t="s">
        <v>1849</v>
      </c>
      <c r="V41" s="824">
        <v>14</v>
      </c>
      <c r="W41" s="824" t="str">
        <f t="shared" si="1"/>
        <v xml:space="preserve">Spezifische Führungsfunktion </v>
      </c>
    </row>
    <row r="42" spans="1:23" s="21" customFormat="1" ht="12.75" x14ac:dyDescent="0.2">
      <c r="A42" s="74" t="str">
        <f t="shared" si="0"/>
        <v>111.15</v>
      </c>
      <c r="B42" s="825" t="s">
        <v>113</v>
      </c>
      <c r="C42" s="72" t="s">
        <v>1303</v>
      </c>
      <c r="D42" s="72" t="s">
        <v>65</v>
      </c>
      <c r="E42" s="72"/>
      <c r="F42" s="72">
        <v>111</v>
      </c>
      <c r="G42" s="71" t="s">
        <v>24</v>
      </c>
      <c r="H42" s="72">
        <v>15</v>
      </c>
      <c r="I42" s="72">
        <v>412.5</v>
      </c>
      <c r="J42" s="72">
        <v>6</v>
      </c>
      <c r="K42" s="72">
        <v>5</v>
      </c>
      <c r="L42" s="821" t="s">
        <v>672</v>
      </c>
      <c r="M42" s="73"/>
      <c r="N42" s="30"/>
      <c r="O42" s="30"/>
      <c r="P42" s="73"/>
      <c r="Q42" s="30"/>
      <c r="R42" s="30"/>
      <c r="S42" s="822" t="s">
        <v>65</v>
      </c>
      <c r="T42" s="822" t="s">
        <v>65</v>
      </c>
      <c r="U42" s="823" t="s">
        <v>1850</v>
      </c>
      <c r="V42" s="824">
        <v>15</v>
      </c>
      <c r="W42" s="824" t="str">
        <f t="shared" si="1"/>
        <v xml:space="preserve">Spezifische Führungsfunktion </v>
      </c>
    </row>
    <row r="43" spans="1:23" s="21" customFormat="1" ht="12.75" x14ac:dyDescent="0.2">
      <c r="A43" s="74" t="str">
        <f t="shared" si="0"/>
        <v>111.16</v>
      </c>
      <c r="B43" s="71" t="s">
        <v>114</v>
      </c>
      <c r="C43" s="72" t="s">
        <v>1303</v>
      </c>
      <c r="D43" s="72" t="s">
        <v>65</v>
      </c>
      <c r="E43" s="72"/>
      <c r="F43" s="72">
        <v>111</v>
      </c>
      <c r="G43" s="71" t="s">
        <v>24</v>
      </c>
      <c r="H43" s="72">
        <v>16</v>
      </c>
      <c r="I43" s="72"/>
      <c r="J43" s="72">
        <v>6</v>
      </c>
      <c r="K43" s="72">
        <v>4.5</v>
      </c>
      <c r="L43" s="821" t="s">
        <v>672</v>
      </c>
      <c r="M43" s="73"/>
      <c r="N43" s="30"/>
      <c r="O43" s="30"/>
      <c r="P43" s="73"/>
      <c r="Q43" s="30"/>
      <c r="R43" s="30"/>
      <c r="S43" s="822" t="s">
        <v>65</v>
      </c>
      <c r="T43" s="822" t="s">
        <v>65</v>
      </c>
      <c r="U43" s="823" t="s">
        <v>1851</v>
      </c>
      <c r="V43" s="824">
        <v>16</v>
      </c>
      <c r="W43" s="824" t="str">
        <f t="shared" si="1"/>
        <v xml:space="preserve">Spezifische Führungsfunktion </v>
      </c>
    </row>
    <row r="44" spans="1:23" s="21" customFormat="1" ht="12.75" x14ac:dyDescent="0.2">
      <c r="A44" s="74" t="str">
        <f t="shared" si="0"/>
        <v>111.17</v>
      </c>
      <c r="B44" s="825" t="s">
        <v>115</v>
      </c>
      <c r="C44" s="72" t="s">
        <v>1303</v>
      </c>
      <c r="D44" s="72" t="s">
        <v>65</v>
      </c>
      <c r="E44" s="72"/>
      <c r="F44" s="72">
        <v>111</v>
      </c>
      <c r="G44" s="71" t="s">
        <v>23</v>
      </c>
      <c r="H44" s="72">
        <v>17</v>
      </c>
      <c r="I44" s="72">
        <v>383.4</v>
      </c>
      <c r="J44" s="72">
        <v>6</v>
      </c>
      <c r="K44" s="72">
        <v>4</v>
      </c>
      <c r="L44" s="821" t="s">
        <v>672</v>
      </c>
      <c r="M44" s="73"/>
      <c r="N44" s="30"/>
      <c r="O44" s="30"/>
      <c r="P44" s="73"/>
      <c r="Q44" s="30"/>
      <c r="R44" s="30"/>
      <c r="S44" s="822" t="s">
        <v>65</v>
      </c>
      <c r="T44" s="822" t="s">
        <v>65</v>
      </c>
      <c r="U44" s="823" t="s">
        <v>1852</v>
      </c>
      <c r="V44" s="824">
        <v>17</v>
      </c>
      <c r="W44" s="824" t="str">
        <f t="shared" si="1"/>
        <v>Spezifische Führungsfunktion</v>
      </c>
    </row>
    <row r="45" spans="1:23" s="21" customFormat="1" ht="12.75" x14ac:dyDescent="0.2">
      <c r="A45" s="74" t="str">
        <f t="shared" si="0"/>
        <v>111.18</v>
      </c>
      <c r="B45" s="825" t="s">
        <v>116</v>
      </c>
      <c r="C45" s="72" t="s">
        <v>1303</v>
      </c>
      <c r="D45" s="72" t="s">
        <v>65</v>
      </c>
      <c r="E45" s="72"/>
      <c r="F45" s="72">
        <v>111</v>
      </c>
      <c r="G45" s="71" t="s">
        <v>24</v>
      </c>
      <c r="H45" s="72">
        <v>18</v>
      </c>
      <c r="I45" s="72">
        <v>341.5</v>
      </c>
      <c r="J45" s="72">
        <v>5</v>
      </c>
      <c r="K45" s="72">
        <v>3</v>
      </c>
      <c r="L45" s="821" t="s">
        <v>87</v>
      </c>
      <c r="M45" s="73"/>
      <c r="N45" s="30"/>
      <c r="O45" s="30"/>
      <c r="P45" s="73"/>
      <c r="Q45" s="30"/>
      <c r="R45" s="30"/>
      <c r="S45" s="822" t="s">
        <v>65</v>
      </c>
      <c r="T45" s="822" t="s">
        <v>65</v>
      </c>
      <c r="U45" s="823" t="s">
        <v>1853</v>
      </c>
      <c r="V45" s="824">
        <v>18</v>
      </c>
      <c r="W45" s="824" t="str">
        <f t="shared" si="1"/>
        <v xml:space="preserve">Spezifische Führungsfunktion </v>
      </c>
    </row>
    <row r="46" spans="1:23" s="21" customFormat="1" ht="12.75" x14ac:dyDescent="0.2">
      <c r="A46" s="74" t="str">
        <f t="shared" si="0"/>
        <v>201.20</v>
      </c>
      <c r="B46" s="71" t="s">
        <v>117</v>
      </c>
      <c r="C46" s="72" t="s">
        <v>1304</v>
      </c>
      <c r="D46" s="72" t="s">
        <v>65</v>
      </c>
      <c r="E46" s="72"/>
      <c r="F46" s="72">
        <v>201</v>
      </c>
      <c r="G46" s="71" t="s">
        <v>50</v>
      </c>
      <c r="H46" s="72">
        <v>20</v>
      </c>
      <c r="I46" s="72"/>
      <c r="J46" s="72">
        <v>2</v>
      </c>
      <c r="K46" s="72">
        <v>4</v>
      </c>
      <c r="L46" s="821" t="s">
        <v>344</v>
      </c>
      <c r="M46" s="73"/>
      <c r="N46" s="30"/>
      <c r="O46" s="30"/>
      <c r="P46" s="73"/>
      <c r="Q46" s="30"/>
      <c r="R46" s="30"/>
      <c r="S46" s="822" t="s">
        <v>65</v>
      </c>
      <c r="T46" s="822" t="s">
        <v>65</v>
      </c>
      <c r="U46" s="823" t="s">
        <v>1854</v>
      </c>
      <c r="V46" s="824">
        <v>20</v>
      </c>
      <c r="W46" s="824" t="str">
        <f t="shared" si="1"/>
        <v>Betriebsangestellte</v>
      </c>
    </row>
    <row r="47" spans="1:23" s="21" customFormat="1" ht="12.75" x14ac:dyDescent="0.2">
      <c r="A47" s="74" t="str">
        <f t="shared" si="0"/>
        <v>201.21</v>
      </c>
      <c r="B47" s="825" t="s">
        <v>118</v>
      </c>
      <c r="C47" s="72" t="s">
        <v>1304</v>
      </c>
      <c r="D47" s="72" t="s">
        <v>65</v>
      </c>
      <c r="E47" s="72"/>
      <c r="F47" s="72">
        <v>201</v>
      </c>
      <c r="G47" s="71" t="s">
        <v>50</v>
      </c>
      <c r="H47" s="72">
        <v>21</v>
      </c>
      <c r="I47" s="72">
        <v>265.89999999999998</v>
      </c>
      <c r="J47" s="72">
        <v>2</v>
      </c>
      <c r="K47" s="72">
        <v>2</v>
      </c>
      <c r="L47" s="821" t="s">
        <v>344</v>
      </c>
      <c r="M47" s="73"/>
      <c r="N47" s="30"/>
      <c r="O47" s="30"/>
      <c r="P47" s="73"/>
      <c r="Q47" s="30"/>
      <c r="R47" s="30"/>
      <c r="S47" s="822" t="s">
        <v>65</v>
      </c>
      <c r="T47" s="822" t="s">
        <v>65</v>
      </c>
      <c r="U47" s="823" t="s">
        <v>1855</v>
      </c>
      <c r="V47" s="824">
        <v>21</v>
      </c>
      <c r="W47" s="824" t="str">
        <f t="shared" si="1"/>
        <v>Betriebsangestellte</v>
      </c>
    </row>
    <row r="48" spans="1:23" s="21" customFormat="1" ht="12.75" x14ac:dyDescent="0.2">
      <c r="A48" s="74" t="str">
        <f t="shared" si="0"/>
        <v>201.22</v>
      </c>
      <c r="B48" s="71" t="s">
        <v>119</v>
      </c>
      <c r="C48" s="72" t="s">
        <v>1304</v>
      </c>
      <c r="D48" s="72" t="s">
        <v>65</v>
      </c>
      <c r="E48" s="72"/>
      <c r="F48" s="72">
        <v>201</v>
      </c>
      <c r="G48" s="71" t="s">
        <v>50</v>
      </c>
      <c r="H48" s="72">
        <v>22</v>
      </c>
      <c r="I48" s="72"/>
      <c r="J48" s="72">
        <v>1.5</v>
      </c>
      <c r="K48" s="72">
        <v>3</v>
      </c>
      <c r="L48" s="821" t="s">
        <v>86</v>
      </c>
      <c r="M48" s="73"/>
      <c r="N48" s="30">
        <v>2</v>
      </c>
      <c r="O48" s="30">
        <v>1</v>
      </c>
      <c r="P48" s="73"/>
      <c r="Q48" s="30"/>
      <c r="R48" s="30"/>
      <c r="S48" s="822" t="s">
        <v>344</v>
      </c>
      <c r="T48" s="822" t="s">
        <v>65</v>
      </c>
      <c r="U48" s="823" t="s">
        <v>1856</v>
      </c>
      <c r="V48" s="824">
        <v>22</v>
      </c>
      <c r="W48" s="824" t="str">
        <f t="shared" si="1"/>
        <v>Betriebsangestellte</v>
      </c>
    </row>
    <row r="49" spans="1:23" s="21" customFormat="1" ht="12.75" x14ac:dyDescent="0.2">
      <c r="A49" s="74" t="str">
        <f t="shared" si="0"/>
        <v>201.23</v>
      </c>
      <c r="B49" s="825" t="s">
        <v>120</v>
      </c>
      <c r="C49" s="72" t="s">
        <v>1304</v>
      </c>
      <c r="D49" s="72" t="s">
        <v>65</v>
      </c>
      <c r="E49" s="72"/>
      <c r="F49" s="72">
        <v>201</v>
      </c>
      <c r="G49" s="71" t="s">
        <v>50</v>
      </c>
      <c r="H49" s="72">
        <v>23</v>
      </c>
      <c r="I49" s="72">
        <v>211.1</v>
      </c>
      <c r="J49" s="72">
        <v>1.5</v>
      </c>
      <c r="K49" s="72">
        <v>2</v>
      </c>
      <c r="L49" s="821" t="s">
        <v>86</v>
      </c>
      <c r="M49" s="73"/>
      <c r="N49" s="30">
        <v>0.5</v>
      </c>
      <c r="O49" s="30">
        <v>4</v>
      </c>
      <c r="P49" s="73"/>
      <c r="Q49" s="30"/>
      <c r="R49" s="30"/>
      <c r="S49" s="822" t="s">
        <v>354</v>
      </c>
      <c r="T49" s="822" t="s">
        <v>65</v>
      </c>
      <c r="U49" s="823" t="s">
        <v>1857</v>
      </c>
      <c r="V49" s="824">
        <v>23</v>
      </c>
      <c r="W49" s="824" t="str">
        <f t="shared" si="1"/>
        <v>Betriebsangestellte</v>
      </c>
    </row>
    <row r="50" spans="1:23" s="21" customFormat="1" ht="12.75" x14ac:dyDescent="0.2">
      <c r="A50" s="74" t="str">
        <f t="shared" si="0"/>
        <v>201.24</v>
      </c>
      <c r="B50" s="71" t="s">
        <v>121</v>
      </c>
      <c r="C50" s="72" t="s">
        <v>1304</v>
      </c>
      <c r="D50" s="72" t="s">
        <v>65</v>
      </c>
      <c r="E50" s="72"/>
      <c r="F50" s="72">
        <v>201</v>
      </c>
      <c r="G50" s="71" t="s">
        <v>50</v>
      </c>
      <c r="H50" s="72">
        <v>24</v>
      </c>
      <c r="I50" s="72"/>
      <c r="J50" s="72">
        <v>1.5</v>
      </c>
      <c r="K50" s="72">
        <v>1</v>
      </c>
      <c r="L50" s="821" t="s">
        <v>86</v>
      </c>
      <c r="M50" s="73"/>
      <c r="N50" s="30">
        <v>0.5</v>
      </c>
      <c r="O50" s="30">
        <v>2</v>
      </c>
      <c r="P50" s="73"/>
      <c r="Q50" s="30"/>
      <c r="R50" s="30"/>
      <c r="S50" s="822" t="s">
        <v>354</v>
      </c>
      <c r="T50" s="822" t="s">
        <v>65</v>
      </c>
      <c r="U50" s="823" t="s">
        <v>1858</v>
      </c>
      <c r="V50" s="824">
        <v>24</v>
      </c>
      <c r="W50" s="824" t="str">
        <f t="shared" si="1"/>
        <v>Betriebsangestellte</v>
      </c>
    </row>
    <row r="51" spans="1:23" s="21" customFormat="1" ht="12.75" x14ac:dyDescent="0.2">
      <c r="A51" s="74" t="str">
        <f t="shared" si="0"/>
        <v>201.25</v>
      </c>
      <c r="B51" s="825" t="s">
        <v>122</v>
      </c>
      <c r="C51" s="72" t="s">
        <v>1304</v>
      </c>
      <c r="D51" s="72" t="s">
        <v>65</v>
      </c>
      <c r="E51" s="72"/>
      <c r="F51" s="72">
        <v>201</v>
      </c>
      <c r="G51" s="71" t="s">
        <v>50</v>
      </c>
      <c r="H51" s="72">
        <v>25</v>
      </c>
      <c r="I51" s="72">
        <v>180.4</v>
      </c>
      <c r="J51" s="72">
        <v>0.5</v>
      </c>
      <c r="K51" s="72">
        <v>2</v>
      </c>
      <c r="L51" s="821" t="s">
        <v>354</v>
      </c>
      <c r="M51" s="73"/>
      <c r="N51" s="30"/>
      <c r="O51" s="30"/>
      <c r="P51" s="73"/>
      <c r="Q51" s="30"/>
      <c r="R51" s="30"/>
      <c r="S51" s="822" t="s">
        <v>65</v>
      </c>
      <c r="T51" s="822" t="s">
        <v>65</v>
      </c>
      <c r="U51" s="823" t="s">
        <v>1859</v>
      </c>
      <c r="V51" s="824">
        <v>25</v>
      </c>
      <c r="W51" s="824" t="str">
        <f t="shared" si="1"/>
        <v>Betriebsangestellte</v>
      </c>
    </row>
    <row r="52" spans="1:23" s="21" customFormat="1" ht="12.75" x14ac:dyDescent="0.2">
      <c r="A52" s="74" t="str">
        <f t="shared" si="0"/>
        <v>201.26</v>
      </c>
      <c r="B52" s="71" t="s">
        <v>123</v>
      </c>
      <c r="C52" s="72" t="s">
        <v>1304</v>
      </c>
      <c r="D52" s="72" t="s">
        <v>65</v>
      </c>
      <c r="E52" s="72"/>
      <c r="F52" s="72">
        <v>201</v>
      </c>
      <c r="G52" s="71" t="s">
        <v>50</v>
      </c>
      <c r="H52" s="72">
        <v>26</v>
      </c>
      <c r="I52" s="72"/>
      <c r="J52" s="72">
        <v>0.5</v>
      </c>
      <c r="K52" s="72">
        <v>1</v>
      </c>
      <c r="L52" s="821" t="s">
        <v>354</v>
      </c>
      <c r="M52" s="73"/>
      <c r="N52" s="30"/>
      <c r="O52" s="30"/>
      <c r="P52" s="73"/>
      <c r="Q52" s="30"/>
      <c r="R52" s="30"/>
      <c r="S52" s="822" t="s">
        <v>65</v>
      </c>
      <c r="T52" s="822" t="s">
        <v>65</v>
      </c>
      <c r="U52" s="823" t="s">
        <v>1860</v>
      </c>
      <c r="V52" s="824">
        <v>26</v>
      </c>
      <c r="W52" s="824" t="str">
        <f t="shared" si="1"/>
        <v>Betriebsangestellte</v>
      </c>
    </row>
    <row r="53" spans="1:23" s="21" customFormat="1" ht="12.75" x14ac:dyDescent="0.2">
      <c r="A53" s="74" t="str">
        <f t="shared" si="0"/>
        <v>201.27</v>
      </c>
      <c r="B53" s="825" t="s">
        <v>124</v>
      </c>
      <c r="C53" s="72" t="s">
        <v>1304</v>
      </c>
      <c r="D53" s="72" t="s">
        <v>65</v>
      </c>
      <c r="E53" s="72"/>
      <c r="F53" s="72">
        <v>201</v>
      </c>
      <c r="G53" s="71" t="s">
        <v>50</v>
      </c>
      <c r="H53" s="72">
        <v>27</v>
      </c>
      <c r="I53" s="72">
        <v>139</v>
      </c>
      <c r="J53" s="72">
        <v>0.5</v>
      </c>
      <c r="K53" s="72">
        <v>0.5</v>
      </c>
      <c r="L53" s="821" t="s">
        <v>354</v>
      </c>
      <c r="M53" s="73"/>
      <c r="N53" s="30"/>
      <c r="O53" s="30"/>
      <c r="P53" s="73"/>
      <c r="Q53" s="30"/>
      <c r="R53" s="30"/>
      <c r="S53" s="822" t="s">
        <v>65</v>
      </c>
      <c r="T53" s="822" t="s">
        <v>65</v>
      </c>
      <c r="U53" s="823" t="s">
        <v>1861</v>
      </c>
      <c r="V53" s="824">
        <v>27</v>
      </c>
      <c r="W53" s="824" t="str">
        <f t="shared" si="1"/>
        <v>Betriebsangestellte</v>
      </c>
    </row>
    <row r="54" spans="1:23" s="21" customFormat="1" ht="12.75" x14ac:dyDescent="0.2">
      <c r="A54" s="74" t="str">
        <f t="shared" si="0"/>
        <v>201.28</v>
      </c>
      <c r="B54" s="71" t="s">
        <v>125</v>
      </c>
      <c r="C54" s="72" t="s">
        <v>1304</v>
      </c>
      <c r="D54" s="72" t="s">
        <v>65</v>
      </c>
      <c r="E54" s="72"/>
      <c r="F54" s="72">
        <v>201</v>
      </c>
      <c r="G54" s="71" t="s">
        <v>50</v>
      </c>
      <c r="H54" s="72">
        <v>28</v>
      </c>
      <c r="I54" s="72"/>
      <c r="J54" s="72">
        <v>0.5</v>
      </c>
      <c r="K54" s="72">
        <v>0</v>
      </c>
      <c r="L54" s="821" t="s">
        <v>354</v>
      </c>
      <c r="M54" s="73"/>
      <c r="N54" s="30"/>
      <c r="O54" s="30"/>
      <c r="P54" s="73"/>
      <c r="Q54" s="30"/>
      <c r="R54" s="30"/>
      <c r="S54" s="822" t="s">
        <v>65</v>
      </c>
      <c r="T54" s="822" t="s">
        <v>65</v>
      </c>
      <c r="U54" s="823" t="s">
        <v>1862</v>
      </c>
      <c r="V54" s="824">
        <v>28</v>
      </c>
      <c r="W54" s="824" t="str">
        <f t="shared" si="1"/>
        <v>Betriebsangestellte</v>
      </c>
    </row>
    <row r="55" spans="1:23" s="21" customFormat="1" ht="12.75" x14ac:dyDescent="0.2">
      <c r="A55" s="826" t="str">
        <f t="shared" si="0"/>
        <v>202.13</v>
      </c>
      <c r="B55" s="827" t="s">
        <v>286</v>
      </c>
      <c r="C55" s="828" t="s">
        <v>1305</v>
      </c>
      <c r="D55" s="828" t="s">
        <v>76</v>
      </c>
      <c r="E55" s="828"/>
      <c r="F55" s="828" t="s">
        <v>1306</v>
      </c>
      <c r="G55" s="827" t="s">
        <v>54</v>
      </c>
      <c r="H55" s="828">
        <v>13</v>
      </c>
      <c r="I55" s="828">
        <v>465.3</v>
      </c>
      <c r="J55" s="828">
        <v>7</v>
      </c>
      <c r="K55" s="828">
        <v>6</v>
      </c>
      <c r="L55" s="829" t="s">
        <v>673</v>
      </c>
      <c r="M55" s="830"/>
      <c r="N55" s="831"/>
      <c r="O55" s="831"/>
      <c r="P55" s="830"/>
      <c r="Q55" s="831"/>
      <c r="R55" s="831"/>
      <c r="S55" s="832"/>
      <c r="T55" s="832"/>
      <c r="U55" s="823" t="s">
        <v>1863</v>
      </c>
      <c r="V55" s="824">
        <v>13</v>
      </c>
      <c r="W55" s="824" t="str">
        <f t="shared" si="1"/>
        <v>Handwerklich-Technische Angestellte</v>
      </c>
    </row>
    <row r="56" spans="1:23" s="21" customFormat="1" ht="12.75" x14ac:dyDescent="0.2">
      <c r="A56" s="74" t="str">
        <f t="shared" si="0"/>
        <v>202.14a</v>
      </c>
      <c r="B56" s="825" t="s">
        <v>204</v>
      </c>
      <c r="C56" s="72" t="s">
        <v>1305</v>
      </c>
      <c r="D56" s="72" t="s">
        <v>66</v>
      </c>
      <c r="E56" s="72"/>
      <c r="F56" s="72" t="s">
        <v>1306</v>
      </c>
      <c r="G56" s="71" t="s">
        <v>54</v>
      </c>
      <c r="H56" s="72">
        <v>14</v>
      </c>
      <c r="I56" s="72">
        <v>457.5</v>
      </c>
      <c r="J56" s="72">
        <v>7</v>
      </c>
      <c r="K56" s="72">
        <v>7</v>
      </c>
      <c r="L56" s="821" t="s">
        <v>673</v>
      </c>
      <c r="M56" s="73"/>
      <c r="N56" s="30"/>
      <c r="O56" s="30"/>
      <c r="P56" s="73"/>
      <c r="Q56" s="30"/>
      <c r="R56" s="30"/>
      <c r="S56" s="822" t="s">
        <v>65</v>
      </c>
      <c r="T56" s="822" t="s">
        <v>65</v>
      </c>
      <c r="U56" s="823" t="s">
        <v>1310</v>
      </c>
      <c r="V56" s="824">
        <v>14</v>
      </c>
      <c r="W56" s="824" t="str">
        <f t="shared" si="1"/>
        <v>Handwerklich-Technische Angestellte</v>
      </c>
    </row>
    <row r="57" spans="1:23" s="21" customFormat="1" ht="12.75" x14ac:dyDescent="0.2">
      <c r="A57" s="74" t="str">
        <f t="shared" si="0"/>
        <v>202.14b</v>
      </c>
      <c r="B57" s="825" t="s">
        <v>205</v>
      </c>
      <c r="C57" s="72" t="s">
        <v>1305</v>
      </c>
      <c r="D57" s="72" t="s">
        <v>67</v>
      </c>
      <c r="E57" s="72"/>
      <c r="F57" s="72" t="s">
        <v>1306</v>
      </c>
      <c r="G57" s="71" t="s">
        <v>54</v>
      </c>
      <c r="H57" s="72">
        <v>14</v>
      </c>
      <c r="I57" s="72">
        <v>457.5</v>
      </c>
      <c r="J57" s="72">
        <v>7</v>
      </c>
      <c r="K57" s="72">
        <v>7</v>
      </c>
      <c r="L57" s="821" t="s">
        <v>673</v>
      </c>
      <c r="M57" s="73"/>
      <c r="N57" s="30"/>
      <c r="O57" s="30"/>
      <c r="P57" s="73"/>
      <c r="Q57" s="30"/>
      <c r="R57" s="30"/>
      <c r="S57" s="822" t="s">
        <v>65</v>
      </c>
      <c r="T57" s="822" t="s">
        <v>65</v>
      </c>
      <c r="U57" s="823" t="s">
        <v>1311</v>
      </c>
      <c r="V57" s="824">
        <v>14</v>
      </c>
      <c r="W57" s="824" t="str">
        <f t="shared" si="1"/>
        <v>Handwerklich-Technische Angestellte</v>
      </c>
    </row>
    <row r="58" spans="1:23" s="21" customFormat="1" ht="12.75" x14ac:dyDescent="0.2">
      <c r="A58" s="74" t="str">
        <f t="shared" si="0"/>
        <v>202.14c</v>
      </c>
      <c r="B58" s="825" t="s">
        <v>206</v>
      </c>
      <c r="C58" s="72" t="s">
        <v>1305</v>
      </c>
      <c r="D58" s="72" t="s">
        <v>76</v>
      </c>
      <c r="E58" s="72"/>
      <c r="F58" s="72" t="s">
        <v>1306</v>
      </c>
      <c r="G58" s="71" t="s">
        <v>54</v>
      </c>
      <c r="H58" s="72">
        <v>14</v>
      </c>
      <c r="I58" s="72">
        <v>451.2</v>
      </c>
      <c r="J58" s="72">
        <v>7</v>
      </c>
      <c r="K58" s="72">
        <v>5</v>
      </c>
      <c r="L58" s="821" t="s">
        <v>673</v>
      </c>
      <c r="M58" s="73"/>
      <c r="N58" s="30"/>
      <c r="O58" s="30"/>
      <c r="P58" s="73"/>
      <c r="Q58" s="30"/>
      <c r="R58" s="30"/>
      <c r="S58" s="822" t="s">
        <v>65</v>
      </c>
      <c r="T58" s="822" t="s">
        <v>65</v>
      </c>
      <c r="U58" s="823" t="s">
        <v>1312</v>
      </c>
      <c r="V58" s="824">
        <v>14</v>
      </c>
      <c r="W58" s="824" t="str">
        <f t="shared" si="1"/>
        <v>Handwerklich-Technische Angestellte</v>
      </c>
    </row>
    <row r="59" spans="1:23" s="21" customFormat="1" ht="12.75" x14ac:dyDescent="0.2">
      <c r="A59" s="74" t="str">
        <f t="shared" si="0"/>
        <v>202.14d</v>
      </c>
      <c r="B59" s="825" t="s">
        <v>207</v>
      </c>
      <c r="C59" s="72" t="s">
        <v>1305</v>
      </c>
      <c r="D59" s="72" t="s">
        <v>77</v>
      </c>
      <c r="E59" s="72"/>
      <c r="F59" s="72" t="s">
        <v>56</v>
      </c>
      <c r="G59" s="71" t="s">
        <v>54</v>
      </c>
      <c r="H59" s="72">
        <v>14</v>
      </c>
      <c r="I59" s="72">
        <v>450.5</v>
      </c>
      <c r="J59" s="72">
        <v>7</v>
      </c>
      <c r="K59" s="72">
        <v>4</v>
      </c>
      <c r="L59" s="821" t="s">
        <v>673</v>
      </c>
      <c r="M59" s="73"/>
      <c r="N59" s="30"/>
      <c r="O59" s="30"/>
      <c r="P59" s="73"/>
      <c r="Q59" s="30"/>
      <c r="R59" s="30"/>
      <c r="S59" s="822" t="s">
        <v>65</v>
      </c>
      <c r="T59" s="822" t="s">
        <v>65</v>
      </c>
      <c r="U59" s="823" t="s">
        <v>1313</v>
      </c>
      <c r="V59" s="824">
        <v>14</v>
      </c>
      <c r="W59" s="824" t="str">
        <f t="shared" si="1"/>
        <v>Handwerklich-Technische Angestellte</v>
      </c>
    </row>
    <row r="60" spans="1:23" s="21" customFormat="1" ht="12.75" x14ac:dyDescent="0.2">
      <c r="A60" s="826" t="str">
        <f t="shared" si="0"/>
        <v>202.15</v>
      </c>
      <c r="B60" s="827" t="s">
        <v>126</v>
      </c>
      <c r="C60" s="828" t="s">
        <v>1305</v>
      </c>
      <c r="D60" s="828"/>
      <c r="E60" s="828"/>
      <c r="F60" s="828">
        <v>202</v>
      </c>
      <c r="G60" s="827" t="s">
        <v>52</v>
      </c>
      <c r="H60" s="828">
        <v>15</v>
      </c>
      <c r="I60" s="828"/>
      <c r="J60" s="828">
        <v>5.5</v>
      </c>
      <c r="K60" s="828">
        <v>6</v>
      </c>
      <c r="L60" s="829" t="s">
        <v>671</v>
      </c>
      <c r="M60" s="830"/>
      <c r="N60" s="831">
        <v>7</v>
      </c>
      <c r="O60" s="831">
        <v>2</v>
      </c>
      <c r="P60" s="830"/>
      <c r="Q60" s="831"/>
      <c r="R60" s="831"/>
      <c r="S60" s="832" t="s">
        <v>673</v>
      </c>
      <c r="T60" s="832" t="s">
        <v>65</v>
      </c>
      <c r="U60" s="823" t="s">
        <v>1864</v>
      </c>
      <c r="V60" s="824">
        <v>15</v>
      </c>
      <c r="W60" s="824" t="str">
        <f t="shared" si="1"/>
        <v>Hw.-Tech. und Hauswirtschaftliche Ang.</v>
      </c>
    </row>
    <row r="61" spans="1:23" s="21" customFormat="1" ht="12.75" x14ac:dyDescent="0.2">
      <c r="A61" s="74" t="str">
        <f t="shared" si="0"/>
        <v>202.16a</v>
      </c>
      <c r="B61" s="825" t="s">
        <v>208</v>
      </c>
      <c r="C61" s="72" t="s">
        <v>1305</v>
      </c>
      <c r="D61" s="72" t="s">
        <v>66</v>
      </c>
      <c r="E61" s="72"/>
      <c r="F61" s="72" t="s">
        <v>55</v>
      </c>
      <c r="G61" s="71" t="s">
        <v>52</v>
      </c>
      <c r="H61" s="72">
        <v>16</v>
      </c>
      <c r="I61" s="72">
        <v>408.6</v>
      </c>
      <c r="J61" s="72">
        <v>5.5</v>
      </c>
      <c r="K61" s="72">
        <v>4</v>
      </c>
      <c r="L61" s="821" t="s">
        <v>671</v>
      </c>
      <c r="M61" s="73"/>
      <c r="N61" s="30"/>
      <c r="O61" s="30"/>
      <c r="P61" s="73"/>
      <c r="Q61" s="30"/>
      <c r="R61" s="30"/>
      <c r="S61" s="822" t="s">
        <v>65</v>
      </c>
      <c r="T61" s="822" t="s">
        <v>65</v>
      </c>
      <c r="U61" s="823" t="s">
        <v>1318</v>
      </c>
      <c r="V61" s="824">
        <v>16</v>
      </c>
      <c r="W61" s="824" t="str">
        <f t="shared" si="1"/>
        <v>Hw.-Tech. und Hauswirtschaftliche Ang.</v>
      </c>
    </row>
    <row r="62" spans="1:23" s="21" customFormat="1" ht="12.75" x14ac:dyDescent="0.2">
      <c r="A62" s="74" t="str">
        <f t="shared" si="0"/>
        <v>202.16b</v>
      </c>
      <c r="B62" s="825" t="s">
        <v>209</v>
      </c>
      <c r="C62" s="72" t="s">
        <v>1305</v>
      </c>
      <c r="D62" s="72" t="s">
        <v>67</v>
      </c>
      <c r="E62" s="72"/>
      <c r="F62" s="72" t="s">
        <v>55</v>
      </c>
      <c r="G62" s="71" t="s">
        <v>54</v>
      </c>
      <c r="H62" s="72">
        <v>16</v>
      </c>
      <c r="I62" s="72">
        <v>408.6</v>
      </c>
      <c r="J62" s="72">
        <v>5.5</v>
      </c>
      <c r="K62" s="72">
        <v>4</v>
      </c>
      <c r="L62" s="821" t="s">
        <v>671</v>
      </c>
      <c r="M62" s="73"/>
      <c r="N62" s="30"/>
      <c r="O62" s="30"/>
      <c r="P62" s="73"/>
      <c r="Q62" s="30"/>
      <c r="R62" s="30"/>
      <c r="S62" s="822" t="s">
        <v>65</v>
      </c>
      <c r="T62" s="822" t="s">
        <v>65</v>
      </c>
      <c r="U62" s="823" t="s">
        <v>1319</v>
      </c>
      <c r="V62" s="824">
        <v>16</v>
      </c>
      <c r="W62" s="824" t="str">
        <f t="shared" si="1"/>
        <v>Handwerklich-Technische Angestellte</v>
      </c>
    </row>
    <row r="63" spans="1:23" s="21" customFormat="1" ht="12.75" x14ac:dyDescent="0.2">
      <c r="A63" s="74" t="str">
        <f t="shared" si="0"/>
        <v>202.16c</v>
      </c>
      <c r="B63" s="825" t="s">
        <v>210</v>
      </c>
      <c r="C63" s="72" t="s">
        <v>1305</v>
      </c>
      <c r="D63" s="72" t="s">
        <v>76</v>
      </c>
      <c r="E63" s="72"/>
      <c r="F63" s="72" t="s">
        <v>53</v>
      </c>
      <c r="G63" s="71" t="s">
        <v>54</v>
      </c>
      <c r="H63" s="72">
        <v>16</v>
      </c>
      <c r="I63" s="72">
        <v>387.2</v>
      </c>
      <c r="J63" s="72">
        <v>5.5</v>
      </c>
      <c r="K63" s="72">
        <v>5</v>
      </c>
      <c r="L63" s="821" t="s">
        <v>671</v>
      </c>
      <c r="M63" s="73">
        <v>391.5</v>
      </c>
      <c r="N63" s="30">
        <v>7</v>
      </c>
      <c r="O63" s="30">
        <v>3</v>
      </c>
      <c r="P63" s="73"/>
      <c r="Q63" s="30"/>
      <c r="R63" s="30"/>
      <c r="S63" s="822" t="s">
        <v>673</v>
      </c>
      <c r="T63" s="822" t="s">
        <v>65</v>
      </c>
      <c r="U63" s="823" t="s">
        <v>1320</v>
      </c>
      <c r="V63" s="824">
        <v>16</v>
      </c>
      <c r="W63" s="824" t="str">
        <f t="shared" si="1"/>
        <v>Handwerklich-Technische Angestellte</v>
      </c>
    </row>
    <row r="64" spans="1:23" s="21" customFormat="1" ht="12.75" x14ac:dyDescent="0.2">
      <c r="A64" s="74" t="str">
        <f t="shared" si="0"/>
        <v>202.16d</v>
      </c>
      <c r="B64" s="825" t="s">
        <v>211</v>
      </c>
      <c r="C64" s="72" t="s">
        <v>1305</v>
      </c>
      <c r="D64" s="72" t="s">
        <v>77</v>
      </c>
      <c r="E64" s="72"/>
      <c r="F64" s="72" t="s">
        <v>56</v>
      </c>
      <c r="G64" s="71" t="s">
        <v>54</v>
      </c>
      <c r="H64" s="72">
        <v>16</v>
      </c>
      <c r="I64" s="72">
        <v>409.1</v>
      </c>
      <c r="J64" s="72">
        <v>5.5</v>
      </c>
      <c r="K64" s="72">
        <v>4</v>
      </c>
      <c r="L64" s="821" t="s">
        <v>671</v>
      </c>
      <c r="M64" s="73">
        <v>402.7</v>
      </c>
      <c r="N64" s="30">
        <v>7</v>
      </c>
      <c r="O64" s="30">
        <v>1</v>
      </c>
      <c r="P64" s="73"/>
      <c r="Q64" s="30"/>
      <c r="R64" s="30"/>
      <c r="S64" s="822" t="s">
        <v>673</v>
      </c>
      <c r="T64" s="822" t="s">
        <v>65</v>
      </c>
      <c r="U64" s="823" t="s">
        <v>1321</v>
      </c>
      <c r="V64" s="824">
        <v>16</v>
      </c>
      <c r="W64" s="824" t="str">
        <f t="shared" si="1"/>
        <v>Handwerklich-Technische Angestellte</v>
      </c>
    </row>
    <row r="65" spans="1:23" s="21" customFormat="1" ht="12.75" x14ac:dyDescent="0.2">
      <c r="A65" s="826" t="str">
        <f t="shared" si="0"/>
        <v>202.17</v>
      </c>
      <c r="B65" s="827" t="s">
        <v>127</v>
      </c>
      <c r="C65" s="828" t="s">
        <v>1305</v>
      </c>
      <c r="D65" s="828"/>
      <c r="E65" s="828"/>
      <c r="F65" s="828">
        <v>202</v>
      </c>
      <c r="G65" s="827" t="s">
        <v>52</v>
      </c>
      <c r="H65" s="828">
        <v>17</v>
      </c>
      <c r="I65" s="828"/>
      <c r="J65" s="828">
        <v>5</v>
      </c>
      <c r="K65" s="828">
        <v>5</v>
      </c>
      <c r="L65" s="829" t="s">
        <v>87</v>
      </c>
      <c r="M65" s="830"/>
      <c r="N65" s="831">
        <v>7</v>
      </c>
      <c r="O65" s="831">
        <v>0</v>
      </c>
      <c r="P65" s="830"/>
      <c r="Q65" s="831"/>
      <c r="R65" s="831"/>
      <c r="S65" s="832" t="s">
        <v>673</v>
      </c>
      <c r="T65" s="832" t="s">
        <v>65</v>
      </c>
      <c r="U65" s="823" t="s">
        <v>1865</v>
      </c>
      <c r="V65" s="824">
        <v>17</v>
      </c>
      <c r="W65" s="824" t="str">
        <f t="shared" si="1"/>
        <v>Hw.-Tech. und Hauswirtschaftliche Ang.</v>
      </c>
    </row>
    <row r="66" spans="1:23" s="21" customFormat="1" ht="12.75" x14ac:dyDescent="0.2">
      <c r="A66" s="74" t="str">
        <f t="shared" ref="A66:A129" si="2">RIGHT(B66,LEN(B66)-1)</f>
        <v>202.18a</v>
      </c>
      <c r="B66" s="825" t="s">
        <v>212</v>
      </c>
      <c r="C66" s="72" t="s">
        <v>1305</v>
      </c>
      <c r="D66" s="72" t="s">
        <v>66</v>
      </c>
      <c r="E66" s="72"/>
      <c r="F66" s="72" t="s">
        <v>55</v>
      </c>
      <c r="G66" s="71" t="s">
        <v>52</v>
      </c>
      <c r="H66" s="72">
        <v>18</v>
      </c>
      <c r="I66" s="72">
        <v>352.8</v>
      </c>
      <c r="J66" s="72">
        <v>5</v>
      </c>
      <c r="K66" s="72">
        <v>3</v>
      </c>
      <c r="L66" s="821" t="s">
        <v>87</v>
      </c>
      <c r="M66" s="73"/>
      <c r="N66" s="30"/>
      <c r="O66" s="30"/>
      <c r="P66" s="73"/>
      <c r="Q66" s="30"/>
      <c r="R66" s="30"/>
      <c r="S66" s="822" t="s">
        <v>65</v>
      </c>
      <c r="T66" s="822" t="s">
        <v>65</v>
      </c>
      <c r="U66" s="823" t="s">
        <v>1325</v>
      </c>
      <c r="V66" s="824">
        <v>18</v>
      </c>
      <c r="W66" s="824" t="str">
        <f t="shared" ref="W66:W129" si="3">G66</f>
        <v>Hw.-Tech. und Hauswirtschaftliche Ang.</v>
      </c>
    </row>
    <row r="67" spans="1:23" s="21" customFormat="1" ht="12.75" x14ac:dyDescent="0.2">
      <c r="A67" s="74" t="str">
        <f t="shared" si="2"/>
        <v>202.18b</v>
      </c>
      <c r="B67" s="825" t="s">
        <v>213</v>
      </c>
      <c r="C67" s="72" t="s">
        <v>1305</v>
      </c>
      <c r="D67" s="72" t="s">
        <v>67</v>
      </c>
      <c r="E67" s="72"/>
      <c r="F67" s="72" t="s">
        <v>55</v>
      </c>
      <c r="G67" s="71" t="s">
        <v>54</v>
      </c>
      <c r="H67" s="72">
        <v>18</v>
      </c>
      <c r="I67" s="72">
        <v>352.8</v>
      </c>
      <c r="J67" s="72">
        <v>5</v>
      </c>
      <c r="K67" s="72">
        <v>3</v>
      </c>
      <c r="L67" s="821" t="s">
        <v>87</v>
      </c>
      <c r="M67" s="73"/>
      <c r="N67" s="30"/>
      <c r="O67" s="30"/>
      <c r="P67" s="73"/>
      <c r="Q67" s="30"/>
      <c r="R67" s="30"/>
      <c r="S67" s="822" t="s">
        <v>65</v>
      </c>
      <c r="T67" s="822" t="s">
        <v>65</v>
      </c>
      <c r="U67" s="823" t="s">
        <v>1326</v>
      </c>
      <c r="V67" s="824">
        <v>18</v>
      </c>
      <c r="W67" s="824" t="str">
        <f t="shared" si="3"/>
        <v>Handwerklich-Technische Angestellte</v>
      </c>
    </row>
    <row r="68" spans="1:23" s="21" customFormat="1" ht="12.75" x14ac:dyDescent="0.2">
      <c r="A68" s="74" t="str">
        <f t="shared" si="2"/>
        <v>202.18c</v>
      </c>
      <c r="B68" s="825" t="s">
        <v>214</v>
      </c>
      <c r="C68" s="72" t="s">
        <v>1305</v>
      </c>
      <c r="D68" s="72" t="s">
        <v>76</v>
      </c>
      <c r="E68" s="72"/>
      <c r="F68" s="72" t="s">
        <v>53</v>
      </c>
      <c r="G68" s="71" t="s">
        <v>54</v>
      </c>
      <c r="H68" s="72">
        <v>18</v>
      </c>
      <c r="I68" s="72">
        <v>343.5</v>
      </c>
      <c r="J68" s="72">
        <v>5</v>
      </c>
      <c r="K68" s="72">
        <v>3</v>
      </c>
      <c r="L68" s="821" t="s">
        <v>87</v>
      </c>
      <c r="M68" s="73"/>
      <c r="N68" s="30"/>
      <c r="O68" s="30"/>
      <c r="P68" s="73"/>
      <c r="Q68" s="30"/>
      <c r="R68" s="30"/>
      <c r="S68" s="822" t="s">
        <v>65</v>
      </c>
      <c r="T68" s="822" t="s">
        <v>65</v>
      </c>
      <c r="U68" s="823" t="s">
        <v>1327</v>
      </c>
      <c r="V68" s="824">
        <v>18</v>
      </c>
      <c r="W68" s="824" t="str">
        <f t="shared" si="3"/>
        <v>Handwerklich-Technische Angestellte</v>
      </c>
    </row>
    <row r="69" spans="1:23" s="21" customFormat="1" ht="12.75" x14ac:dyDescent="0.2">
      <c r="A69" s="826" t="str">
        <f t="shared" si="2"/>
        <v>202.19</v>
      </c>
      <c r="B69" s="827" t="s">
        <v>128</v>
      </c>
      <c r="C69" s="828" t="s">
        <v>1305</v>
      </c>
      <c r="D69" s="828"/>
      <c r="E69" s="828"/>
      <c r="F69" s="828">
        <v>202</v>
      </c>
      <c r="G69" s="827" t="s">
        <v>54</v>
      </c>
      <c r="H69" s="828">
        <v>19</v>
      </c>
      <c r="I69" s="828"/>
      <c r="J69" s="828">
        <v>5</v>
      </c>
      <c r="K69" s="828">
        <v>3</v>
      </c>
      <c r="L69" s="829" t="s">
        <v>87</v>
      </c>
      <c r="M69" s="830"/>
      <c r="N69" s="831"/>
      <c r="O69" s="831"/>
      <c r="P69" s="830"/>
      <c r="Q69" s="831"/>
      <c r="R69" s="831"/>
      <c r="S69" s="832" t="s">
        <v>65</v>
      </c>
      <c r="T69" s="832" t="s">
        <v>65</v>
      </c>
      <c r="U69" s="823" t="s">
        <v>1866</v>
      </c>
      <c r="V69" s="824">
        <v>19</v>
      </c>
      <c r="W69" s="824" t="str">
        <f t="shared" si="3"/>
        <v>Handwerklich-Technische Angestellte</v>
      </c>
    </row>
    <row r="70" spans="1:23" s="21" customFormat="1" ht="12.75" x14ac:dyDescent="0.2">
      <c r="A70" s="74" t="str">
        <f t="shared" si="2"/>
        <v>202.20a</v>
      </c>
      <c r="B70" s="825" t="s">
        <v>215</v>
      </c>
      <c r="C70" s="72" t="s">
        <v>1305</v>
      </c>
      <c r="D70" s="72" t="s">
        <v>66</v>
      </c>
      <c r="E70" s="72"/>
      <c r="F70" s="72" t="s">
        <v>51</v>
      </c>
      <c r="G70" s="71" t="s">
        <v>52</v>
      </c>
      <c r="H70" s="72">
        <v>20</v>
      </c>
      <c r="I70" s="72">
        <v>292.5</v>
      </c>
      <c r="J70" s="72">
        <v>5</v>
      </c>
      <c r="K70" s="72">
        <v>2</v>
      </c>
      <c r="L70" s="821" t="s">
        <v>87</v>
      </c>
      <c r="M70" s="73"/>
      <c r="N70" s="30"/>
      <c r="O70" s="30"/>
      <c r="P70" s="73"/>
      <c r="Q70" s="30"/>
      <c r="R70" s="30"/>
      <c r="S70" s="822" t="s">
        <v>65</v>
      </c>
      <c r="T70" s="822" t="s">
        <v>65</v>
      </c>
      <c r="U70" s="823" t="s">
        <v>1331</v>
      </c>
      <c r="V70" s="824">
        <v>20</v>
      </c>
      <c r="W70" s="824" t="str">
        <f t="shared" si="3"/>
        <v>Hw.-Tech. und Hauswirtschaftliche Ang.</v>
      </c>
    </row>
    <row r="71" spans="1:23" s="21" customFormat="1" ht="12.75" x14ac:dyDescent="0.2">
      <c r="A71" s="74" t="str">
        <f t="shared" si="2"/>
        <v>202.20c</v>
      </c>
      <c r="B71" s="825" t="s">
        <v>216</v>
      </c>
      <c r="C71" s="72" t="s">
        <v>1305</v>
      </c>
      <c r="D71" s="72" t="s">
        <v>76</v>
      </c>
      <c r="E71" s="72"/>
      <c r="F71" s="72" t="s">
        <v>53</v>
      </c>
      <c r="G71" s="71" t="s">
        <v>54</v>
      </c>
      <c r="H71" s="72">
        <v>20</v>
      </c>
      <c r="I71" s="72">
        <v>293.60000000000002</v>
      </c>
      <c r="J71" s="72">
        <v>5</v>
      </c>
      <c r="K71" s="72">
        <v>2</v>
      </c>
      <c r="L71" s="821" t="s">
        <v>87</v>
      </c>
      <c r="M71" s="73"/>
      <c r="N71" s="30"/>
      <c r="O71" s="30"/>
      <c r="P71" s="73"/>
      <c r="Q71" s="30"/>
      <c r="R71" s="30"/>
      <c r="S71" s="822" t="s">
        <v>65</v>
      </c>
      <c r="T71" s="822" t="s">
        <v>65</v>
      </c>
      <c r="U71" s="823" t="s">
        <v>1332</v>
      </c>
      <c r="V71" s="824">
        <v>20</v>
      </c>
      <c r="W71" s="824" t="str">
        <f t="shared" si="3"/>
        <v>Handwerklich-Technische Angestellte</v>
      </c>
    </row>
    <row r="72" spans="1:23" s="21" customFormat="1" ht="12.75" x14ac:dyDescent="0.2">
      <c r="A72" s="826" t="str">
        <f t="shared" si="2"/>
        <v>203.07</v>
      </c>
      <c r="B72" s="827" t="s">
        <v>322</v>
      </c>
      <c r="C72" s="828" t="s">
        <v>1333</v>
      </c>
      <c r="D72" s="828" t="s">
        <v>65</v>
      </c>
      <c r="E72" s="828"/>
      <c r="F72" s="828">
        <v>203</v>
      </c>
      <c r="G72" s="827" t="s">
        <v>57</v>
      </c>
      <c r="H72" s="828">
        <v>7</v>
      </c>
      <c r="I72" s="828">
        <v>614.20000000000005</v>
      </c>
      <c r="J72" s="828">
        <v>10.5</v>
      </c>
      <c r="K72" s="828">
        <v>5</v>
      </c>
      <c r="L72" s="829" t="s">
        <v>353</v>
      </c>
      <c r="M72" s="830">
        <v>589.9</v>
      </c>
      <c r="N72" s="831">
        <v>9</v>
      </c>
      <c r="O72" s="831">
        <v>8</v>
      </c>
      <c r="P72" s="830"/>
      <c r="Q72" s="831"/>
      <c r="R72" s="831"/>
      <c r="S72" s="832" t="s">
        <v>351</v>
      </c>
      <c r="T72" s="832"/>
      <c r="U72" s="823" t="s">
        <v>1867</v>
      </c>
      <c r="V72" s="824">
        <v>7</v>
      </c>
      <c r="W72" s="824" t="str">
        <f t="shared" si="3"/>
        <v>Technisch-Wissenschaftliche Angestellte</v>
      </c>
    </row>
    <row r="73" spans="1:23" s="21" customFormat="1" ht="12.75" x14ac:dyDescent="0.2">
      <c r="A73" s="826" t="str">
        <f t="shared" si="2"/>
        <v>203.08</v>
      </c>
      <c r="B73" s="825" t="s">
        <v>326</v>
      </c>
      <c r="C73" s="828" t="s">
        <v>1333</v>
      </c>
      <c r="D73" s="828" t="s">
        <v>65</v>
      </c>
      <c r="E73" s="828"/>
      <c r="F73" s="828">
        <v>203</v>
      </c>
      <c r="G73" s="827" t="s">
        <v>57</v>
      </c>
      <c r="H73" s="828">
        <v>8</v>
      </c>
      <c r="I73" s="828">
        <v>605.29999999999995</v>
      </c>
      <c r="J73" s="828">
        <v>10.5</v>
      </c>
      <c r="K73" s="828">
        <v>4</v>
      </c>
      <c r="L73" s="829" t="s">
        <v>353</v>
      </c>
      <c r="M73" s="830">
        <v>589.9</v>
      </c>
      <c r="N73" s="831">
        <v>9</v>
      </c>
      <c r="O73" s="831">
        <v>5</v>
      </c>
      <c r="P73" s="830"/>
      <c r="Q73" s="831"/>
      <c r="R73" s="831"/>
      <c r="S73" s="832" t="s">
        <v>351</v>
      </c>
      <c r="T73" s="832" t="s">
        <v>65</v>
      </c>
      <c r="U73" s="823" t="s">
        <v>1868</v>
      </c>
      <c r="V73" s="824">
        <v>8</v>
      </c>
      <c r="W73" s="824" t="str">
        <f t="shared" si="3"/>
        <v>Technisch-Wissenschaftliche Angestellte</v>
      </c>
    </row>
    <row r="74" spans="1:23" s="21" customFormat="1" ht="12.75" x14ac:dyDescent="0.2">
      <c r="A74" s="826" t="str">
        <f t="shared" si="2"/>
        <v>203.09</v>
      </c>
      <c r="B74" s="827" t="s">
        <v>332</v>
      </c>
      <c r="C74" s="828" t="s">
        <v>1333</v>
      </c>
      <c r="D74" s="828" t="s">
        <v>65</v>
      </c>
      <c r="E74" s="828"/>
      <c r="F74" s="828">
        <v>203</v>
      </c>
      <c r="G74" s="827" t="s">
        <v>57</v>
      </c>
      <c r="H74" s="828">
        <v>9</v>
      </c>
      <c r="I74" s="828">
        <v>553.29999999999995</v>
      </c>
      <c r="J74" s="828">
        <v>9.5</v>
      </c>
      <c r="K74" s="828">
        <v>4</v>
      </c>
      <c r="L74" s="829" t="s">
        <v>347</v>
      </c>
      <c r="M74" s="830"/>
      <c r="N74" s="831"/>
      <c r="O74" s="831"/>
      <c r="P74" s="830"/>
      <c r="Q74" s="831"/>
      <c r="R74" s="831"/>
      <c r="S74" s="832" t="s">
        <v>65</v>
      </c>
      <c r="T74" s="832" t="s">
        <v>65</v>
      </c>
      <c r="U74" s="823" t="s">
        <v>1869</v>
      </c>
      <c r="V74" s="824">
        <v>9</v>
      </c>
      <c r="W74" s="824" t="str">
        <f t="shared" si="3"/>
        <v>Technisch-Wissenschaftliche Angestellte</v>
      </c>
    </row>
    <row r="75" spans="1:23" s="21" customFormat="1" ht="12.75" x14ac:dyDescent="0.2">
      <c r="A75" s="826" t="str">
        <f t="shared" si="2"/>
        <v>203.10</v>
      </c>
      <c r="B75" s="825" t="s">
        <v>129</v>
      </c>
      <c r="C75" s="828" t="s">
        <v>1333</v>
      </c>
      <c r="D75" s="828" t="s">
        <v>65</v>
      </c>
      <c r="E75" s="828"/>
      <c r="F75" s="828">
        <v>203</v>
      </c>
      <c r="G75" s="827" t="s">
        <v>57</v>
      </c>
      <c r="H75" s="828">
        <v>10</v>
      </c>
      <c r="I75" s="828">
        <v>553.29999999999995</v>
      </c>
      <c r="J75" s="828">
        <v>9.5</v>
      </c>
      <c r="K75" s="828">
        <v>2</v>
      </c>
      <c r="L75" s="829" t="s">
        <v>347</v>
      </c>
      <c r="M75" s="830">
        <v>557.20000000000005</v>
      </c>
      <c r="N75" s="831">
        <v>9</v>
      </c>
      <c r="O75" s="831">
        <v>5</v>
      </c>
      <c r="P75" s="830"/>
      <c r="Q75" s="831"/>
      <c r="R75" s="831"/>
      <c r="S75" s="832" t="s">
        <v>351</v>
      </c>
      <c r="T75" s="832" t="s">
        <v>65</v>
      </c>
      <c r="U75" s="823" t="s">
        <v>1870</v>
      </c>
      <c r="V75" s="824">
        <v>10</v>
      </c>
      <c r="W75" s="824" t="str">
        <f t="shared" si="3"/>
        <v>Technisch-Wissenschaftliche Angestellte</v>
      </c>
    </row>
    <row r="76" spans="1:23" s="21" customFormat="1" ht="12.75" x14ac:dyDescent="0.2">
      <c r="A76" s="826" t="str">
        <f t="shared" si="2"/>
        <v>203.11</v>
      </c>
      <c r="B76" s="827" t="s">
        <v>130</v>
      </c>
      <c r="C76" s="828" t="s">
        <v>1333</v>
      </c>
      <c r="D76" s="828" t="s">
        <v>65</v>
      </c>
      <c r="E76" s="828"/>
      <c r="F76" s="828">
        <v>203</v>
      </c>
      <c r="G76" s="827" t="s">
        <v>57</v>
      </c>
      <c r="H76" s="828">
        <v>11</v>
      </c>
      <c r="I76" s="828"/>
      <c r="J76" s="828">
        <v>8</v>
      </c>
      <c r="K76" s="828">
        <v>5</v>
      </c>
      <c r="L76" s="829" t="s">
        <v>352</v>
      </c>
      <c r="M76" s="830"/>
      <c r="N76" s="831">
        <v>9.5</v>
      </c>
      <c r="O76" s="831">
        <v>0</v>
      </c>
      <c r="P76" s="830"/>
      <c r="Q76" s="831"/>
      <c r="R76" s="831"/>
      <c r="S76" s="832" t="s">
        <v>347</v>
      </c>
      <c r="T76" s="832" t="s">
        <v>65</v>
      </c>
      <c r="U76" s="823" t="s">
        <v>1871</v>
      </c>
      <c r="V76" s="824">
        <v>11</v>
      </c>
      <c r="W76" s="824" t="str">
        <f t="shared" si="3"/>
        <v>Technisch-Wissenschaftliche Angestellte</v>
      </c>
    </row>
    <row r="77" spans="1:23" s="21" customFormat="1" ht="12.75" x14ac:dyDescent="0.2">
      <c r="A77" s="826" t="str">
        <f t="shared" si="2"/>
        <v>203.12</v>
      </c>
      <c r="B77" s="825" t="s">
        <v>131</v>
      </c>
      <c r="C77" s="828" t="s">
        <v>1333</v>
      </c>
      <c r="D77" s="828" t="s">
        <v>65</v>
      </c>
      <c r="E77" s="828"/>
      <c r="F77" s="828">
        <v>203</v>
      </c>
      <c r="G77" s="827" t="s">
        <v>57</v>
      </c>
      <c r="H77" s="828">
        <v>12</v>
      </c>
      <c r="I77" s="828">
        <v>497.9</v>
      </c>
      <c r="J77" s="828">
        <v>8</v>
      </c>
      <c r="K77" s="828">
        <v>3</v>
      </c>
      <c r="L77" s="829" t="s">
        <v>352</v>
      </c>
      <c r="M77" s="830">
        <v>504.2</v>
      </c>
      <c r="N77" s="831">
        <v>9</v>
      </c>
      <c r="O77" s="831">
        <v>2</v>
      </c>
      <c r="P77" s="830">
        <v>502.2</v>
      </c>
      <c r="Q77" s="831">
        <v>9.5</v>
      </c>
      <c r="R77" s="831">
        <v>1</v>
      </c>
      <c r="S77" s="832" t="s">
        <v>351</v>
      </c>
      <c r="T77" s="832" t="s">
        <v>347</v>
      </c>
      <c r="U77" s="823" t="s">
        <v>1872</v>
      </c>
      <c r="V77" s="824">
        <v>12</v>
      </c>
      <c r="W77" s="824" t="str">
        <f t="shared" si="3"/>
        <v>Technisch-Wissenschaftliche Angestellte</v>
      </c>
    </row>
    <row r="78" spans="1:23" s="21" customFormat="1" ht="12.75" x14ac:dyDescent="0.2">
      <c r="A78" s="826" t="str">
        <f t="shared" si="2"/>
        <v>203.13</v>
      </c>
      <c r="B78" s="827" t="s">
        <v>132</v>
      </c>
      <c r="C78" s="828" t="s">
        <v>1333</v>
      </c>
      <c r="D78" s="828" t="s">
        <v>65</v>
      </c>
      <c r="E78" s="828"/>
      <c r="F78" s="828">
        <v>203</v>
      </c>
      <c r="G78" s="827" t="s">
        <v>57</v>
      </c>
      <c r="H78" s="828">
        <v>13</v>
      </c>
      <c r="I78" s="828"/>
      <c r="J78" s="828">
        <v>8</v>
      </c>
      <c r="K78" s="828">
        <v>3</v>
      </c>
      <c r="L78" s="829" t="s">
        <v>352</v>
      </c>
      <c r="M78" s="830"/>
      <c r="N78" s="831"/>
      <c r="O78" s="831"/>
      <c r="P78" s="830"/>
      <c r="Q78" s="831"/>
      <c r="R78" s="831"/>
      <c r="S78" s="832" t="s">
        <v>65</v>
      </c>
      <c r="T78" s="832" t="s">
        <v>65</v>
      </c>
      <c r="U78" s="823" t="s">
        <v>1873</v>
      </c>
      <c r="V78" s="824">
        <v>13</v>
      </c>
      <c r="W78" s="824" t="str">
        <f t="shared" si="3"/>
        <v>Technisch-Wissenschaftliche Angestellte</v>
      </c>
    </row>
    <row r="79" spans="1:23" s="21" customFormat="1" ht="12.75" x14ac:dyDescent="0.2">
      <c r="A79" s="74" t="str">
        <f t="shared" si="2"/>
        <v>203.14a</v>
      </c>
      <c r="B79" s="825" t="s">
        <v>217</v>
      </c>
      <c r="C79" s="72" t="s">
        <v>1333</v>
      </c>
      <c r="D79" s="72" t="s">
        <v>66</v>
      </c>
      <c r="E79" s="72"/>
      <c r="F79" s="72" t="s">
        <v>687</v>
      </c>
      <c r="G79" s="71" t="s">
        <v>57</v>
      </c>
      <c r="H79" s="72">
        <v>14</v>
      </c>
      <c r="I79" s="72">
        <v>458.6</v>
      </c>
      <c r="J79" s="72">
        <v>8</v>
      </c>
      <c r="K79" s="72">
        <v>2</v>
      </c>
      <c r="L79" s="821" t="s">
        <v>352</v>
      </c>
      <c r="M79" s="73"/>
      <c r="N79" s="30"/>
      <c r="O79" s="30"/>
      <c r="P79" s="73"/>
      <c r="Q79" s="30"/>
      <c r="R79" s="30"/>
      <c r="S79" s="822" t="s">
        <v>65</v>
      </c>
      <c r="T79" s="822" t="s">
        <v>65</v>
      </c>
      <c r="U79" s="823" t="s">
        <v>1346</v>
      </c>
      <c r="V79" s="824">
        <v>14</v>
      </c>
      <c r="W79" s="824" t="str">
        <f t="shared" si="3"/>
        <v>Technisch-Wissenschaftliche Angestellte</v>
      </c>
    </row>
    <row r="80" spans="1:23" s="21" customFormat="1" ht="12.75" x14ac:dyDescent="0.2">
      <c r="A80" s="74" t="str">
        <f t="shared" si="2"/>
        <v>203.14b</v>
      </c>
      <c r="B80" s="825" t="s">
        <v>218</v>
      </c>
      <c r="C80" s="72" t="s">
        <v>1333</v>
      </c>
      <c r="D80" s="72" t="s">
        <v>67</v>
      </c>
      <c r="E80" s="72"/>
      <c r="F80" s="72" t="s">
        <v>687</v>
      </c>
      <c r="G80" s="71" t="s">
        <v>57</v>
      </c>
      <c r="H80" s="72">
        <v>14</v>
      </c>
      <c r="I80" s="72">
        <v>458.6</v>
      </c>
      <c r="J80" s="72">
        <v>8</v>
      </c>
      <c r="K80" s="72">
        <v>2</v>
      </c>
      <c r="L80" s="821" t="s">
        <v>352</v>
      </c>
      <c r="M80" s="73"/>
      <c r="N80" s="30"/>
      <c r="O80" s="30"/>
      <c r="P80" s="73"/>
      <c r="Q80" s="30"/>
      <c r="R80" s="30"/>
      <c r="S80" s="822" t="s">
        <v>65</v>
      </c>
      <c r="T80" s="822" t="s">
        <v>65</v>
      </c>
      <c r="U80" s="823" t="s">
        <v>1347</v>
      </c>
      <c r="V80" s="824">
        <v>14</v>
      </c>
      <c r="W80" s="824" t="str">
        <f t="shared" si="3"/>
        <v>Technisch-Wissenschaftliche Angestellte</v>
      </c>
    </row>
    <row r="81" spans="1:23" s="21" customFormat="1" ht="12.75" x14ac:dyDescent="0.2">
      <c r="A81" s="74" t="str">
        <f t="shared" si="2"/>
        <v>211.11</v>
      </c>
      <c r="B81" s="71" t="s">
        <v>287</v>
      </c>
      <c r="C81" s="72" t="s">
        <v>1348</v>
      </c>
      <c r="D81" s="72" t="s">
        <v>65</v>
      </c>
      <c r="E81" s="72"/>
      <c r="F81" s="72">
        <v>211</v>
      </c>
      <c r="G81" s="71" t="s">
        <v>23</v>
      </c>
      <c r="H81" s="72">
        <v>11</v>
      </c>
      <c r="I81" s="72">
        <v>513.79999999999995</v>
      </c>
      <c r="J81" s="72">
        <v>7</v>
      </c>
      <c r="K81" s="72">
        <v>8</v>
      </c>
      <c r="L81" s="821" t="s">
        <v>673</v>
      </c>
      <c r="M81" s="73"/>
      <c r="N81" s="30"/>
      <c r="O81" s="30"/>
      <c r="P81" s="73"/>
      <c r="Q81" s="30"/>
      <c r="R81" s="30"/>
      <c r="S81" s="822"/>
      <c r="T81" s="822"/>
      <c r="U81" s="823" t="s">
        <v>1874</v>
      </c>
      <c r="V81" s="824">
        <v>11</v>
      </c>
      <c r="W81" s="824" t="str">
        <f t="shared" si="3"/>
        <v>Spezifische Führungsfunktion</v>
      </c>
    </row>
    <row r="82" spans="1:23" s="21" customFormat="1" ht="12.75" x14ac:dyDescent="0.2">
      <c r="A82" s="74" t="str">
        <f t="shared" si="2"/>
        <v>211.12</v>
      </c>
      <c r="B82" s="825" t="s">
        <v>133</v>
      </c>
      <c r="C82" s="836" t="s">
        <v>1348</v>
      </c>
      <c r="D82" s="836" t="s">
        <v>65</v>
      </c>
      <c r="E82" s="836"/>
      <c r="F82" s="836">
        <v>211</v>
      </c>
      <c r="G82" s="835" t="s">
        <v>23</v>
      </c>
      <c r="H82" s="836">
        <v>12</v>
      </c>
      <c r="I82" s="836">
        <v>489.2</v>
      </c>
      <c r="J82" s="836">
        <v>7</v>
      </c>
      <c r="K82" s="836">
        <v>5</v>
      </c>
      <c r="L82" s="837" t="s">
        <v>673</v>
      </c>
      <c r="M82" s="838"/>
      <c r="N82" s="30"/>
      <c r="O82" s="30"/>
      <c r="P82" s="838"/>
      <c r="Q82" s="30"/>
      <c r="R82" s="30"/>
      <c r="S82" s="839" t="s">
        <v>65</v>
      </c>
      <c r="T82" s="839" t="s">
        <v>65</v>
      </c>
      <c r="U82" s="823" t="s">
        <v>1875</v>
      </c>
      <c r="V82" s="824">
        <v>12</v>
      </c>
      <c r="W82" s="824" t="str">
        <f t="shared" si="3"/>
        <v>Spezifische Führungsfunktion</v>
      </c>
    </row>
    <row r="83" spans="1:23" s="21" customFormat="1" ht="12.75" x14ac:dyDescent="0.2">
      <c r="A83" s="74" t="str">
        <f t="shared" si="2"/>
        <v>211.13</v>
      </c>
      <c r="B83" s="71" t="s">
        <v>134</v>
      </c>
      <c r="C83" s="72" t="s">
        <v>1348</v>
      </c>
      <c r="D83" s="72" t="s">
        <v>65</v>
      </c>
      <c r="E83" s="72"/>
      <c r="F83" s="72">
        <v>211</v>
      </c>
      <c r="G83" s="71" t="s">
        <v>23</v>
      </c>
      <c r="H83" s="72">
        <v>13</v>
      </c>
      <c r="I83" s="72"/>
      <c r="J83" s="72">
        <v>7</v>
      </c>
      <c r="K83" s="72">
        <v>5</v>
      </c>
      <c r="L83" s="821" t="s">
        <v>673</v>
      </c>
      <c r="M83" s="73"/>
      <c r="N83" s="30"/>
      <c r="O83" s="30"/>
      <c r="P83" s="73"/>
      <c r="Q83" s="30"/>
      <c r="R83" s="30"/>
      <c r="S83" s="822" t="s">
        <v>65</v>
      </c>
      <c r="T83" s="822" t="s">
        <v>65</v>
      </c>
      <c r="U83" s="823" t="s">
        <v>1876</v>
      </c>
      <c r="V83" s="824">
        <v>13</v>
      </c>
      <c r="W83" s="824" t="str">
        <f t="shared" si="3"/>
        <v>Spezifische Führungsfunktion</v>
      </c>
    </row>
    <row r="84" spans="1:23" s="21" customFormat="1" ht="12.75" x14ac:dyDescent="0.2">
      <c r="A84" s="74" t="str">
        <f t="shared" si="2"/>
        <v>211.14</v>
      </c>
      <c r="B84" s="825" t="s">
        <v>135</v>
      </c>
      <c r="C84" s="72" t="s">
        <v>1348</v>
      </c>
      <c r="D84" s="72" t="s">
        <v>65</v>
      </c>
      <c r="E84" s="72"/>
      <c r="F84" s="72">
        <v>211</v>
      </c>
      <c r="G84" s="71" t="s">
        <v>24</v>
      </c>
      <c r="H84" s="72">
        <v>14</v>
      </c>
      <c r="I84" s="72">
        <v>450.2</v>
      </c>
      <c r="J84" s="72">
        <v>7</v>
      </c>
      <c r="K84" s="72">
        <v>4</v>
      </c>
      <c r="L84" s="821" t="s">
        <v>673</v>
      </c>
      <c r="M84" s="73">
        <v>436.6</v>
      </c>
      <c r="N84" s="30">
        <v>5.5</v>
      </c>
      <c r="O84" s="30">
        <v>5</v>
      </c>
      <c r="P84" s="73"/>
      <c r="Q84" s="30"/>
      <c r="R84" s="30"/>
      <c r="S84" s="822" t="s">
        <v>671</v>
      </c>
      <c r="T84" s="822" t="s">
        <v>65</v>
      </c>
      <c r="U84" s="823" t="s">
        <v>1877</v>
      </c>
      <c r="V84" s="824">
        <v>14</v>
      </c>
      <c r="W84" s="824" t="str">
        <f t="shared" si="3"/>
        <v xml:space="preserve">Spezifische Führungsfunktion </v>
      </c>
    </row>
    <row r="85" spans="1:23" s="21" customFormat="1" ht="12.75" x14ac:dyDescent="0.2">
      <c r="A85" s="74" t="str">
        <f t="shared" si="2"/>
        <v>211.15</v>
      </c>
      <c r="B85" s="71" t="s">
        <v>266</v>
      </c>
      <c r="C85" s="72" t="s">
        <v>1348</v>
      </c>
      <c r="D85" s="72" t="s">
        <v>65</v>
      </c>
      <c r="E85" s="72"/>
      <c r="F85" s="72">
        <v>211</v>
      </c>
      <c r="G85" s="71" t="s">
        <v>24</v>
      </c>
      <c r="H85" s="72">
        <v>15</v>
      </c>
      <c r="I85" s="72"/>
      <c r="J85" s="72">
        <v>6</v>
      </c>
      <c r="K85" s="72">
        <v>5</v>
      </c>
      <c r="L85" s="821" t="s">
        <v>672</v>
      </c>
      <c r="M85" s="73"/>
      <c r="N85" s="30">
        <v>5.5</v>
      </c>
      <c r="O85" s="30">
        <v>7</v>
      </c>
      <c r="P85" s="73"/>
      <c r="Q85" s="30">
        <v>7</v>
      </c>
      <c r="R85" s="30">
        <v>2</v>
      </c>
      <c r="S85" s="822" t="s">
        <v>671</v>
      </c>
      <c r="T85" s="822" t="s">
        <v>673</v>
      </c>
      <c r="U85" s="823" t="s">
        <v>1878</v>
      </c>
      <c r="V85" s="824">
        <v>15</v>
      </c>
      <c r="W85" s="824" t="str">
        <f t="shared" si="3"/>
        <v xml:space="preserve">Spezifische Führungsfunktion </v>
      </c>
    </row>
    <row r="86" spans="1:23" s="21" customFormat="1" ht="12.75" x14ac:dyDescent="0.2">
      <c r="A86" s="74" t="str">
        <f t="shared" si="2"/>
        <v>211.16</v>
      </c>
      <c r="B86" s="825" t="s">
        <v>136</v>
      </c>
      <c r="C86" s="72" t="s">
        <v>1348</v>
      </c>
      <c r="D86" s="72" t="s">
        <v>65</v>
      </c>
      <c r="E86" s="72"/>
      <c r="F86" s="72">
        <v>211</v>
      </c>
      <c r="G86" s="71" t="s">
        <v>24</v>
      </c>
      <c r="H86" s="72">
        <v>16</v>
      </c>
      <c r="I86" s="72">
        <v>395.4</v>
      </c>
      <c r="J86" s="72">
        <v>6</v>
      </c>
      <c r="K86" s="72">
        <v>3</v>
      </c>
      <c r="L86" s="821" t="s">
        <v>672</v>
      </c>
      <c r="M86" s="73"/>
      <c r="N86" s="30"/>
      <c r="O86" s="30"/>
      <c r="P86" s="73"/>
      <c r="Q86" s="30"/>
      <c r="R86" s="30"/>
      <c r="S86" s="822" t="s">
        <v>65</v>
      </c>
      <c r="T86" s="822" t="s">
        <v>65</v>
      </c>
      <c r="U86" s="823" t="s">
        <v>1879</v>
      </c>
      <c r="V86" s="824">
        <v>16</v>
      </c>
      <c r="W86" s="824" t="str">
        <f t="shared" si="3"/>
        <v xml:space="preserve">Spezifische Führungsfunktion </v>
      </c>
    </row>
    <row r="87" spans="1:23" s="21" customFormat="1" ht="12.75" x14ac:dyDescent="0.2">
      <c r="A87" s="74" t="str">
        <f t="shared" si="2"/>
        <v>211.17</v>
      </c>
      <c r="B87" s="825" t="s">
        <v>137</v>
      </c>
      <c r="C87" s="72" t="s">
        <v>1348</v>
      </c>
      <c r="D87" s="72" t="s">
        <v>65</v>
      </c>
      <c r="E87" s="72"/>
      <c r="F87" s="72">
        <v>211</v>
      </c>
      <c r="G87" s="71" t="s">
        <v>24</v>
      </c>
      <c r="H87" s="72">
        <v>17</v>
      </c>
      <c r="I87" s="72">
        <v>379.9</v>
      </c>
      <c r="J87" s="72">
        <v>5</v>
      </c>
      <c r="K87" s="72">
        <v>5</v>
      </c>
      <c r="L87" s="821" t="s">
        <v>87</v>
      </c>
      <c r="M87" s="73"/>
      <c r="N87" s="30"/>
      <c r="O87" s="30"/>
      <c r="P87" s="73"/>
      <c r="Q87" s="30"/>
      <c r="R87" s="30"/>
      <c r="S87" s="822" t="s">
        <v>65</v>
      </c>
      <c r="T87" s="822" t="s">
        <v>65</v>
      </c>
      <c r="U87" s="823" t="s">
        <v>1880</v>
      </c>
      <c r="V87" s="824">
        <v>17</v>
      </c>
      <c r="W87" s="824" t="str">
        <f t="shared" si="3"/>
        <v xml:space="preserve">Spezifische Führungsfunktion </v>
      </c>
    </row>
    <row r="88" spans="1:23" s="21" customFormat="1" ht="12.75" x14ac:dyDescent="0.2">
      <c r="A88" s="74" t="str">
        <f t="shared" si="2"/>
        <v>211.18</v>
      </c>
      <c r="B88" s="825" t="s">
        <v>138</v>
      </c>
      <c r="C88" s="72" t="s">
        <v>1348</v>
      </c>
      <c r="D88" s="72" t="s">
        <v>65</v>
      </c>
      <c r="E88" s="72"/>
      <c r="F88" s="72">
        <v>211</v>
      </c>
      <c r="G88" s="71" t="s">
        <v>24</v>
      </c>
      <c r="H88" s="72">
        <v>18</v>
      </c>
      <c r="I88" s="72">
        <v>344.8</v>
      </c>
      <c r="J88" s="72">
        <v>5</v>
      </c>
      <c r="K88" s="72">
        <v>3</v>
      </c>
      <c r="L88" s="821" t="s">
        <v>87</v>
      </c>
      <c r="M88" s="73"/>
      <c r="N88" s="30"/>
      <c r="O88" s="30"/>
      <c r="P88" s="73"/>
      <c r="Q88" s="30"/>
      <c r="R88" s="30"/>
      <c r="S88" s="822" t="s">
        <v>65</v>
      </c>
      <c r="T88" s="822" t="s">
        <v>65</v>
      </c>
      <c r="U88" s="823" t="s">
        <v>1881</v>
      </c>
      <c r="V88" s="824">
        <v>18</v>
      </c>
      <c r="W88" s="824" t="str">
        <f t="shared" si="3"/>
        <v xml:space="preserve">Spezifische Führungsfunktion </v>
      </c>
    </row>
    <row r="89" spans="1:23" s="21" customFormat="1" ht="12.75" x14ac:dyDescent="0.2">
      <c r="A89" s="74" t="str">
        <f t="shared" si="2"/>
        <v>301.21</v>
      </c>
      <c r="B89" s="71" t="s">
        <v>288</v>
      </c>
      <c r="C89" s="72" t="s">
        <v>1349</v>
      </c>
      <c r="D89" s="72" t="s">
        <v>65</v>
      </c>
      <c r="E89" s="72"/>
      <c r="F89" s="72">
        <v>301</v>
      </c>
      <c r="G89" s="71" t="s">
        <v>15</v>
      </c>
      <c r="H89" s="72">
        <v>21</v>
      </c>
      <c r="I89" s="72">
        <v>266.8</v>
      </c>
      <c r="J89" s="72">
        <v>2</v>
      </c>
      <c r="K89" s="72">
        <v>6</v>
      </c>
      <c r="L89" s="821" t="s">
        <v>344</v>
      </c>
      <c r="M89" s="73"/>
      <c r="N89" s="30"/>
      <c r="O89" s="30"/>
      <c r="P89" s="73"/>
      <c r="Q89" s="30"/>
      <c r="R89" s="30"/>
      <c r="S89" s="822"/>
      <c r="T89" s="822"/>
      <c r="U89" s="823" t="s">
        <v>1882</v>
      </c>
      <c r="V89" s="824">
        <v>21</v>
      </c>
      <c r="W89" s="824" t="str">
        <f t="shared" si="3"/>
        <v>Pflege- und Betreuungsmitarbeit</v>
      </c>
    </row>
    <row r="90" spans="1:23" s="21" customFormat="1" ht="12.75" x14ac:dyDescent="0.2">
      <c r="A90" s="74" t="str">
        <f t="shared" si="2"/>
        <v>301.22</v>
      </c>
      <c r="B90" s="825" t="s">
        <v>139</v>
      </c>
      <c r="C90" s="72" t="s">
        <v>1349</v>
      </c>
      <c r="D90" s="72" t="s">
        <v>65</v>
      </c>
      <c r="E90" s="72"/>
      <c r="F90" s="72">
        <v>301</v>
      </c>
      <c r="G90" s="71" t="s">
        <v>15</v>
      </c>
      <c r="H90" s="72">
        <v>22</v>
      </c>
      <c r="I90" s="72">
        <v>249.3</v>
      </c>
      <c r="J90" s="72">
        <v>2</v>
      </c>
      <c r="K90" s="72">
        <v>4</v>
      </c>
      <c r="L90" s="821" t="s">
        <v>344</v>
      </c>
      <c r="M90" s="73"/>
      <c r="N90" s="30"/>
      <c r="O90" s="30"/>
      <c r="P90" s="73"/>
      <c r="Q90" s="30"/>
      <c r="R90" s="30"/>
      <c r="S90" s="822" t="s">
        <v>65</v>
      </c>
      <c r="T90" s="822" t="s">
        <v>65</v>
      </c>
      <c r="U90" s="823" t="s">
        <v>1883</v>
      </c>
      <c r="V90" s="824">
        <v>22</v>
      </c>
      <c r="W90" s="824" t="str">
        <f t="shared" si="3"/>
        <v>Pflege- und Betreuungsmitarbeit</v>
      </c>
    </row>
    <row r="91" spans="1:23" s="21" customFormat="1" ht="12.75" x14ac:dyDescent="0.2">
      <c r="A91" s="74" t="str">
        <f t="shared" si="2"/>
        <v>301.23</v>
      </c>
      <c r="B91" s="825" t="s">
        <v>140</v>
      </c>
      <c r="C91" s="72" t="s">
        <v>1349</v>
      </c>
      <c r="D91" s="72" t="s">
        <v>65</v>
      </c>
      <c r="E91" s="72"/>
      <c r="F91" s="72">
        <v>301</v>
      </c>
      <c r="G91" s="71" t="s">
        <v>15</v>
      </c>
      <c r="H91" s="72">
        <v>23</v>
      </c>
      <c r="I91" s="72">
        <v>223.3</v>
      </c>
      <c r="J91" s="72">
        <v>2</v>
      </c>
      <c r="K91" s="72">
        <v>2</v>
      </c>
      <c r="L91" s="821" t="s">
        <v>344</v>
      </c>
      <c r="M91" s="73"/>
      <c r="N91" s="30"/>
      <c r="O91" s="30"/>
      <c r="P91" s="73"/>
      <c r="Q91" s="30"/>
      <c r="R91" s="30"/>
      <c r="S91" s="822" t="s">
        <v>65</v>
      </c>
      <c r="T91" s="822" t="s">
        <v>65</v>
      </c>
      <c r="U91" s="823" t="s">
        <v>1884</v>
      </c>
      <c r="V91" s="824">
        <v>23</v>
      </c>
      <c r="W91" s="824" t="str">
        <f t="shared" si="3"/>
        <v>Pflege- und Betreuungsmitarbeit</v>
      </c>
    </row>
    <row r="92" spans="1:23" s="21" customFormat="1" ht="12.75" x14ac:dyDescent="0.2">
      <c r="A92" s="74" t="str">
        <f t="shared" si="2"/>
        <v>301.24</v>
      </c>
      <c r="B92" s="825" t="s">
        <v>141</v>
      </c>
      <c r="C92" s="72" t="s">
        <v>1349</v>
      </c>
      <c r="D92" s="72" t="s">
        <v>65</v>
      </c>
      <c r="E92" s="72"/>
      <c r="F92" s="72">
        <v>301</v>
      </c>
      <c r="G92" s="71" t="s">
        <v>15</v>
      </c>
      <c r="H92" s="72">
        <v>24</v>
      </c>
      <c r="I92" s="72">
        <v>208.3</v>
      </c>
      <c r="J92" s="72">
        <v>2</v>
      </c>
      <c r="K92" s="72">
        <v>0.5</v>
      </c>
      <c r="L92" s="821" t="s">
        <v>344</v>
      </c>
      <c r="M92" s="73"/>
      <c r="N92" s="30"/>
      <c r="O92" s="30"/>
      <c r="P92" s="73"/>
      <c r="Q92" s="30"/>
      <c r="R92" s="30"/>
      <c r="S92" s="822" t="s">
        <v>65</v>
      </c>
      <c r="T92" s="822" t="s">
        <v>65</v>
      </c>
      <c r="U92" s="823" t="s">
        <v>1885</v>
      </c>
      <c r="V92" s="824">
        <v>24</v>
      </c>
      <c r="W92" s="824" t="str">
        <f t="shared" si="3"/>
        <v>Pflege- und Betreuungsmitarbeit</v>
      </c>
    </row>
    <row r="93" spans="1:23" s="21" customFormat="1" ht="12.75" x14ac:dyDescent="0.2">
      <c r="A93" s="74" t="str">
        <f t="shared" si="2"/>
        <v>301.25</v>
      </c>
      <c r="B93" s="825" t="s">
        <v>142</v>
      </c>
      <c r="C93" s="72" t="s">
        <v>1349</v>
      </c>
      <c r="D93" s="72" t="s">
        <v>65</v>
      </c>
      <c r="E93" s="72"/>
      <c r="F93" s="72">
        <v>301</v>
      </c>
      <c r="G93" s="71" t="s">
        <v>15</v>
      </c>
      <c r="H93" s="72">
        <v>25</v>
      </c>
      <c r="I93" s="72">
        <v>185.8</v>
      </c>
      <c r="J93" s="72">
        <v>1.5</v>
      </c>
      <c r="K93" s="72">
        <v>0.5</v>
      </c>
      <c r="L93" s="821" t="s">
        <v>86</v>
      </c>
      <c r="M93" s="73"/>
      <c r="N93" s="30"/>
      <c r="O93" s="30"/>
      <c r="P93" s="73"/>
      <c r="Q93" s="30"/>
      <c r="R93" s="30"/>
      <c r="S93" s="822" t="s">
        <v>65</v>
      </c>
      <c r="T93" s="822" t="s">
        <v>65</v>
      </c>
      <c r="U93" s="823" t="s">
        <v>1886</v>
      </c>
      <c r="V93" s="824">
        <v>25</v>
      </c>
      <c r="W93" s="824" t="str">
        <f t="shared" si="3"/>
        <v>Pflege- und Betreuungsmitarbeit</v>
      </c>
    </row>
    <row r="94" spans="1:23" s="21" customFormat="1" ht="12.75" x14ac:dyDescent="0.2">
      <c r="A94" s="74" t="str">
        <f t="shared" si="2"/>
        <v>301.26</v>
      </c>
      <c r="B94" s="71" t="s">
        <v>289</v>
      </c>
      <c r="C94" s="72" t="s">
        <v>1349</v>
      </c>
      <c r="D94" s="72" t="s">
        <v>65</v>
      </c>
      <c r="E94" s="72"/>
      <c r="F94" s="72">
        <v>301</v>
      </c>
      <c r="G94" s="71" t="s">
        <v>15</v>
      </c>
      <c r="H94" s="72">
        <v>26</v>
      </c>
      <c r="I94" s="72"/>
      <c r="J94" s="72">
        <v>1.5</v>
      </c>
      <c r="K94" s="72">
        <v>0</v>
      </c>
      <c r="L94" s="821" t="s">
        <v>86</v>
      </c>
      <c r="M94" s="73"/>
      <c r="N94" s="30"/>
      <c r="O94" s="30"/>
      <c r="P94" s="73"/>
      <c r="Q94" s="30"/>
      <c r="R94" s="30"/>
      <c r="S94" s="822"/>
      <c r="T94" s="822"/>
      <c r="U94" s="823" t="s">
        <v>1887</v>
      </c>
      <c r="V94" s="824">
        <v>26</v>
      </c>
      <c r="W94" s="824" t="str">
        <f t="shared" si="3"/>
        <v>Pflege- und Betreuungsmitarbeit</v>
      </c>
    </row>
    <row r="95" spans="1:23" s="21" customFormat="1" ht="12.75" x14ac:dyDescent="0.2">
      <c r="A95" s="74" t="str">
        <f t="shared" si="2"/>
        <v>302.19</v>
      </c>
      <c r="B95" s="825" t="s">
        <v>143</v>
      </c>
      <c r="C95" s="72" t="s">
        <v>1350</v>
      </c>
      <c r="D95" s="72" t="s">
        <v>65</v>
      </c>
      <c r="E95" s="72"/>
      <c r="F95" s="72">
        <v>302</v>
      </c>
      <c r="G95" s="71" t="s">
        <v>581</v>
      </c>
      <c r="H95" s="72">
        <v>19</v>
      </c>
      <c r="I95" s="72">
        <v>328.7</v>
      </c>
      <c r="J95" s="72">
        <v>5</v>
      </c>
      <c r="K95" s="72">
        <v>1</v>
      </c>
      <c r="L95" s="821" t="s">
        <v>87</v>
      </c>
      <c r="M95" s="73"/>
      <c r="N95" s="30">
        <v>4</v>
      </c>
      <c r="O95" s="30">
        <v>2</v>
      </c>
      <c r="P95" s="73"/>
      <c r="Q95" s="30"/>
      <c r="R95" s="30"/>
      <c r="S95" s="822" t="s">
        <v>89</v>
      </c>
      <c r="T95" s="822" t="s">
        <v>65</v>
      </c>
      <c r="U95" s="823" t="s">
        <v>1888</v>
      </c>
      <c r="V95" s="824">
        <v>19</v>
      </c>
      <c r="W95" s="824" t="str">
        <f t="shared" si="3"/>
        <v>Krankenpflege FAGE / FA SRK</v>
      </c>
    </row>
    <row r="96" spans="1:23" s="21" customFormat="1" ht="12.75" x14ac:dyDescent="0.2">
      <c r="A96" s="74" t="str">
        <f t="shared" si="2"/>
        <v>302.20</v>
      </c>
      <c r="B96" s="825" t="s">
        <v>144</v>
      </c>
      <c r="C96" s="72" t="s">
        <v>1350</v>
      </c>
      <c r="D96" s="72" t="s">
        <v>65</v>
      </c>
      <c r="E96" s="72"/>
      <c r="F96" s="72">
        <v>302</v>
      </c>
      <c r="G96" s="71" t="s">
        <v>582</v>
      </c>
      <c r="H96" s="72">
        <v>20</v>
      </c>
      <c r="I96" s="72">
        <v>307.89999999999998</v>
      </c>
      <c r="J96" s="72">
        <v>5</v>
      </c>
      <c r="K96" s="72">
        <v>1</v>
      </c>
      <c r="L96" s="821" t="s">
        <v>87</v>
      </c>
      <c r="M96" s="73"/>
      <c r="N96" s="30">
        <v>4</v>
      </c>
      <c r="O96" s="30">
        <v>1</v>
      </c>
      <c r="P96" s="73"/>
      <c r="Q96" s="30">
        <v>3.5</v>
      </c>
      <c r="R96" s="30">
        <v>2</v>
      </c>
      <c r="S96" s="822" t="s">
        <v>89</v>
      </c>
      <c r="T96" s="822" t="s">
        <v>345</v>
      </c>
      <c r="U96" s="823" t="s">
        <v>1889</v>
      </c>
      <c r="V96" s="824">
        <v>20</v>
      </c>
      <c r="W96" s="824" t="str">
        <f t="shared" si="3"/>
        <v xml:space="preserve">Krankenpflege FAGE / FA SRK </v>
      </c>
    </row>
    <row r="97" spans="1:23" s="21" customFormat="1" ht="12.75" x14ac:dyDescent="0.2">
      <c r="A97" s="74" t="str">
        <f t="shared" si="2"/>
        <v>303.13</v>
      </c>
      <c r="B97" s="825" t="s">
        <v>145</v>
      </c>
      <c r="C97" s="72" t="s">
        <v>1351</v>
      </c>
      <c r="D97" s="72" t="s">
        <v>65</v>
      </c>
      <c r="E97" s="72"/>
      <c r="F97" s="72">
        <v>303</v>
      </c>
      <c r="G97" s="71" t="s">
        <v>17</v>
      </c>
      <c r="H97" s="72">
        <v>13</v>
      </c>
      <c r="I97" s="72">
        <v>483.2</v>
      </c>
      <c r="J97" s="72">
        <v>8</v>
      </c>
      <c r="K97" s="72">
        <v>5</v>
      </c>
      <c r="L97" s="821" t="s">
        <v>352</v>
      </c>
      <c r="M97" s="73"/>
      <c r="N97" s="30"/>
      <c r="O97" s="30"/>
      <c r="P97" s="73"/>
      <c r="Q97" s="30"/>
      <c r="R97" s="30"/>
      <c r="S97" s="822" t="s">
        <v>65</v>
      </c>
      <c r="T97" s="822" t="s">
        <v>65</v>
      </c>
      <c r="U97" s="823" t="s">
        <v>1890</v>
      </c>
      <c r="V97" s="824">
        <v>13</v>
      </c>
      <c r="W97" s="824" t="str">
        <f t="shared" si="3"/>
        <v>Diplomierte Krankenpflege</v>
      </c>
    </row>
    <row r="98" spans="1:23" s="21" customFormat="1" ht="12.75" x14ac:dyDescent="0.2">
      <c r="A98" s="74" t="str">
        <f t="shared" si="2"/>
        <v>303.14</v>
      </c>
      <c r="B98" s="825" t="s">
        <v>146</v>
      </c>
      <c r="C98" s="72" t="s">
        <v>1351</v>
      </c>
      <c r="D98" s="72" t="s">
        <v>65</v>
      </c>
      <c r="E98" s="72"/>
      <c r="F98" s="72">
        <v>303</v>
      </c>
      <c r="G98" s="71" t="s">
        <v>17</v>
      </c>
      <c r="H98" s="72">
        <v>14</v>
      </c>
      <c r="I98" s="72">
        <v>442.4</v>
      </c>
      <c r="J98" s="72">
        <v>7</v>
      </c>
      <c r="K98" s="72">
        <v>4</v>
      </c>
      <c r="L98" s="821" t="s">
        <v>673</v>
      </c>
      <c r="M98" s="73"/>
      <c r="N98" s="30"/>
      <c r="O98" s="30"/>
      <c r="P98" s="73"/>
      <c r="Q98" s="30"/>
      <c r="R98" s="30"/>
      <c r="S98" s="822" t="s">
        <v>65</v>
      </c>
      <c r="T98" s="822" t="s">
        <v>65</v>
      </c>
      <c r="U98" s="823" t="s">
        <v>1891</v>
      </c>
      <c r="V98" s="824">
        <v>14</v>
      </c>
      <c r="W98" s="824" t="str">
        <f t="shared" si="3"/>
        <v>Diplomierte Krankenpflege</v>
      </c>
    </row>
    <row r="99" spans="1:23" s="21" customFormat="1" ht="12.75" x14ac:dyDescent="0.2">
      <c r="A99" s="74" t="str">
        <f t="shared" si="2"/>
        <v>303.15a</v>
      </c>
      <c r="B99" s="825" t="s">
        <v>219</v>
      </c>
      <c r="C99" s="72" t="s">
        <v>1351</v>
      </c>
      <c r="D99" s="72" t="s">
        <v>66</v>
      </c>
      <c r="E99" s="72"/>
      <c r="F99" s="72" t="s">
        <v>22</v>
      </c>
      <c r="G99" s="71" t="s">
        <v>17</v>
      </c>
      <c r="H99" s="72">
        <v>15</v>
      </c>
      <c r="I99" s="72">
        <v>424.5</v>
      </c>
      <c r="J99" s="72">
        <v>6.5</v>
      </c>
      <c r="K99" s="72">
        <v>4</v>
      </c>
      <c r="L99" s="821" t="s">
        <v>346</v>
      </c>
      <c r="M99" s="73"/>
      <c r="N99" s="30"/>
      <c r="O99" s="30"/>
      <c r="P99" s="73"/>
      <c r="Q99" s="30"/>
      <c r="R99" s="30"/>
      <c r="S99" s="822" t="s">
        <v>65</v>
      </c>
      <c r="T99" s="822" t="s">
        <v>65</v>
      </c>
      <c r="U99" s="823" t="s">
        <v>1352</v>
      </c>
      <c r="V99" s="824">
        <v>15</v>
      </c>
      <c r="W99" s="824" t="str">
        <f t="shared" si="3"/>
        <v>Diplomierte Krankenpflege</v>
      </c>
    </row>
    <row r="100" spans="1:23" s="21" customFormat="1" ht="12.75" x14ac:dyDescent="0.2">
      <c r="A100" s="74" t="str">
        <f t="shared" si="2"/>
        <v>303.15b</v>
      </c>
      <c r="B100" s="825" t="s">
        <v>220</v>
      </c>
      <c r="C100" s="72" t="s">
        <v>1351</v>
      </c>
      <c r="D100" s="72" t="s">
        <v>67</v>
      </c>
      <c r="E100" s="72"/>
      <c r="F100" s="72" t="s">
        <v>18</v>
      </c>
      <c r="G100" s="71" t="s">
        <v>17</v>
      </c>
      <c r="H100" s="72">
        <v>15</v>
      </c>
      <c r="I100" s="72">
        <v>418.4</v>
      </c>
      <c r="J100" s="72">
        <v>7</v>
      </c>
      <c r="K100" s="72">
        <v>3</v>
      </c>
      <c r="L100" s="821" t="s">
        <v>673</v>
      </c>
      <c r="M100" s="73"/>
      <c r="N100" s="30"/>
      <c r="O100" s="30"/>
      <c r="P100" s="73"/>
      <c r="Q100" s="30"/>
      <c r="R100" s="30"/>
      <c r="S100" s="822" t="s">
        <v>65</v>
      </c>
      <c r="T100" s="822" t="s">
        <v>65</v>
      </c>
      <c r="U100" s="823" t="s">
        <v>1353</v>
      </c>
      <c r="V100" s="824">
        <v>15</v>
      </c>
      <c r="W100" s="824" t="str">
        <f t="shared" si="3"/>
        <v>Diplomierte Krankenpflege</v>
      </c>
    </row>
    <row r="101" spans="1:23" s="21" customFormat="1" ht="12.75" x14ac:dyDescent="0.2">
      <c r="A101" s="74" t="str">
        <f t="shared" si="2"/>
        <v>303.16a</v>
      </c>
      <c r="B101" s="825" t="s">
        <v>221</v>
      </c>
      <c r="C101" s="72" t="s">
        <v>1351</v>
      </c>
      <c r="D101" s="72" t="s">
        <v>66</v>
      </c>
      <c r="E101" s="72"/>
      <c r="F101" s="72" t="s">
        <v>22</v>
      </c>
      <c r="G101" s="71" t="s">
        <v>17</v>
      </c>
      <c r="H101" s="72">
        <v>16</v>
      </c>
      <c r="I101" s="72">
        <v>391.7</v>
      </c>
      <c r="J101" s="72">
        <v>6.5</v>
      </c>
      <c r="K101" s="72">
        <v>2</v>
      </c>
      <c r="L101" s="821" t="s">
        <v>346</v>
      </c>
      <c r="M101" s="73"/>
      <c r="N101" s="30"/>
      <c r="O101" s="30"/>
      <c r="P101" s="73"/>
      <c r="Q101" s="30"/>
      <c r="R101" s="30"/>
      <c r="S101" s="822" t="s">
        <v>65</v>
      </c>
      <c r="T101" s="822" t="s">
        <v>65</v>
      </c>
      <c r="U101" s="823" t="s">
        <v>1354</v>
      </c>
      <c r="V101" s="824">
        <v>16</v>
      </c>
      <c r="W101" s="824" t="str">
        <f t="shared" si="3"/>
        <v>Diplomierte Krankenpflege</v>
      </c>
    </row>
    <row r="102" spans="1:23" s="21" customFormat="1" ht="12.75" x14ac:dyDescent="0.2">
      <c r="A102" s="74" t="str">
        <f t="shared" si="2"/>
        <v>303.16b</v>
      </c>
      <c r="B102" s="825" t="s">
        <v>222</v>
      </c>
      <c r="C102" s="72" t="s">
        <v>1351</v>
      </c>
      <c r="D102" s="72" t="s">
        <v>67</v>
      </c>
      <c r="E102" s="72"/>
      <c r="F102" s="72" t="s">
        <v>18</v>
      </c>
      <c r="G102" s="71" t="s">
        <v>19</v>
      </c>
      <c r="H102" s="72">
        <v>16</v>
      </c>
      <c r="I102" s="72">
        <v>389.7</v>
      </c>
      <c r="J102" s="72">
        <v>6.5</v>
      </c>
      <c r="K102" s="72">
        <v>3</v>
      </c>
      <c r="L102" s="821" t="s">
        <v>346</v>
      </c>
      <c r="M102" s="73"/>
      <c r="N102" s="30"/>
      <c r="O102" s="30"/>
      <c r="P102" s="73"/>
      <c r="Q102" s="30"/>
      <c r="R102" s="30"/>
      <c r="S102" s="822" t="s">
        <v>65</v>
      </c>
      <c r="T102" s="822" t="s">
        <v>65</v>
      </c>
      <c r="U102" s="823" t="s">
        <v>1355</v>
      </c>
      <c r="V102" s="824">
        <v>16</v>
      </c>
      <c r="W102" s="824" t="str">
        <f t="shared" si="3"/>
        <v xml:space="preserve">Operationsfachmann/-frau </v>
      </c>
    </row>
    <row r="103" spans="1:23" s="21" customFormat="1" ht="12.75" x14ac:dyDescent="0.2">
      <c r="A103" s="74" t="str">
        <f t="shared" si="2"/>
        <v>303.16c</v>
      </c>
      <c r="B103" s="825" t="s">
        <v>223</v>
      </c>
      <c r="C103" s="72" t="s">
        <v>1351</v>
      </c>
      <c r="D103" s="72" t="s">
        <v>76</v>
      </c>
      <c r="E103" s="72"/>
      <c r="F103" s="72" t="s">
        <v>20</v>
      </c>
      <c r="G103" s="71" t="s">
        <v>21</v>
      </c>
      <c r="H103" s="72">
        <v>16</v>
      </c>
      <c r="I103" s="72">
        <v>389.7</v>
      </c>
      <c r="J103" s="72">
        <v>6.5</v>
      </c>
      <c r="K103" s="72">
        <v>3</v>
      </c>
      <c r="L103" s="821" t="s">
        <v>346</v>
      </c>
      <c r="M103" s="73"/>
      <c r="N103" s="30"/>
      <c r="O103" s="30"/>
      <c r="P103" s="73"/>
      <c r="Q103" s="30"/>
      <c r="R103" s="30"/>
      <c r="S103" s="822" t="s">
        <v>65</v>
      </c>
      <c r="T103" s="822" t="s">
        <v>65</v>
      </c>
      <c r="U103" s="823" t="s">
        <v>1356</v>
      </c>
      <c r="V103" s="824">
        <v>16</v>
      </c>
      <c r="W103" s="824" t="str">
        <f t="shared" si="3"/>
        <v>Rettungssanitäter/in</v>
      </c>
    </row>
    <row r="104" spans="1:23" s="21" customFormat="1" ht="12.75" x14ac:dyDescent="0.2">
      <c r="A104" s="74" t="str">
        <f t="shared" si="2"/>
        <v>303.17a</v>
      </c>
      <c r="B104" s="825" t="s">
        <v>224</v>
      </c>
      <c r="C104" s="72" t="s">
        <v>1351</v>
      </c>
      <c r="D104" s="72" t="s">
        <v>66</v>
      </c>
      <c r="E104" s="72"/>
      <c r="F104" s="72" t="s">
        <v>22</v>
      </c>
      <c r="G104" s="71" t="s">
        <v>16</v>
      </c>
      <c r="H104" s="72">
        <v>17</v>
      </c>
      <c r="I104" s="72">
        <v>376.8</v>
      </c>
      <c r="J104" s="72">
        <v>5.5</v>
      </c>
      <c r="K104" s="72">
        <v>2</v>
      </c>
      <c r="L104" s="821" t="s">
        <v>671</v>
      </c>
      <c r="M104" s="73"/>
      <c r="N104" s="30"/>
      <c r="O104" s="30"/>
      <c r="P104" s="73"/>
      <c r="Q104" s="30"/>
      <c r="R104" s="30"/>
      <c r="S104" s="822" t="s">
        <v>65</v>
      </c>
      <c r="T104" s="822" t="s">
        <v>65</v>
      </c>
      <c r="U104" s="823" t="s">
        <v>1357</v>
      </c>
      <c r="V104" s="824">
        <v>17</v>
      </c>
      <c r="W104" s="824" t="str">
        <f t="shared" si="3"/>
        <v>Diplomierte Krankenpflege DN I</v>
      </c>
    </row>
    <row r="105" spans="1:23" s="21" customFormat="1" ht="12.75" x14ac:dyDescent="0.2">
      <c r="A105" s="74" t="str">
        <f t="shared" si="2"/>
        <v>303.18</v>
      </c>
      <c r="B105" s="825" t="s">
        <v>147</v>
      </c>
      <c r="C105" s="72" t="s">
        <v>1351</v>
      </c>
      <c r="D105" s="72" t="s">
        <v>65</v>
      </c>
      <c r="E105" s="72"/>
      <c r="F105" s="72">
        <v>303</v>
      </c>
      <c r="G105" s="71" t="s">
        <v>16</v>
      </c>
      <c r="H105" s="72">
        <v>18</v>
      </c>
      <c r="I105" s="72">
        <v>338.4</v>
      </c>
      <c r="J105" s="72">
        <v>5</v>
      </c>
      <c r="K105" s="72">
        <v>1</v>
      </c>
      <c r="L105" s="821" t="s">
        <v>87</v>
      </c>
      <c r="M105" s="73"/>
      <c r="N105" s="30"/>
      <c r="O105" s="30"/>
      <c r="P105" s="73"/>
      <c r="Q105" s="30"/>
      <c r="R105" s="30"/>
      <c r="S105" s="822" t="s">
        <v>65</v>
      </c>
      <c r="T105" s="822" t="s">
        <v>65</v>
      </c>
      <c r="U105" s="823" t="s">
        <v>1892</v>
      </c>
      <c r="V105" s="824">
        <v>18</v>
      </c>
      <c r="W105" s="824" t="str">
        <f t="shared" si="3"/>
        <v>Diplomierte Krankenpflege DN I</v>
      </c>
    </row>
    <row r="106" spans="1:23" s="21" customFormat="1" ht="12.75" x14ac:dyDescent="0.2">
      <c r="A106" s="819" t="str">
        <f t="shared" si="2"/>
        <v>304.12</v>
      </c>
      <c r="B106" s="840" t="s">
        <v>270</v>
      </c>
      <c r="C106" s="841" t="s">
        <v>1358</v>
      </c>
      <c r="D106" s="841" t="s">
        <v>65</v>
      </c>
      <c r="E106" s="841"/>
      <c r="F106" s="841">
        <v>304</v>
      </c>
      <c r="G106" s="840" t="s">
        <v>23</v>
      </c>
      <c r="H106" s="841">
        <v>12</v>
      </c>
      <c r="I106" s="841">
        <v>496.3</v>
      </c>
      <c r="J106" s="841">
        <v>7</v>
      </c>
      <c r="K106" s="841">
        <v>6</v>
      </c>
      <c r="L106" s="842" t="s">
        <v>673</v>
      </c>
      <c r="M106" s="843"/>
      <c r="N106" s="844">
        <v>8</v>
      </c>
      <c r="O106" s="844">
        <v>4</v>
      </c>
      <c r="P106" s="843"/>
      <c r="Q106" s="844"/>
      <c r="R106" s="844"/>
      <c r="S106" s="845" t="s">
        <v>352</v>
      </c>
      <c r="T106" s="845" t="s">
        <v>65</v>
      </c>
      <c r="U106" s="823" t="s">
        <v>1893</v>
      </c>
      <c r="V106" s="824">
        <v>12</v>
      </c>
      <c r="W106" s="824" t="str">
        <f t="shared" si="3"/>
        <v>Spezifische Führungsfunktion</v>
      </c>
    </row>
    <row r="107" spans="1:23" s="21" customFormat="1" ht="12.75" x14ac:dyDescent="0.2">
      <c r="A107" s="74" t="str">
        <f t="shared" si="2"/>
        <v>304.13</v>
      </c>
      <c r="B107" s="825" t="s">
        <v>148</v>
      </c>
      <c r="C107" s="72" t="s">
        <v>1358</v>
      </c>
      <c r="D107" s="72" t="s">
        <v>65</v>
      </c>
      <c r="E107" s="72"/>
      <c r="F107" s="72">
        <v>304</v>
      </c>
      <c r="G107" s="71" t="s">
        <v>23</v>
      </c>
      <c r="H107" s="72">
        <v>13</v>
      </c>
      <c r="I107" s="72">
        <v>481.2</v>
      </c>
      <c r="J107" s="72">
        <v>7</v>
      </c>
      <c r="K107" s="72">
        <v>4</v>
      </c>
      <c r="L107" s="821" t="s">
        <v>673</v>
      </c>
      <c r="M107" s="73"/>
      <c r="N107" s="30">
        <v>8</v>
      </c>
      <c r="O107" s="30">
        <v>2</v>
      </c>
      <c r="P107" s="73"/>
      <c r="Q107" s="30"/>
      <c r="R107" s="30"/>
      <c r="S107" s="822" t="s">
        <v>352</v>
      </c>
      <c r="T107" s="822" t="s">
        <v>65</v>
      </c>
      <c r="U107" s="823" t="s">
        <v>1894</v>
      </c>
      <c r="V107" s="824">
        <v>13</v>
      </c>
      <c r="W107" s="824" t="str">
        <f t="shared" si="3"/>
        <v>Spezifische Führungsfunktion</v>
      </c>
    </row>
    <row r="108" spans="1:23" s="21" customFormat="1" ht="12.75" x14ac:dyDescent="0.2">
      <c r="A108" s="74" t="str">
        <f t="shared" si="2"/>
        <v>304.14</v>
      </c>
      <c r="B108" s="825" t="s">
        <v>149</v>
      </c>
      <c r="C108" s="72" t="s">
        <v>1358</v>
      </c>
      <c r="D108" s="72" t="s">
        <v>65</v>
      </c>
      <c r="E108" s="72"/>
      <c r="F108" s="72">
        <v>304</v>
      </c>
      <c r="G108" s="71" t="s">
        <v>24</v>
      </c>
      <c r="H108" s="72">
        <v>14</v>
      </c>
      <c r="I108" s="72">
        <v>451.6</v>
      </c>
      <c r="J108" s="72">
        <v>7</v>
      </c>
      <c r="K108" s="72">
        <v>3</v>
      </c>
      <c r="L108" s="821" t="s">
        <v>673</v>
      </c>
      <c r="M108" s="73"/>
      <c r="N108" s="30">
        <v>8</v>
      </c>
      <c r="O108" s="30">
        <v>1</v>
      </c>
      <c r="P108" s="73"/>
      <c r="Q108" s="30"/>
      <c r="R108" s="30"/>
      <c r="S108" s="822" t="s">
        <v>352</v>
      </c>
      <c r="T108" s="822" t="s">
        <v>65</v>
      </c>
      <c r="U108" s="823" t="s">
        <v>1895</v>
      </c>
      <c r="V108" s="824">
        <v>14</v>
      </c>
      <c r="W108" s="824" t="str">
        <f t="shared" si="3"/>
        <v xml:space="preserve">Spezifische Führungsfunktion </v>
      </c>
    </row>
    <row r="109" spans="1:23" s="21" customFormat="1" ht="12.75" x14ac:dyDescent="0.2">
      <c r="A109" s="74" t="str">
        <f t="shared" si="2"/>
        <v>304.15</v>
      </c>
      <c r="B109" s="71" t="s">
        <v>150</v>
      </c>
      <c r="C109" s="72" t="s">
        <v>1358</v>
      </c>
      <c r="D109" s="72" t="s">
        <v>65</v>
      </c>
      <c r="E109" s="72"/>
      <c r="F109" s="72">
        <v>304</v>
      </c>
      <c r="G109" s="71" t="s">
        <v>23</v>
      </c>
      <c r="H109" s="72">
        <v>15</v>
      </c>
      <c r="I109" s="72">
        <v>430.5</v>
      </c>
      <c r="J109" s="72">
        <v>7</v>
      </c>
      <c r="K109" s="72">
        <v>1</v>
      </c>
      <c r="L109" s="821" t="s">
        <v>673</v>
      </c>
      <c r="M109" s="73"/>
      <c r="N109" s="30"/>
      <c r="O109" s="30"/>
      <c r="P109" s="73"/>
      <c r="Q109" s="30"/>
      <c r="R109" s="30"/>
      <c r="S109" s="822" t="s">
        <v>65</v>
      </c>
      <c r="T109" s="822" t="s">
        <v>65</v>
      </c>
      <c r="U109" s="823" t="s">
        <v>1896</v>
      </c>
      <c r="V109" s="824">
        <v>15</v>
      </c>
      <c r="W109" s="824" t="str">
        <f t="shared" si="3"/>
        <v>Spezifische Führungsfunktion</v>
      </c>
    </row>
    <row r="110" spans="1:23" s="21" customFormat="1" ht="12.75" x14ac:dyDescent="0.2">
      <c r="A110" s="74" t="str">
        <f t="shared" si="2"/>
        <v>305.11</v>
      </c>
      <c r="B110" s="825" t="s">
        <v>151</v>
      </c>
      <c r="C110" s="72" t="s">
        <v>1359</v>
      </c>
      <c r="D110" s="72" t="s">
        <v>65</v>
      </c>
      <c r="E110" s="72"/>
      <c r="F110" s="72">
        <v>305</v>
      </c>
      <c r="G110" s="71" t="s">
        <v>24</v>
      </c>
      <c r="H110" s="72">
        <v>11</v>
      </c>
      <c r="I110" s="72">
        <v>514.9</v>
      </c>
      <c r="J110" s="72">
        <v>7</v>
      </c>
      <c r="K110" s="72">
        <v>8</v>
      </c>
      <c r="L110" s="821" t="s">
        <v>673</v>
      </c>
      <c r="M110" s="73"/>
      <c r="N110" s="30">
        <v>8</v>
      </c>
      <c r="O110" s="30">
        <v>6</v>
      </c>
      <c r="P110" s="73"/>
      <c r="Q110" s="30"/>
      <c r="R110" s="30"/>
      <c r="S110" s="822" t="s">
        <v>352</v>
      </c>
      <c r="T110" s="822" t="s">
        <v>65</v>
      </c>
      <c r="U110" s="823" t="s">
        <v>1897</v>
      </c>
      <c r="V110" s="824">
        <v>11</v>
      </c>
      <c r="W110" s="824" t="str">
        <f t="shared" si="3"/>
        <v xml:space="preserve">Spezifische Führungsfunktion </v>
      </c>
    </row>
    <row r="111" spans="1:23" s="21" customFormat="1" ht="12.75" x14ac:dyDescent="0.2">
      <c r="A111" s="74" t="str">
        <f t="shared" si="2"/>
        <v>305.12</v>
      </c>
      <c r="B111" s="825" t="s">
        <v>152</v>
      </c>
      <c r="C111" s="72" t="s">
        <v>1359</v>
      </c>
      <c r="D111" s="72" t="s">
        <v>65</v>
      </c>
      <c r="E111" s="72"/>
      <c r="F111" s="72">
        <v>305</v>
      </c>
      <c r="G111" s="71" t="s">
        <v>24</v>
      </c>
      <c r="H111" s="72">
        <v>12</v>
      </c>
      <c r="I111" s="72">
        <v>498.9</v>
      </c>
      <c r="J111" s="72">
        <v>7</v>
      </c>
      <c r="K111" s="72">
        <v>6</v>
      </c>
      <c r="L111" s="821" t="s">
        <v>673</v>
      </c>
      <c r="M111" s="73"/>
      <c r="N111" s="30">
        <v>8</v>
      </c>
      <c r="O111" s="831">
        <v>4</v>
      </c>
      <c r="P111" s="73"/>
      <c r="Q111" s="30"/>
      <c r="R111" s="30"/>
      <c r="S111" s="822" t="s">
        <v>352</v>
      </c>
      <c r="T111" s="822" t="s">
        <v>65</v>
      </c>
      <c r="U111" s="823" t="s">
        <v>1898</v>
      </c>
      <c r="V111" s="824">
        <v>12</v>
      </c>
      <c r="W111" s="824" t="str">
        <f t="shared" si="3"/>
        <v xml:space="preserve">Spezifische Führungsfunktion </v>
      </c>
    </row>
    <row r="112" spans="1:23" s="21" customFormat="1" ht="12.75" x14ac:dyDescent="0.2">
      <c r="A112" s="74" t="str">
        <f t="shared" si="2"/>
        <v>305.13</v>
      </c>
      <c r="B112" s="71" t="s">
        <v>290</v>
      </c>
      <c r="C112" s="72" t="s">
        <v>1359</v>
      </c>
      <c r="D112" s="72" t="s">
        <v>65</v>
      </c>
      <c r="E112" s="72"/>
      <c r="F112" s="72">
        <v>305</v>
      </c>
      <c r="G112" s="71" t="s">
        <v>24</v>
      </c>
      <c r="H112" s="72">
        <v>13</v>
      </c>
      <c r="I112" s="72">
        <v>478.8</v>
      </c>
      <c r="J112" s="72">
        <v>7</v>
      </c>
      <c r="K112" s="72">
        <v>4</v>
      </c>
      <c r="L112" s="821" t="s">
        <v>673</v>
      </c>
      <c r="M112" s="73"/>
      <c r="N112" s="30"/>
      <c r="O112" s="30"/>
      <c r="P112" s="73"/>
      <c r="Q112" s="30"/>
      <c r="R112" s="30"/>
      <c r="S112" s="822"/>
      <c r="T112" s="822"/>
      <c r="U112" s="823" t="s">
        <v>1899</v>
      </c>
      <c r="V112" s="824">
        <v>13</v>
      </c>
      <c r="W112" s="824" t="str">
        <f t="shared" si="3"/>
        <v xml:space="preserve">Spezifische Führungsfunktion </v>
      </c>
    </row>
    <row r="113" spans="1:23" s="21" customFormat="1" ht="12.75" x14ac:dyDescent="0.2">
      <c r="A113" s="74" t="str">
        <f t="shared" si="2"/>
        <v>311.22</v>
      </c>
      <c r="B113" s="71" t="s">
        <v>291</v>
      </c>
      <c r="C113" s="72" t="s">
        <v>1360</v>
      </c>
      <c r="D113" s="72" t="s">
        <v>65</v>
      </c>
      <c r="E113" s="72"/>
      <c r="F113" s="72">
        <v>311</v>
      </c>
      <c r="G113" s="71" t="s">
        <v>25</v>
      </c>
      <c r="H113" s="72">
        <v>22</v>
      </c>
      <c r="I113" s="72">
        <v>240.8</v>
      </c>
      <c r="J113" s="72">
        <v>1</v>
      </c>
      <c r="K113" s="72">
        <v>7</v>
      </c>
      <c r="L113" s="821" t="s">
        <v>85</v>
      </c>
      <c r="M113" s="73"/>
      <c r="N113" s="30"/>
      <c r="O113" s="30"/>
      <c r="P113" s="73"/>
      <c r="Q113" s="30"/>
      <c r="R113" s="30"/>
      <c r="S113" s="822"/>
      <c r="T113" s="822"/>
      <c r="U113" s="823" t="s">
        <v>1900</v>
      </c>
      <c r="V113" s="824">
        <v>22</v>
      </c>
      <c r="W113" s="824" t="str">
        <f t="shared" si="3"/>
        <v>Medizinisch-Technische Mithilfe</v>
      </c>
    </row>
    <row r="114" spans="1:23" s="21" customFormat="1" ht="12.75" x14ac:dyDescent="0.2">
      <c r="A114" s="74" t="str">
        <f t="shared" si="2"/>
        <v>311.23</v>
      </c>
      <c r="B114" s="825" t="s">
        <v>153</v>
      </c>
      <c r="C114" s="72" t="s">
        <v>1360</v>
      </c>
      <c r="D114" s="72" t="s">
        <v>65</v>
      </c>
      <c r="E114" s="72"/>
      <c r="F114" s="72">
        <v>311</v>
      </c>
      <c r="G114" s="71" t="s">
        <v>25</v>
      </c>
      <c r="H114" s="72">
        <v>23</v>
      </c>
      <c r="I114" s="72">
        <v>215.1</v>
      </c>
      <c r="J114" s="72">
        <v>1</v>
      </c>
      <c r="K114" s="72">
        <v>4</v>
      </c>
      <c r="L114" s="821" t="s">
        <v>85</v>
      </c>
      <c r="M114" s="73"/>
      <c r="N114" s="30"/>
      <c r="O114" s="30"/>
      <c r="P114" s="73"/>
      <c r="Q114" s="30"/>
      <c r="R114" s="30"/>
      <c r="S114" s="822" t="s">
        <v>65</v>
      </c>
      <c r="T114" s="822" t="s">
        <v>65</v>
      </c>
      <c r="U114" s="823" t="s">
        <v>1901</v>
      </c>
      <c r="V114" s="824">
        <v>23</v>
      </c>
      <c r="W114" s="824" t="str">
        <f t="shared" si="3"/>
        <v>Medizinisch-Technische Mithilfe</v>
      </c>
    </row>
    <row r="115" spans="1:23" s="21" customFormat="1" ht="12.75" x14ac:dyDescent="0.2">
      <c r="A115" s="74" t="str">
        <f t="shared" si="2"/>
        <v>311.24</v>
      </c>
      <c r="B115" s="71" t="s">
        <v>154</v>
      </c>
      <c r="C115" s="72" t="s">
        <v>1360</v>
      </c>
      <c r="D115" s="72" t="s">
        <v>65</v>
      </c>
      <c r="E115" s="72"/>
      <c r="F115" s="72">
        <v>311</v>
      </c>
      <c r="G115" s="71" t="s">
        <v>25</v>
      </c>
      <c r="H115" s="72">
        <v>24</v>
      </c>
      <c r="I115" s="72"/>
      <c r="J115" s="72">
        <v>1</v>
      </c>
      <c r="K115" s="72">
        <v>3</v>
      </c>
      <c r="L115" s="821" t="s">
        <v>85</v>
      </c>
      <c r="M115" s="73"/>
      <c r="N115" s="30"/>
      <c r="O115" s="30"/>
      <c r="P115" s="73"/>
      <c r="Q115" s="30"/>
      <c r="R115" s="30"/>
      <c r="S115" s="822" t="s">
        <v>65</v>
      </c>
      <c r="T115" s="822" t="s">
        <v>65</v>
      </c>
      <c r="U115" s="823" t="s">
        <v>1902</v>
      </c>
      <c r="V115" s="824">
        <v>24</v>
      </c>
      <c r="W115" s="824" t="str">
        <f t="shared" si="3"/>
        <v>Medizinisch-Technische Mithilfe</v>
      </c>
    </row>
    <row r="116" spans="1:23" s="21" customFormat="1" ht="12.75" x14ac:dyDescent="0.2">
      <c r="A116" s="74" t="str">
        <f t="shared" si="2"/>
        <v>311.25</v>
      </c>
      <c r="B116" s="825" t="s">
        <v>155</v>
      </c>
      <c r="C116" s="72" t="s">
        <v>1360</v>
      </c>
      <c r="D116" s="72" t="s">
        <v>65</v>
      </c>
      <c r="E116" s="72"/>
      <c r="F116" s="72">
        <v>311</v>
      </c>
      <c r="G116" s="71" t="s">
        <v>25</v>
      </c>
      <c r="H116" s="72">
        <v>25</v>
      </c>
      <c r="I116" s="72">
        <v>170.1</v>
      </c>
      <c r="J116" s="72">
        <v>1</v>
      </c>
      <c r="K116" s="72">
        <v>2</v>
      </c>
      <c r="L116" s="821" t="s">
        <v>85</v>
      </c>
      <c r="M116" s="73"/>
      <c r="N116" s="30"/>
      <c r="O116" s="30"/>
      <c r="P116" s="73"/>
      <c r="Q116" s="30"/>
      <c r="R116" s="30"/>
      <c r="S116" s="822" t="s">
        <v>65</v>
      </c>
      <c r="T116" s="822" t="s">
        <v>65</v>
      </c>
      <c r="U116" s="823" t="s">
        <v>1903</v>
      </c>
      <c r="V116" s="824">
        <v>25</v>
      </c>
      <c r="W116" s="824" t="str">
        <f t="shared" si="3"/>
        <v>Medizinisch-Technische Mithilfe</v>
      </c>
    </row>
    <row r="117" spans="1:23" s="21" customFormat="1" ht="12.75" x14ac:dyDescent="0.2">
      <c r="A117" s="74" t="str">
        <f t="shared" si="2"/>
        <v>311.26</v>
      </c>
      <c r="B117" s="71" t="s">
        <v>292</v>
      </c>
      <c r="C117" s="72" t="s">
        <v>1360</v>
      </c>
      <c r="D117" s="72" t="s">
        <v>65</v>
      </c>
      <c r="E117" s="72"/>
      <c r="F117" s="72">
        <v>311</v>
      </c>
      <c r="G117" s="71" t="s">
        <v>25</v>
      </c>
      <c r="H117" s="72">
        <v>26</v>
      </c>
      <c r="I117" s="72">
        <v>160.1</v>
      </c>
      <c r="J117" s="72">
        <v>1</v>
      </c>
      <c r="K117" s="72">
        <v>1</v>
      </c>
      <c r="L117" s="821" t="s">
        <v>85</v>
      </c>
      <c r="M117" s="73"/>
      <c r="N117" s="30"/>
      <c r="O117" s="30"/>
      <c r="P117" s="73"/>
      <c r="Q117" s="30"/>
      <c r="R117" s="30"/>
      <c r="S117" s="822"/>
      <c r="T117" s="822"/>
      <c r="U117" s="823" t="s">
        <v>1904</v>
      </c>
      <c r="V117" s="824">
        <v>26</v>
      </c>
      <c r="W117" s="824" t="str">
        <f t="shared" si="3"/>
        <v>Medizinisch-Technische Mithilfe</v>
      </c>
    </row>
    <row r="118" spans="1:23" s="21" customFormat="1" ht="12.75" x14ac:dyDescent="0.2">
      <c r="A118" s="74" t="str">
        <f t="shared" si="2"/>
        <v>311.27</v>
      </c>
      <c r="B118" s="71" t="s">
        <v>293</v>
      </c>
      <c r="C118" s="72" t="s">
        <v>1360</v>
      </c>
      <c r="D118" s="72" t="s">
        <v>65</v>
      </c>
      <c r="E118" s="72"/>
      <c r="F118" s="72">
        <v>311</v>
      </c>
      <c r="G118" s="71" t="s">
        <v>25</v>
      </c>
      <c r="H118" s="72">
        <v>27</v>
      </c>
      <c r="I118" s="72"/>
      <c r="J118" s="72">
        <v>1</v>
      </c>
      <c r="K118" s="72">
        <v>0</v>
      </c>
      <c r="L118" s="821" t="s">
        <v>85</v>
      </c>
      <c r="M118" s="73"/>
      <c r="N118" s="30"/>
      <c r="O118" s="30"/>
      <c r="P118" s="73"/>
      <c r="Q118" s="30"/>
      <c r="R118" s="30"/>
      <c r="S118" s="822"/>
      <c r="T118" s="822"/>
      <c r="U118" s="823" t="s">
        <v>1905</v>
      </c>
      <c r="V118" s="824">
        <v>27</v>
      </c>
      <c r="W118" s="824" t="str">
        <f t="shared" si="3"/>
        <v>Medizinisch-Technische Mithilfe</v>
      </c>
    </row>
    <row r="119" spans="1:23" s="21" customFormat="1" ht="12.75" x14ac:dyDescent="0.2">
      <c r="A119" s="74" t="str">
        <f t="shared" si="2"/>
        <v>312.18</v>
      </c>
      <c r="B119" s="71" t="s">
        <v>294</v>
      </c>
      <c r="C119" s="72" t="s">
        <v>1361</v>
      </c>
      <c r="D119" s="72" t="s">
        <v>65</v>
      </c>
      <c r="E119" s="72"/>
      <c r="F119" s="72">
        <v>312</v>
      </c>
      <c r="G119" s="71" t="s">
        <v>26</v>
      </c>
      <c r="H119" s="72">
        <v>18</v>
      </c>
      <c r="I119" s="72">
        <v>343</v>
      </c>
      <c r="J119" s="72">
        <v>5</v>
      </c>
      <c r="K119" s="72">
        <v>4</v>
      </c>
      <c r="L119" s="821" t="s">
        <v>87</v>
      </c>
      <c r="M119" s="73"/>
      <c r="N119" s="30"/>
      <c r="O119" s="30"/>
      <c r="P119" s="73"/>
      <c r="Q119" s="30"/>
      <c r="R119" s="30"/>
      <c r="S119" s="822"/>
      <c r="T119" s="822"/>
      <c r="U119" s="823" t="s">
        <v>1906</v>
      </c>
      <c r="V119" s="824">
        <v>18</v>
      </c>
      <c r="W119" s="824" t="str">
        <f t="shared" si="3"/>
        <v>Medizinisch-Technische Angestellte</v>
      </c>
    </row>
    <row r="120" spans="1:23" s="21" customFormat="1" ht="12.75" x14ac:dyDescent="0.2">
      <c r="A120" s="74" t="str">
        <f t="shared" si="2"/>
        <v>312.19</v>
      </c>
      <c r="B120" s="825" t="s">
        <v>156</v>
      </c>
      <c r="C120" s="72" t="s">
        <v>1361</v>
      </c>
      <c r="D120" s="72" t="s">
        <v>65</v>
      </c>
      <c r="E120" s="72"/>
      <c r="F120" s="72">
        <v>312</v>
      </c>
      <c r="G120" s="71" t="s">
        <v>26</v>
      </c>
      <c r="H120" s="72">
        <v>19</v>
      </c>
      <c r="I120" s="72">
        <v>333.7</v>
      </c>
      <c r="J120" s="72">
        <v>5</v>
      </c>
      <c r="K120" s="72">
        <v>3</v>
      </c>
      <c r="L120" s="821" t="s">
        <v>87</v>
      </c>
      <c r="M120" s="73"/>
      <c r="N120" s="30"/>
      <c r="O120" s="30"/>
      <c r="P120" s="73"/>
      <c r="Q120" s="30"/>
      <c r="R120" s="30"/>
      <c r="S120" s="822" t="s">
        <v>65</v>
      </c>
      <c r="T120" s="822" t="s">
        <v>65</v>
      </c>
      <c r="U120" s="823" t="s">
        <v>1907</v>
      </c>
      <c r="V120" s="824">
        <v>19</v>
      </c>
      <c r="W120" s="824" t="str">
        <f t="shared" si="3"/>
        <v>Medizinisch-Technische Angestellte</v>
      </c>
    </row>
    <row r="121" spans="1:23" s="21" customFormat="1" ht="12.75" x14ac:dyDescent="0.2">
      <c r="A121" s="74" t="str">
        <f t="shared" si="2"/>
        <v>312.20</v>
      </c>
      <c r="B121" s="825" t="s">
        <v>157</v>
      </c>
      <c r="C121" s="72" t="s">
        <v>1361</v>
      </c>
      <c r="D121" s="72" t="s">
        <v>65</v>
      </c>
      <c r="E121" s="72"/>
      <c r="F121" s="72">
        <v>312</v>
      </c>
      <c r="G121" s="71" t="s">
        <v>26</v>
      </c>
      <c r="H121" s="72">
        <v>20</v>
      </c>
      <c r="I121" s="72">
        <v>291.60000000000002</v>
      </c>
      <c r="J121" s="72">
        <v>5</v>
      </c>
      <c r="K121" s="72">
        <v>2</v>
      </c>
      <c r="L121" s="821" t="s">
        <v>87</v>
      </c>
      <c r="M121" s="73"/>
      <c r="N121" s="30"/>
      <c r="O121" s="30"/>
      <c r="P121" s="73"/>
      <c r="Q121" s="30"/>
      <c r="R121" s="30"/>
      <c r="S121" s="822" t="s">
        <v>65</v>
      </c>
      <c r="T121" s="822" t="s">
        <v>65</v>
      </c>
      <c r="U121" s="823" t="s">
        <v>1908</v>
      </c>
      <c r="V121" s="824">
        <v>20</v>
      </c>
      <c r="W121" s="824" t="str">
        <f t="shared" si="3"/>
        <v>Medizinisch-Technische Angestellte</v>
      </c>
    </row>
    <row r="122" spans="1:23" s="21" customFormat="1" ht="12.75" x14ac:dyDescent="0.2">
      <c r="A122" s="74" t="str">
        <f t="shared" si="2"/>
        <v>312.21</v>
      </c>
      <c r="B122" s="825" t="s">
        <v>158</v>
      </c>
      <c r="C122" s="72" t="s">
        <v>1361</v>
      </c>
      <c r="D122" s="72" t="s">
        <v>65</v>
      </c>
      <c r="E122" s="72"/>
      <c r="F122" s="72">
        <v>312</v>
      </c>
      <c r="G122" s="71" t="s">
        <v>26</v>
      </c>
      <c r="H122" s="72">
        <v>21</v>
      </c>
      <c r="I122" s="72">
        <v>267.2</v>
      </c>
      <c r="J122" s="72">
        <v>3.5</v>
      </c>
      <c r="K122" s="72">
        <v>2</v>
      </c>
      <c r="L122" s="821" t="s">
        <v>345</v>
      </c>
      <c r="M122" s="73"/>
      <c r="N122" s="30"/>
      <c r="O122" s="30"/>
      <c r="P122" s="73"/>
      <c r="Q122" s="30"/>
      <c r="R122" s="30"/>
      <c r="S122" s="822" t="s">
        <v>65</v>
      </c>
      <c r="T122" s="822" t="s">
        <v>65</v>
      </c>
      <c r="U122" s="823" t="s">
        <v>1909</v>
      </c>
      <c r="V122" s="824">
        <v>21</v>
      </c>
      <c r="W122" s="824" t="str">
        <f t="shared" si="3"/>
        <v>Medizinisch-Technische Angestellte</v>
      </c>
    </row>
    <row r="123" spans="1:23" s="21" customFormat="1" ht="12.75" x14ac:dyDescent="0.2">
      <c r="A123" s="74" t="str">
        <f t="shared" si="2"/>
        <v>313.15</v>
      </c>
      <c r="B123" s="71" t="s">
        <v>279</v>
      </c>
      <c r="C123" s="72" t="s">
        <v>1362</v>
      </c>
      <c r="D123" s="72" t="s">
        <v>65</v>
      </c>
      <c r="E123" s="72"/>
      <c r="F123" s="72">
        <v>313</v>
      </c>
      <c r="G123" s="71" t="s">
        <v>27</v>
      </c>
      <c r="H123" s="72">
        <v>15</v>
      </c>
      <c r="I123" s="72">
        <v>396</v>
      </c>
      <c r="J123" s="72">
        <v>5.5</v>
      </c>
      <c r="K123" s="72">
        <v>3</v>
      </c>
      <c r="L123" s="821" t="s">
        <v>671</v>
      </c>
      <c r="M123" s="73"/>
      <c r="N123" s="30"/>
      <c r="O123" s="30"/>
      <c r="P123" s="73"/>
      <c r="Q123" s="30"/>
      <c r="R123" s="30"/>
      <c r="S123" s="822" t="s">
        <v>65</v>
      </c>
      <c r="T123" s="822" t="s">
        <v>65</v>
      </c>
      <c r="U123" s="823" t="s">
        <v>1910</v>
      </c>
      <c r="V123" s="824">
        <v>15</v>
      </c>
      <c r="W123" s="824" t="str">
        <f t="shared" si="3"/>
        <v>Medizinisch-Technische Assistenz</v>
      </c>
    </row>
    <row r="124" spans="1:23" s="21" customFormat="1" ht="12.75" x14ac:dyDescent="0.2">
      <c r="A124" s="74" t="str">
        <f t="shared" si="2"/>
        <v>313.16</v>
      </c>
      <c r="B124" s="825" t="s">
        <v>159</v>
      </c>
      <c r="C124" s="72" t="s">
        <v>1362</v>
      </c>
      <c r="D124" s="72" t="s">
        <v>65</v>
      </c>
      <c r="E124" s="72"/>
      <c r="F124" s="72">
        <v>313</v>
      </c>
      <c r="G124" s="71" t="s">
        <v>27</v>
      </c>
      <c r="H124" s="72">
        <v>16</v>
      </c>
      <c r="I124" s="72">
        <v>396</v>
      </c>
      <c r="J124" s="72">
        <v>5.5</v>
      </c>
      <c r="K124" s="72">
        <v>3</v>
      </c>
      <c r="L124" s="821" t="s">
        <v>671</v>
      </c>
      <c r="M124" s="73"/>
      <c r="N124" s="30"/>
      <c r="O124" s="30"/>
      <c r="P124" s="73"/>
      <c r="Q124" s="30"/>
      <c r="R124" s="30"/>
      <c r="S124" s="822" t="s">
        <v>65</v>
      </c>
      <c r="T124" s="822" t="s">
        <v>65</v>
      </c>
      <c r="U124" s="823" t="s">
        <v>1911</v>
      </c>
      <c r="V124" s="824">
        <v>16</v>
      </c>
      <c r="W124" s="824" t="str">
        <f t="shared" si="3"/>
        <v>Medizinisch-Technische Assistenz</v>
      </c>
    </row>
    <row r="125" spans="1:23" s="21" customFormat="1" ht="12.75" x14ac:dyDescent="0.2">
      <c r="A125" s="74" t="str">
        <f t="shared" si="2"/>
        <v>313.17a</v>
      </c>
      <c r="B125" s="825" t="s">
        <v>225</v>
      </c>
      <c r="C125" s="72" t="s">
        <v>1362</v>
      </c>
      <c r="D125" s="72" t="s">
        <v>66</v>
      </c>
      <c r="E125" s="72"/>
      <c r="F125" s="72" t="s">
        <v>685</v>
      </c>
      <c r="G125" s="71" t="s">
        <v>27</v>
      </c>
      <c r="H125" s="72">
        <v>17</v>
      </c>
      <c r="I125" s="72">
        <v>367.3</v>
      </c>
      <c r="J125" s="72">
        <v>5.5</v>
      </c>
      <c r="K125" s="72">
        <v>2</v>
      </c>
      <c r="L125" s="821" t="s">
        <v>671</v>
      </c>
      <c r="M125" s="73"/>
      <c r="N125" s="30"/>
      <c r="O125" s="30"/>
      <c r="P125" s="73"/>
      <c r="Q125" s="30"/>
      <c r="R125" s="30"/>
      <c r="S125" s="822" t="s">
        <v>65</v>
      </c>
      <c r="T125" s="822" t="s">
        <v>65</v>
      </c>
      <c r="U125" s="823" t="s">
        <v>1363</v>
      </c>
      <c r="V125" s="824">
        <v>17</v>
      </c>
      <c r="W125" s="824" t="str">
        <f t="shared" si="3"/>
        <v>Medizinisch-Technische Assistenz</v>
      </c>
    </row>
    <row r="126" spans="1:23" s="21" customFormat="1" ht="12.75" x14ac:dyDescent="0.2">
      <c r="A126" s="74" t="str">
        <f t="shared" si="2"/>
        <v>313.17b</v>
      </c>
      <c r="B126" s="825" t="s">
        <v>226</v>
      </c>
      <c r="C126" s="72" t="s">
        <v>1362</v>
      </c>
      <c r="D126" s="72" t="s">
        <v>67</v>
      </c>
      <c r="E126" s="72"/>
      <c r="F126" s="72" t="s">
        <v>686</v>
      </c>
      <c r="G126" s="71" t="s">
        <v>27</v>
      </c>
      <c r="H126" s="72">
        <v>17</v>
      </c>
      <c r="I126" s="72">
        <v>371.3</v>
      </c>
      <c r="J126" s="72">
        <v>5.5</v>
      </c>
      <c r="K126" s="72">
        <v>2</v>
      </c>
      <c r="L126" s="821" t="s">
        <v>671</v>
      </c>
      <c r="M126" s="73"/>
      <c r="N126" s="30"/>
      <c r="O126" s="30"/>
      <c r="P126" s="73"/>
      <c r="Q126" s="30"/>
      <c r="R126" s="30"/>
      <c r="S126" s="822" t="s">
        <v>65</v>
      </c>
      <c r="T126" s="822" t="s">
        <v>65</v>
      </c>
      <c r="U126" s="823" t="s">
        <v>1364</v>
      </c>
      <c r="V126" s="824">
        <v>17</v>
      </c>
      <c r="W126" s="824" t="str">
        <f t="shared" si="3"/>
        <v>Medizinisch-Technische Assistenz</v>
      </c>
    </row>
    <row r="127" spans="1:23" s="21" customFormat="1" ht="12.75" x14ac:dyDescent="0.2">
      <c r="A127" s="74" t="str">
        <f t="shared" si="2"/>
        <v>313.18</v>
      </c>
      <c r="B127" s="71" t="s">
        <v>295</v>
      </c>
      <c r="C127" s="72" t="s">
        <v>1362</v>
      </c>
      <c r="D127" s="72"/>
      <c r="E127" s="72"/>
      <c r="F127" s="72">
        <v>313</v>
      </c>
      <c r="G127" s="71" t="s">
        <v>27</v>
      </c>
      <c r="H127" s="72">
        <v>18</v>
      </c>
      <c r="I127" s="72">
        <v>357.3</v>
      </c>
      <c r="J127" s="72">
        <v>5.5</v>
      </c>
      <c r="K127" s="72">
        <v>1</v>
      </c>
      <c r="L127" s="821" t="s">
        <v>671</v>
      </c>
      <c r="M127" s="73"/>
      <c r="N127" s="30"/>
      <c r="O127" s="30"/>
      <c r="P127" s="73"/>
      <c r="Q127" s="30"/>
      <c r="R127" s="30"/>
      <c r="S127" s="822"/>
      <c r="T127" s="822"/>
      <c r="U127" s="823" t="s">
        <v>1912</v>
      </c>
      <c r="V127" s="824">
        <v>18</v>
      </c>
      <c r="W127" s="824" t="str">
        <f t="shared" si="3"/>
        <v>Medizinisch-Technische Assistenz</v>
      </c>
    </row>
    <row r="128" spans="1:23" s="21" customFormat="1" ht="12.75" x14ac:dyDescent="0.2">
      <c r="A128" s="74" t="str">
        <f t="shared" si="2"/>
        <v>314.12</v>
      </c>
      <c r="B128" s="71" t="s">
        <v>298</v>
      </c>
      <c r="C128" s="72" t="s">
        <v>1365</v>
      </c>
      <c r="D128" s="72" t="s">
        <v>65</v>
      </c>
      <c r="E128" s="72"/>
      <c r="F128" s="72">
        <v>314</v>
      </c>
      <c r="G128" s="71" t="s">
        <v>24</v>
      </c>
      <c r="H128" s="72">
        <v>12</v>
      </c>
      <c r="I128" s="72">
        <v>487.6</v>
      </c>
      <c r="J128" s="72">
        <v>6</v>
      </c>
      <c r="K128" s="72">
        <v>12</v>
      </c>
      <c r="L128" s="821" t="s">
        <v>672</v>
      </c>
      <c r="M128" s="73"/>
      <c r="N128" s="30"/>
      <c r="O128" s="30"/>
      <c r="P128" s="73"/>
      <c r="Q128" s="30"/>
      <c r="R128" s="30"/>
      <c r="S128" s="822"/>
      <c r="T128" s="822"/>
      <c r="U128" s="823" t="s">
        <v>1913</v>
      </c>
      <c r="V128" s="824">
        <v>12</v>
      </c>
      <c r="W128" s="824" t="str">
        <f t="shared" si="3"/>
        <v xml:space="preserve">Spezifische Führungsfunktion </v>
      </c>
    </row>
    <row r="129" spans="1:23" s="21" customFormat="1" ht="12.75" x14ac:dyDescent="0.2">
      <c r="A129" s="74" t="str">
        <f t="shared" si="2"/>
        <v>314.13</v>
      </c>
      <c r="B129" s="71" t="s">
        <v>297</v>
      </c>
      <c r="C129" s="72" t="s">
        <v>1365</v>
      </c>
      <c r="D129" s="72" t="s">
        <v>65</v>
      </c>
      <c r="E129" s="72"/>
      <c r="F129" s="72">
        <v>314</v>
      </c>
      <c r="G129" s="71" t="s">
        <v>24</v>
      </c>
      <c r="H129" s="72">
        <v>13</v>
      </c>
      <c r="I129" s="72"/>
      <c r="J129" s="72">
        <v>6</v>
      </c>
      <c r="K129" s="72">
        <v>10</v>
      </c>
      <c r="L129" s="821" t="s">
        <v>672</v>
      </c>
      <c r="M129" s="73"/>
      <c r="N129" s="30"/>
      <c r="O129" s="30"/>
      <c r="P129" s="73"/>
      <c r="Q129" s="30"/>
      <c r="R129" s="30"/>
      <c r="S129" s="822"/>
      <c r="T129" s="822"/>
      <c r="U129" s="823" t="s">
        <v>1914</v>
      </c>
      <c r="V129" s="824">
        <v>13</v>
      </c>
      <c r="W129" s="824" t="str">
        <f t="shared" si="3"/>
        <v xml:space="preserve">Spezifische Führungsfunktion </v>
      </c>
    </row>
    <row r="130" spans="1:23" s="21" customFormat="1" ht="12.75" x14ac:dyDescent="0.2">
      <c r="A130" s="74" t="str">
        <f t="shared" ref="A130:A193" si="4">RIGHT(B130,LEN(B130)-1)</f>
        <v>314.14</v>
      </c>
      <c r="B130" s="825" t="s">
        <v>160</v>
      </c>
      <c r="C130" s="72" t="s">
        <v>1365</v>
      </c>
      <c r="D130" s="72" t="s">
        <v>65</v>
      </c>
      <c r="E130" s="72"/>
      <c r="F130" s="72">
        <v>314</v>
      </c>
      <c r="G130" s="71" t="s">
        <v>24</v>
      </c>
      <c r="H130" s="72">
        <v>14</v>
      </c>
      <c r="I130" s="72">
        <v>445.5</v>
      </c>
      <c r="J130" s="72">
        <v>6</v>
      </c>
      <c r="K130" s="72">
        <v>6</v>
      </c>
      <c r="L130" s="821" t="s">
        <v>672</v>
      </c>
      <c r="M130" s="73"/>
      <c r="N130" s="30"/>
      <c r="O130" s="30"/>
      <c r="P130" s="73"/>
      <c r="Q130" s="30"/>
      <c r="R130" s="30"/>
      <c r="S130" s="822" t="s">
        <v>65</v>
      </c>
      <c r="T130" s="822" t="s">
        <v>65</v>
      </c>
      <c r="U130" s="823" t="s">
        <v>1915</v>
      </c>
      <c r="V130" s="824">
        <v>14</v>
      </c>
      <c r="W130" s="824" t="str">
        <f t="shared" ref="W130:W193" si="5">G130</f>
        <v xml:space="preserve">Spezifische Führungsfunktion </v>
      </c>
    </row>
    <row r="131" spans="1:23" s="21" customFormat="1" ht="12.75" x14ac:dyDescent="0.2">
      <c r="A131" s="74" t="str">
        <f t="shared" si="4"/>
        <v>314.15</v>
      </c>
      <c r="B131" s="71" t="s">
        <v>296</v>
      </c>
      <c r="C131" s="72" t="s">
        <v>1365</v>
      </c>
      <c r="D131" s="72" t="s">
        <v>65</v>
      </c>
      <c r="E131" s="72"/>
      <c r="F131" s="72">
        <v>314</v>
      </c>
      <c r="G131" s="71" t="s">
        <v>24</v>
      </c>
      <c r="H131" s="72">
        <v>15</v>
      </c>
      <c r="I131" s="72">
        <v>428</v>
      </c>
      <c r="J131" s="72">
        <v>6</v>
      </c>
      <c r="K131" s="72">
        <v>4</v>
      </c>
      <c r="L131" s="821" t="s">
        <v>672</v>
      </c>
      <c r="M131" s="73"/>
      <c r="N131" s="30"/>
      <c r="O131" s="30"/>
      <c r="P131" s="73"/>
      <c r="Q131" s="30"/>
      <c r="R131" s="30"/>
      <c r="S131" s="822"/>
      <c r="T131" s="822"/>
      <c r="U131" s="823" t="s">
        <v>1916</v>
      </c>
      <c r="V131" s="824">
        <v>15</v>
      </c>
      <c r="W131" s="824" t="str">
        <f t="shared" si="5"/>
        <v xml:space="preserve">Spezifische Führungsfunktion </v>
      </c>
    </row>
    <row r="132" spans="1:23" s="21" customFormat="1" ht="12.75" x14ac:dyDescent="0.2">
      <c r="A132" s="74" t="str">
        <f t="shared" si="4"/>
        <v>321.22</v>
      </c>
      <c r="B132" s="71" t="s">
        <v>299</v>
      </c>
      <c r="C132" s="72" t="s">
        <v>1366</v>
      </c>
      <c r="D132" s="72" t="s">
        <v>65</v>
      </c>
      <c r="E132" s="72"/>
      <c r="F132" s="72">
        <v>321</v>
      </c>
      <c r="G132" s="71" t="s">
        <v>28</v>
      </c>
      <c r="H132" s="72">
        <v>22</v>
      </c>
      <c r="I132" s="72">
        <v>236.1</v>
      </c>
      <c r="J132" s="72">
        <v>1</v>
      </c>
      <c r="K132" s="72">
        <v>6</v>
      </c>
      <c r="L132" s="821" t="s">
        <v>85</v>
      </c>
      <c r="M132" s="73"/>
      <c r="N132" s="30"/>
      <c r="O132" s="30"/>
      <c r="P132" s="73"/>
      <c r="Q132" s="30"/>
      <c r="R132" s="30"/>
      <c r="S132" s="822"/>
      <c r="T132" s="822"/>
      <c r="U132" s="823" t="s">
        <v>1917</v>
      </c>
      <c r="V132" s="824">
        <v>22</v>
      </c>
      <c r="W132" s="824" t="str">
        <f t="shared" si="5"/>
        <v>Therapiehilfe</v>
      </c>
    </row>
    <row r="133" spans="1:23" s="21" customFormat="1" ht="12.75" x14ac:dyDescent="0.2">
      <c r="A133" s="74" t="str">
        <f t="shared" si="4"/>
        <v>321.23</v>
      </c>
      <c r="B133" s="825" t="s">
        <v>161</v>
      </c>
      <c r="C133" s="72" t="s">
        <v>1366</v>
      </c>
      <c r="D133" s="72" t="s">
        <v>65</v>
      </c>
      <c r="E133" s="72"/>
      <c r="F133" s="72">
        <v>321</v>
      </c>
      <c r="G133" s="71" t="s">
        <v>28</v>
      </c>
      <c r="H133" s="72">
        <v>23</v>
      </c>
      <c r="I133" s="72">
        <v>218.6</v>
      </c>
      <c r="J133" s="72">
        <v>1</v>
      </c>
      <c r="K133" s="72">
        <v>4</v>
      </c>
      <c r="L133" s="821" t="s">
        <v>85</v>
      </c>
      <c r="M133" s="73"/>
      <c r="N133" s="30"/>
      <c r="O133" s="30"/>
      <c r="P133" s="73"/>
      <c r="Q133" s="30"/>
      <c r="R133" s="30"/>
      <c r="S133" s="822" t="s">
        <v>65</v>
      </c>
      <c r="T133" s="822" t="s">
        <v>65</v>
      </c>
      <c r="U133" s="823" t="s">
        <v>1918</v>
      </c>
      <c r="V133" s="824">
        <v>23</v>
      </c>
      <c r="W133" s="824" t="str">
        <f t="shared" si="5"/>
        <v>Therapiehilfe</v>
      </c>
    </row>
    <row r="134" spans="1:23" s="21" customFormat="1" ht="12.75" x14ac:dyDescent="0.2">
      <c r="A134" s="74" t="str">
        <f t="shared" si="4"/>
        <v>321.24</v>
      </c>
      <c r="B134" s="71" t="s">
        <v>162</v>
      </c>
      <c r="C134" s="72" t="s">
        <v>1366</v>
      </c>
      <c r="D134" s="72" t="s">
        <v>65</v>
      </c>
      <c r="E134" s="72"/>
      <c r="F134" s="72">
        <v>321</v>
      </c>
      <c r="G134" s="71" t="s">
        <v>28</v>
      </c>
      <c r="H134" s="72">
        <v>24</v>
      </c>
      <c r="I134" s="72"/>
      <c r="J134" s="72">
        <v>1</v>
      </c>
      <c r="K134" s="72">
        <v>3</v>
      </c>
      <c r="L134" s="821" t="s">
        <v>85</v>
      </c>
      <c r="M134" s="73"/>
      <c r="N134" s="30"/>
      <c r="O134" s="30"/>
      <c r="P134" s="73"/>
      <c r="Q134" s="30"/>
      <c r="R134" s="30"/>
      <c r="S134" s="822" t="s">
        <v>65</v>
      </c>
      <c r="T134" s="822" t="s">
        <v>65</v>
      </c>
      <c r="U134" s="823" t="s">
        <v>1919</v>
      </c>
      <c r="V134" s="824">
        <v>24</v>
      </c>
      <c r="W134" s="824" t="str">
        <f t="shared" si="5"/>
        <v>Therapiehilfe</v>
      </c>
    </row>
    <row r="135" spans="1:23" s="21" customFormat="1" ht="12.75" x14ac:dyDescent="0.2">
      <c r="A135" s="74" t="str">
        <f t="shared" si="4"/>
        <v>321.25</v>
      </c>
      <c r="B135" s="825" t="s">
        <v>163</v>
      </c>
      <c r="C135" s="72" t="s">
        <v>1366</v>
      </c>
      <c r="D135" s="72" t="s">
        <v>65</v>
      </c>
      <c r="E135" s="72"/>
      <c r="F135" s="72">
        <v>321</v>
      </c>
      <c r="G135" s="71" t="s">
        <v>28</v>
      </c>
      <c r="H135" s="72">
        <v>25</v>
      </c>
      <c r="I135" s="72">
        <v>176.1</v>
      </c>
      <c r="J135" s="72">
        <v>1</v>
      </c>
      <c r="K135" s="72">
        <v>2</v>
      </c>
      <c r="L135" s="821" t="s">
        <v>85</v>
      </c>
      <c r="M135" s="73"/>
      <c r="N135" s="30"/>
      <c r="O135" s="30"/>
      <c r="P135" s="73"/>
      <c r="Q135" s="30"/>
      <c r="R135" s="30"/>
      <c r="S135" s="822" t="s">
        <v>65</v>
      </c>
      <c r="T135" s="822" t="s">
        <v>65</v>
      </c>
      <c r="U135" s="823" t="s">
        <v>1920</v>
      </c>
      <c r="V135" s="824">
        <v>25</v>
      </c>
      <c r="W135" s="824" t="str">
        <f t="shared" si="5"/>
        <v>Therapiehilfe</v>
      </c>
    </row>
    <row r="136" spans="1:23" s="21" customFormat="1" ht="12.75" x14ac:dyDescent="0.2">
      <c r="A136" s="74" t="str">
        <f t="shared" si="4"/>
        <v>322.18</v>
      </c>
      <c r="B136" s="825" t="s">
        <v>164</v>
      </c>
      <c r="C136" s="72" t="s">
        <v>1367</v>
      </c>
      <c r="D136" s="72" t="s">
        <v>65</v>
      </c>
      <c r="E136" s="72"/>
      <c r="F136" s="72">
        <v>322</v>
      </c>
      <c r="G136" s="71" t="s">
        <v>29</v>
      </c>
      <c r="H136" s="72">
        <v>18</v>
      </c>
      <c r="I136" s="72">
        <v>347.8</v>
      </c>
      <c r="J136" s="72">
        <v>3.5</v>
      </c>
      <c r="K136" s="72">
        <v>5</v>
      </c>
      <c r="L136" s="821" t="s">
        <v>345</v>
      </c>
      <c r="M136" s="73"/>
      <c r="N136" s="30"/>
      <c r="O136" s="30"/>
      <c r="P136" s="73"/>
      <c r="Q136" s="30"/>
      <c r="R136" s="30"/>
      <c r="S136" s="822" t="s">
        <v>65</v>
      </c>
      <c r="T136" s="822" t="s">
        <v>65</v>
      </c>
      <c r="U136" s="823" t="s">
        <v>1921</v>
      </c>
      <c r="V136" s="824">
        <v>18</v>
      </c>
      <c r="W136" s="824" t="str">
        <f t="shared" si="5"/>
        <v>Therapieangestellte</v>
      </c>
    </row>
    <row r="137" spans="1:23" s="21" customFormat="1" ht="12.75" x14ac:dyDescent="0.2">
      <c r="A137" s="74" t="str">
        <f t="shared" si="4"/>
        <v>322.19</v>
      </c>
      <c r="B137" s="71" t="s">
        <v>267</v>
      </c>
      <c r="C137" s="72" t="s">
        <v>1367</v>
      </c>
      <c r="D137" s="72" t="s">
        <v>65</v>
      </c>
      <c r="E137" s="72"/>
      <c r="F137" s="72">
        <v>322</v>
      </c>
      <c r="G137" s="71" t="s">
        <v>29</v>
      </c>
      <c r="H137" s="72">
        <v>19</v>
      </c>
      <c r="I137" s="72"/>
      <c r="J137" s="72">
        <v>3.5</v>
      </c>
      <c r="K137" s="72">
        <v>4</v>
      </c>
      <c r="L137" s="821" t="s">
        <v>345</v>
      </c>
      <c r="M137" s="73"/>
      <c r="N137" s="30"/>
      <c r="O137" s="30"/>
      <c r="P137" s="73"/>
      <c r="Q137" s="30"/>
      <c r="R137" s="30"/>
      <c r="S137" s="822" t="s">
        <v>65</v>
      </c>
      <c r="T137" s="822" t="s">
        <v>65</v>
      </c>
      <c r="U137" s="823" t="s">
        <v>1922</v>
      </c>
      <c r="V137" s="824">
        <v>19</v>
      </c>
      <c r="W137" s="824" t="str">
        <f t="shared" si="5"/>
        <v>Therapieangestellte</v>
      </c>
    </row>
    <row r="138" spans="1:23" s="21" customFormat="1" ht="12.75" x14ac:dyDescent="0.2">
      <c r="A138" s="74" t="str">
        <f t="shared" si="4"/>
        <v>322.20</v>
      </c>
      <c r="B138" s="825" t="s">
        <v>165</v>
      </c>
      <c r="C138" s="72" t="s">
        <v>1367</v>
      </c>
      <c r="D138" s="72" t="s">
        <v>65</v>
      </c>
      <c r="E138" s="72"/>
      <c r="F138" s="72">
        <v>322</v>
      </c>
      <c r="G138" s="71" t="s">
        <v>29</v>
      </c>
      <c r="H138" s="72">
        <v>20</v>
      </c>
      <c r="I138" s="72">
        <v>291.10000000000002</v>
      </c>
      <c r="J138" s="72">
        <v>3.5</v>
      </c>
      <c r="K138" s="72">
        <v>2</v>
      </c>
      <c r="L138" s="821" t="s">
        <v>345</v>
      </c>
      <c r="M138" s="73"/>
      <c r="N138" s="30"/>
      <c r="O138" s="30"/>
      <c r="P138" s="73"/>
      <c r="Q138" s="30"/>
      <c r="R138" s="30"/>
      <c r="S138" s="822" t="s">
        <v>65</v>
      </c>
      <c r="T138" s="822" t="s">
        <v>65</v>
      </c>
      <c r="U138" s="823" t="s">
        <v>1923</v>
      </c>
      <c r="V138" s="824">
        <v>20</v>
      </c>
      <c r="W138" s="824" t="str">
        <f t="shared" si="5"/>
        <v>Therapieangestellte</v>
      </c>
    </row>
    <row r="139" spans="1:23" s="21" customFormat="1" ht="12.75" x14ac:dyDescent="0.2">
      <c r="A139" s="74" t="str">
        <f t="shared" si="4"/>
        <v>322.21</v>
      </c>
      <c r="B139" s="71" t="s">
        <v>300</v>
      </c>
      <c r="C139" s="72" t="s">
        <v>1367</v>
      </c>
      <c r="D139" s="72" t="s">
        <v>65</v>
      </c>
      <c r="E139" s="72"/>
      <c r="F139" s="72">
        <v>322</v>
      </c>
      <c r="G139" s="71" t="s">
        <v>29</v>
      </c>
      <c r="H139" s="72">
        <v>21</v>
      </c>
      <c r="I139" s="72">
        <v>281.10000000000002</v>
      </c>
      <c r="J139" s="72">
        <v>3.5</v>
      </c>
      <c r="K139" s="72">
        <v>1</v>
      </c>
      <c r="L139" s="821" t="s">
        <v>345</v>
      </c>
      <c r="M139" s="73"/>
      <c r="N139" s="30"/>
      <c r="O139" s="30"/>
      <c r="P139" s="73"/>
      <c r="Q139" s="30"/>
      <c r="R139" s="30"/>
      <c r="S139" s="822"/>
      <c r="T139" s="822"/>
      <c r="U139" s="823" t="s">
        <v>1924</v>
      </c>
      <c r="V139" s="824">
        <v>21</v>
      </c>
      <c r="W139" s="824" t="str">
        <f t="shared" si="5"/>
        <v>Therapieangestellte</v>
      </c>
    </row>
    <row r="140" spans="1:23" s="21" customFormat="1" ht="12.75" x14ac:dyDescent="0.2">
      <c r="A140" s="74" t="str">
        <f t="shared" si="4"/>
        <v>323.14</v>
      </c>
      <c r="B140" s="825" t="s">
        <v>166</v>
      </c>
      <c r="C140" s="72" t="s">
        <v>1368</v>
      </c>
      <c r="D140" s="72" t="s">
        <v>65</v>
      </c>
      <c r="E140" s="72"/>
      <c r="F140" s="72">
        <v>323</v>
      </c>
      <c r="G140" s="71" t="s">
        <v>32</v>
      </c>
      <c r="H140" s="72">
        <v>14</v>
      </c>
      <c r="I140" s="72">
        <v>446.2</v>
      </c>
      <c r="J140" s="72">
        <v>8</v>
      </c>
      <c r="K140" s="72">
        <v>4</v>
      </c>
      <c r="L140" s="821" t="s">
        <v>352</v>
      </c>
      <c r="M140" s="73"/>
      <c r="N140" s="30"/>
      <c r="O140" s="30"/>
      <c r="P140" s="73"/>
      <c r="Q140" s="30"/>
      <c r="R140" s="30"/>
      <c r="S140" s="822" t="s">
        <v>65</v>
      </c>
      <c r="T140" s="822" t="s">
        <v>65</v>
      </c>
      <c r="U140" s="823" t="s">
        <v>1925</v>
      </c>
      <c r="V140" s="824">
        <v>14</v>
      </c>
      <c r="W140" s="824" t="str">
        <f t="shared" si="5"/>
        <v>Diplomierte Therapieangestellte</v>
      </c>
    </row>
    <row r="141" spans="1:23" s="21" customFormat="1" ht="12.75" x14ac:dyDescent="0.2">
      <c r="A141" s="74" t="str">
        <f t="shared" si="4"/>
        <v>323.15a</v>
      </c>
      <c r="B141" s="825" t="s">
        <v>227</v>
      </c>
      <c r="C141" s="72" t="s">
        <v>1368</v>
      </c>
      <c r="D141" s="72" t="s">
        <v>66</v>
      </c>
      <c r="E141" s="72"/>
      <c r="F141" s="72" t="s">
        <v>31</v>
      </c>
      <c r="G141" s="71" t="s">
        <v>32</v>
      </c>
      <c r="H141" s="72">
        <v>15</v>
      </c>
      <c r="I141" s="72">
        <v>417.3</v>
      </c>
      <c r="J141" s="72">
        <v>8</v>
      </c>
      <c r="K141" s="72">
        <v>2</v>
      </c>
      <c r="L141" s="821" t="s">
        <v>352</v>
      </c>
      <c r="M141" s="73"/>
      <c r="N141" s="30"/>
      <c r="O141" s="30"/>
      <c r="P141" s="73"/>
      <c r="Q141" s="30"/>
      <c r="R141" s="30"/>
      <c r="S141" s="822" t="s">
        <v>65</v>
      </c>
      <c r="T141" s="822" t="s">
        <v>65</v>
      </c>
      <c r="U141" s="823" t="s">
        <v>1369</v>
      </c>
      <c r="V141" s="824">
        <v>15</v>
      </c>
      <c r="W141" s="824" t="str">
        <f t="shared" si="5"/>
        <v>Diplomierte Therapieangestellte</v>
      </c>
    </row>
    <row r="142" spans="1:23" s="21" customFormat="1" ht="12.75" x14ac:dyDescent="0.2">
      <c r="A142" s="74" t="str">
        <f t="shared" si="4"/>
        <v>323.15b</v>
      </c>
      <c r="B142" s="825" t="s">
        <v>228</v>
      </c>
      <c r="C142" s="72" t="s">
        <v>1368</v>
      </c>
      <c r="D142" s="72" t="s">
        <v>67</v>
      </c>
      <c r="E142" s="72"/>
      <c r="F142" s="72" t="s">
        <v>33</v>
      </c>
      <c r="G142" s="71" t="s">
        <v>32</v>
      </c>
      <c r="H142" s="72">
        <v>15</v>
      </c>
      <c r="I142" s="72">
        <v>420.3</v>
      </c>
      <c r="J142" s="72">
        <v>8</v>
      </c>
      <c r="K142" s="72">
        <v>2</v>
      </c>
      <c r="L142" s="821" t="s">
        <v>352</v>
      </c>
      <c r="M142" s="73"/>
      <c r="N142" s="30"/>
      <c r="O142" s="30"/>
      <c r="P142" s="73"/>
      <c r="Q142" s="30"/>
      <c r="R142" s="30"/>
      <c r="S142" s="822" t="s">
        <v>65</v>
      </c>
      <c r="T142" s="822" t="s">
        <v>65</v>
      </c>
      <c r="U142" s="823" t="s">
        <v>1370</v>
      </c>
      <c r="V142" s="824">
        <v>15</v>
      </c>
      <c r="W142" s="824" t="str">
        <f t="shared" si="5"/>
        <v>Diplomierte Therapieangestellte</v>
      </c>
    </row>
    <row r="143" spans="1:23" s="21" customFormat="1" ht="12.75" x14ac:dyDescent="0.2">
      <c r="A143" s="74" t="str">
        <f t="shared" si="4"/>
        <v>323.16</v>
      </c>
      <c r="B143" s="71" t="s">
        <v>167</v>
      </c>
      <c r="C143" s="72" t="s">
        <v>1368</v>
      </c>
      <c r="D143" s="72" t="s">
        <v>65</v>
      </c>
      <c r="E143" s="72"/>
      <c r="F143" s="72">
        <v>323</v>
      </c>
      <c r="G143" s="71" t="s">
        <v>30</v>
      </c>
      <c r="H143" s="72">
        <v>16</v>
      </c>
      <c r="I143" s="72"/>
      <c r="J143" s="72">
        <v>6</v>
      </c>
      <c r="K143" s="72">
        <v>6</v>
      </c>
      <c r="L143" s="821" t="s">
        <v>672</v>
      </c>
      <c r="M143" s="73"/>
      <c r="N143" s="30">
        <v>8</v>
      </c>
      <c r="O143" s="30">
        <v>0</v>
      </c>
      <c r="P143" s="73"/>
      <c r="Q143" s="30"/>
      <c r="R143" s="30"/>
      <c r="S143" s="822" t="s">
        <v>352</v>
      </c>
      <c r="T143" s="822" t="s">
        <v>65</v>
      </c>
      <c r="U143" s="823" t="s">
        <v>1926</v>
      </c>
      <c r="V143" s="824">
        <v>16</v>
      </c>
      <c r="W143" s="824" t="str">
        <f t="shared" si="5"/>
        <v xml:space="preserve">Diplomierte Therapieangestellte </v>
      </c>
    </row>
    <row r="144" spans="1:23" s="21" customFormat="1" ht="12.75" x14ac:dyDescent="0.2">
      <c r="A144" s="74" t="str">
        <f t="shared" si="4"/>
        <v>323.17</v>
      </c>
      <c r="B144" s="825" t="s">
        <v>168</v>
      </c>
      <c r="C144" s="72" t="s">
        <v>1368</v>
      </c>
      <c r="D144" s="72" t="s">
        <v>65</v>
      </c>
      <c r="E144" s="72"/>
      <c r="F144" s="72">
        <v>323</v>
      </c>
      <c r="G144" s="71" t="s">
        <v>30</v>
      </c>
      <c r="H144" s="72">
        <v>17</v>
      </c>
      <c r="I144" s="72">
        <v>375.6</v>
      </c>
      <c r="J144" s="72">
        <v>6</v>
      </c>
      <c r="K144" s="72">
        <v>4</v>
      </c>
      <c r="L144" s="821" t="s">
        <v>672</v>
      </c>
      <c r="M144" s="73"/>
      <c r="N144" s="30"/>
      <c r="O144" s="30"/>
      <c r="P144" s="73"/>
      <c r="Q144" s="30"/>
      <c r="R144" s="30"/>
      <c r="S144" s="822" t="s">
        <v>65</v>
      </c>
      <c r="T144" s="822" t="s">
        <v>65</v>
      </c>
      <c r="U144" s="823" t="s">
        <v>1927</v>
      </c>
      <c r="V144" s="824">
        <v>17</v>
      </c>
      <c r="W144" s="824" t="str">
        <f t="shared" si="5"/>
        <v xml:space="preserve">Diplomierte Therapieangestellte </v>
      </c>
    </row>
    <row r="145" spans="1:23" s="21" customFormat="1" ht="12.75" x14ac:dyDescent="0.2">
      <c r="A145" s="74" t="str">
        <f t="shared" si="4"/>
        <v>324.11</v>
      </c>
      <c r="B145" s="71" t="s">
        <v>301</v>
      </c>
      <c r="C145" s="72" t="s">
        <v>1371</v>
      </c>
      <c r="D145" s="72" t="s">
        <v>65</v>
      </c>
      <c r="E145" s="72"/>
      <c r="F145" s="72">
        <v>324</v>
      </c>
      <c r="G145" s="71" t="s">
        <v>24</v>
      </c>
      <c r="H145" s="72">
        <v>11</v>
      </c>
      <c r="I145" s="72">
        <v>512.5</v>
      </c>
      <c r="J145" s="72">
        <v>8</v>
      </c>
      <c r="K145" s="72">
        <v>11</v>
      </c>
      <c r="L145" s="821" t="s">
        <v>352</v>
      </c>
      <c r="M145" s="73"/>
      <c r="N145" s="30"/>
      <c r="O145" s="30"/>
      <c r="P145" s="73"/>
      <c r="Q145" s="30"/>
      <c r="R145" s="30"/>
      <c r="S145" s="822"/>
      <c r="T145" s="822"/>
      <c r="U145" s="823" t="s">
        <v>1928</v>
      </c>
      <c r="V145" s="824">
        <v>11</v>
      </c>
      <c r="W145" s="824" t="str">
        <f t="shared" si="5"/>
        <v xml:space="preserve">Spezifische Führungsfunktion </v>
      </c>
    </row>
    <row r="146" spans="1:23" s="21" customFormat="1" ht="12.75" x14ac:dyDescent="0.2">
      <c r="A146" s="74" t="str">
        <f t="shared" si="4"/>
        <v>324.12</v>
      </c>
      <c r="B146" s="71" t="s">
        <v>302</v>
      </c>
      <c r="C146" s="72" t="s">
        <v>1371</v>
      </c>
      <c r="D146" s="72" t="s">
        <v>65</v>
      </c>
      <c r="E146" s="72"/>
      <c r="F146" s="72">
        <v>324</v>
      </c>
      <c r="G146" s="71" t="s">
        <v>24</v>
      </c>
      <c r="H146" s="72">
        <v>12</v>
      </c>
      <c r="I146" s="72">
        <v>499.4</v>
      </c>
      <c r="J146" s="72">
        <v>8</v>
      </c>
      <c r="K146" s="72">
        <v>9</v>
      </c>
      <c r="L146" s="821" t="s">
        <v>352</v>
      </c>
      <c r="M146" s="73"/>
      <c r="N146" s="30"/>
      <c r="O146" s="30"/>
      <c r="P146" s="73"/>
      <c r="Q146" s="30"/>
      <c r="R146" s="30"/>
      <c r="S146" s="822"/>
      <c r="T146" s="822"/>
      <c r="U146" s="823" t="s">
        <v>1929</v>
      </c>
      <c r="V146" s="824">
        <v>12</v>
      </c>
      <c r="W146" s="824" t="str">
        <f t="shared" si="5"/>
        <v xml:space="preserve">Spezifische Führungsfunktion </v>
      </c>
    </row>
    <row r="147" spans="1:23" s="21" customFormat="1" ht="12.75" x14ac:dyDescent="0.2">
      <c r="A147" s="74" t="str">
        <f t="shared" si="4"/>
        <v>324.13</v>
      </c>
      <c r="B147" s="825" t="s">
        <v>169</v>
      </c>
      <c r="C147" s="72" t="s">
        <v>1371</v>
      </c>
      <c r="D147" s="72" t="s">
        <v>65</v>
      </c>
      <c r="E147" s="72"/>
      <c r="F147" s="72">
        <v>324</v>
      </c>
      <c r="G147" s="71" t="s">
        <v>24</v>
      </c>
      <c r="H147" s="72">
        <v>13</v>
      </c>
      <c r="I147" s="72">
        <v>476.1</v>
      </c>
      <c r="J147" s="72">
        <v>8</v>
      </c>
      <c r="K147" s="72">
        <v>6</v>
      </c>
      <c r="L147" s="821" t="s">
        <v>352</v>
      </c>
      <c r="M147" s="73"/>
      <c r="N147" s="30"/>
      <c r="O147" s="30"/>
      <c r="P147" s="73"/>
      <c r="Q147" s="30"/>
      <c r="R147" s="30"/>
      <c r="S147" s="822" t="s">
        <v>65</v>
      </c>
      <c r="T147" s="822" t="s">
        <v>65</v>
      </c>
      <c r="U147" s="823" t="s">
        <v>1930</v>
      </c>
      <c r="V147" s="824">
        <v>13</v>
      </c>
      <c r="W147" s="824" t="str">
        <f t="shared" si="5"/>
        <v xml:space="preserve">Spezifische Führungsfunktion </v>
      </c>
    </row>
    <row r="148" spans="1:23" s="21" customFormat="1" ht="12.75" x14ac:dyDescent="0.2">
      <c r="A148" s="74" t="str">
        <f t="shared" si="4"/>
        <v>324.14</v>
      </c>
      <c r="B148" s="71" t="s">
        <v>303</v>
      </c>
      <c r="C148" s="72" t="s">
        <v>1371</v>
      </c>
      <c r="D148" s="72" t="s">
        <v>65</v>
      </c>
      <c r="E148" s="72"/>
      <c r="F148" s="72">
        <v>324</v>
      </c>
      <c r="G148" s="71" t="s">
        <v>24</v>
      </c>
      <c r="H148" s="72">
        <v>14</v>
      </c>
      <c r="I148" s="72">
        <v>458.6</v>
      </c>
      <c r="J148" s="72">
        <v>8</v>
      </c>
      <c r="K148" s="72">
        <v>4</v>
      </c>
      <c r="L148" s="821" t="s">
        <v>352</v>
      </c>
      <c r="M148" s="73"/>
      <c r="N148" s="30"/>
      <c r="O148" s="30"/>
      <c r="P148" s="73"/>
      <c r="Q148" s="30"/>
      <c r="R148" s="30"/>
      <c r="S148" s="822"/>
      <c r="T148" s="822"/>
      <c r="U148" s="823" t="s">
        <v>1931</v>
      </c>
      <c r="V148" s="824">
        <v>14</v>
      </c>
      <c r="W148" s="824" t="str">
        <f t="shared" si="5"/>
        <v xml:space="preserve">Spezifische Führungsfunktion </v>
      </c>
    </row>
    <row r="149" spans="1:23" s="21" customFormat="1" ht="12.75" x14ac:dyDescent="0.2">
      <c r="A149" s="74" t="str">
        <f t="shared" si="4"/>
        <v>331.08</v>
      </c>
      <c r="B149" s="71" t="s">
        <v>327</v>
      </c>
      <c r="C149" s="72" t="s">
        <v>1372</v>
      </c>
      <c r="D149" s="72" t="s">
        <v>65</v>
      </c>
      <c r="E149" s="72"/>
      <c r="F149" s="72">
        <v>331</v>
      </c>
      <c r="G149" s="71" t="s">
        <v>34</v>
      </c>
      <c r="H149" s="72">
        <v>8</v>
      </c>
      <c r="I149" s="72">
        <v>590.5</v>
      </c>
      <c r="J149" s="72">
        <v>9.5</v>
      </c>
      <c r="K149" s="72">
        <v>8</v>
      </c>
      <c r="L149" s="821" t="s">
        <v>347</v>
      </c>
      <c r="M149" s="73"/>
      <c r="N149" s="30"/>
      <c r="O149" s="30"/>
      <c r="P149" s="73"/>
      <c r="Q149" s="30"/>
      <c r="R149" s="30"/>
      <c r="S149" s="822"/>
      <c r="T149" s="822"/>
      <c r="U149" s="823" t="s">
        <v>1932</v>
      </c>
      <c r="V149" s="824">
        <v>8</v>
      </c>
      <c r="W149" s="824" t="str">
        <f t="shared" si="5"/>
        <v>Psychologie und Psychotherapie</v>
      </c>
    </row>
    <row r="150" spans="1:23" s="21" customFormat="1" ht="12.75" x14ac:dyDescent="0.2">
      <c r="A150" s="74" t="str">
        <f t="shared" si="4"/>
        <v>331.09</v>
      </c>
      <c r="B150" s="825" t="s">
        <v>333</v>
      </c>
      <c r="C150" s="72" t="s">
        <v>1372</v>
      </c>
      <c r="D150" s="72" t="s">
        <v>65</v>
      </c>
      <c r="E150" s="72"/>
      <c r="F150" s="72">
        <v>331</v>
      </c>
      <c r="G150" s="71" t="s">
        <v>34</v>
      </c>
      <c r="H150" s="72">
        <v>9</v>
      </c>
      <c r="I150" s="72">
        <v>574.5</v>
      </c>
      <c r="J150" s="72">
        <v>9.5</v>
      </c>
      <c r="K150" s="72">
        <v>6</v>
      </c>
      <c r="L150" s="821" t="s">
        <v>347</v>
      </c>
      <c r="M150" s="73"/>
      <c r="N150" s="30"/>
      <c r="O150" s="30"/>
      <c r="P150" s="73"/>
      <c r="Q150" s="30"/>
      <c r="R150" s="30"/>
      <c r="S150" s="822" t="s">
        <v>65</v>
      </c>
      <c r="T150" s="822" t="s">
        <v>65</v>
      </c>
      <c r="U150" s="823" t="s">
        <v>1933</v>
      </c>
      <c r="V150" s="824">
        <v>9</v>
      </c>
      <c r="W150" s="824" t="str">
        <f t="shared" si="5"/>
        <v>Psychologie und Psychotherapie</v>
      </c>
    </row>
    <row r="151" spans="1:23" s="21" customFormat="1" ht="12.75" x14ac:dyDescent="0.2">
      <c r="A151" s="74" t="str">
        <f t="shared" si="4"/>
        <v>331.10</v>
      </c>
      <c r="B151" s="71" t="s">
        <v>170</v>
      </c>
      <c r="C151" s="72" t="s">
        <v>1372</v>
      </c>
      <c r="D151" s="72" t="s">
        <v>65</v>
      </c>
      <c r="E151" s="72"/>
      <c r="F151" s="72">
        <v>331</v>
      </c>
      <c r="G151" s="71" t="s">
        <v>34</v>
      </c>
      <c r="H151" s="72">
        <v>10</v>
      </c>
      <c r="I151" s="72"/>
      <c r="J151" s="72">
        <v>9.5</v>
      </c>
      <c r="K151" s="72">
        <v>5</v>
      </c>
      <c r="L151" s="821" t="s">
        <v>347</v>
      </c>
      <c r="M151" s="73"/>
      <c r="N151" s="30"/>
      <c r="O151" s="30"/>
      <c r="P151" s="73"/>
      <c r="Q151" s="30"/>
      <c r="R151" s="30"/>
      <c r="S151" s="822" t="s">
        <v>65</v>
      </c>
      <c r="T151" s="822" t="s">
        <v>65</v>
      </c>
      <c r="U151" s="823" t="s">
        <v>1934</v>
      </c>
      <c r="V151" s="824">
        <v>10</v>
      </c>
      <c r="W151" s="824" t="str">
        <f t="shared" si="5"/>
        <v>Psychologie und Psychotherapie</v>
      </c>
    </row>
    <row r="152" spans="1:23" s="21" customFormat="1" ht="12.75" x14ac:dyDescent="0.2">
      <c r="A152" s="74" t="str">
        <f t="shared" si="4"/>
        <v>331.11</v>
      </c>
      <c r="B152" s="825" t="s">
        <v>171</v>
      </c>
      <c r="C152" s="72" t="s">
        <v>1372</v>
      </c>
      <c r="D152" s="72" t="s">
        <v>65</v>
      </c>
      <c r="E152" s="72"/>
      <c r="F152" s="72">
        <v>331</v>
      </c>
      <c r="G152" s="71" t="s">
        <v>34</v>
      </c>
      <c r="H152" s="72">
        <v>11</v>
      </c>
      <c r="I152" s="72">
        <v>521.20000000000005</v>
      </c>
      <c r="J152" s="72">
        <v>9.5</v>
      </c>
      <c r="K152" s="72">
        <v>3</v>
      </c>
      <c r="L152" s="821" t="s">
        <v>347</v>
      </c>
      <c r="M152" s="73"/>
      <c r="N152" s="30"/>
      <c r="O152" s="30"/>
      <c r="P152" s="73"/>
      <c r="Q152" s="30"/>
      <c r="R152" s="30"/>
      <c r="S152" s="822" t="s">
        <v>65</v>
      </c>
      <c r="T152" s="822" t="s">
        <v>65</v>
      </c>
      <c r="U152" s="823" t="s">
        <v>1935</v>
      </c>
      <c r="V152" s="824">
        <v>11</v>
      </c>
      <c r="W152" s="824" t="str">
        <f t="shared" si="5"/>
        <v>Psychologie und Psychotherapie</v>
      </c>
    </row>
    <row r="153" spans="1:23" s="21" customFormat="1" ht="12.75" x14ac:dyDescent="0.2">
      <c r="A153" s="74" t="str">
        <f t="shared" si="4"/>
        <v>331.12</v>
      </c>
      <c r="B153" s="71" t="s">
        <v>304</v>
      </c>
      <c r="C153" s="72" t="s">
        <v>1372</v>
      </c>
      <c r="D153" s="72" t="s">
        <v>65</v>
      </c>
      <c r="E153" s="72"/>
      <c r="F153" s="72">
        <v>331</v>
      </c>
      <c r="G153" s="71" t="s">
        <v>34</v>
      </c>
      <c r="H153" s="72">
        <v>12</v>
      </c>
      <c r="I153" s="72">
        <v>501.6</v>
      </c>
      <c r="J153" s="72">
        <v>9.5</v>
      </c>
      <c r="K153" s="72">
        <v>1</v>
      </c>
      <c r="L153" s="821" t="s">
        <v>347</v>
      </c>
      <c r="M153" s="73"/>
      <c r="N153" s="30"/>
      <c r="O153" s="30"/>
      <c r="P153" s="73"/>
      <c r="Q153" s="30"/>
      <c r="R153" s="30"/>
      <c r="S153" s="822"/>
      <c r="T153" s="822"/>
      <c r="U153" s="823" t="s">
        <v>1936</v>
      </c>
      <c r="V153" s="824">
        <v>12</v>
      </c>
      <c r="W153" s="824" t="str">
        <f t="shared" si="5"/>
        <v>Psychologie und Psychotherapie</v>
      </c>
    </row>
    <row r="154" spans="1:23" s="21" customFormat="1" ht="12.75" x14ac:dyDescent="0.2">
      <c r="A154" s="74" t="str">
        <f t="shared" si="4"/>
        <v>332.02</v>
      </c>
      <c r="B154" s="71" t="s">
        <v>310</v>
      </c>
      <c r="C154" s="72" t="s">
        <v>1373</v>
      </c>
      <c r="D154" s="72" t="s">
        <v>65</v>
      </c>
      <c r="E154" s="72"/>
      <c r="F154" s="72">
        <v>332</v>
      </c>
      <c r="G154" s="71" t="s">
        <v>38</v>
      </c>
      <c r="H154" s="72">
        <v>2</v>
      </c>
      <c r="I154" s="72">
        <v>748.6</v>
      </c>
      <c r="J154" s="72">
        <v>11</v>
      </c>
      <c r="K154" s="72">
        <v>10</v>
      </c>
      <c r="L154" s="821" t="s">
        <v>349</v>
      </c>
      <c r="M154" s="73"/>
      <c r="N154" s="30"/>
      <c r="O154" s="30"/>
      <c r="P154" s="73"/>
      <c r="Q154" s="30"/>
      <c r="R154" s="30"/>
      <c r="S154" s="822" t="s">
        <v>65</v>
      </c>
      <c r="T154" s="822" t="s">
        <v>65</v>
      </c>
      <c r="U154" s="823" t="s">
        <v>1937</v>
      </c>
      <c r="V154" s="824">
        <v>2</v>
      </c>
      <c r="W154" s="824" t="str">
        <f t="shared" si="5"/>
        <v>Stv. Chefarzt *</v>
      </c>
    </row>
    <row r="155" spans="1:23" s="21" customFormat="1" ht="12.75" x14ac:dyDescent="0.2">
      <c r="A155" s="74" t="str">
        <f t="shared" si="4"/>
        <v>332.05</v>
      </c>
      <c r="B155" s="825" t="s">
        <v>316</v>
      </c>
      <c r="C155" s="72" t="s">
        <v>1373</v>
      </c>
      <c r="D155" s="72" t="s">
        <v>65</v>
      </c>
      <c r="E155" s="72"/>
      <c r="F155" s="72">
        <v>332</v>
      </c>
      <c r="G155" s="71" t="s">
        <v>37</v>
      </c>
      <c r="H155" s="72">
        <v>5</v>
      </c>
      <c r="I155" s="72">
        <v>674.5</v>
      </c>
      <c r="J155" s="72">
        <v>11</v>
      </c>
      <c r="K155" s="72">
        <v>8</v>
      </c>
      <c r="L155" s="821" t="s">
        <v>349</v>
      </c>
      <c r="M155" s="73"/>
      <c r="N155" s="30"/>
      <c r="O155" s="30"/>
      <c r="P155" s="73"/>
      <c r="Q155" s="30"/>
      <c r="R155" s="30"/>
      <c r="S155" s="822" t="s">
        <v>65</v>
      </c>
      <c r="T155" s="822" t="s">
        <v>65</v>
      </c>
      <c r="U155" s="823" t="s">
        <v>1938</v>
      </c>
      <c r="V155" s="824">
        <v>5</v>
      </c>
      <c r="W155" s="824" t="str">
        <f t="shared" si="5"/>
        <v>Oberärztin/Oberarzt</v>
      </c>
    </row>
    <row r="156" spans="1:23" s="21" customFormat="1" ht="12.75" x14ac:dyDescent="0.2">
      <c r="A156" s="74" t="str">
        <f t="shared" si="4"/>
        <v>332.06</v>
      </c>
      <c r="B156" s="71" t="s">
        <v>318</v>
      </c>
      <c r="C156" s="72" t="s">
        <v>1373</v>
      </c>
      <c r="D156" s="72" t="s">
        <v>65</v>
      </c>
      <c r="E156" s="72"/>
      <c r="F156" s="72">
        <v>332</v>
      </c>
      <c r="G156" s="71" t="s">
        <v>37</v>
      </c>
      <c r="H156" s="72">
        <v>6</v>
      </c>
      <c r="I156" s="72">
        <v>642.1</v>
      </c>
      <c r="J156" s="72">
        <v>9.5</v>
      </c>
      <c r="K156" s="72">
        <v>7</v>
      </c>
      <c r="L156" s="821" t="s">
        <v>347</v>
      </c>
      <c r="M156" s="73"/>
      <c r="N156" s="30"/>
      <c r="O156" s="30"/>
      <c r="P156" s="73"/>
      <c r="Q156" s="30"/>
      <c r="R156" s="30"/>
      <c r="S156" s="822" t="s">
        <v>65</v>
      </c>
      <c r="T156" s="822" t="s">
        <v>65</v>
      </c>
      <c r="U156" s="823" t="s">
        <v>1939</v>
      </c>
      <c r="V156" s="824">
        <v>6</v>
      </c>
      <c r="W156" s="824" t="str">
        <f t="shared" si="5"/>
        <v>Oberärztin/Oberarzt</v>
      </c>
    </row>
    <row r="157" spans="1:23" s="21" customFormat="1" ht="12.75" x14ac:dyDescent="0.2">
      <c r="A157" s="74" t="str">
        <f t="shared" si="4"/>
        <v>332.08</v>
      </c>
      <c r="B157" s="71" t="s">
        <v>328</v>
      </c>
      <c r="C157" s="72" t="s">
        <v>1373</v>
      </c>
      <c r="D157" s="72" t="s">
        <v>65</v>
      </c>
      <c r="E157" s="72"/>
      <c r="F157" s="72">
        <v>332</v>
      </c>
      <c r="G157" s="71" t="s">
        <v>36</v>
      </c>
      <c r="H157" s="72">
        <v>8</v>
      </c>
      <c r="I157" s="72">
        <v>590.1</v>
      </c>
      <c r="J157" s="72">
        <v>9.5</v>
      </c>
      <c r="K157" s="72">
        <v>7</v>
      </c>
      <c r="L157" s="821" t="s">
        <v>347</v>
      </c>
      <c r="M157" s="73"/>
      <c r="N157" s="30"/>
      <c r="O157" s="30"/>
      <c r="P157" s="73"/>
      <c r="Q157" s="30"/>
      <c r="R157" s="30"/>
      <c r="S157" s="822"/>
      <c r="T157" s="822"/>
      <c r="U157" s="823" t="s">
        <v>1940</v>
      </c>
      <c r="V157" s="824">
        <v>8</v>
      </c>
      <c r="W157" s="824" t="str">
        <f t="shared" si="5"/>
        <v>Aerztin/Arzt (mbA)</v>
      </c>
    </row>
    <row r="158" spans="1:23" s="21" customFormat="1" ht="12.75" x14ac:dyDescent="0.2">
      <c r="A158" s="74" t="str">
        <f t="shared" si="4"/>
        <v>332.09</v>
      </c>
      <c r="B158" s="825" t="s">
        <v>334</v>
      </c>
      <c r="C158" s="72" t="s">
        <v>1373</v>
      </c>
      <c r="D158" s="72" t="s">
        <v>65</v>
      </c>
      <c r="E158" s="72"/>
      <c r="F158" s="72">
        <v>332</v>
      </c>
      <c r="G158" s="71" t="s">
        <v>36</v>
      </c>
      <c r="H158" s="72">
        <v>9</v>
      </c>
      <c r="I158" s="72">
        <v>581.9</v>
      </c>
      <c r="J158" s="72">
        <v>9.5</v>
      </c>
      <c r="K158" s="72">
        <v>6</v>
      </c>
      <c r="L158" s="821" t="s">
        <v>347</v>
      </c>
      <c r="M158" s="73"/>
      <c r="N158" s="30"/>
      <c r="O158" s="30"/>
      <c r="P158" s="73"/>
      <c r="Q158" s="30"/>
      <c r="R158" s="30"/>
      <c r="S158" s="822" t="s">
        <v>65</v>
      </c>
      <c r="T158" s="822" t="s">
        <v>65</v>
      </c>
      <c r="U158" s="823" t="s">
        <v>1941</v>
      </c>
      <c r="V158" s="824">
        <v>9</v>
      </c>
      <c r="W158" s="824" t="str">
        <f t="shared" si="5"/>
        <v>Aerztin/Arzt (mbA)</v>
      </c>
    </row>
    <row r="159" spans="1:23" s="21" customFormat="1" ht="12.75" x14ac:dyDescent="0.2">
      <c r="A159" s="74" t="str">
        <f t="shared" si="4"/>
        <v>332.11</v>
      </c>
      <c r="B159" s="71" t="s">
        <v>306</v>
      </c>
      <c r="C159" s="72" t="s">
        <v>1373</v>
      </c>
      <c r="D159" s="72" t="s">
        <v>65</v>
      </c>
      <c r="E159" s="72"/>
      <c r="F159" s="72">
        <v>332</v>
      </c>
      <c r="G159" s="71" t="s">
        <v>35</v>
      </c>
      <c r="H159" s="72">
        <v>11</v>
      </c>
      <c r="I159" s="72"/>
      <c r="J159" s="72">
        <v>9.5</v>
      </c>
      <c r="K159" s="72">
        <v>0</v>
      </c>
      <c r="L159" s="821" t="s">
        <v>347</v>
      </c>
      <c r="M159" s="73"/>
      <c r="N159" s="30"/>
      <c r="O159" s="30"/>
      <c r="P159" s="73"/>
      <c r="Q159" s="30"/>
      <c r="R159" s="30"/>
      <c r="S159" s="822"/>
      <c r="T159" s="822"/>
      <c r="U159" s="823" t="s">
        <v>1942</v>
      </c>
      <c r="V159" s="824">
        <v>11</v>
      </c>
      <c r="W159" s="824" t="str">
        <f t="shared" si="5"/>
        <v>Assistenzärztin/Assistenzarzt</v>
      </c>
    </row>
    <row r="160" spans="1:23" s="21" customFormat="1" ht="12.75" x14ac:dyDescent="0.2">
      <c r="A160" s="74" t="str">
        <f t="shared" si="4"/>
        <v>332.12</v>
      </c>
      <c r="B160" s="825" t="s">
        <v>172</v>
      </c>
      <c r="C160" s="72" t="s">
        <v>1373</v>
      </c>
      <c r="D160" s="72" t="s">
        <v>65</v>
      </c>
      <c r="E160" s="72"/>
      <c r="F160" s="72">
        <v>332</v>
      </c>
      <c r="G160" s="71" t="s">
        <v>35</v>
      </c>
      <c r="H160" s="72">
        <v>12</v>
      </c>
      <c r="I160" s="72">
        <v>491.1</v>
      </c>
      <c r="J160" s="72">
        <v>9.5</v>
      </c>
      <c r="K160" s="72">
        <v>0</v>
      </c>
      <c r="L160" s="821" t="s">
        <v>347</v>
      </c>
      <c r="M160" s="73"/>
      <c r="N160" s="30"/>
      <c r="O160" s="30"/>
      <c r="P160" s="73"/>
      <c r="Q160" s="30"/>
      <c r="R160" s="30"/>
      <c r="S160" s="822" t="s">
        <v>65</v>
      </c>
      <c r="T160" s="822" t="s">
        <v>65</v>
      </c>
      <c r="U160" s="823" t="s">
        <v>1943</v>
      </c>
      <c r="V160" s="824">
        <v>12</v>
      </c>
      <c r="W160" s="824" t="str">
        <f t="shared" si="5"/>
        <v>Assistenzärztin/Assistenzarzt</v>
      </c>
    </row>
    <row r="161" spans="1:23" s="21" customFormat="1" ht="12.75" x14ac:dyDescent="0.2">
      <c r="A161" s="74" t="str">
        <f t="shared" si="4"/>
        <v>341.14</v>
      </c>
      <c r="B161" s="71" t="s">
        <v>305</v>
      </c>
      <c r="C161" s="72" t="s">
        <v>1374</v>
      </c>
      <c r="D161" s="72" t="s">
        <v>65</v>
      </c>
      <c r="E161" s="72"/>
      <c r="F161" s="72">
        <v>341</v>
      </c>
      <c r="G161" s="71" t="s">
        <v>41</v>
      </c>
      <c r="H161" s="72">
        <v>14</v>
      </c>
      <c r="I161" s="72"/>
      <c r="J161" s="72">
        <v>8</v>
      </c>
      <c r="K161" s="72">
        <v>3</v>
      </c>
      <c r="L161" s="821" t="s">
        <v>352</v>
      </c>
      <c r="M161" s="73"/>
      <c r="N161" s="30"/>
      <c r="O161" s="30"/>
      <c r="P161" s="73"/>
      <c r="Q161" s="30"/>
      <c r="R161" s="30"/>
      <c r="S161" s="822"/>
      <c r="T161" s="822"/>
      <c r="U161" s="823" t="s">
        <v>1944</v>
      </c>
      <c r="V161" s="824">
        <v>14</v>
      </c>
      <c r="W161" s="824" t="str">
        <f t="shared" si="5"/>
        <v>Sozialpädagogik</v>
      </c>
    </row>
    <row r="162" spans="1:23" s="21" customFormat="1" ht="12.75" x14ac:dyDescent="0.2">
      <c r="A162" s="74" t="str">
        <f t="shared" si="4"/>
        <v>341.15a</v>
      </c>
      <c r="B162" s="825" t="s">
        <v>229</v>
      </c>
      <c r="C162" s="72" t="s">
        <v>1374</v>
      </c>
      <c r="D162" s="72" t="s">
        <v>66</v>
      </c>
      <c r="E162" s="72"/>
      <c r="F162" s="72" t="s">
        <v>40</v>
      </c>
      <c r="G162" s="71" t="s">
        <v>41</v>
      </c>
      <c r="H162" s="72">
        <v>15</v>
      </c>
      <c r="I162" s="72">
        <v>431.6</v>
      </c>
      <c r="J162" s="72">
        <v>8</v>
      </c>
      <c r="K162" s="72">
        <v>2</v>
      </c>
      <c r="L162" s="821" t="s">
        <v>352</v>
      </c>
      <c r="M162" s="73"/>
      <c r="N162" s="30"/>
      <c r="O162" s="30"/>
      <c r="P162" s="73"/>
      <c r="Q162" s="30"/>
      <c r="R162" s="30"/>
      <c r="S162" s="822" t="s">
        <v>65</v>
      </c>
      <c r="T162" s="822" t="s">
        <v>65</v>
      </c>
      <c r="U162" s="823" t="s">
        <v>1375</v>
      </c>
      <c r="V162" s="824">
        <v>15</v>
      </c>
      <c r="W162" s="824" t="str">
        <f t="shared" si="5"/>
        <v>Sozialpädagogik</v>
      </c>
    </row>
    <row r="163" spans="1:23" s="21" customFormat="1" ht="12.75" x14ac:dyDescent="0.2">
      <c r="A163" s="74" t="str">
        <f t="shared" si="4"/>
        <v>341.15b</v>
      </c>
      <c r="B163" s="825" t="s">
        <v>230</v>
      </c>
      <c r="C163" s="72" t="s">
        <v>1374</v>
      </c>
      <c r="D163" s="72" t="s">
        <v>67</v>
      </c>
      <c r="E163" s="72"/>
      <c r="F163" s="72" t="s">
        <v>42</v>
      </c>
      <c r="G163" s="71" t="s">
        <v>43</v>
      </c>
      <c r="H163" s="72">
        <v>15</v>
      </c>
      <c r="I163" s="72">
        <v>426</v>
      </c>
      <c r="J163" s="72">
        <v>5.5</v>
      </c>
      <c r="K163" s="72">
        <v>6</v>
      </c>
      <c r="L163" s="821" t="s">
        <v>671</v>
      </c>
      <c r="M163" s="73"/>
      <c r="N163" s="30"/>
      <c r="O163" s="30"/>
      <c r="P163" s="73"/>
      <c r="Q163" s="30"/>
      <c r="R163" s="30"/>
      <c r="S163" s="822" t="s">
        <v>65</v>
      </c>
      <c r="T163" s="822" t="s">
        <v>65</v>
      </c>
      <c r="U163" s="823" t="s">
        <v>1376</v>
      </c>
      <c r="V163" s="824">
        <v>15</v>
      </c>
      <c r="W163" s="824" t="str">
        <f t="shared" si="5"/>
        <v>Sozialpädagogik-Gefangenenbetreuung</v>
      </c>
    </row>
    <row r="164" spans="1:23" s="21" customFormat="1" ht="12.75" x14ac:dyDescent="0.2">
      <c r="A164" s="74" t="str">
        <f t="shared" si="4"/>
        <v>341.15c</v>
      </c>
      <c r="B164" s="825" t="s">
        <v>1251</v>
      </c>
      <c r="C164" s="72">
        <v>341</v>
      </c>
      <c r="D164" s="72" t="s">
        <v>76</v>
      </c>
      <c r="E164" s="72"/>
      <c r="F164" s="72" t="s">
        <v>1377</v>
      </c>
      <c r="G164" s="71" t="s">
        <v>1253</v>
      </c>
      <c r="H164" s="72">
        <v>15</v>
      </c>
      <c r="I164" s="72"/>
      <c r="J164" s="72">
        <v>8</v>
      </c>
      <c r="K164" s="72">
        <v>2</v>
      </c>
      <c r="L164" s="821" t="s">
        <v>352</v>
      </c>
      <c r="M164" s="73"/>
      <c r="N164" s="30"/>
      <c r="O164" s="30"/>
      <c r="P164" s="73"/>
      <c r="Q164" s="30"/>
      <c r="R164" s="30"/>
      <c r="S164" s="822"/>
      <c r="T164" s="822"/>
      <c r="U164" s="823" t="s">
        <v>1378</v>
      </c>
      <c r="V164" s="824">
        <v>15</v>
      </c>
      <c r="W164" s="824" t="str">
        <f t="shared" si="5"/>
        <v>Sozialpädagogik im Schulbereich</v>
      </c>
    </row>
    <row r="165" spans="1:23" s="21" customFormat="1" ht="12.75" x14ac:dyDescent="0.2">
      <c r="A165" s="74" t="str">
        <f t="shared" si="4"/>
        <v>341.16</v>
      </c>
      <c r="B165" s="71" t="s">
        <v>173</v>
      </c>
      <c r="C165" s="72" t="s">
        <v>1374</v>
      </c>
      <c r="D165" s="72" t="s">
        <v>65</v>
      </c>
      <c r="E165" s="72"/>
      <c r="F165" s="72">
        <v>341</v>
      </c>
      <c r="G165" s="71" t="s">
        <v>39</v>
      </c>
      <c r="H165" s="72">
        <v>16</v>
      </c>
      <c r="I165" s="72"/>
      <c r="J165" s="72">
        <v>5</v>
      </c>
      <c r="K165" s="72">
        <v>6</v>
      </c>
      <c r="L165" s="821" t="s">
        <v>87</v>
      </c>
      <c r="M165" s="73"/>
      <c r="N165" s="30">
        <v>5.5</v>
      </c>
      <c r="O165" s="30">
        <v>4</v>
      </c>
      <c r="P165" s="73"/>
      <c r="Q165" s="30">
        <v>8</v>
      </c>
      <c r="R165" s="30">
        <v>0</v>
      </c>
      <c r="S165" s="822" t="s">
        <v>671</v>
      </c>
      <c r="T165" s="822" t="s">
        <v>352</v>
      </c>
      <c r="U165" s="823" t="s">
        <v>1945</v>
      </c>
      <c r="V165" s="824">
        <v>16</v>
      </c>
      <c r="W165" s="824" t="str">
        <f t="shared" si="5"/>
        <v>Sozialpädagogik-Kleinkindererziehung</v>
      </c>
    </row>
    <row r="166" spans="1:23" s="21" customFormat="1" ht="12.75" x14ac:dyDescent="0.2">
      <c r="A166" s="74" t="str">
        <f t="shared" si="4"/>
        <v>341.17</v>
      </c>
      <c r="B166" s="825" t="s">
        <v>174</v>
      </c>
      <c r="C166" s="72" t="s">
        <v>1374</v>
      </c>
      <c r="D166" s="72" t="s">
        <v>65</v>
      </c>
      <c r="E166" s="72"/>
      <c r="F166" s="72">
        <v>341</v>
      </c>
      <c r="G166" s="71" t="s">
        <v>39</v>
      </c>
      <c r="H166" s="72">
        <v>17</v>
      </c>
      <c r="I166" s="72">
        <v>369.4</v>
      </c>
      <c r="J166" s="72">
        <v>5</v>
      </c>
      <c r="K166" s="72">
        <v>4</v>
      </c>
      <c r="L166" s="821" t="s">
        <v>87</v>
      </c>
      <c r="M166" s="73"/>
      <c r="N166" s="30"/>
      <c r="O166" s="30"/>
      <c r="P166" s="73"/>
      <c r="Q166" s="30"/>
      <c r="R166" s="30"/>
      <c r="S166" s="822"/>
      <c r="T166" s="822" t="s">
        <v>65</v>
      </c>
      <c r="U166" s="823" t="s">
        <v>1946</v>
      </c>
      <c r="V166" s="824">
        <v>17</v>
      </c>
      <c r="W166" s="824" t="str">
        <f t="shared" si="5"/>
        <v>Sozialpädagogik-Kleinkindererziehung</v>
      </c>
    </row>
    <row r="167" spans="1:23" s="21" customFormat="1" ht="12.75" x14ac:dyDescent="0.2">
      <c r="A167" s="74" t="str">
        <f t="shared" si="4"/>
        <v>341.18</v>
      </c>
      <c r="B167" s="71" t="s">
        <v>175</v>
      </c>
      <c r="C167" s="72" t="s">
        <v>1374</v>
      </c>
      <c r="D167" s="72" t="s">
        <v>65</v>
      </c>
      <c r="E167" s="72"/>
      <c r="F167" s="72">
        <v>341</v>
      </c>
      <c r="G167" s="71" t="s">
        <v>39</v>
      </c>
      <c r="H167" s="72">
        <v>18</v>
      </c>
      <c r="I167" s="72"/>
      <c r="J167" s="72">
        <v>5</v>
      </c>
      <c r="K167" s="72">
        <v>2</v>
      </c>
      <c r="L167" s="821" t="s">
        <v>87</v>
      </c>
      <c r="M167" s="73"/>
      <c r="N167" s="30"/>
      <c r="O167" s="30"/>
      <c r="P167" s="73"/>
      <c r="Q167" s="30"/>
      <c r="R167" s="30"/>
      <c r="S167" s="822"/>
      <c r="T167" s="822" t="s">
        <v>65</v>
      </c>
      <c r="U167" s="823" t="s">
        <v>1947</v>
      </c>
      <c r="V167" s="824">
        <v>18</v>
      </c>
      <c r="W167" s="824" t="str">
        <f t="shared" si="5"/>
        <v>Sozialpädagogik-Kleinkindererziehung</v>
      </c>
    </row>
    <row r="168" spans="1:23" s="21" customFormat="1" ht="12.75" x14ac:dyDescent="0.2">
      <c r="A168" s="74" t="str">
        <f t="shared" si="4"/>
        <v>341.19</v>
      </c>
      <c r="B168" s="825" t="s">
        <v>176</v>
      </c>
      <c r="C168" s="72" t="s">
        <v>1374</v>
      </c>
      <c r="D168" s="72" t="s">
        <v>65</v>
      </c>
      <c r="E168" s="72"/>
      <c r="F168" s="72">
        <v>341</v>
      </c>
      <c r="G168" s="71" t="s">
        <v>39</v>
      </c>
      <c r="H168" s="72">
        <v>19</v>
      </c>
      <c r="I168" s="72">
        <v>325.5</v>
      </c>
      <c r="J168" s="72">
        <v>5</v>
      </c>
      <c r="K168" s="72">
        <v>1</v>
      </c>
      <c r="L168" s="821" t="s">
        <v>87</v>
      </c>
      <c r="M168" s="73"/>
      <c r="N168" s="30"/>
      <c r="O168" s="30"/>
      <c r="P168" s="73"/>
      <c r="Q168" s="30"/>
      <c r="R168" s="30"/>
      <c r="S168" s="822"/>
      <c r="T168" s="822" t="s">
        <v>65</v>
      </c>
      <c r="U168" s="823" t="s">
        <v>1948</v>
      </c>
      <c r="V168" s="824">
        <v>19</v>
      </c>
      <c r="W168" s="824" t="str">
        <f t="shared" si="5"/>
        <v>Sozialpädagogik-Kleinkindererziehung</v>
      </c>
    </row>
    <row r="169" spans="1:23" s="21" customFormat="1" ht="12.75" x14ac:dyDescent="0.2">
      <c r="A169" s="74" t="str">
        <f t="shared" si="4"/>
        <v>342.13</v>
      </c>
      <c r="B169" s="71" t="s">
        <v>307</v>
      </c>
      <c r="C169" s="72" t="s">
        <v>1379</v>
      </c>
      <c r="D169" s="72" t="s">
        <v>65</v>
      </c>
      <c r="E169" s="72"/>
      <c r="F169" s="72">
        <v>342</v>
      </c>
      <c r="G169" s="71" t="s">
        <v>44</v>
      </c>
      <c r="H169" s="72">
        <v>13</v>
      </c>
      <c r="I169" s="72">
        <v>465.4</v>
      </c>
      <c r="J169" s="72">
        <v>8</v>
      </c>
      <c r="K169" s="72">
        <v>5</v>
      </c>
      <c r="L169" s="821" t="s">
        <v>352</v>
      </c>
      <c r="M169" s="73"/>
      <c r="N169" s="30"/>
      <c r="O169" s="30"/>
      <c r="P169" s="73"/>
      <c r="Q169" s="30"/>
      <c r="R169" s="30"/>
      <c r="S169" s="822"/>
      <c r="T169" s="822"/>
      <c r="U169" s="823" t="s">
        <v>1949</v>
      </c>
      <c r="V169" s="824">
        <v>13</v>
      </c>
      <c r="W169" s="824" t="str">
        <f t="shared" si="5"/>
        <v>Sozialarbeit</v>
      </c>
    </row>
    <row r="170" spans="1:23" s="21" customFormat="1" ht="12.75" x14ac:dyDescent="0.2">
      <c r="A170" s="74" t="str">
        <f t="shared" si="4"/>
        <v>342.14</v>
      </c>
      <c r="B170" s="825" t="s">
        <v>177</v>
      </c>
      <c r="C170" s="72" t="s">
        <v>1379</v>
      </c>
      <c r="D170" s="72" t="s">
        <v>65</v>
      </c>
      <c r="E170" s="72"/>
      <c r="F170" s="72">
        <v>342</v>
      </c>
      <c r="G170" s="71" t="s">
        <v>44</v>
      </c>
      <c r="H170" s="72">
        <v>14</v>
      </c>
      <c r="I170" s="72">
        <v>447.2</v>
      </c>
      <c r="J170" s="72">
        <v>8</v>
      </c>
      <c r="K170" s="72">
        <v>3</v>
      </c>
      <c r="L170" s="821" t="s">
        <v>352</v>
      </c>
      <c r="M170" s="73"/>
      <c r="N170" s="30"/>
      <c r="O170" s="30"/>
      <c r="P170" s="73"/>
      <c r="Q170" s="30"/>
      <c r="R170" s="30"/>
      <c r="S170" s="822"/>
      <c r="T170" s="822" t="s">
        <v>65</v>
      </c>
      <c r="U170" s="823" t="s">
        <v>1950</v>
      </c>
      <c r="V170" s="824">
        <v>14</v>
      </c>
      <c r="W170" s="824" t="str">
        <f t="shared" si="5"/>
        <v>Sozialarbeit</v>
      </c>
    </row>
    <row r="171" spans="1:23" s="21" customFormat="1" ht="12.75" x14ac:dyDescent="0.2">
      <c r="A171" s="74" t="str">
        <f t="shared" si="4"/>
        <v>342.15</v>
      </c>
      <c r="B171" s="71" t="s">
        <v>178</v>
      </c>
      <c r="C171" s="72" t="s">
        <v>1379</v>
      </c>
      <c r="D171" s="72" t="s">
        <v>65</v>
      </c>
      <c r="E171" s="72"/>
      <c r="F171" s="72">
        <v>342</v>
      </c>
      <c r="G171" s="71" t="s">
        <v>44</v>
      </c>
      <c r="H171" s="72">
        <v>15</v>
      </c>
      <c r="I171" s="72"/>
      <c r="J171" s="72">
        <v>8</v>
      </c>
      <c r="K171" s="72">
        <v>2</v>
      </c>
      <c r="L171" s="821" t="s">
        <v>352</v>
      </c>
      <c r="M171" s="73"/>
      <c r="N171" s="30"/>
      <c r="O171" s="30"/>
      <c r="P171" s="73"/>
      <c r="Q171" s="30"/>
      <c r="R171" s="30"/>
      <c r="S171" s="822"/>
      <c r="T171" s="822" t="s">
        <v>65</v>
      </c>
      <c r="U171" s="823" t="s">
        <v>1380</v>
      </c>
      <c r="V171" s="824">
        <v>15</v>
      </c>
      <c r="W171" s="824" t="str">
        <f t="shared" si="5"/>
        <v>Sozialarbeit</v>
      </c>
    </row>
    <row r="172" spans="1:23" s="21" customFormat="1" ht="12.75" x14ac:dyDescent="0.2">
      <c r="A172" s="74" t="str">
        <f t="shared" si="4"/>
        <v>342.16</v>
      </c>
      <c r="B172" s="825" t="s">
        <v>179</v>
      </c>
      <c r="C172" s="72" t="s">
        <v>1379</v>
      </c>
      <c r="D172" s="72" t="s">
        <v>65</v>
      </c>
      <c r="E172" s="72"/>
      <c r="F172" s="72">
        <v>342</v>
      </c>
      <c r="G172" s="71" t="s">
        <v>44</v>
      </c>
      <c r="H172" s="72">
        <v>16</v>
      </c>
      <c r="I172" s="72">
        <v>406.8</v>
      </c>
      <c r="J172" s="72">
        <v>8</v>
      </c>
      <c r="K172" s="72">
        <v>1</v>
      </c>
      <c r="L172" s="821" t="s">
        <v>352</v>
      </c>
      <c r="M172" s="73"/>
      <c r="N172" s="30"/>
      <c r="O172" s="30"/>
      <c r="P172" s="73"/>
      <c r="Q172" s="30"/>
      <c r="R172" s="30"/>
      <c r="S172" s="822"/>
      <c r="T172" s="822" t="s">
        <v>65</v>
      </c>
      <c r="U172" s="823" t="s">
        <v>1381</v>
      </c>
      <c r="V172" s="824">
        <v>16</v>
      </c>
      <c r="W172" s="824" t="str">
        <f t="shared" si="5"/>
        <v>Sozialarbeit</v>
      </c>
    </row>
    <row r="173" spans="1:23" s="21" customFormat="1" ht="12.75" x14ac:dyDescent="0.2">
      <c r="A173" s="74" t="str">
        <f t="shared" si="4"/>
        <v>401A.14</v>
      </c>
      <c r="B173" s="25" t="s">
        <v>231</v>
      </c>
      <c r="C173" s="76" t="s">
        <v>1382</v>
      </c>
      <c r="D173" s="76"/>
      <c r="E173" s="76"/>
      <c r="F173" s="76"/>
      <c r="G173" s="25" t="s">
        <v>356</v>
      </c>
      <c r="H173" s="76">
        <v>14</v>
      </c>
      <c r="I173" s="76">
        <v>444</v>
      </c>
      <c r="J173" s="76">
        <v>6.5</v>
      </c>
      <c r="K173" s="76">
        <v>2</v>
      </c>
      <c r="L173" s="846" t="s">
        <v>346</v>
      </c>
      <c r="M173" s="31"/>
      <c r="N173" s="32"/>
      <c r="O173" s="32"/>
      <c r="P173" s="31"/>
      <c r="Q173" s="32"/>
      <c r="R173" s="32"/>
      <c r="S173" s="847"/>
      <c r="T173" s="847"/>
      <c r="U173" s="823" t="s">
        <v>1383</v>
      </c>
      <c r="V173" s="824">
        <v>14</v>
      </c>
      <c r="W173" s="824" t="str">
        <f t="shared" si="5"/>
        <v>Kindergarten</v>
      </c>
    </row>
    <row r="174" spans="1:23" s="21" customFormat="1" ht="12.75" x14ac:dyDescent="0.2">
      <c r="A174" s="74" t="str">
        <f t="shared" si="4"/>
        <v>401C.14</v>
      </c>
      <c r="B174" s="28" t="s">
        <v>358</v>
      </c>
      <c r="C174" s="79" t="s">
        <v>1382</v>
      </c>
      <c r="D174" s="79"/>
      <c r="E174" s="79"/>
      <c r="F174" s="79"/>
      <c r="G174" s="28" t="s">
        <v>357</v>
      </c>
      <c r="H174" s="79">
        <v>14</v>
      </c>
      <c r="I174" s="79" t="s">
        <v>65</v>
      </c>
      <c r="J174" s="79">
        <v>6.5</v>
      </c>
      <c r="K174" s="79">
        <v>2</v>
      </c>
      <c r="L174" s="833" t="s">
        <v>346</v>
      </c>
      <c r="M174" s="35"/>
      <c r="N174" s="36"/>
      <c r="O174" s="36"/>
      <c r="P174" s="35"/>
      <c r="Q174" s="36"/>
      <c r="R174" s="36"/>
      <c r="S174" s="834"/>
      <c r="T174" s="834" t="s">
        <v>65</v>
      </c>
      <c r="U174" s="823" t="s">
        <v>1384</v>
      </c>
      <c r="V174" s="824">
        <v>14</v>
      </c>
      <c r="W174" s="824" t="str">
        <f t="shared" si="5"/>
        <v>Vorschulheilpädagogischer Dienst</v>
      </c>
    </row>
    <row r="175" spans="1:23" s="21" customFormat="1" ht="12.75" x14ac:dyDescent="0.2">
      <c r="A175" s="74" t="str">
        <f t="shared" si="4"/>
        <v>401S.11</v>
      </c>
      <c r="B175" s="28" t="s">
        <v>572</v>
      </c>
      <c r="C175" s="79" t="s">
        <v>1382</v>
      </c>
      <c r="D175" s="79"/>
      <c r="E175" s="79"/>
      <c r="F175" s="79" t="s">
        <v>1382</v>
      </c>
      <c r="G175" s="28" t="s">
        <v>562</v>
      </c>
      <c r="H175" s="79">
        <v>11</v>
      </c>
      <c r="I175" s="79"/>
      <c r="J175" s="79">
        <v>7.5</v>
      </c>
      <c r="K175" s="79">
        <v>5</v>
      </c>
      <c r="L175" s="833" t="s">
        <v>674</v>
      </c>
      <c r="M175" s="35"/>
      <c r="N175" s="36"/>
      <c r="O175" s="36"/>
      <c r="P175" s="35"/>
      <c r="Q175" s="36"/>
      <c r="R175" s="36"/>
      <c r="S175" s="834"/>
      <c r="T175" s="834"/>
      <c r="U175" s="823" t="s">
        <v>1385</v>
      </c>
      <c r="V175" s="824">
        <v>11</v>
      </c>
      <c r="W175" s="824" t="str">
        <f t="shared" si="5"/>
        <v>Kindergarten mit VSH</v>
      </c>
    </row>
    <row r="176" spans="1:23" s="21" customFormat="1" ht="12.75" x14ac:dyDescent="0.2">
      <c r="A176" s="74" t="str">
        <f t="shared" si="4"/>
        <v>401S.12</v>
      </c>
      <c r="B176" s="28" t="s">
        <v>571</v>
      </c>
      <c r="C176" s="79" t="s">
        <v>1382</v>
      </c>
      <c r="D176" s="79"/>
      <c r="E176" s="79"/>
      <c r="F176" s="79" t="s">
        <v>1382</v>
      </c>
      <c r="G176" s="28" t="s">
        <v>561</v>
      </c>
      <c r="H176" s="79">
        <v>12</v>
      </c>
      <c r="I176" s="79"/>
      <c r="J176" s="79">
        <v>6.5</v>
      </c>
      <c r="K176" s="79">
        <v>5</v>
      </c>
      <c r="L176" s="833" t="s">
        <v>346</v>
      </c>
      <c r="M176" s="35"/>
      <c r="N176" s="36"/>
      <c r="O176" s="36"/>
      <c r="P176" s="35"/>
      <c r="Q176" s="36"/>
      <c r="R176" s="36"/>
      <c r="S176" s="834"/>
      <c r="T176" s="834"/>
      <c r="U176" s="823" t="s">
        <v>1386</v>
      </c>
      <c r="V176" s="824">
        <v>12</v>
      </c>
      <c r="W176" s="824" t="str">
        <f t="shared" si="5"/>
        <v>Kindergarten ohne VSH</v>
      </c>
    </row>
    <row r="177" spans="1:23" s="21" customFormat="1" ht="12.75" x14ac:dyDescent="0.2">
      <c r="A177" s="74" t="str">
        <f t="shared" si="4"/>
        <v>401T.11</v>
      </c>
      <c r="B177" s="25" t="s">
        <v>577</v>
      </c>
      <c r="C177" s="76" t="s">
        <v>1382</v>
      </c>
      <c r="D177" s="76"/>
      <c r="E177" s="76"/>
      <c r="F177" s="76" t="s">
        <v>1382</v>
      </c>
      <c r="G177" s="25" t="s">
        <v>567</v>
      </c>
      <c r="H177" s="76">
        <v>11</v>
      </c>
      <c r="I177" s="76"/>
      <c r="J177" s="76">
        <v>7.5</v>
      </c>
      <c r="K177" s="76">
        <v>5</v>
      </c>
      <c r="L177" s="846" t="s">
        <v>674</v>
      </c>
      <c r="M177" s="31"/>
      <c r="N177" s="32"/>
      <c r="O177" s="32"/>
      <c r="P177" s="31"/>
      <c r="Q177" s="32"/>
      <c r="R177" s="32"/>
      <c r="S177" s="847"/>
      <c r="T177" s="847"/>
      <c r="U177" s="823" t="s">
        <v>1387</v>
      </c>
      <c r="V177" s="824">
        <v>11</v>
      </c>
      <c r="W177" s="824" t="str">
        <f t="shared" si="5"/>
        <v>Kindergarten mit VSH (TZ)</v>
      </c>
    </row>
    <row r="178" spans="1:23" s="21" customFormat="1" ht="12.75" x14ac:dyDescent="0.2">
      <c r="A178" s="74" t="str">
        <f t="shared" si="4"/>
        <v>401T.12</v>
      </c>
      <c r="B178" s="25" t="s">
        <v>576</v>
      </c>
      <c r="C178" s="76" t="s">
        <v>1382</v>
      </c>
      <c r="D178" s="76"/>
      <c r="E178" s="76"/>
      <c r="F178" s="76" t="s">
        <v>1382</v>
      </c>
      <c r="G178" s="25" t="s">
        <v>566</v>
      </c>
      <c r="H178" s="76">
        <v>12</v>
      </c>
      <c r="I178" s="76"/>
      <c r="J178" s="76">
        <v>6.5</v>
      </c>
      <c r="K178" s="76">
        <v>5</v>
      </c>
      <c r="L178" s="846" t="s">
        <v>346</v>
      </c>
      <c r="M178" s="31"/>
      <c r="N178" s="32"/>
      <c r="O178" s="32"/>
      <c r="P178" s="31"/>
      <c r="Q178" s="32"/>
      <c r="R178" s="32"/>
      <c r="S178" s="847"/>
      <c r="T178" s="847"/>
      <c r="U178" s="823" t="s">
        <v>1388</v>
      </c>
      <c r="V178" s="824">
        <v>12</v>
      </c>
      <c r="W178" s="824" t="str">
        <f t="shared" si="5"/>
        <v>Kindergarten ohne VSH (TZ)</v>
      </c>
    </row>
    <row r="179" spans="1:23" s="21" customFormat="1" ht="12.75" x14ac:dyDescent="0.2">
      <c r="A179" s="74" t="str">
        <f t="shared" si="4"/>
        <v>402.13</v>
      </c>
      <c r="B179" s="825" t="s">
        <v>1389</v>
      </c>
      <c r="C179" s="76">
        <v>401</v>
      </c>
      <c r="D179" s="76"/>
      <c r="E179" s="76"/>
      <c r="F179" s="76">
        <v>401</v>
      </c>
      <c r="G179" s="25" t="s">
        <v>1390</v>
      </c>
      <c r="H179" s="76">
        <v>13</v>
      </c>
      <c r="I179" s="76">
        <v>469.6</v>
      </c>
      <c r="J179" s="76">
        <v>8</v>
      </c>
      <c r="K179" s="76">
        <v>2</v>
      </c>
      <c r="L179" s="846" t="s">
        <v>352</v>
      </c>
      <c r="M179" s="31"/>
      <c r="N179" s="32"/>
      <c r="O179" s="32"/>
      <c r="P179" s="31"/>
      <c r="Q179" s="32"/>
      <c r="R179" s="32"/>
      <c r="S179" s="847"/>
      <c r="T179" s="847"/>
      <c r="U179" s="823" t="s">
        <v>1391</v>
      </c>
      <c r="V179" s="824">
        <v>13</v>
      </c>
      <c r="W179" s="824" t="str">
        <f t="shared" si="5"/>
        <v>Lehrperson Primarstufe (1. - 8. SJ)</v>
      </c>
    </row>
    <row r="180" spans="1:23" s="21" customFormat="1" ht="12.75" x14ac:dyDescent="0.2">
      <c r="A180" s="74" t="str">
        <f t="shared" si="4"/>
        <v>402.PS</v>
      </c>
      <c r="B180" s="28" t="s">
        <v>708</v>
      </c>
      <c r="C180" s="79" t="s">
        <v>1382</v>
      </c>
      <c r="D180" s="79"/>
      <c r="E180" s="79"/>
      <c r="F180" s="79"/>
      <c r="G180" s="28" t="s">
        <v>709</v>
      </c>
      <c r="H180" s="79">
        <v>13</v>
      </c>
      <c r="I180" s="79">
        <v>469.6</v>
      </c>
      <c r="J180" s="79">
        <v>8</v>
      </c>
      <c r="K180" s="79">
        <v>2</v>
      </c>
      <c r="L180" s="833" t="s">
        <v>352</v>
      </c>
      <c r="M180" s="35"/>
      <c r="N180" s="36"/>
      <c r="O180" s="36"/>
      <c r="P180" s="35"/>
      <c r="Q180" s="36"/>
      <c r="R180" s="36"/>
      <c r="S180" s="834"/>
      <c r="T180" s="834" t="s">
        <v>65</v>
      </c>
      <c r="U180" s="823" t="s">
        <v>1392</v>
      </c>
      <c r="V180" s="824">
        <v>13</v>
      </c>
      <c r="W180" s="824" t="str">
        <f t="shared" si="5"/>
        <v>Lehrperson Primarstufe</v>
      </c>
    </row>
    <row r="181" spans="1:23" s="21" customFormat="1" ht="12.75" x14ac:dyDescent="0.2">
      <c r="A181" s="74" t="str">
        <f t="shared" si="4"/>
        <v>402A.13</v>
      </c>
      <c r="B181" s="25" t="s">
        <v>232</v>
      </c>
      <c r="C181" s="76" t="s">
        <v>1393</v>
      </c>
      <c r="D181" s="76"/>
      <c r="E181" s="76"/>
      <c r="F181" s="76"/>
      <c r="G181" s="25" t="s">
        <v>359</v>
      </c>
      <c r="H181" s="76">
        <v>13</v>
      </c>
      <c r="I181" s="76">
        <v>471.4</v>
      </c>
      <c r="J181" s="76">
        <v>8</v>
      </c>
      <c r="K181" s="76">
        <v>3</v>
      </c>
      <c r="L181" s="846" t="s">
        <v>352</v>
      </c>
      <c r="M181" s="31"/>
      <c r="N181" s="32"/>
      <c r="O181" s="32"/>
      <c r="P181" s="31"/>
      <c r="Q181" s="32"/>
      <c r="R181" s="32"/>
      <c r="S181" s="847"/>
      <c r="T181" s="847"/>
      <c r="U181" s="823" t="s">
        <v>1394</v>
      </c>
      <c r="V181" s="824">
        <v>13</v>
      </c>
      <c r="W181" s="824" t="str">
        <f t="shared" si="5"/>
        <v>Primar</v>
      </c>
    </row>
    <row r="182" spans="1:23" s="21" customFormat="1" ht="12.75" x14ac:dyDescent="0.2">
      <c r="A182" s="74" t="str">
        <f t="shared" si="4"/>
        <v>402A.PS</v>
      </c>
      <c r="B182" s="28" t="s">
        <v>710</v>
      </c>
      <c r="C182" s="79" t="s">
        <v>1382</v>
      </c>
      <c r="D182" s="79"/>
      <c r="E182" s="79"/>
      <c r="F182" s="79"/>
      <c r="G182" s="28" t="s">
        <v>711</v>
      </c>
      <c r="H182" s="79">
        <v>14</v>
      </c>
      <c r="I182" s="79"/>
      <c r="J182" s="79">
        <v>8</v>
      </c>
      <c r="K182" s="79">
        <v>2</v>
      </c>
      <c r="L182" s="833" t="s">
        <v>352</v>
      </c>
      <c r="M182" s="35"/>
      <c r="N182" s="36"/>
      <c r="O182" s="36"/>
      <c r="P182" s="35"/>
      <c r="Q182" s="36"/>
      <c r="R182" s="36"/>
      <c r="S182" s="834"/>
      <c r="T182" s="834" t="s">
        <v>65</v>
      </c>
      <c r="U182" s="823" t="s">
        <v>1395</v>
      </c>
      <c r="V182" s="824">
        <v>14</v>
      </c>
      <c r="W182" s="824" t="str">
        <f t="shared" si="5"/>
        <v>Lehrperson Primarstufe (Lehrdipl. andere Schulstufe Volkssch.)</v>
      </c>
    </row>
    <row r="183" spans="1:23" s="21" customFormat="1" ht="12.75" x14ac:dyDescent="0.2">
      <c r="A183" s="74" t="str">
        <f t="shared" si="4"/>
        <v>402B.14</v>
      </c>
      <c r="B183" s="25" t="s">
        <v>233</v>
      </c>
      <c r="C183" s="76" t="s">
        <v>1393</v>
      </c>
      <c r="D183" s="76"/>
      <c r="E183" s="76"/>
      <c r="F183" s="76"/>
      <c r="G183" s="25" t="s">
        <v>360</v>
      </c>
      <c r="H183" s="76">
        <v>14</v>
      </c>
      <c r="I183" s="76">
        <v>450.6</v>
      </c>
      <c r="J183" s="76">
        <v>6.5</v>
      </c>
      <c r="K183" s="76">
        <v>2</v>
      </c>
      <c r="L183" s="846" t="s">
        <v>346</v>
      </c>
      <c r="M183" s="31"/>
      <c r="N183" s="32"/>
      <c r="O183" s="32"/>
      <c r="P183" s="31"/>
      <c r="Q183" s="32"/>
      <c r="R183" s="32"/>
      <c r="S183" s="847"/>
      <c r="T183" s="847"/>
      <c r="U183" s="823" t="s">
        <v>1396</v>
      </c>
      <c r="V183" s="824">
        <v>14</v>
      </c>
      <c r="W183" s="824" t="str">
        <f t="shared" si="5"/>
        <v>Textilarbeit/Werken</v>
      </c>
    </row>
    <row r="184" spans="1:23" s="21" customFormat="1" ht="12.75" x14ac:dyDescent="0.2">
      <c r="A184" s="74" t="str">
        <f t="shared" si="4"/>
        <v>402B.PS</v>
      </c>
      <c r="B184" s="28" t="s">
        <v>712</v>
      </c>
      <c r="C184" s="79" t="s">
        <v>1382</v>
      </c>
      <c r="D184" s="79"/>
      <c r="E184" s="79"/>
      <c r="F184" s="79"/>
      <c r="G184" s="28" t="s">
        <v>713</v>
      </c>
      <c r="H184" s="79">
        <v>15</v>
      </c>
      <c r="I184" s="79"/>
      <c r="J184" s="79">
        <v>8</v>
      </c>
      <c r="K184" s="79">
        <v>2</v>
      </c>
      <c r="L184" s="833" t="s">
        <v>352</v>
      </c>
      <c r="M184" s="35"/>
      <c r="N184" s="36"/>
      <c r="O184" s="36"/>
      <c r="P184" s="35"/>
      <c r="Q184" s="36"/>
      <c r="R184" s="36"/>
      <c r="S184" s="834"/>
      <c r="T184" s="834" t="s">
        <v>65</v>
      </c>
      <c r="U184" s="823" t="s">
        <v>1397</v>
      </c>
      <c r="V184" s="824">
        <v>15</v>
      </c>
      <c r="W184" s="824" t="str">
        <f t="shared" si="5"/>
        <v>Lehrperson Primarstufe (Lehrdipl. andere Schulstufe ausserh. Volkssch.)</v>
      </c>
    </row>
    <row r="185" spans="1:23" s="21" customFormat="1" ht="12.75" x14ac:dyDescent="0.2">
      <c r="A185" s="74" t="str">
        <f t="shared" si="4"/>
        <v>402C.13</v>
      </c>
      <c r="B185" s="25" t="s">
        <v>234</v>
      </c>
      <c r="C185" s="76" t="s">
        <v>1393</v>
      </c>
      <c r="D185" s="76"/>
      <c r="E185" s="76"/>
      <c r="F185" s="76"/>
      <c r="G185" s="25" t="s">
        <v>361</v>
      </c>
      <c r="H185" s="76">
        <v>13</v>
      </c>
      <c r="I185" s="76">
        <v>472.3</v>
      </c>
      <c r="J185" s="76">
        <v>8</v>
      </c>
      <c r="K185" s="76">
        <v>3</v>
      </c>
      <c r="L185" s="846" t="s">
        <v>352</v>
      </c>
      <c r="M185" s="31"/>
      <c r="N185" s="32"/>
      <c r="O185" s="32"/>
      <c r="P185" s="31"/>
      <c r="Q185" s="32"/>
      <c r="R185" s="32"/>
      <c r="S185" s="847" t="s">
        <v>65</v>
      </c>
      <c r="T185" s="847" t="s">
        <v>65</v>
      </c>
      <c r="U185" s="823" t="s">
        <v>1398</v>
      </c>
      <c r="V185" s="824">
        <v>13</v>
      </c>
      <c r="W185" s="824" t="str">
        <f t="shared" si="5"/>
        <v>Stützunterricht (Lega oder DfF)</v>
      </c>
    </row>
    <row r="186" spans="1:23" s="21" customFormat="1" ht="12.75" x14ac:dyDescent="0.2">
      <c r="A186" s="74" t="str">
        <f t="shared" si="4"/>
        <v>402C.PS</v>
      </c>
      <c r="B186" s="28" t="s">
        <v>714</v>
      </c>
      <c r="C186" s="79" t="s">
        <v>1382</v>
      </c>
      <c r="D186" s="79"/>
      <c r="E186" s="79"/>
      <c r="F186" s="79"/>
      <c r="G186" s="28" t="s">
        <v>715</v>
      </c>
      <c r="H186" s="79">
        <v>16</v>
      </c>
      <c r="I186" s="79"/>
      <c r="J186" s="79">
        <v>4</v>
      </c>
      <c r="K186" s="79">
        <v>2</v>
      </c>
      <c r="L186" s="833" t="s">
        <v>716</v>
      </c>
      <c r="M186" s="35"/>
      <c r="N186" s="36"/>
      <c r="O186" s="36"/>
      <c r="P186" s="35"/>
      <c r="Q186" s="36"/>
      <c r="R186" s="36"/>
      <c r="S186" s="834"/>
      <c r="T186" s="834" t="s">
        <v>65</v>
      </c>
      <c r="U186" s="823" t="s">
        <v>1399</v>
      </c>
      <c r="V186" s="824">
        <v>16</v>
      </c>
      <c r="W186" s="824" t="str">
        <f t="shared" si="5"/>
        <v>Lehrperson Primarstufe (in Ausb. - min. 3 Sem.)</v>
      </c>
    </row>
    <row r="187" spans="1:23" s="21" customFormat="1" ht="12.75" x14ac:dyDescent="0.2">
      <c r="A187" s="74" t="str">
        <f t="shared" si="4"/>
        <v>402D.13</v>
      </c>
      <c r="B187" s="25" t="s">
        <v>235</v>
      </c>
      <c r="C187" s="76" t="s">
        <v>1393</v>
      </c>
      <c r="D187" s="76"/>
      <c r="E187" s="76"/>
      <c r="F187" s="76"/>
      <c r="G187" s="25" t="s">
        <v>362</v>
      </c>
      <c r="H187" s="76">
        <v>13</v>
      </c>
      <c r="I187" s="76">
        <v>0</v>
      </c>
      <c r="J187" s="76">
        <v>8</v>
      </c>
      <c r="K187" s="76">
        <v>3</v>
      </c>
      <c r="L187" s="846" t="s">
        <v>352</v>
      </c>
      <c r="M187" s="31"/>
      <c r="N187" s="32"/>
      <c r="O187" s="32"/>
      <c r="P187" s="31"/>
      <c r="Q187" s="32"/>
      <c r="R187" s="32"/>
      <c r="S187" s="847"/>
      <c r="T187" s="847"/>
      <c r="U187" s="823" t="s">
        <v>1400</v>
      </c>
      <c r="V187" s="824">
        <v>13</v>
      </c>
      <c r="W187" s="824" t="str">
        <f t="shared" si="5"/>
        <v>Musikalischer Grundkurs</v>
      </c>
    </row>
    <row r="188" spans="1:23" s="21" customFormat="1" ht="12.75" x14ac:dyDescent="0.2">
      <c r="A188" s="74" t="str">
        <f t="shared" si="4"/>
        <v>402D.PS</v>
      </c>
      <c r="B188" s="28" t="s">
        <v>717</v>
      </c>
      <c r="C188" s="79" t="s">
        <v>1382</v>
      </c>
      <c r="D188" s="79"/>
      <c r="E188" s="79"/>
      <c r="F188" s="79"/>
      <c r="G188" s="28" t="s">
        <v>718</v>
      </c>
      <c r="H188" s="79">
        <v>15</v>
      </c>
      <c r="I188" s="79"/>
      <c r="J188" s="79">
        <v>8</v>
      </c>
      <c r="K188" s="79">
        <v>2</v>
      </c>
      <c r="L188" s="833" t="s">
        <v>352</v>
      </c>
      <c r="M188" s="35"/>
      <c r="N188" s="36"/>
      <c r="O188" s="36"/>
      <c r="P188" s="35"/>
      <c r="Q188" s="36"/>
      <c r="R188" s="36"/>
      <c r="S188" s="834"/>
      <c r="T188" s="834" t="s">
        <v>65</v>
      </c>
      <c r="U188" s="823" t="s">
        <v>1401</v>
      </c>
      <c r="V188" s="824">
        <v>15</v>
      </c>
      <c r="W188" s="824" t="str">
        <f t="shared" si="5"/>
        <v>Lehrperson Primarstufe (päd. Ausb. - BA/MA)</v>
      </c>
    </row>
    <row r="189" spans="1:23" s="21" customFormat="1" ht="12.75" x14ac:dyDescent="0.2">
      <c r="A189" s="74" t="str">
        <f t="shared" si="4"/>
        <v>402E.14</v>
      </c>
      <c r="B189" s="25" t="s">
        <v>363</v>
      </c>
      <c r="C189" s="76" t="s">
        <v>1393</v>
      </c>
      <c r="D189" s="76"/>
      <c r="E189" s="76"/>
      <c r="F189" s="76"/>
      <c r="G189" s="25" t="s">
        <v>364</v>
      </c>
      <c r="H189" s="76">
        <v>14</v>
      </c>
      <c r="I189" s="76" t="s">
        <v>65</v>
      </c>
      <c r="J189" s="76">
        <v>7.5</v>
      </c>
      <c r="K189" s="76">
        <v>3</v>
      </c>
      <c r="L189" s="846" t="s">
        <v>674</v>
      </c>
      <c r="M189" s="31"/>
      <c r="N189" s="32"/>
      <c r="O189" s="32"/>
      <c r="P189" s="31"/>
      <c r="Q189" s="32"/>
      <c r="R189" s="32"/>
      <c r="S189" s="847"/>
      <c r="T189" s="847"/>
      <c r="U189" s="823" t="s">
        <v>1402</v>
      </c>
      <c r="V189" s="824">
        <v>14</v>
      </c>
      <c r="W189" s="824" t="str">
        <f t="shared" si="5"/>
        <v>Primar 4. und 5.Kl.</v>
      </c>
    </row>
    <row r="190" spans="1:23" s="21" customFormat="1" ht="12.75" x14ac:dyDescent="0.2">
      <c r="A190" s="74" t="str">
        <f t="shared" si="4"/>
        <v>402E.PS</v>
      </c>
      <c r="B190" s="28" t="s">
        <v>719</v>
      </c>
      <c r="C190" s="79" t="s">
        <v>1382</v>
      </c>
      <c r="D190" s="79"/>
      <c r="E190" s="79"/>
      <c r="F190" s="79"/>
      <c r="G190" s="28" t="s">
        <v>720</v>
      </c>
      <c r="H190" s="79">
        <v>14</v>
      </c>
      <c r="I190" s="79"/>
      <c r="J190" s="79">
        <v>8</v>
      </c>
      <c r="K190" s="79">
        <v>2</v>
      </c>
      <c r="L190" s="833" t="s">
        <v>352</v>
      </c>
      <c r="M190" s="35"/>
      <c r="N190" s="36"/>
      <c r="O190" s="36"/>
      <c r="P190" s="35"/>
      <c r="Q190" s="36"/>
      <c r="R190" s="36"/>
      <c r="S190" s="834"/>
      <c r="T190" s="834" t="s">
        <v>65</v>
      </c>
      <c r="U190" s="823" t="s">
        <v>1403</v>
      </c>
      <c r="V190" s="824">
        <v>14</v>
      </c>
      <c r="W190" s="824" t="str">
        <f t="shared" si="5"/>
        <v>Lehrperson Primarstufe (Monofach)</v>
      </c>
    </row>
    <row r="191" spans="1:23" s="21" customFormat="1" ht="12.75" x14ac:dyDescent="0.2">
      <c r="A191" s="74" t="str">
        <f t="shared" si="4"/>
        <v>402F.14</v>
      </c>
      <c r="B191" s="25" t="s">
        <v>365</v>
      </c>
      <c r="C191" s="76" t="s">
        <v>1393</v>
      </c>
      <c r="D191" s="76"/>
      <c r="E191" s="76"/>
      <c r="F191" s="76"/>
      <c r="G191" s="25" t="s">
        <v>366</v>
      </c>
      <c r="H191" s="76">
        <v>14</v>
      </c>
      <c r="I191" s="76" t="s">
        <v>65</v>
      </c>
      <c r="J191" s="76">
        <v>7.5</v>
      </c>
      <c r="K191" s="76">
        <v>3</v>
      </c>
      <c r="L191" s="846" t="s">
        <v>674</v>
      </c>
      <c r="M191" s="31"/>
      <c r="N191" s="32"/>
      <c r="O191" s="32"/>
      <c r="P191" s="31"/>
      <c r="Q191" s="32"/>
      <c r="R191" s="32"/>
      <c r="S191" s="847"/>
      <c r="T191" s="847"/>
      <c r="U191" s="823" t="s">
        <v>1404</v>
      </c>
      <c r="V191" s="824">
        <v>14</v>
      </c>
      <c r="W191" s="824" t="str">
        <f t="shared" si="5"/>
        <v>Lehrperson an Primarschule</v>
      </c>
    </row>
    <row r="192" spans="1:23" s="21" customFormat="1" ht="12.75" x14ac:dyDescent="0.2">
      <c r="A192" s="74" t="str">
        <f t="shared" si="4"/>
        <v>402F.PS</v>
      </c>
      <c r="B192" s="28" t="s">
        <v>721</v>
      </c>
      <c r="C192" s="79" t="s">
        <v>1382</v>
      </c>
      <c r="D192" s="79"/>
      <c r="E192" s="79"/>
      <c r="F192" s="79"/>
      <c r="G192" s="28" t="s">
        <v>722</v>
      </c>
      <c r="H192" s="79">
        <v>17</v>
      </c>
      <c r="I192" s="79"/>
      <c r="J192" s="79">
        <v>2</v>
      </c>
      <c r="K192" s="79">
        <v>2</v>
      </c>
      <c r="L192" s="833" t="s">
        <v>344</v>
      </c>
      <c r="M192" s="35"/>
      <c r="N192" s="36"/>
      <c r="O192" s="36"/>
      <c r="P192" s="35"/>
      <c r="Q192" s="36"/>
      <c r="R192" s="36"/>
      <c r="S192" s="834"/>
      <c r="T192" s="834" t="s">
        <v>65</v>
      </c>
      <c r="U192" s="823" t="s">
        <v>1405</v>
      </c>
      <c r="V192" s="824">
        <v>17</v>
      </c>
      <c r="W192" s="824" t="str">
        <f t="shared" si="5"/>
        <v>Lehrperson Primarstufe (k. Lehrdiplom)</v>
      </c>
    </row>
    <row r="193" spans="1:23" s="21" customFormat="1" ht="12.75" x14ac:dyDescent="0.2">
      <c r="A193" s="74" t="str">
        <f t="shared" si="4"/>
        <v>402G.PS</v>
      </c>
      <c r="B193" s="28" t="s">
        <v>723</v>
      </c>
      <c r="C193" s="79" t="s">
        <v>1382</v>
      </c>
      <c r="D193" s="79"/>
      <c r="E193" s="79"/>
      <c r="F193" s="79"/>
      <c r="G193" s="28" t="s">
        <v>724</v>
      </c>
      <c r="H193" s="79">
        <v>13</v>
      </c>
      <c r="I193" s="79"/>
      <c r="J193" s="79">
        <v>8</v>
      </c>
      <c r="K193" s="79">
        <v>2</v>
      </c>
      <c r="L193" s="833" t="s">
        <v>352</v>
      </c>
      <c r="M193" s="35"/>
      <c r="N193" s="36"/>
      <c r="O193" s="36"/>
      <c r="P193" s="35"/>
      <c r="Q193" s="36"/>
      <c r="R193" s="36"/>
      <c r="S193" s="834"/>
      <c r="T193" s="834" t="s">
        <v>65</v>
      </c>
      <c r="U193" s="823" t="s">
        <v>1406</v>
      </c>
      <c r="V193" s="824">
        <v>13</v>
      </c>
      <c r="W193" s="824" t="str">
        <f t="shared" si="5"/>
        <v>Lehrperson Primarstufe (Mehrjahrgangsklassen)</v>
      </c>
    </row>
    <row r="194" spans="1:23" s="21" customFormat="1" ht="12.75" x14ac:dyDescent="0.2">
      <c r="A194" s="74" t="str">
        <f t="shared" ref="A194:A257" si="6">RIGHT(B194,LEN(B194)-1)</f>
        <v>402S.10</v>
      </c>
      <c r="B194" s="25" t="s">
        <v>574</v>
      </c>
      <c r="C194" s="76" t="s">
        <v>1393</v>
      </c>
      <c r="D194" s="76"/>
      <c r="E194" s="76"/>
      <c r="F194" s="76" t="s">
        <v>1393</v>
      </c>
      <c r="G194" s="25" t="s">
        <v>564</v>
      </c>
      <c r="H194" s="76">
        <v>10</v>
      </c>
      <c r="I194" s="76"/>
      <c r="J194" s="76">
        <v>8.5</v>
      </c>
      <c r="K194" s="76">
        <v>5</v>
      </c>
      <c r="L194" s="846" t="s">
        <v>90</v>
      </c>
      <c r="M194" s="31"/>
      <c r="N194" s="32"/>
      <c r="O194" s="32"/>
      <c r="P194" s="31"/>
      <c r="Q194" s="32"/>
      <c r="R194" s="32"/>
      <c r="S194" s="847"/>
      <c r="T194" s="847"/>
      <c r="U194" s="823" t="s">
        <v>1407</v>
      </c>
      <c r="V194" s="824">
        <v>10</v>
      </c>
      <c r="W194" s="824" t="str">
        <f t="shared" ref="W194:W257" si="7">G194</f>
        <v>Primarschule mit ISF und KK</v>
      </c>
    </row>
    <row r="195" spans="1:23" s="21" customFormat="1" ht="12.75" x14ac:dyDescent="0.2">
      <c r="A195" s="74" t="str">
        <f t="shared" si="6"/>
        <v>402S.11</v>
      </c>
      <c r="B195" s="25" t="s">
        <v>573</v>
      </c>
      <c r="C195" s="76" t="s">
        <v>1393</v>
      </c>
      <c r="D195" s="76"/>
      <c r="E195" s="76"/>
      <c r="F195" s="76" t="s">
        <v>1393</v>
      </c>
      <c r="G195" s="25" t="s">
        <v>563</v>
      </c>
      <c r="H195" s="76">
        <v>11</v>
      </c>
      <c r="I195" s="76"/>
      <c r="J195" s="76">
        <v>7.5</v>
      </c>
      <c r="K195" s="76">
        <v>5</v>
      </c>
      <c r="L195" s="846" t="s">
        <v>674</v>
      </c>
      <c r="M195" s="31"/>
      <c r="N195" s="32"/>
      <c r="O195" s="32"/>
      <c r="P195" s="31"/>
      <c r="Q195" s="32"/>
      <c r="R195" s="32"/>
      <c r="S195" s="847"/>
      <c r="T195" s="847"/>
      <c r="U195" s="823" t="s">
        <v>1408</v>
      </c>
      <c r="V195" s="824">
        <v>11</v>
      </c>
      <c r="W195" s="824" t="str">
        <f t="shared" si="7"/>
        <v>Primarschule ohne ISF und KK</v>
      </c>
    </row>
    <row r="196" spans="1:23" s="21" customFormat="1" ht="12.75" x14ac:dyDescent="0.2">
      <c r="A196" s="74" t="str">
        <f t="shared" si="6"/>
        <v>402T.10</v>
      </c>
      <c r="B196" s="25" t="s">
        <v>579</v>
      </c>
      <c r="C196" s="76" t="s">
        <v>1393</v>
      </c>
      <c r="D196" s="76"/>
      <c r="E196" s="76"/>
      <c r="F196" s="76" t="s">
        <v>1393</v>
      </c>
      <c r="G196" s="25" t="s">
        <v>569</v>
      </c>
      <c r="H196" s="76">
        <v>10</v>
      </c>
      <c r="I196" s="76"/>
      <c r="J196" s="76">
        <v>8.5</v>
      </c>
      <c r="K196" s="76">
        <v>5</v>
      </c>
      <c r="L196" s="846" t="s">
        <v>90</v>
      </c>
      <c r="M196" s="31"/>
      <c r="N196" s="32"/>
      <c r="O196" s="32"/>
      <c r="P196" s="31"/>
      <c r="Q196" s="32"/>
      <c r="R196" s="32"/>
      <c r="S196" s="847"/>
      <c r="T196" s="847"/>
      <c r="U196" s="823" t="s">
        <v>1409</v>
      </c>
      <c r="V196" s="824">
        <v>10</v>
      </c>
      <c r="W196" s="824" t="str">
        <f t="shared" si="7"/>
        <v>Primarschule mit ISF und KK (TZ)</v>
      </c>
    </row>
    <row r="197" spans="1:23" s="21" customFormat="1" ht="12.75" x14ac:dyDescent="0.2">
      <c r="A197" s="74" t="str">
        <f t="shared" si="6"/>
        <v>402T.11</v>
      </c>
      <c r="B197" s="25" t="s">
        <v>578</v>
      </c>
      <c r="C197" s="76" t="s">
        <v>1393</v>
      </c>
      <c r="D197" s="76"/>
      <c r="E197" s="76"/>
      <c r="F197" s="76" t="s">
        <v>1393</v>
      </c>
      <c r="G197" s="25" t="s">
        <v>568</v>
      </c>
      <c r="H197" s="76">
        <v>11</v>
      </c>
      <c r="I197" s="76"/>
      <c r="J197" s="76">
        <v>7.5</v>
      </c>
      <c r="K197" s="76">
        <v>5</v>
      </c>
      <c r="L197" s="846" t="s">
        <v>674</v>
      </c>
      <c r="M197" s="31"/>
      <c r="N197" s="32"/>
      <c r="O197" s="32"/>
      <c r="P197" s="31"/>
      <c r="Q197" s="32"/>
      <c r="R197" s="32"/>
      <c r="S197" s="847"/>
      <c r="T197" s="847"/>
      <c r="U197" s="823" t="s">
        <v>1410</v>
      </c>
      <c r="V197" s="824">
        <v>11</v>
      </c>
      <c r="W197" s="824" t="str">
        <f t="shared" si="7"/>
        <v>Primarschule ohne ISF und KK (TZ)</v>
      </c>
    </row>
    <row r="198" spans="1:23" s="21" customFormat="1" ht="12.75" x14ac:dyDescent="0.2">
      <c r="A198" s="74" t="str">
        <f t="shared" si="6"/>
        <v>403A.12</v>
      </c>
      <c r="B198" s="25" t="s">
        <v>236</v>
      </c>
      <c r="C198" s="76" t="s">
        <v>1411</v>
      </c>
      <c r="D198" s="76"/>
      <c r="E198" s="76"/>
      <c r="F198" s="76"/>
      <c r="G198" s="25" t="s">
        <v>367</v>
      </c>
      <c r="H198" s="76">
        <v>12</v>
      </c>
      <c r="I198" s="76">
        <v>493.1</v>
      </c>
      <c r="J198" s="76">
        <v>8</v>
      </c>
      <c r="K198" s="76">
        <v>4</v>
      </c>
      <c r="L198" s="846" t="s">
        <v>352</v>
      </c>
      <c r="M198" s="31"/>
      <c r="N198" s="32"/>
      <c r="O198" s="32"/>
      <c r="P198" s="31"/>
      <c r="Q198" s="32"/>
      <c r="R198" s="32"/>
      <c r="S198" s="847"/>
      <c r="T198" s="847"/>
      <c r="U198" s="823" t="s">
        <v>1412</v>
      </c>
      <c r="V198" s="824">
        <v>12</v>
      </c>
      <c r="W198" s="824" t="str">
        <f t="shared" si="7"/>
        <v>Allgemein bildende Fächer</v>
      </c>
    </row>
    <row r="199" spans="1:23" s="21" customFormat="1" ht="12.75" x14ac:dyDescent="0.2">
      <c r="A199" s="74" t="str">
        <f t="shared" si="6"/>
        <v>403B.13</v>
      </c>
      <c r="B199" s="25" t="s">
        <v>237</v>
      </c>
      <c r="C199" s="76" t="s">
        <v>1411</v>
      </c>
      <c r="D199" s="76"/>
      <c r="E199" s="76"/>
      <c r="F199" s="76"/>
      <c r="G199" s="25" t="s">
        <v>368</v>
      </c>
      <c r="H199" s="76">
        <v>13</v>
      </c>
      <c r="I199" s="76">
        <v>475.6</v>
      </c>
      <c r="J199" s="76">
        <v>6.5</v>
      </c>
      <c r="K199" s="76">
        <v>3</v>
      </c>
      <c r="L199" s="846" t="s">
        <v>346</v>
      </c>
      <c r="M199" s="31"/>
      <c r="N199" s="32"/>
      <c r="O199" s="32"/>
      <c r="P199" s="31"/>
      <c r="Q199" s="32"/>
      <c r="R199" s="32"/>
      <c r="S199" s="847"/>
      <c r="T199" s="847"/>
      <c r="U199" s="823" t="s">
        <v>1413</v>
      </c>
      <c r="V199" s="824">
        <v>13</v>
      </c>
      <c r="W199" s="824" t="str">
        <f t="shared" si="7"/>
        <v>Textilarbeit/Werken/Hauswirtschaft</v>
      </c>
    </row>
    <row r="200" spans="1:23" s="21" customFormat="1" ht="12.75" x14ac:dyDescent="0.2">
      <c r="A200" s="74" t="str">
        <f t="shared" si="6"/>
        <v>403C.12</v>
      </c>
      <c r="B200" s="25" t="s">
        <v>369</v>
      </c>
      <c r="C200" s="76" t="s">
        <v>1411</v>
      </c>
      <c r="D200" s="76"/>
      <c r="E200" s="76"/>
      <c r="F200" s="76"/>
      <c r="G200" s="25" t="s">
        <v>370</v>
      </c>
      <c r="H200" s="76">
        <v>12</v>
      </c>
      <c r="I200" s="76" t="s">
        <v>65</v>
      </c>
      <c r="J200" s="76">
        <v>8</v>
      </c>
      <c r="K200" s="76">
        <v>4</v>
      </c>
      <c r="L200" s="846" t="s">
        <v>352</v>
      </c>
      <c r="M200" s="31"/>
      <c r="N200" s="32"/>
      <c r="O200" s="32"/>
      <c r="P200" s="31"/>
      <c r="Q200" s="32"/>
      <c r="R200" s="32"/>
      <c r="S200" s="847"/>
      <c r="T200" s="847"/>
      <c r="U200" s="823" t="s">
        <v>1414</v>
      </c>
      <c r="V200" s="824">
        <v>12</v>
      </c>
      <c r="W200" s="824" t="str">
        <f t="shared" si="7"/>
        <v>Lehrer/in Sek.I Niv.A (1.-3.Kl., 3 Fächer)</v>
      </c>
    </row>
    <row r="201" spans="1:23" s="21" customFormat="1" ht="12.75" x14ac:dyDescent="0.2">
      <c r="A201" s="74" t="str">
        <f t="shared" si="6"/>
        <v>403C.13</v>
      </c>
      <c r="B201" s="25" t="s">
        <v>371</v>
      </c>
      <c r="C201" s="76" t="s">
        <v>1411</v>
      </c>
      <c r="D201" s="76"/>
      <c r="E201" s="76"/>
      <c r="F201" s="76"/>
      <c r="G201" s="25" t="s">
        <v>372</v>
      </c>
      <c r="H201" s="76">
        <v>13</v>
      </c>
      <c r="I201" s="76" t="s">
        <v>65</v>
      </c>
      <c r="J201" s="76">
        <v>8</v>
      </c>
      <c r="K201" s="76">
        <v>4</v>
      </c>
      <c r="L201" s="846" t="s">
        <v>352</v>
      </c>
      <c r="M201" s="31"/>
      <c r="N201" s="32"/>
      <c r="O201" s="32"/>
      <c r="P201" s="31"/>
      <c r="Q201" s="32"/>
      <c r="R201" s="32"/>
      <c r="S201" s="847"/>
      <c r="T201" s="847"/>
      <c r="U201" s="823" t="s">
        <v>1415</v>
      </c>
      <c r="V201" s="824">
        <v>13</v>
      </c>
      <c r="W201" s="824" t="str">
        <f t="shared" si="7"/>
        <v>Lehrer/in Sek.I Niv.A (1.-3.Kl. &lt;3 Fächer)</v>
      </c>
    </row>
    <row r="202" spans="1:23" s="21" customFormat="1" ht="12.75" x14ac:dyDescent="0.2">
      <c r="A202" s="74" t="str">
        <f t="shared" si="6"/>
        <v>403D.13</v>
      </c>
      <c r="B202" s="25" t="s">
        <v>373</v>
      </c>
      <c r="C202" s="76" t="s">
        <v>1411</v>
      </c>
      <c r="D202" s="76"/>
      <c r="E202" s="76"/>
      <c r="F202" s="76"/>
      <c r="G202" s="25" t="s">
        <v>374</v>
      </c>
      <c r="H202" s="76">
        <v>13</v>
      </c>
      <c r="I202" s="76" t="s">
        <v>65</v>
      </c>
      <c r="J202" s="76">
        <v>6.5</v>
      </c>
      <c r="K202" s="76">
        <v>3</v>
      </c>
      <c r="L202" s="846" t="s">
        <v>346</v>
      </c>
      <c r="M202" s="31"/>
      <c r="N202" s="32"/>
      <c r="O202" s="32"/>
      <c r="P202" s="31"/>
      <c r="Q202" s="32"/>
      <c r="R202" s="32"/>
      <c r="S202" s="847"/>
      <c r="T202" s="847"/>
      <c r="U202" s="823" t="s">
        <v>1416</v>
      </c>
      <c r="V202" s="824">
        <v>13</v>
      </c>
      <c r="W202" s="824" t="str">
        <f t="shared" si="7"/>
        <v>Lehrer/in Sek.I Niv.A (1.-3.Kl., Primarpatent)</v>
      </c>
    </row>
    <row r="203" spans="1:23" s="21" customFormat="1" ht="12.75" x14ac:dyDescent="0.2">
      <c r="A203" s="74" t="str">
        <f t="shared" si="6"/>
        <v>403E.14</v>
      </c>
      <c r="B203" s="25" t="s">
        <v>375</v>
      </c>
      <c r="C203" s="76" t="s">
        <v>1411</v>
      </c>
      <c r="D203" s="76"/>
      <c r="E203" s="76"/>
      <c r="F203" s="76"/>
      <c r="G203" s="25" t="s">
        <v>376</v>
      </c>
      <c r="H203" s="76">
        <v>14</v>
      </c>
      <c r="I203" s="76" t="s">
        <v>65</v>
      </c>
      <c r="J203" s="76">
        <v>6</v>
      </c>
      <c r="K203" s="76">
        <v>3</v>
      </c>
      <c r="L203" s="846" t="s">
        <v>672</v>
      </c>
      <c r="M203" s="31"/>
      <c r="N203" s="32"/>
      <c r="O203" s="32"/>
      <c r="P203" s="31"/>
      <c r="Q203" s="32"/>
      <c r="R203" s="32"/>
      <c r="S203" s="847"/>
      <c r="T203" s="847"/>
      <c r="U203" s="823" t="s">
        <v>1417</v>
      </c>
      <c r="V203" s="824">
        <v>14</v>
      </c>
      <c r="W203" s="824" t="str">
        <f t="shared" si="7"/>
        <v>Lehrer/in Sek.I Niv.A (1.-3.Kl., Berufslehre+päd.Ausb,&gt;1 Fach)</v>
      </c>
    </row>
    <row r="204" spans="1:23" s="21" customFormat="1" ht="12.75" x14ac:dyDescent="0.2">
      <c r="A204" s="74" t="str">
        <f t="shared" si="6"/>
        <v>403E.15</v>
      </c>
      <c r="B204" s="25" t="s">
        <v>377</v>
      </c>
      <c r="C204" s="76" t="s">
        <v>1411</v>
      </c>
      <c r="D204" s="76"/>
      <c r="E204" s="76"/>
      <c r="F204" s="76"/>
      <c r="G204" s="25" t="s">
        <v>378</v>
      </c>
      <c r="H204" s="76">
        <v>15</v>
      </c>
      <c r="I204" s="76" t="s">
        <v>65</v>
      </c>
      <c r="J204" s="76">
        <v>6</v>
      </c>
      <c r="K204" s="76">
        <v>3</v>
      </c>
      <c r="L204" s="846" t="s">
        <v>672</v>
      </c>
      <c r="M204" s="31"/>
      <c r="N204" s="32"/>
      <c r="O204" s="32"/>
      <c r="P204" s="31"/>
      <c r="Q204" s="32"/>
      <c r="R204" s="32"/>
      <c r="S204" s="847"/>
      <c r="T204" s="847"/>
      <c r="U204" s="823" t="s">
        <v>1418</v>
      </c>
      <c r="V204" s="824">
        <v>15</v>
      </c>
      <c r="W204" s="824" t="str">
        <f t="shared" si="7"/>
        <v>Lehrer/in Sek.I Niv.A (1.-3.Kl., Berufslehre+päd.Ausb,1 Fach)</v>
      </c>
    </row>
    <row r="205" spans="1:23" s="21" customFormat="1" ht="12.75" x14ac:dyDescent="0.2">
      <c r="A205" s="74" t="str">
        <f t="shared" si="6"/>
        <v>403F.16</v>
      </c>
      <c r="B205" s="25" t="s">
        <v>379</v>
      </c>
      <c r="C205" s="76" t="s">
        <v>1411</v>
      </c>
      <c r="D205" s="76"/>
      <c r="E205" s="76"/>
      <c r="F205" s="76"/>
      <c r="G205" s="25" t="s">
        <v>380</v>
      </c>
      <c r="H205" s="76">
        <v>16</v>
      </c>
      <c r="I205" s="76" t="s">
        <v>65</v>
      </c>
      <c r="J205" s="76">
        <v>5</v>
      </c>
      <c r="K205" s="76">
        <v>3</v>
      </c>
      <c r="L205" s="846" t="s">
        <v>87</v>
      </c>
      <c r="M205" s="31"/>
      <c r="N205" s="32"/>
      <c r="O205" s="32"/>
      <c r="P205" s="31"/>
      <c r="Q205" s="32"/>
      <c r="R205" s="32"/>
      <c r="S205" s="847" t="s">
        <v>65</v>
      </c>
      <c r="T205" s="847" t="s">
        <v>65</v>
      </c>
      <c r="U205" s="823" t="s">
        <v>1419</v>
      </c>
      <c r="V205" s="824">
        <v>16</v>
      </c>
      <c r="W205" s="824" t="str">
        <f t="shared" si="7"/>
        <v>Lehrer/in Sek.I Niv.A (1.-3.Kl., Berufslehre)</v>
      </c>
    </row>
    <row r="206" spans="1:23" s="21" customFormat="1" ht="12.75" x14ac:dyDescent="0.2">
      <c r="A206" s="74" t="str">
        <f t="shared" si="6"/>
        <v>403G.14</v>
      </c>
      <c r="B206" s="25" t="s">
        <v>381</v>
      </c>
      <c r="C206" s="76" t="s">
        <v>1411</v>
      </c>
      <c r="D206" s="76"/>
      <c r="E206" s="76"/>
      <c r="F206" s="76"/>
      <c r="G206" s="25" t="s">
        <v>382</v>
      </c>
      <c r="H206" s="76">
        <v>14</v>
      </c>
      <c r="I206" s="76" t="s">
        <v>65</v>
      </c>
      <c r="J206" s="76">
        <v>4</v>
      </c>
      <c r="K206" s="76">
        <v>3</v>
      </c>
      <c r="L206" s="846" t="s">
        <v>89</v>
      </c>
      <c r="M206" s="31"/>
      <c r="N206" s="32"/>
      <c r="O206" s="32"/>
      <c r="P206" s="31"/>
      <c r="Q206" s="32"/>
      <c r="R206" s="32"/>
      <c r="S206" s="847"/>
      <c r="T206" s="847"/>
      <c r="U206" s="823" t="s">
        <v>1420</v>
      </c>
      <c r="V206" s="824">
        <v>14</v>
      </c>
      <c r="W206" s="824" t="str">
        <f t="shared" si="7"/>
        <v>Lehrer/in Sek.I Niv.A (1.-3.Kl.) (Student&gt;=3Semester)</v>
      </c>
    </row>
    <row r="207" spans="1:23" s="21" customFormat="1" ht="12.75" x14ac:dyDescent="0.2">
      <c r="A207" s="74" t="str">
        <f t="shared" si="6"/>
        <v>403G.16</v>
      </c>
      <c r="B207" s="25" t="s">
        <v>383</v>
      </c>
      <c r="C207" s="76" t="s">
        <v>1411</v>
      </c>
      <c r="D207" s="76"/>
      <c r="E207" s="76"/>
      <c r="F207" s="76"/>
      <c r="G207" s="25" t="s">
        <v>384</v>
      </c>
      <c r="H207" s="76">
        <v>16</v>
      </c>
      <c r="I207" s="76" t="s">
        <v>65</v>
      </c>
      <c r="J207" s="76">
        <v>4</v>
      </c>
      <c r="K207" s="76">
        <v>3</v>
      </c>
      <c r="L207" s="846" t="s">
        <v>89</v>
      </c>
      <c r="M207" s="31"/>
      <c r="N207" s="32"/>
      <c r="O207" s="32"/>
      <c r="P207" s="31"/>
      <c r="Q207" s="32"/>
      <c r="R207" s="32"/>
      <c r="S207" s="847" t="s">
        <v>65</v>
      </c>
      <c r="T207" s="847" t="s">
        <v>65</v>
      </c>
      <c r="U207" s="823" t="s">
        <v>1421</v>
      </c>
      <c r="V207" s="824">
        <v>16</v>
      </c>
      <c r="W207" s="824" t="str">
        <f t="shared" si="7"/>
        <v>Lehrer/in Sek.I Niv.A (1.-3.Kl.) (Student&lt;3Semester)</v>
      </c>
    </row>
    <row r="208" spans="1:23" s="21" customFormat="1" ht="12.75" x14ac:dyDescent="0.2">
      <c r="A208" s="74" t="str">
        <f t="shared" si="6"/>
        <v>403H.13</v>
      </c>
      <c r="B208" s="25" t="s">
        <v>385</v>
      </c>
      <c r="C208" s="76" t="s">
        <v>1411</v>
      </c>
      <c r="D208" s="76"/>
      <c r="E208" s="76"/>
      <c r="F208" s="76"/>
      <c r="G208" s="25" t="s">
        <v>386</v>
      </c>
      <c r="H208" s="76">
        <v>13</v>
      </c>
      <c r="I208" s="76" t="s">
        <v>65</v>
      </c>
      <c r="J208" s="76">
        <v>4</v>
      </c>
      <c r="K208" s="76">
        <v>3</v>
      </c>
      <c r="L208" s="846" t="s">
        <v>89</v>
      </c>
      <c r="M208" s="31"/>
      <c r="N208" s="32"/>
      <c r="O208" s="32"/>
      <c r="P208" s="31"/>
      <c r="Q208" s="32"/>
      <c r="R208" s="32"/>
      <c r="S208" s="847"/>
      <c r="T208" s="847"/>
      <c r="U208" s="823" t="s">
        <v>1422</v>
      </c>
      <c r="V208" s="824">
        <v>13</v>
      </c>
      <c r="W208" s="824" t="str">
        <f t="shared" si="7"/>
        <v>Lehrer/in Sek.I Niv.A (1.-3.Kl., Matur/DMS)</v>
      </c>
    </row>
    <row r="209" spans="1:23" s="21" customFormat="1" ht="12.75" x14ac:dyDescent="0.2">
      <c r="A209" s="74" t="str">
        <f t="shared" si="6"/>
        <v>403H.14</v>
      </c>
      <c r="B209" s="25" t="s">
        <v>387</v>
      </c>
      <c r="C209" s="76" t="s">
        <v>1411</v>
      </c>
      <c r="D209" s="76"/>
      <c r="E209" s="76"/>
      <c r="F209" s="76"/>
      <c r="G209" s="25" t="s">
        <v>380</v>
      </c>
      <c r="H209" s="76">
        <v>14</v>
      </c>
      <c r="I209" s="76" t="s">
        <v>65</v>
      </c>
      <c r="J209" s="76">
        <v>5</v>
      </c>
      <c r="K209" s="76">
        <v>3</v>
      </c>
      <c r="L209" s="846" t="s">
        <v>87</v>
      </c>
      <c r="M209" s="31"/>
      <c r="N209" s="32"/>
      <c r="O209" s="32"/>
      <c r="P209" s="31"/>
      <c r="Q209" s="32"/>
      <c r="R209" s="32"/>
      <c r="S209" s="847"/>
      <c r="T209" s="847"/>
      <c r="U209" s="823" t="s">
        <v>1423</v>
      </c>
      <c r="V209" s="824">
        <v>14</v>
      </c>
      <c r="W209" s="824" t="str">
        <f t="shared" si="7"/>
        <v>Lehrer/in Sek.I Niv.A (1.-3.Kl., Berufslehre)</v>
      </c>
    </row>
    <row r="210" spans="1:23" s="21" customFormat="1" ht="12.75" x14ac:dyDescent="0.2">
      <c r="A210" s="74" t="str">
        <f t="shared" si="6"/>
        <v>403S.09</v>
      </c>
      <c r="B210" s="28" t="s">
        <v>575</v>
      </c>
      <c r="C210" s="79" t="s">
        <v>1411</v>
      </c>
      <c r="D210" s="79"/>
      <c r="E210" s="79"/>
      <c r="F210" s="79" t="s">
        <v>1411</v>
      </c>
      <c r="G210" s="28" t="s">
        <v>565</v>
      </c>
      <c r="H210" s="79">
        <v>9</v>
      </c>
      <c r="I210" s="79"/>
      <c r="J210" s="79">
        <v>8</v>
      </c>
      <c r="K210" s="79">
        <v>6</v>
      </c>
      <c r="L210" s="833" t="s">
        <v>352</v>
      </c>
      <c r="M210" s="35"/>
      <c r="N210" s="36"/>
      <c r="O210" s="36"/>
      <c r="P210" s="35"/>
      <c r="Q210" s="36"/>
      <c r="R210" s="36"/>
      <c r="S210" s="834"/>
      <c r="T210" s="834"/>
      <c r="U210" s="823" t="s">
        <v>1424</v>
      </c>
      <c r="V210" s="824">
        <v>9</v>
      </c>
      <c r="W210" s="824" t="str">
        <f t="shared" si="7"/>
        <v>Sekundarschule (inkl. Werkjahr)</v>
      </c>
    </row>
    <row r="211" spans="1:23" s="21" customFormat="1" ht="12.75" x14ac:dyDescent="0.2">
      <c r="A211" s="74" t="str">
        <f t="shared" si="6"/>
        <v>403T.09</v>
      </c>
      <c r="B211" s="28" t="s">
        <v>580</v>
      </c>
      <c r="C211" s="79" t="s">
        <v>1411</v>
      </c>
      <c r="D211" s="79"/>
      <c r="E211" s="79"/>
      <c r="F211" s="79" t="s">
        <v>1411</v>
      </c>
      <c r="G211" s="28" t="s">
        <v>570</v>
      </c>
      <c r="H211" s="79">
        <v>9</v>
      </c>
      <c r="I211" s="79"/>
      <c r="J211" s="79">
        <v>8</v>
      </c>
      <c r="K211" s="79">
        <v>6</v>
      </c>
      <c r="L211" s="833" t="s">
        <v>352</v>
      </c>
      <c r="M211" s="35"/>
      <c r="N211" s="36"/>
      <c r="O211" s="36"/>
      <c r="P211" s="35"/>
      <c r="Q211" s="36"/>
      <c r="R211" s="36"/>
      <c r="S211" s="834"/>
      <c r="T211" s="834"/>
      <c r="U211" s="823" t="s">
        <v>1425</v>
      </c>
      <c r="V211" s="824">
        <v>9</v>
      </c>
      <c r="W211" s="824" t="str">
        <f t="shared" si="7"/>
        <v>Sekundarschule (inkl. Werkjahr, TZ)</v>
      </c>
    </row>
    <row r="212" spans="1:23" s="21" customFormat="1" ht="12.75" x14ac:dyDescent="0.2">
      <c r="A212" s="74" t="str">
        <f t="shared" si="6"/>
        <v>404A.11</v>
      </c>
      <c r="B212" s="25" t="s">
        <v>238</v>
      </c>
      <c r="C212" s="76" t="s">
        <v>1426</v>
      </c>
      <c r="D212" s="76"/>
      <c r="E212" s="76"/>
      <c r="F212" s="76"/>
      <c r="G212" s="25" t="s">
        <v>367</v>
      </c>
      <c r="H212" s="76">
        <v>11</v>
      </c>
      <c r="I212" s="76">
        <v>511.9</v>
      </c>
      <c r="J212" s="76">
        <v>8.5</v>
      </c>
      <c r="K212" s="76">
        <v>5</v>
      </c>
      <c r="L212" s="846" t="s">
        <v>90</v>
      </c>
      <c r="M212" s="31"/>
      <c r="N212" s="32"/>
      <c r="O212" s="32"/>
      <c r="P212" s="31"/>
      <c r="Q212" s="32"/>
      <c r="R212" s="32"/>
      <c r="S212" s="847"/>
      <c r="T212" s="847"/>
      <c r="U212" s="823" t="s">
        <v>1427</v>
      </c>
      <c r="V212" s="824">
        <v>11</v>
      </c>
      <c r="W212" s="824" t="str">
        <f t="shared" si="7"/>
        <v>Allgemein bildende Fächer</v>
      </c>
    </row>
    <row r="213" spans="1:23" s="21" customFormat="1" ht="12.75" x14ac:dyDescent="0.2">
      <c r="A213" s="74" t="str">
        <f t="shared" si="6"/>
        <v>404B.12</v>
      </c>
      <c r="B213" s="25" t="s">
        <v>388</v>
      </c>
      <c r="C213" s="76" t="s">
        <v>1426</v>
      </c>
      <c r="D213" s="76"/>
      <c r="E213" s="76"/>
      <c r="F213" s="76"/>
      <c r="G213" s="25" t="s">
        <v>389</v>
      </c>
      <c r="H213" s="76">
        <v>12</v>
      </c>
      <c r="I213" s="76" t="s">
        <v>65</v>
      </c>
      <c r="J213" s="76">
        <v>8.5</v>
      </c>
      <c r="K213" s="76">
        <v>3</v>
      </c>
      <c r="L213" s="846" t="s">
        <v>90</v>
      </c>
      <c r="M213" s="31"/>
      <c r="N213" s="32"/>
      <c r="O213" s="32"/>
      <c r="P213" s="31"/>
      <c r="Q213" s="32"/>
      <c r="R213" s="32"/>
      <c r="S213" s="847"/>
      <c r="T213" s="847"/>
      <c r="U213" s="823" t="s">
        <v>1428</v>
      </c>
      <c r="V213" s="824">
        <v>12</v>
      </c>
      <c r="W213" s="824" t="str">
        <f t="shared" si="7"/>
        <v>Textilarbeit/Werken/Hauswirtschaft (BWK+Lehrbefähig.SekI)</v>
      </c>
    </row>
    <row r="214" spans="1:23" s="21" customFormat="1" ht="12.75" x14ac:dyDescent="0.2">
      <c r="A214" s="74" t="str">
        <f t="shared" si="6"/>
        <v>404B.13</v>
      </c>
      <c r="B214" s="25" t="s">
        <v>239</v>
      </c>
      <c r="C214" s="76" t="s">
        <v>1426</v>
      </c>
      <c r="D214" s="76"/>
      <c r="E214" s="76"/>
      <c r="F214" s="76"/>
      <c r="G214" s="25" t="s">
        <v>368</v>
      </c>
      <c r="H214" s="76">
        <v>13</v>
      </c>
      <c r="I214" s="76">
        <v>475.6</v>
      </c>
      <c r="J214" s="76">
        <v>6.5</v>
      </c>
      <c r="K214" s="76">
        <v>3</v>
      </c>
      <c r="L214" s="846" t="s">
        <v>346</v>
      </c>
      <c r="M214" s="31"/>
      <c r="N214" s="32"/>
      <c r="O214" s="32"/>
      <c r="P214" s="31"/>
      <c r="Q214" s="32"/>
      <c r="R214" s="32"/>
      <c r="S214" s="847"/>
      <c r="T214" s="847"/>
      <c r="U214" s="823" t="s">
        <v>1429</v>
      </c>
      <c r="V214" s="824">
        <v>13</v>
      </c>
      <c r="W214" s="824" t="str">
        <f t="shared" si="7"/>
        <v>Textilarbeit/Werken/Hauswirtschaft</v>
      </c>
    </row>
    <row r="215" spans="1:23" s="21" customFormat="1" ht="12.75" x14ac:dyDescent="0.2">
      <c r="A215" s="74" t="str">
        <f t="shared" si="6"/>
        <v>404C.12</v>
      </c>
      <c r="B215" s="25" t="s">
        <v>390</v>
      </c>
      <c r="C215" s="76" t="s">
        <v>1426</v>
      </c>
      <c r="D215" s="76"/>
      <c r="E215" s="76"/>
      <c r="F215" s="76"/>
      <c r="G215" s="25" t="s">
        <v>391</v>
      </c>
      <c r="H215" s="76">
        <v>12</v>
      </c>
      <c r="I215" s="76" t="s">
        <v>65</v>
      </c>
      <c r="J215" s="76">
        <v>8</v>
      </c>
      <c r="K215" s="76">
        <v>4</v>
      </c>
      <c r="L215" s="846" t="s">
        <v>352</v>
      </c>
      <c r="M215" s="31"/>
      <c r="N215" s="32"/>
      <c r="O215" s="32"/>
      <c r="P215" s="31"/>
      <c r="Q215" s="32"/>
      <c r="R215" s="32"/>
      <c r="S215" s="847"/>
      <c r="T215" s="847"/>
      <c r="U215" s="823" t="s">
        <v>1430</v>
      </c>
      <c r="V215" s="824">
        <v>12</v>
      </c>
      <c r="W215" s="824" t="str">
        <f t="shared" si="7"/>
        <v>Lehrer/in Sek.I Niv.A (4.Kl.)</v>
      </c>
    </row>
    <row r="216" spans="1:23" s="21" customFormat="1" ht="12.75" x14ac:dyDescent="0.2">
      <c r="A216" s="74" t="str">
        <f t="shared" si="6"/>
        <v>404D.11</v>
      </c>
      <c r="B216" s="25" t="s">
        <v>392</v>
      </c>
      <c r="C216" s="76" t="s">
        <v>1426</v>
      </c>
      <c r="D216" s="76"/>
      <c r="E216" s="76"/>
      <c r="F216" s="76"/>
      <c r="G216" s="25" t="s">
        <v>393</v>
      </c>
      <c r="H216" s="76">
        <v>11</v>
      </c>
      <c r="I216" s="76" t="s">
        <v>65</v>
      </c>
      <c r="J216" s="76">
        <v>8.5</v>
      </c>
      <c r="K216" s="76">
        <v>4</v>
      </c>
      <c r="L216" s="846" t="s">
        <v>90</v>
      </c>
      <c r="M216" s="31"/>
      <c r="N216" s="32"/>
      <c r="O216" s="32"/>
      <c r="P216" s="31"/>
      <c r="Q216" s="32"/>
      <c r="R216" s="32"/>
      <c r="S216" s="847"/>
      <c r="T216" s="847"/>
      <c r="U216" s="823" t="s">
        <v>1431</v>
      </c>
      <c r="V216" s="824">
        <v>11</v>
      </c>
      <c r="W216" s="824" t="str">
        <f t="shared" si="7"/>
        <v>Lehrer/in Sek.I Niv.A (4.Kl., &gt;=3Fächer+BWK)</v>
      </c>
    </row>
    <row r="217" spans="1:23" ht="12.75" x14ac:dyDescent="0.2">
      <c r="A217" s="74" t="str">
        <f t="shared" si="6"/>
        <v>404D.12</v>
      </c>
      <c r="B217" s="25" t="s">
        <v>394</v>
      </c>
      <c r="C217" s="76" t="s">
        <v>1426</v>
      </c>
      <c r="D217" s="76"/>
      <c r="E217" s="76"/>
      <c r="F217" s="76"/>
      <c r="G217" s="25" t="s">
        <v>395</v>
      </c>
      <c r="H217" s="76">
        <v>12</v>
      </c>
      <c r="I217" s="76" t="s">
        <v>65</v>
      </c>
      <c r="J217" s="76">
        <v>8</v>
      </c>
      <c r="K217" s="76">
        <v>4</v>
      </c>
      <c r="L217" s="846" t="s">
        <v>352</v>
      </c>
      <c r="M217" s="31"/>
      <c r="O217" s="32"/>
      <c r="P217" s="31"/>
      <c r="R217" s="32"/>
      <c r="S217" s="847"/>
      <c r="T217" s="847"/>
      <c r="U217" s="823" t="s">
        <v>1432</v>
      </c>
      <c r="V217" s="824">
        <v>12</v>
      </c>
      <c r="W217" s="824" t="str">
        <f t="shared" si="7"/>
        <v>Lehrer/in Sek.I Niv.A (4.Kl., 2 Fächer)</v>
      </c>
    </row>
    <row r="218" spans="1:23" ht="12.75" x14ac:dyDescent="0.2">
      <c r="A218" s="74" t="str">
        <f t="shared" si="6"/>
        <v>404D.13</v>
      </c>
      <c r="B218" s="25" t="s">
        <v>396</v>
      </c>
      <c r="C218" s="76" t="s">
        <v>1426</v>
      </c>
      <c r="D218" s="76"/>
      <c r="E218" s="76"/>
      <c r="F218" s="76"/>
      <c r="G218" s="25" t="s">
        <v>397</v>
      </c>
      <c r="H218" s="76">
        <v>13</v>
      </c>
      <c r="I218" s="76" t="s">
        <v>65</v>
      </c>
      <c r="J218" s="76">
        <v>8</v>
      </c>
      <c r="K218" s="76">
        <v>4</v>
      </c>
      <c r="L218" s="846" t="s">
        <v>352</v>
      </c>
      <c r="M218" s="31"/>
      <c r="O218" s="32"/>
      <c r="P218" s="31"/>
      <c r="R218" s="32"/>
      <c r="S218" s="847"/>
      <c r="T218" s="847"/>
      <c r="U218" s="823" t="s">
        <v>1433</v>
      </c>
      <c r="V218" s="824">
        <v>13</v>
      </c>
      <c r="W218" s="824" t="str">
        <f t="shared" si="7"/>
        <v>Lehrer/in Sek.I Niv.A (4.Kl., 1 Fach)</v>
      </c>
    </row>
    <row r="219" spans="1:23" ht="12.75" x14ac:dyDescent="0.2">
      <c r="A219" s="74" t="str">
        <f t="shared" si="6"/>
        <v>404E.13</v>
      </c>
      <c r="B219" s="25" t="s">
        <v>398</v>
      </c>
      <c r="C219" s="76" t="s">
        <v>1426</v>
      </c>
      <c r="D219" s="76"/>
      <c r="E219" s="76"/>
      <c r="F219" s="76"/>
      <c r="G219" s="25" t="s">
        <v>399</v>
      </c>
      <c r="H219" s="76">
        <v>13</v>
      </c>
      <c r="I219" s="76" t="s">
        <v>65</v>
      </c>
      <c r="J219" s="76">
        <v>6.5</v>
      </c>
      <c r="K219" s="76">
        <v>4</v>
      </c>
      <c r="L219" s="846" t="s">
        <v>346</v>
      </c>
      <c r="M219" s="31"/>
      <c r="O219" s="32"/>
      <c r="P219" s="31"/>
      <c r="R219" s="32"/>
      <c r="S219" s="847"/>
      <c r="T219" s="847"/>
      <c r="U219" s="823" t="s">
        <v>1434</v>
      </c>
      <c r="V219" s="824">
        <v>13</v>
      </c>
      <c r="W219" s="824" t="str">
        <f t="shared" si="7"/>
        <v>Lehrer/in Sek.I Niv.A (4.Kl., nur Primarlehrpatent)</v>
      </c>
    </row>
    <row r="220" spans="1:23" ht="12.75" x14ac:dyDescent="0.2">
      <c r="A220" s="74" t="str">
        <f t="shared" si="6"/>
        <v>404F.14</v>
      </c>
      <c r="B220" s="25" t="s">
        <v>400</v>
      </c>
      <c r="C220" s="76" t="s">
        <v>1426</v>
      </c>
      <c r="D220" s="76"/>
      <c r="E220" s="76"/>
      <c r="F220" s="76"/>
      <c r="G220" s="25" t="s">
        <v>401</v>
      </c>
      <c r="H220" s="76">
        <v>14</v>
      </c>
      <c r="I220" s="76" t="s">
        <v>65</v>
      </c>
      <c r="J220" s="76">
        <v>6</v>
      </c>
      <c r="K220" s="76">
        <v>3</v>
      </c>
      <c r="L220" s="846" t="s">
        <v>672</v>
      </c>
      <c r="M220" s="31"/>
      <c r="O220" s="32"/>
      <c r="P220" s="31"/>
      <c r="R220" s="32"/>
      <c r="S220" s="847"/>
      <c r="T220" s="847"/>
      <c r="U220" s="823" t="s">
        <v>1435</v>
      </c>
      <c r="V220" s="824">
        <v>14</v>
      </c>
      <c r="W220" s="824" t="str">
        <f t="shared" si="7"/>
        <v>Lehrer/in Sek.I Niv.A (4.Kl.,Berufslehre+päd.Ausb,&gt;1 Fach)</v>
      </c>
    </row>
    <row r="221" spans="1:23" ht="12.75" x14ac:dyDescent="0.2">
      <c r="A221" s="74" t="str">
        <f t="shared" si="6"/>
        <v>404F.15</v>
      </c>
      <c r="B221" s="25" t="s">
        <v>402</v>
      </c>
      <c r="C221" s="76" t="s">
        <v>1426</v>
      </c>
      <c r="D221" s="76"/>
      <c r="E221" s="76"/>
      <c r="F221" s="76"/>
      <c r="G221" s="25" t="s">
        <v>403</v>
      </c>
      <c r="H221" s="76">
        <v>15</v>
      </c>
      <c r="I221" s="76" t="s">
        <v>65</v>
      </c>
      <c r="J221" s="76">
        <v>6</v>
      </c>
      <c r="K221" s="76">
        <v>3</v>
      </c>
      <c r="L221" s="846" t="s">
        <v>672</v>
      </c>
      <c r="M221" s="31"/>
      <c r="O221" s="32"/>
      <c r="P221" s="31"/>
      <c r="R221" s="32"/>
      <c r="S221" s="847"/>
      <c r="T221" s="847"/>
      <c r="U221" s="823" t="s">
        <v>1436</v>
      </c>
      <c r="V221" s="77" t="s">
        <v>342</v>
      </c>
      <c r="W221" s="824" t="str">
        <f t="shared" si="7"/>
        <v>Lehrer/in Sek.I Niv.A (4.Kl.,Lehrausweis, 1 Fach)</v>
      </c>
    </row>
    <row r="222" spans="1:23" ht="12.75" x14ac:dyDescent="0.2">
      <c r="A222" s="74" t="str">
        <f t="shared" si="6"/>
        <v>404G.16</v>
      </c>
      <c r="B222" s="25" t="s">
        <v>404</v>
      </c>
      <c r="C222" s="76" t="s">
        <v>1426</v>
      </c>
      <c r="D222" s="76"/>
      <c r="E222" s="76"/>
      <c r="F222" s="76"/>
      <c r="G222" s="25" t="s">
        <v>405</v>
      </c>
      <c r="H222" s="76">
        <v>16</v>
      </c>
      <c r="I222" s="76" t="s">
        <v>65</v>
      </c>
      <c r="J222" s="76">
        <v>5</v>
      </c>
      <c r="K222" s="76">
        <v>3</v>
      </c>
      <c r="L222" s="846" t="s">
        <v>87</v>
      </c>
      <c r="M222" s="31"/>
      <c r="O222" s="32"/>
      <c r="P222" s="31"/>
      <c r="R222" s="32"/>
      <c r="S222" s="847"/>
      <c r="T222" s="847"/>
      <c r="U222" s="823" t="s">
        <v>1437</v>
      </c>
      <c r="V222" s="77">
        <v>16</v>
      </c>
      <c r="W222" s="824" t="str">
        <f t="shared" si="7"/>
        <v>Lehrer/in Sek.I Niv.A (4.Kl.,Berufslehre)</v>
      </c>
    </row>
    <row r="223" spans="1:23" ht="12.75" x14ac:dyDescent="0.2">
      <c r="A223" s="74" t="str">
        <f t="shared" si="6"/>
        <v>404H.14</v>
      </c>
      <c r="B223" s="25" t="s">
        <v>406</v>
      </c>
      <c r="C223" s="76" t="s">
        <v>1426</v>
      </c>
      <c r="D223" s="76"/>
      <c r="E223" s="76"/>
      <c r="F223" s="76"/>
      <c r="G223" s="25" t="s">
        <v>407</v>
      </c>
      <c r="H223" s="76">
        <v>14</v>
      </c>
      <c r="I223" s="76" t="s">
        <v>65</v>
      </c>
      <c r="J223" s="76">
        <v>4</v>
      </c>
      <c r="K223" s="76">
        <v>3</v>
      </c>
      <c r="L223" s="846" t="s">
        <v>89</v>
      </c>
      <c r="M223" s="31"/>
      <c r="O223" s="32"/>
      <c r="P223" s="31"/>
      <c r="R223" s="32"/>
      <c r="S223" s="847"/>
      <c r="T223" s="847"/>
      <c r="U223" s="823" t="s">
        <v>1438</v>
      </c>
      <c r="V223" s="77">
        <v>14</v>
      </c>
      <c r="W223" s="824" t="str">
        <f t="shared" si="7"/>
        <v>Lehrer/in Sek.I Niv.A (4.Kl.) (Student&gt;=3Semester)</v>
      </c>
    </row>
    <row r="224" spans="1:23" ht="12.75" x14ac:dyDescent="0.2">
      <c r="A224" s="74" t="str">
        <f t="shared" si="6"/>
        <v>404H.16</v>
      </c>
      <c r="B224" s="25" t="s">
        <v>408</v>
      </c>
      <c r="C224" s="76" t="s">
        <v>1426</v>
      </c>
      <c r="D224" s="76"/>
      <c r="E224" s="76"/>
      <c r="F224" s="76"/>
      <c r="G224" s="25" t="s">
        <v>409</v>
      </c>
      <c r="H224" s="76">
        <v>16</v>
      </c>
      <c r="I224" s="76" t="s">
        <v>65</v>
      </c>
      <c r="J224" s="76">
        <v>4</v>
      </c>
      <c r="K224" s="76">
        <v>3</v>
      </c>
      <c r="L224" s="846" t="s">
        <v>89</v>
      </c>
      <c r="M224" s="31"/>
      <c r="O224" s="32"/>
      <c r="P224" s="31"/>
      <c r="R224" s="32"/>
      <c r="S224" s="847"/>
      <c r="T224" s="847"/>
      <c r="U224" s="823" t="s">
        <v>1439</v>
      </c>
      <c r="V224" s="77">
        <v>16</v>
      </c>
      <c r="W224" s="824" t="str">
        <f t="shared" si="7"/>
        <v>Lehrer/in Sek.I Niv.A (4.Kl.) (Student&lt;3Semester)</v>
      </c>
    </row>
    <row r="225" spans="1:23" ht="12.75" x14ac:dyDescent="0.2">
      <c r="A225" s="74" t="str">
        <f t="shared" si="6"/>
        <v>405A.11</v>
      </c>
      <c r="B225" s="825" t="s">
        <v>240</v>
      </c>
      <c r="C225" s="79" t="s">
        <v>1440</v>
      </c>
      <c r="D225" s="28" t="s">
        <v>1248</v>
      </c>
      <c r="E225" s="79"/>
      <c r="F225" s="79">
        <v>405</v>
      </c>
      <c r="G225" s="28" t="s">
        <v>1245</v>
      </c>
      <c r="H225" s="79">
        <v>11</v>
      </c>
      <c r="I225" s="79">
        <v>529.5</v>
      </c>
      <c r="J225" s="79">
        <v>9.5</v>
      </c>
      <c r="K225" s="79">
        <v>3</v>
      </c>
      <c r="L225" s="833" t="s">
        <v>347</v>
      </c>
      <c r="M225" s="35"/>
      <c r="N225" s="36"/>
      <c r="O225" s="36"/>
      <c r="P225" s="35"/>
      <c r="Q225" s="36"/>
      <c r="R225" s="36"/>
      <c r="S225" s="834" t="s">
        <v>65</v>
      </c>
      <c r="T225" s="834" t="s">
        <v>65</v>
      </c>
      <c r="U225" s="823" t="s">
        <v>1249</v>
      </c>
      <c r="V225" s="77">
        <v>11</v>
      </c>
      <c r="W225" s="824" t="str">
        <f t="shared" si="7"/>
        <v>Schulische Heilpädagogik Primarstufe</v>
      </c>
    </row>
    <row r="226" spans="1:23" ht="12.75" x14ac:dyDescent="0.2">
      <c r="A226" s="74" t="str">
        <f t="shared" si="6"/>
        <v>405B.10</v>
      </c>
      <c r="B226" s="825" t="s">
        <v>1255</v>
      </c>
      <c r="C226" s="79" t="s">
        <v>1440</v>
      </c>
      <c r="D226" s="28" t="s">
        <v>1248</v>
      </c>
      <c r="E226" s="79"/>
      <c r="F226" s="79">
        <v>405</v>
      </c>
      <c r="G226" s="28" t="s">
        <v>1246</v>
      </c>
      <c r="H226" s="79">
        <v>10</v>
      </c>
      <c r="I226" s="79">
        <v>558.6</v>
      </c>
      <c r="J226" s="79">
        <v>9.5</v>
      </c>
      <c r="K226" s="79">
        <v>4</v>
      </c>
      <c r="L226" s="833" t="s">
        <v>347</v>
      </c>
      <c r="M226" s="35"/>
      <c r="N226" s="36"/>
      <c r="O226" s="36"/>
      <c r="P226" s="35"/>
      <c r="Q226" s="36"/>
      <c r="R226" s="36"/>
      <c r="S226" s="834" t="s">
        <v>65</v>
      </c>
      <c r="T226" s="834" t="s">
        <v>65</v>
      </c>
      <c r="U226" s="823" t="s">
        <v>1254</v>
      </c>
      <c r="V226" s="77">
        <v>10</v>
      </c>
      <c r="W226" s="824" t="str">
        <f t="shared" si="7"/>
        <v>Schulische Heilpädagogik Sekundarstufe I</v>
      </c>
    </row>
    <row r="227" spans="1:23" ht="12.75" x14ac:dyDescent="0.2">
      <c r="A227" s="74" t="str">
        <f t="shared" si="6"/>
        <v>405B.11</v>
      </c>
      <c r="B227" s="28" t="s">
        <v>410</v>
      </c>
      <c r="C227" s="79" t="s">
        <v>1440</v>
      </c>
      <c r="D227" s="79"/>
      <c r="E227" s="79"/>
      <c r="F227" s="79"/>
      <c r="G227" s="28" t="s">
        <v>670</v>
      </c>
      <c r="H227" s="79">
        <v>11</v>
      </c>
      <c r="I227" s="79" t="s">
        <v>65</v>
      </c>
      <c r="J227" s="79">
        <v>8</v>
      </c>
      <c r="K227" s="79">
        <v>4</v>
      </c>
      <c r="L227" s="833" t="s">
        <v>352</v>
      </c>
      <c r="M227" s="35"/>
      <c r="N227" s="36"/>
      <c r="O227" s="36"/>
      <c r="P227" s="35"/>
      <c r="Q227" s="36"/>
      <c r="R227" s="36"/>
      <c r="S227" s="834" t="s">
        <v>65</v>
      </c>
      <c r="T227" s="834" t="s">
        <v>65</v>
      </c>
      <c r="U227" s="823" t="s">
        <v>1441</v>
      </c>
      <c r="V227" s="77">
        <v>11</v>
      </c>
      <c r="W227" s="824" t="str">
        <f t="shared" si="7"/>
        <v>Kleinklasse/ISF Oberstufe (Heilpäd. ohne Diplom Sek.I)</v>
      </c>
    </row>
    <row r="228" spans="1:23" ht="12.75" x14ac:dyDescent="0.2">
      <c r="A228" s="74" t="str">
        <f t="shared" si="6"/>
        <v>405B.12</v>
      </c>
      <c r="B228" s="28" t="s">
        <v>662</v>
      </c>
      <c r="C228" s="79" t="s">
        <v>1440</v>
      </c>
      <c r="D228" s="79"/>
      <c r="E228" s="79"/>
      <c r="F228" s="79"/>
      <c r="G228" s="28" t="s">
        <v>663</v>
      </c>
      <c r="H228" s="79">
        <v>12</v>
      </c>
      <c r="I228" s="79" t="s">
        <v>65</v>
      </c>
      <c r="J228" s="79">
        <v>8</v>
      </c>
      <c r="K228" s="79">
        <v>4</v>
      </c>
      <c r="L228" s="833" t="s">
        <v>352</v>
      </c>
      <c r="M228" s="35"/>
      <c r="N228" s="36"/>
      <c r="O228" s="36"/>
      <c r="P228" s="35"/>
      <c r="Q228" s="36"/>
      <c r="R228" s="36"/>
      <c r="S228" s="834" t="s">
        <v>65</v>
      </c>
      <c r="T228" s="834" t="s">
        <v>65</v>
      </c>
      <c r="U228" s="823" t="s">
        <v>1442</v>
      </c>
      <c r="V228" s="77">
        <v>12</v>
      </c>
      <c r="W228" s="824" t="str">
        <f t="shared" si="7"/>
        <v>Kleinklasse/ISF Oberstufe (nur Diplom Sek.I Niveau A)</v>
      </c>
    </row>
    <row r="229" spans="1:23" ht="12.75" x14ac:dyDescent="0.2">
      <c r="A229" s="74" t="str">
        <f t="shared" si="6"/>
        <v>405C.12</v>
      </c>
      <c r="B229" s="28" t="s">
        <v>411</v>
      </c>
      <c r="C229" s="79" t="s">
        <v>1440</v>
      </c>
      <c r="D229" s="79"/>
      <c r="E229" s="79"/>
      <c r="F229" s="79"/>
      <c r="G229" s="28" t="s">
        <v>412</v>
      </c>
      <c r="H229" s="79">
        <v>12</v>
      </c>
      <c r="I229" s="79" t="s">
        <v>65</v>
      </c>
      <c r="J229" s="79">
        <v>8</v>
      </c>
      <c r="K229" s="79">
        <v>3</v>
      </c>
      <c r="L229" s="833" t="s">
        <v>352</v>
      </c>
      <c r="M229" s="35"/>
      <c r="N229" s="36"/>
      <c r="O229" s="36"/>
      <c r="P229" s="35"/>
      <c r="Q229" s="36"/>
      <c r="R229" s="36"/>
      <c r="S229" s="834" t="s">
        <v>65</v>
      </c>
      <c r="T229" s="834" t="s">
        <v>65</v>
      </c>
      <c r="U229" s="823" t="s">
        <v>1443</v>
      </c>
      <c r="V229" s="77">
        <v>12</v>
      </c>
      <c r="W229" s="824" t="str">
        <f t="shared" si="7"/>
        <v>Lehrer/in an Kleinklassen (Sek.I-Niveau-Patent)</v>
      </c>
    </row>
    <row r="230" spans="1:23" ht="12.75" x14ac:dyDescent="0.2">
      <c r="A230" s="74" t="str">
        <f t="shared" si="6"/>
        <v>405C.13</v>
      </c>
      <c r="B230" s="28" t="s">
        <v>413</v>
      </c>
      <c r="C230" s="79" t="s">
        <v>1440</v>
      </c>
      <c r="D230" s="79"/>
      <c r="E230" s="79"/>
      <c r="F230" s="79"/>
      <c r="G230" s="28" t="s">
        <v>414</v>
      </c>
      <c r="H230" s="79">
        <v>13</v>
      </c>
      <c r="I230" s="79" t="s">
        <v>65</v>
      </c>
      <c r="J230" s="79">
        <v>6.5</v>
      </c>
      <c r="K230" s="79">
        <v>3</v>
      </c>
      <c r="L230" s="833" t="s">
        <v>346</v>
      </c>
      <c r="M230" s="35"/>
      <c r="N230" s="36"/>
      <c r="O230" s="36"/>
      <c r="P230" s="35"/>
      <c r="Q230" s="36"/>
      <c r="R230" s="36"/>
      <c r="S230" s="834" t="s">
        <v>65</v>
      </c>
      <c r="T230" s="834" t="s">
        <v>65</v>
      </c>
      <c r="U230" s="823" t="s">
        <v>1444</v>
      </c>
      <c r="V230" s="77">
        <v>13</v>
      </c>
      <c r="W230" s="824" t="str">
        <f t="shared" si="7"/>
        <v>Lehrer/in an Kleinklassen (nur Primarlehrpatent)</v>
      </c>
    </row>
    <row r="231" spans="1:23" ht="12.75" x14ac:dyDescent="0.2">
      <c r="A231" s="74" t="str">
        <f t="shared" si="6"/>
        <v>405D.11</v>
      </c>
      <c r="B231" s="28" t="s">
        <v>415</v>
      </c>
      <c r="C231" s="79" t="s">
        <v>1440</v>
      </c>
      <c r="D231" s="79"/>
      <c r="E231" s="79"/>
      <c r="F231" s="79"/>
      <c r="G231" s="28" t="s">
        <v>416</v>
      </c>
      <c r="H231" s="79">
        <v>11</v>
      </c>
      <c r="I231" s="79" t="s">
        <v>65</v>
      </c>
      <c r="J231" s="79">
        <v>8</v>
      </c>
      <c r="K231" s="79">
        <v>4</v>
      </c>
      <c r="L231" s="833" t="s">
        <v>352</v>
      </c>
      <c r="M231" s="35"/>
      <c r="N231" s="36"/>
      <c r="O231" s="36"/>
      <c r="P231" s="35"/>
      <c r="Q231" s="36"/>
      <c r="R231" s="36"/>
      <c r="S231" s="834" t="s">
        <v>65</v>
      </c>
      <c r="T231" s="834" t="s">
        <v>65</v>
      </c>
      <c r="U231" s="823" t="s">
        <v>1445</v>
      </c>
      <c r="V231" s="77">
        <v>11</v>
      </c>
      <c r="W231" s="824" t="str">
        <f t="shared" si="7"/>
        <v>Lehrer/in an Kleinklassen (Oberstufe,Sek.I,Niv.A-Patent)</v>
      </c>
    </row>
    <row r="232" spans="1:23" ht="12.75" x14ac:dyDescent="0.2">
      <c r="A232" s="74" t="str">
        <f t="shared" si="6"/>
        <v>405D.12</v>
      </c>
      <c r="B232" s="28" t="s">
        <v>417</v>
      </c>
      <c r="C232" s="79" t="s">
        <v>1440</v>
      </c>
      <c r="D232" s="79"/>
      <c r="E232" s="79"/>
      <c r="F232" s="79"/>
      <c r="G232" s="28" t="s">
        <v>418</v>
      </c>
      <c r="H232" s="79">
        <v>12</v>
      </c>
      <c r="I232" s="79" t="s">
        <v>65</v>
      </c>
      <c r="J232" s="79">
        <v>8</v>
      </c>
      <c r="K232" s="79">
        <v>4</v>
      </c>
      <c r="L232" s="833" t="s">
        <v>352</v>
      </c>
      <c r="M232" s="35"/>
      <c r="N232" s="36"/>
      <c r="O232" s="36"/>
      <c r="P232" s="35"/>
      <c r="Q232" s="36"/>
      <c r="R232" s="36"/>
      <c r="S232" s="834" t="s">
        <v>65</v>
      </c>
      <c r="T232" s="834" t="s">
        <v>65</v>
      </c>
      <c r="U232" s="823" t="s">
        <v>1446</v>
      </c>
      <c r="V232" s="77">
        <v>12</v>
      </c>
      <c r="W232" s="824" t="str">
        <f t="shared" si="7"/>
        <v>Lehrer/in an Kleinklassen (Unterstufe,Primar+Heilpäd.)</v>
      </c>
    </row>
    <row r="233" spans="1:23" ht="12.75" x14ac:dyDescent="0.2">
      <c r="A233" s="74" t="str">
        <f t="shared" si="6"/>
        <v>405E.12</v>
      </c>
      <c r="B233" s="28" t="s">
        <v>419</v>
      </c>
      <c r="C233" s="79" t="s">
        <v>1440</v>
      </c>
      <c r="D233" s="79"/>
      <c r="E233" s="79"/>
      <c r="F233" s="79"/>
      <c r="G233" s="28" t="s">
        <v>420</v>
      </c>
      <c r="H233" s="79">
        <v>12</v>
      </c>
      <c r="I233" s="79" t="s">
        <v>65</v>
      </c>
      <c r="J233" s="79">
        <v>7.5</v>
      </c>
      <c r="K233" s="79">
        <v>4</v>
      </c>
      <c r="L233" s="833" t="s">
        <v>674</v>
      </c>
      <c r="M233" s="35"/>
      <c r="N233" s="36"/>
      <c r="O233" s="36"/>
      <c r="P233" s="35"/>
      <c r="Q233" s="36"/>
      <c r="R233" s="36"/>
      <c r="S233" s="834" t="s">
        <v>65</v>
      </c>
      <c r="T233" s="834" t="s">
        <v>65</v>
      </c>
      <c r="U233" s="823" t="s">
        <v>1447</v>
      </c>
      <c r="V233" s="77">
        <v>12</v>
      </c>
      <c r="W233" s="824" t="str">
        <f t="shared" si="7"/>
        <v>Lehrer/in an Kleinklassen / Fremdsprachenklasse</v>
      </c>
    </row>
    <row r="234" spans="1:23" ht="12.75" x14ac:dyDescent="0.2">
      <c r="A234" s="74" t="str">
        <f t="shared" si="6"/>
        <v>406A.10</v>
      </c>
      <c r="B234" s="25" t="s">
        <v>241</v>
      </c>
      <c r="C234" s="76" t="s">
        <v>1448</v>
      </c>
      <c r="D234" s="76"/>
      <c r="E234" s="76"/>
      <c r="F234" s="76"/>
      <c r="G234" s="25" t="s">
        <v>367</v>
      </c>
      <c r="H234" s="76">
        <v>10</v>
      </c>
      <c r="I234" s="76">
        <v>536.29999999999995</v>
      </c>
      <c r="J234" s="76">
        <v>9</v>
      </c>
      <c r="K234" s="76">
        <v>4</v>
      </c>
      <c r="L234" s="846" t="s">
        <v>351</v>
      </c>
      <c r="M234" s="31"/>
      <c r="O234" s="32"/>
      <c r="P234" s="31"/>
      <c r="R234" s="32"/>
      <c r="S234" s="847"/>
      <c r="T234" s="847"/>
      <c r="U234" s="823" t="s">
        <v>1449</v>
      </c>
      <c r="V234" s="77">
        <v>10</v>
      </c>
      <c r="W234" s="824" t="str">
        <f t="shared" si="7"/>
        <v>Allgemein bildende Fächer</v>
      </c>
    </row>
    <row r="235" spans="1:23" ht="12.75" x14ac:dyDescent="0.2">
      <c r="A235" s="74" t="str">
        <f t="shared" si="6"/>
        <v>406B.13</v>
      </c>
      <c r="B235" s="25" t="s">
        <v>242</v>
      </c>
      <c r="C235" s="76" t="s">
        <v>1448</v>
      </c>
      <c r="D235" s="76"/>
      <c r="E235" s="76"/>
      <c r="F235" s="76"/>
      <c r="G235" s="25" t="s">
        <v>421</v>
      </c>
      <c r="H235" s="76">
        <v>13</v>
      </c>
      <c r="I235" s="76">
        <v>468.8</v>
      </c>
      <c r="J235" s="76">
        <v>5.5</v>
      </c>
      <c r="K235" s="76">
        <v>4</v>
      </c>
      <c r="L235" s="846" t="s">
        <v>671</v>
      </c>
      <c r="M235" s="31"/>
      <c r="O235" s="32"/>
      <c r="P235" s="31"/>
      <c r="R235" s="32"/>
      <c r="S235" s="847"/>
      <c r="T235" s="847"/>
      <c r="U235" s="823" t="s">
        <v>1450</v>
      </c>
      <c r="V235" s="77">
        <v>13</v>
      </c>
      <c r="W235" s="824" t="str">
        <f t="shared" si="7"/>
        <v>Fachlehrperson (Ausbildung Werkseminar)</v>
      </c>
    </row>
    <row r="236" spans="1:23" ht="12.75" x14ac:dyDescent="0.2">
      <c r="A236" s="74" t="str">
        <f t="shared" si="6"/>
        <v>406B.14</v>
      </c>
      <c r="B236" s="25" t="s">
        <v>422</v>
      </c>
      <c r="C236" s="76" t="s">
        <v>1448</v>
      </c>
      <c r="D236" s="76"/>
      <c r="E236" s="76"/>
      <c r="F236" s="76"/>
      <c r="G236" s="25" t="s">
        <v>423</v>
      </c>
      <c r="H236" s="76">
        <v>14</v>
      </c>
      <c r="I236" s="76">
        <v>468.8</v>
      </c>
      <c r="J236" s="76">
        <v>5</v>
      </c>
      <c r="K236" s="76">
        <v>4</v>
      </c>
      <c r="L236" s="846" t="s">
        <v>87</v>
      </c>
      <c r="M236" s="31"/>
      <c r="O236" s="32"/>
      <c r="P236" s="31"/>
      <c r="R236" s="32"/>
      <c r="S236" s="847"/>
      <c r="T236" s="847"/>
      <c r="U236" s="823" t="s">
        <v>1451</v>
      </c>
      <c r="V236" s="77">
        <v>14</v>
      </c>
      <c r="W236" s="824" t="str">
        <f t="shared" si="7"/>
        <v>Fachlehrperson (Berufslehre)</v>
      </c>
    </row>
    <row r="237" spans="1:23" ht="12.75" x14ac:dyDescent="0.2">
      <c r="A237" s="74" t="str">
        <f t="shared" si="6"/>
        <v>406C.11</v>
      </c>
      <c r="B237" s="25" t="s">
        <v>424</v>
      </c>
      <c r="C237" s="76" t="s">
        <v>1448</v>
      </c>
      <c r="D237" s="76"/>
      <c r="E237" s="76"/>
      <c r="F237" s="76"/>
      <c r="G237" s="25" t="s">
        <v>425</v>
      </c>
      <c r="H237" s="76">
        <v>11</v>
      </c>
      <c r="I237" s="76">
        <v>492.5</v>
      </c>
      <c r="J237" s="76">
        <v>7</v>
      </c>
      <c r="K237" s="76">
        <v>4</v>
      </c>
      <c r="L237" s="846" t="s">
        <v>673</v>
      </c>
      <c r="M237" s="31"/>
      <c r="O237" s="32"/>
      <c r="P237" s="31"/>
      <c r="R237" s="32"/>
      <c r="S237" s="847"/>
      <c r="T237" s="847"/>
      <c r="U237" s="823" t="s">
        <v>1452</v>
      </c>
      <c r="V237" s="77">
        <v>11</v>
      </c>
      <c r="W237" s="824" t="str">
        <f t="shared" si="7"/>
        <v>Textilarbeit/Werken/Hausw.(Lehrpatent Sek.IA+BWK)</v>
      </c>
    </row>
    <row r="238" spans="1:23" ht="12.75" x14ac:dyDescent="0.2">
      <c r="A238" s="74" t="str">
        <f t="shared" si="6"/>
        <v>406C.12</v>
      </c>
      <c r="B238" s="25" t="s">
        <v>243</v>
      </c>
      <c r="C238" s="76" t="s">
        <v>1448</v>
      </c>
      <c r="D238" s="76"/>
      <c r="E238" s="76"/>
      <c r="F238" s="76"/>
      <c r="G238" s="25" t="s">
        <v>426</v>
      </c>
      <c r="H238" s="76">
        <v>12</v>
      </c>
      <c r="I238" s="76">
        <v>492.5</v>
      </c>
      <c r="J238" s="76">
        <v>7</v>
      </c>
      <c r="K238" s="76">
        <v>4</v>
      </c>
      <c r="L238" s="846" t="s">
        <v>673</v>
      </c>
      <c r="M238" s="31"/>
      <c r="O238" s="32"/>
      <c r="P238" s="31"/>
      <c r="R238" s="32"/>
      <c r="S238" s="847"/>
      <c r="T238" s="847"/>
      <c r="U238" s="823" t="s">
        <v>1453</v>
      </c>
      <c r="V238" s="77">
        <v>12</v>
      </c>
      <c r="W238" s="824" t="str">
        <f t="shared" si="7"/>
        <v>Textilarbeit/Werken/Hausw.(Lehrpatent Sek.IA)</v>
      </c>
    </row>
    <row r="239" spans="1:23" ht="12.75" x14ac:dyDescent="0.2">
      <c r="A239" s="74" t="str">
        <f t="shared" si="6"/>
        <v>406D.13</v>
      </c>
      <c r="B239" s="25" t="s">
        <v>244</v>
      </c>
      <c r="C239" s="76" t="s">
        <v>1448</v>
      </c>
      <c r="D239" s="76"/>
      <c r="E239" s="76"/>
      <c r="F239" s="76"/>
      <c r="G239" s="25" t="s">
        <v>368</v>
      </c>
      <c r="H239" s="76">
        <v>13</v>
      </c>
      <c r="I239" s="76">
        <v>475.6</v>
      </c>
      <c r="J239" s="76">
        <v>6.5</v>
      </c>
      <c r="K239" s="76">
        <v>3</v>
      </c>
      <c r="L239" s="846" t="s">
        <v>346</v>
      </c>
      <c r="M239" s="31"/>
      <c r="O239" s="32"/>
      <c r="P239" s="31"/>
      <c r="R239" s="32"/>
      <c r="S239" s="847"/>
      <c r="T239" s="847"/>
      <c r="U239" s="823" t="s">
        <v>1454</v>
      </c>
      <c r="V239" s="77">
        <v>13</v>
      </c>
      <c r="W239" s="824" t="str">
        <f t="shared" si="7"/>
        <v>Textilarbeit/Werken/Hauswirtschaft</v>
      </c>
    </row>
    <row r="240" spans="1:23" ht="12.75" x14ac:dyDescent="0.2">
      <c r="A240" s="74" t="str">
        <f t="shared" si="6"/>
        <v>406E.11</v>
      </c>
      <c r="B240" s="25" t="s">
        <v>427</v>
      </c>
      <c r="C240" s="76" t="s">
        <v>1448</v>
      </c>
      <c r="D240" s="76"/>
      <c r="E240" s="76"/>
      <c r="F240" s="76"/>
      <c r="G240" s="25" t="s">
        <v>428</v>
      </c>
      <c r="H240" s="76">
        <v>11</v>
      </c>
      <c r="I240" s="76" t="s">
        <v>65</v>
      </c>
      <c r="J240" s="76">
        <v>8</v>
      </c>
      <c r="K240" s="76">
        <v>4</v>
      </c>
      <c r="L240" s="846" t="s">
        <v>352</v>
      </c>
      <c r="M240" s="31"/>
      <c r="O240" s="32"/>
      <c r="P240" s="31"/>
      <c r="R240" s="32"/>
      <c r="S240" s="847"/>
      <c r="T240" s="847"/>
      <c r="U240" s="823" t="s">
        <v>1455</v>
      </c>
      <c r="V240" s="77">
        <v>11</v>
      </c>
      <c r="W240" s="824" t="str">
        <f t="shared" si="7"/>
        <v>Lehrer/in am Werkjahr (Primarpatent+Heilpäd)</v>
      </c>
    </row>
    <row r="241" spans="1:23" ht="12.75" x14ac:dyDescent="0.2">
      <c r="A241" s="74" t="str">
        <f t="shared" si="6"/>
        <v>406F.11</v>
      </c>
      <c r="B241" s="25" t="s">
        <v>429</v>
      </c>
      <c r="C241" s="76" t="s">
        <v>1448</v>
      </c>
      <c r="D241" s="76"/>
      <c r="E241" s="76"/>
      <c r="F241" s="76"/>
      <c r="G241" s="25" t="s">
        <v>430</v>
      </c>
      <c r="H241" s="76">
        <v>11</v>
      </c>
      <c r="I241" s="76" t="s">
        <v>65</v>
      </c>
      <c r="J241" s="76">
        <v>8</v>
      </c>
      <c r="K241" s="76">
        <v>4</v>
      </c>
      <c r="L241" s="846" t="s">
        <v>352</v>
      </c>
      <c r="M241" s="31"/>
      <c r="O241" s="32"/>
      <c r="P241" s="31"/>
      <c r="R241" s="32"/>
      <c r="S241" s="847"/>
      <c r="T241" s="847"/>
      <c r="U241" s="823" t="s">
        <v>1456</v>
      </c>
      <c r="V241" s="77">
        <v>11</v>
      </c>
      <c r="W241" s="824" t="str">
        <f t="shared" si="7"/>
        <v>Lehrer/in am Werkjahr (Primarpatent+Sek.IA+BWK)</v>
      </c>
    </row>
    <row r="242" spans="1:23" ht="12.75" x14ac:dyDescent="0.2">
      <c r="A242" s="74" t="str">
        <f t="shared" si="6"/>
        <v>406F.12</v>
      </c>
      <c r="B242" s="25" t="s">
        <v>431</v>
      </c>
      <c r="C242" s="76" t="s">
        <v>1448</v>
      </c>
      <c r="D242" s="76"/>
      <c r="E242" s="76"/>
      <c r="F242" s="76"/>
      <c r="G242" s="25" t="s">
        <v>432</v>
      </c>
      <c r="H242" s="76">
        <v>12</v>
      </c>
      <c r="I242" s="76" t="s">
        <v>65</v>
      </c>
      <c r="J242" s="76">
        <v>7</v>
      </c>
      <c r="K242" s="76">
        <v>4</v>
      </c>
      <c r="L242" s="846" t="s">
        <v>673</v>
      </c>
      <c r="M242" s="31"/>
      <c r="O242" s="32"/>
      <c r="P242" s="31"/>
      <c r="R242" s="32"/>
      <c r="S242" s="847"/>
      <c r="T242" s="847"/>
      <c r="U242" s="823" t="s">
        <v>1457</v>
      </c>
      <c r="V242" s="77">
        <v>12</v>
      </c>
      <c r="W242" s="824" t="str">
        <f t="shared" si="7"/>
        <v>Lehrer/in am Werkjahr (Primarpatent+ Sek.IA oder BWK)</v>
      </c>
    </row>
    <row r="243" spans="1:23" ht="12.75" x14ac:dyDescent="0.2">
      <c r="A243" s="74" t="str">
        <f t="shared" si="6"/>
        <v>406F.13</v>
      </c>
      <c r="B243" s="25" t="s">
        <v>433</v>
      </c>
      <c r="C243" s="76" t="s">
        <v>1448</v>
      </c>
      <c r="D243" s="76"/>
      <c r="E243" s="76"/>
      <c r="F243" s="76"/>
      <c r="G243" s="25" t="s">
        <v>434</v>
      </c>
      <c r="H243" s="76">
        <v>13</v>
      </c>
      <c r="I243" s="76" t="s">
        <v>65</v>
      </c>
      <c r="J243" s="76">
        <v>6.5</v>
      </c>
      <c r="K243" s="76">
        <v>4</v>
      </c>
      <c r="L243" s="846" t="s">
        <v>346</v>
      </c>
      <c r="M243" s="31"/>
      <c r="O243" s="32"/>
      <c r="P243" s="31"/>
      <c r="R243" s="32"/>
      <c r="S243" s="847"/>
      <c r="T243" s="847"/>
      <c r="U243" s="823" t="s">
        <v>1458</v>
      </c>
      <c r="V243" s="77">
        <v>13</v>
      </c>
      <c r="W243" s="824" t="str">
        <f t="shared" si="7"/>
        <v>Lehrer/in am Werkjahr (Primarpatent)</v>
      </c>
    </row>
    <row r="244" spans="1:23" ht="12.75" x14ac:dyDescent="0.2">
      <c r="A244" s="74" t="str">
        <f t="shared" si="6"/>
        <v>406G.11</v>
      </c>
      <c r="B244" s="25" t="s">
        <v>435</v>
      </c>
      <c r="C244" s="76" t="s">
        <v>1448</v>
      </c>
      <c r="D244" s="76"/>
      <c r="E244" s="76"/>
      <c r="F244" s="76"/>
      <c r="G244" s="25" t="s">
        <v>436</v>
      </c>
      <c r="H244" s="76">
        <v>11</v>
      </c>
      <c r="I244" s="76" t="s">
        <v>65</v>
      </c>
      <c r="J244" s="76">
        <v>8</v>
      </c>
      <c r="K244" s="76">
        <v>4</v>
      </c>
      <c r="L244" s="846" t="s">
        <v>352</v>
      </c>
      <c r="M244" s="31"/>
      <c r="O244" s="32"/>
      <c r="P244" s="31"/>
      <c r="R244" s="32"/>
      <c r="S244" s="847"/>
      <c r="T244" s="847"/>
      <c r="U244" s="823" t="s">
        <v>1459</v>
      </c>
      <c r="V244" s="77">
        <v>11</v>
      </c>
      <c r="W244" s="824" t="str">
        <f t="shared" si="7"/>
        <v>Lehrer/in am Werkjahr (Primarpatent+Sek.IA+Heilpäd.)</v>
      </c>
    </row>
    <row r="245" spans="1:23" ht="12.75" x14ac:dyDescent="0.2">
      <c r="A245" s="74" t="str">
        <f t="shared" si="6"/>
        <v>406G.12</v>
      </c>
      <c r="B245" s="25" t="s">
        <v>437</v>
      </c>
      <c r="C245" s="76" t="s">
        <v>1448</v>
      </c>
      <c r="D245" s="76"/>
      <c r="E245" s="76"/>
      <c r="F245" s="76"/>
      <c r="G245" s="25" t="s">
        <v>438</v>
      </c>
      <c r="H245" s="76">
        <v>12</v>
      </c>
      <c r="I245" s="76" t="s">
        <v>65</v>
      </c>
      <c r="J245" s="76">
        <v>7</v>
      </c>
      <c r="K245" s="76">
        <v>4</v>
      </c>
      <c r="L245" s="846" t="s">
        <v>673</v>
      </c>
      <c r="M245" s="31"/>
      <c r="O245" s="32"/>
      <c r="P245" s="31"/>
      <c r="R245" s="32"/>
      <c r="S245" s="847"/>
      <c r="T245" s="847"/>
      <c r="U245" s="823" t="s">
        <v>1460</v>
      </c>
      <c r="V245" s="77">
        <v>12</v>
      </c>
      <c r="W245" s="824" t="str">
        <f t="shared" si="7"/>
        <v>Lehrer/in am Werkjahr (Primarpatent+Heilpäd.)</v>
      </c>
    </row>
    <row r="246" spans="1:23" x14ac:dyDescent="0.25">
      <c r="A246" s="74" t="str">
        <f t="shared" si="6"/>
        <v>406H.14</v>
      </c>
      <c r="B246" s="71" t="s">
        <v>439</v>
      </c>
      <c r="C246" s="72" t="s">
        <v>1448</v>
      </c>
      <c r="D246" s="72"/>
      <c r="E246" s="72"/>
      <c r="F246" s="72"/>
      <c r="G246" s="71" t="s">
        <v>440</v>
      </c>
      <c r="H246" s="72">
        <v>14</v>
      </c>
      <c r="I246" s="72" t="s">
        <v>65</v>
      </c>
      <c r="J246" s="72">
        <v>6</v>
      </c>
      <c r="K246" s="72">
        <v>3</v>
      </c>
      <c r="L246" s="821" t="s">
        <v>672</v>
      </c>
      <c r="M246" s="73"/>
      <c r="N246" s="30"/>
      <c r="O246" s="30"/>
      <c r="P246" s="73"/>
      <c r="Q246" s="30"/>
      <c r="R246" s="75"/>
      <c r="S246" s="822"/>
      <c r="T246" s="822"/>
      <c r="U246" s="823" t="s">
        <v>1461</v>
      </c>
      <c r="V246" s="77">
        <v>14</v>
      </c>
      <c r="W246" s="824" t="str">
        <f t="shared" si="7"/>
        <v>Lehrer/in am Werkjahr (Ausbildung Werkseminar)</v>
      </c>
    </row>
    <row r="247" spans="1:23" x14ac:dyDescent="0.25">
      <c r="A247" s="74" t="str">
        <f t="shared" si="6"/>
        <v>406H.15</v>
      </c>
      <c r="B247" s="71" t="s">
        <v>441</v>
      </c>
      <c r="C247" s="72" t="s">
        <v>1448</v>
      </c>
      <c r="D247" s="72"/>
      <c r="E247" s="72"/>
      <c r="F247" s="72"/>
      <c r="G247" s="71" t="s">
        <v>442</v>
      </c>
      <c r="H247" s="72">
        <v>15</v>
      </c>
      <c r="I247" s="72" t="s">
        <v>65</v>
      </c>
      <c r="J247" s="72">
        <v>5</v>
      </c>
      <c r="K247" s="72">
        <v>3</v>
      </c>
      <c r="L247" s="821" t="s">
        <v>87</v>
      </c>
      <c r="M247" s="73"/>
      <c r="N247" s="30"/>
      <c r="O247" s="30"/>
      <c r="P247" s="73"/>
      <c r="Q247" s="30"/>
      <c r="R247" s="75"/>
      <c r="S247" s="822"/>
      <c r="T247" s="822"/>
      <c r="U247" s="823" t="s">
        <v>1462</v>
      </c>
      <c r="V247" s="77">
        <v>15</v>
      </c>
      <c r="W247" s="824" t="str">
        <f t="shared" si="7"/>
        <v>Lehrer/in am Werkjahr (Berufslehre)</v>
      </c>
    </row>
    <row r="248" spans="1:23" ht="12.75" x14ac:dyDescent="0.2">
      <c r="A248" s="74" t="str">
        <f t="shared" si="6"/>
        <v>407.10</v>
      </c>
      <c r="B248" s="825" t="s">
        <v>1463</v>
      </c>
      <c r="C248" s="79">
        <v>407</v>
      </c>
      <c r="D248" s="79"/>
      <c r="E248" s="79"/>
      <c r="F248" s="79"/>
      <c r="G248" s="28" t="s">
        <v>1464</v>
      </c>
      <c r="H248" s="79">
        <v>10</v>
      </c>
      <c r="I248" s="79"/>
      <c r="J248" s="79">
        <v>9.5</v>
      </c>
      <c r="K248" s="79">
        <v>4</v>
      </c>
      <c r="L248" s="833" t="s">
        <v>347</v>
      </c>
      <c r="M248" s="35"/>
      <c r="N248" s="36"/>
      <c r="O248" s="36"/>
      <c r="P248" s="35"/>
      <c r="Q248" s="36"/>
      <c r="R248" s="36"/>
      <c r="S248" s="834"/>
      <c r="T248" s="834"/>
      <c r="U248" s="823" t="s">
        <v>1465</v>
      </c>
      <c r="V248" s="77">
        <v>10</v>
      </c>
      <c r="W248" s="824" t="str">
        <f t="shared" si="7"/>
        <v>Lehrperson Sek. I (9. - 11. SJ)</v>
      </c>
    </row>
    <row r="249" spans="1:23" ht="12.75" x14ac:dyDescent="0.2">
      <c r="A249" s="74" t="str">
        <f t="shared" si="6"/>
        <v>407.14b</v>
      </c>
      <c r="B249" s="825" t="s">
        <v>752</v>
      </c>
      <c r="C249" s="79">
        <v>407</v>
      </c>
      <c r="D249" s="79"/>
      <c r="E249" s="79"/>
      <c r="F249" s="79"/>
      <c r="G249" s="28" t="s">
        <v>1466</v>
      </c>
      <c r="H249" s="79">
        <v>14</v>
      </c>
      <c r="I249" s="79"/>
      <c r="J249" s="79">
        <v>8.5</v>
      </c>
      <c r="K249" s="79">
        <v>3</v>
      </c>
      <c r="L249" s="833" t="s">
        <v>90</v>
      </c>
      <c r="M249" s="35"/>
      <c r="N249" s="36"/>
      <c r="O249" s="36"/>
      <c r="P249" s="35"/>
      <c r="Q249" s="36"/>
      <c r="R249" s="36"/>
      <c r="S249" s="834"/>
      <c r="T249" s="834"/>
      <c r="U249" s="823" t="s">
        <v>1467</v>
      </c>
      <c r="V249" s="77">
        <v>14</v>
      </c>
      <c r="W249" s="824" t="str">
        <f t="shared" si="7"/>
        <v>Schulzozialarbeit Sek. I</v>
      </c>
    </row>
    <row r="250" spans="1:23" ht="12.75" x14ac:dyDescent="0.2">
      <c r="A250" s="74" t="str">
        <f t="shared" si="6"/>
        <v>407.S1</v>
      </c>
      <c r="B250" s="25" t="s">
        <v>725</v>
      </c>
      <c r="C250" s="76">
        <v>407</v>
      </c>
      <c r="D250" s="76"/>
      <c r="E250" s="76"/>
      <c r="F250" s="76"/>
      <c r="G250" s="25" t="s">
        <v>726</v>
      </c>
      <c r="H250" s="76">
        <v>10</v>
      </c>
      <c r="I250" s="76">
        <v>549.29999999999995</v>
      </c>
      <c r="J250" s="76">
        <v>9.5</v>
      </c>
      <c r="K250" s="76">
        <v>4</v>
      </c>
      <c r="L250" s="846" t="s">
        <v>347</v>
      </c>
      <c r="M250" s="31"/>
      <c r="O250" s="32"/>
      <c r="P250" s="31"/>
      <c r="R250" s="32"/>
      <c r="S250" s="847"/>
      <c r="T250" s="847" t="s">
        <v>65</v>
      </c>
      <c r="U250" s="823" t="s">
        <v>1468</v>
      </c>
      <c r="V250" s="77">
        <v>10</v>
      </c>
      <c r="W250" s="824" t="str">
        <f t="shared" si="7"/>
        <v>Lehrperson Sek I</v>
      </c>
    </row>
    <row r="251" spans="1:23" x14ac:dyDescent="0.25">
      <c r="A251" s="74" t="str">
        <f t="shared" si="6"/>
        <v>407A.10</v>
      </c>
      <c r="B251" s="71" t="s">
        <v>245</v>
      </c>
      <c r="C251" s="72" t="s">
        <v>1469</v>
      </c>
      <c r="D251" s="72"/>
      <c r="E251" s="72"/>
      <c r="F251" s="72"/>
      <c r="G251" s="71" t="s">
        <v>443</v>
      </c>
      <c r="H251" s="72">
        <v>10</v>
      </c>
      <c r="I251" s="72">
        <v>537.79999999999995</v>
      </c>
      <c r="J251" s="72">
        <v>9.5</v>
      </c>
      <c r="K251" s="72">
        <v>4</v>
      </c>
      <c r="L251" s="821" t="s">
        <v>347</v>
      </c>
      <c r="M251" s="73"/>
      <c r="N251" s="30"/>
      <c r="O251" s="30"/>
      <c r="P251" s="73"/>
      <c r="Q251" s="30"/>
      <c r="R251" s="75"/>
      <c r="S251" s="822"/>
      <c r="T251" s="822"/>
      <c r="U251" s="823" t="s">
        <v>1470</v>
      </c>
      <c r="V251" s="77">
        <v>10</v>
      </c>
      <c r="W251" s="824" t="str">
        <f t="shared" si="7"/>
        <v>Typ A (Lehrberecht.in 3 Fächer, mehrheitl.wiss.Fächer)</v>
      </c>
    </row>
    <row r="252" spans="1:23" x14ac:dyDescent="0.25">
      <c r="A252" s="74" t="str">
        <f t="shared" si="6"/>
        <v>407A.11</v>
      </c>
      <c r="B252" s="71" t="s">
        <v>444</v>
      </c>
      <c r="C252" s="72" t="s">
        <v>1469</v>
      </c>
      <c r="D252" s="72"/>
      <c r="E252" s="72"/>
      <c r="F252" s="72"/>
      <c r="G252" s="71" t="s">
        <v>445</v>
      </c>
      <c r="H252" s="72">
        <v>11</v>
      </c>
      <c r="I252" s="72">
        <v>537.79999999999995</v>
      </c>
      <c r="J252" s="72">
        <v>9.5</v>
      </c>
      <c r="K252" s="72">
        <v>4</v>
      </c>
      <c r="L252" s="821" t="s">
        <v>347</v>
      </c>
      <c r="M252" s="73"/>
      <c r="N252" s="30"/>
      <c r="O252" s="30"/>
      <c r="P252" s="73"/>
      <c r="Q252" s="30"/>
      <c r="R252" s="75"/>
      <c r="S252" s="822"/>
      <c r="T252" s="822"/>
      <c r="U252" s="823" t="s">
        <v>1471</v>
      </c>
      <c r="V252" s="77">
        <v>11</v>
      </c>
      <c r="W252" s="824" t="str">
        <f t="shared" si="7"/>
        <v>Typ A (Lehrberecht.in 3 Fächer, mehrheitl.nicht-wiss.Fächer)</v>
      </c>
    </row>
    <row r="253" spans="1:23" ht="12.75" x14ac:dyDescent="0.2">
      <c r="A253" s="74" t="str">
        <f t="shared" si="6"/>
        <v>407A.S1</v>
      </c>
      <c r="B253" s="25" t="s">
        <v>727</v>
      </c>
      <c r="C253" s="76">
        <v>407</v>
      </c>
      <c r="D253" s="76"/>
      <c r="E253" s="76"/>
      <c r="F253" s="76"/>
      <c r="G253" s="25" t="s">
        <v>728</v>
      </c>
      <c r="H253" s="76">
        <v>10</v>
      </c>
      <c r="I253" s="76"/>
      <c r="J253" s="76">
        <v>9.5</v>
      </c>
      <c r="K253" s="76">
        <v>4</v>
      </c>
      <c r="L253" s="846" t="s">
        <v>347</v>
      </c>
      <c r="M253" s="31"/>
      <c r="O253" s="32"/>
      <c r="P253" s="31"/>
      <c r="R253" s="32"/>
      <c r="S253" s="847"/>
      <c r="T253" s="847" t="s">
        <v>65</v>
      </c>
      <c r="U253" s="823" t="s">
        <v>1472</v>
      </c>
      <c r="V253" s="77">
        <v>10</v>
      </c>
      <c r="W253" s="824" t="str">
        <f t="shared" si="7"/>
        <v>Lehrperson Sek I (Lehrdipl. 2 Fächer)</v>
      </c>
    </row>
    <row r="254" spans="1:23" x14ac:dyDescent="0.25">
      <c r="A254" s="74" t="str">
        <f t="shared" si="6"/>
        <v>407B.11</v>
      </c>
      <c r="B254" s="71" t="s">
        <v>246</v>
      </c>
      <c r="C254" s="72" t="s">
        <v>1469</v>
      </c>
      <c r="D254" s="72"/>
      <c r="E254" s="72"/>
      <c r="F254" s="72"/>
      <c r="G254" s="71" t="s">
        <v>446</v>
      </c>
      <c r="H254" s="72">
        <v>11</v>
      </c>
      <c r="I254" s="72">
        <v>0</v>
      </c>
      <c r="J254" s="72">
        <v>9</v>
      </c>
      <c r="K254" s="72">
        <v>4</v>
      </c>
      <c r="L254" s="821" t="s">
        <v>351</v>
      </c>
      <c r="M254" s="73"/>
      <c r="N254" s="30"/>
      <c r="O254" s="30"/>
      <c r="P254" s="73"/>
      <c r="Q254" s="30"/>
      <c r="R254" s="75"/>
      <c r="S254" s="822"/>
      <c r="T254" s="822"/>
      <c r="U254" s="823" t="s">
        <v>1473</v>
      </c>
      <c r="V254" s="77">
        <v>11</v>
      </c>
      <c r="W254" s="824" t="str">
        <f t="shared" si="7"/>
        <v>Typ B (Lehrberecht.in 2 Fächer, mehrheitl.wiss.Fächer)</v>
      </c>
    </row>
    <row r="255" spans="1:23" x14ac:dyDescent="0.25">
      <c r="A255" s="74" t="str">
        <f t="shared" si="6"/>
        <v>407B.12</v>
      </c>
      <c r="B255" s="71" t="s">
        <v>447</v>
      </c>
      <c r="C255" s="72" t="s">
        <v>1469</v>
      </c>
      <c r="D255" s="72"/>
      <c r="E255" s="72"/>
      <c r="F255" s="72"/>
      <c r="G255" s="71" t="s">
        <v>448</v>
      </c>
      <c r="H255" s="72">
        <v>12</v>
      </c>
      <c r="I255" s="72">
        <v>0</v>
      </c>
      <c r="J255" s="72">
        <v>9</v>
      </c>
      <c r="K255" s="72">
        <v>4</v>
      </c>
      <c r="L255" s="821" t="s">
        <v>351</v>
      </c>
      <c r="M255" s="73"/>
      <c r="N255" s="30"/>
      <c r="O255" s="30"/>
      <c r="P255" s="73"/>
      <c r="Q255" s="30"/>
      <c r="R255" s="75"/>
      <c r="S255" s="822"/>
      <c r="T255" s="822"/>
      <c r="U255" s="823" t="s">
        <v>1474</v>
      </c>
      <c r="V255" s="77">
        <v>12</v>
      </c>
      <c r="W255" s="824" t="str">
        <f t="shared" si="7"/>
        <v>Typ B (Lehrberecht.in 2 Fächer, mehrheitl.nicht-wiss.Fächer)</v>
      </c>
    </row>
    <row r="256" spans="1:23" ht="12.75" x14ac:dyDescent="0.2">
      <c r="A256" s="74" t="str">
        <f t="shared" si="6"/>
        <v>407B.S1</v>
      </c>
      <c r="B256" s="25" t="s">
        <v>729</v>
      </c>
      <c r="C256" s="76">
        <v>407</v>
      </c>
      <c r="D256" s="76"/>
      <c r="E256" s="76"/>
      <c r="F256" s="76"/>
      <c r="G256" s="25" t="s">
        <v>730</v>
      </c>
      <c r="H256" s="76">
        <v>12</v>
      </c>
      <c r="I256" s="76"/>
      <c r="J256" s="76">
        <v>9.5</v>
      </c>
      <c r="K256" s="76">
        <v>4</v>
      </c>
      <c r="L256" s="846" t="s">
        <v>347</v>
      </c>
      <c r="M256" s="31"/>
      <c r="O256" s="32"/>
      <c r="P256" s="31"/>
      <c r="R256" s="32"/>
      <c r="S256" s="847"/>
      <c r="T256" s="847" t="s">
        <v>65</v>
      </c>
      <c r="U256" s="823" t="s">
        <v>1475</v>
      </c>
      <c r="V256" s="77">
        <v>12</v>
      </c>
      <c r="W256" s="824" t="str">
        <f t="shared" si="7"/>
        <v>Lehrperson Sek I (Lehrdipl. 1 Fächer)</v>
      </c>
    </row>
    <row r="257" spans="1:23" x14ac:dyDescent="0.25">
      <c r="A257" s="74" t="str">
        <f t="shared" si="6"/>
        <v>407C.12</v>
      </c>
      <c r="B257" s="71" t="s">
        <v>247</v>
      </c>
      <c r="C257" s="72" t="s">
        <v>1469</v>
      </c>
      <c r="D257" s="72"/>
      <c r="E257" s="72"/>
      <c r="F257" s="72"/>
      <c r="G257" s="71" t="s">
        <v>449</v>
      </c>
      <c r="H257" s="72">
        <v>12</v>
      </c>
      <c r="I257" s="72">
        <v>0</v>
      </c>
      <c r="J257" s="72">
        <v>9.5</v>
      </c>
      <c r="K257" s="72">
        <v>4</v>
      </c>
      <c r="L257" s="821" t="s">
        <v>347</v>
      </c>
      <c r="M257" s="73"/>
      <c r="N257" s="30"/>
      <c r="O257" s="30"/>
      <c r="P257" s="73"/>
      <c r="Q257" s="30"/>
      <c r="R257" s="75"/>
      <c r="S257" s="822"/>
      <c r="T257" s="822"/>
      <c r="U257" s="823" t="s">
        <v>1476</v>
      </c>
      <c r="V257" s="77">
        <v>12</v>
      </c>
      <c r="W257" s="824" t="str">
        <f t="shared" si="7"/>
        <v>Typ C (Lehrberecht.in einem wissenschaftl. Fach)</v>
      </c>
    </row>
    <row r="258" spans="1:23" ht="12.75" x14ac:dyDescent="0.2">
      <c r="A258" s="74" t="str">
        <f t="shared" ref="A258:A293" si="8">RIGHT(B258,LEN(B258)-1)</f>
        <v>407C.S1</v>
      </c>
      <c r="B258" s="25" t="s">
        <v>731</v>
      </c>
      <c r="C258" s="76">
        <v>407</v>
      </c>
      <c r="D258" s="76"/>
      <c r="E258" s="76"/>
      <c r="F258" s="76"/>
      <c r="G258" s="25" t="s">
        <v>732</v>
      </c>
      <c r="H258" s="76">
        <v>12</v>
      </c>
      <c r="I258" s="76"/>
      <c r="J258" s="76">
        <v>8</v>
      </c>
      <c r="K258" s="76">
        <v>4</v>
      </c>
      <c r="L258" s="846" t="s">
        <v>352</v>
      </c>
      <c r="M258" s="31"/>
      <c r="O258" s="32"/>
      <c r="P258" s="31"/>
      <c r="R258" s="32"/>
      <c r="S258" s="847"/>
      <c r="T258" s="847" t="s">
        <v>65</v>
      </c>
      <c r="U258" s="823" t="s">
        <v>1477</v>
      </c>
      <c r="V258" s="77">
        <v>12</v>
      </c>
      <c r="W258" s="824" t="str">
        <f t="shared" ref="W258:W321" si="9">G258</f>
        <v>Lehrperson Sek I (Lehrdipl. Niveau A)</v>
      </c>
    </row>
    <row r="259" spans="1:23" x14ac:dyDescent="0.25">
      <c r="A259" s="74" t="str">
        <f t="shared" si="8"/>
        <v>407D.13</v>
      </c>
      <c r="B259" s="71" t="s">
        <v>248</v>
      </c>
      <c r="C259" s="72" t="s">
        <v>1469</v>
      </c>
      <c r="D259" s="72"/>
      <c r="E259" s="72"/>
      <c r="F259" s="72"/>
      <c r="G259" s="71" t="s">
        <v>646</v>
      </c>
      <c r="H259" s="72">
        <v>13</v>
      </c>
      <c r="I259" s="72">
        <v>0</v>
      </c>
      <c r="J259" s="72">
        <v>9.5</v>
      </c>
      <c r="K259" s="72">
        <v>4</v>
      </c>
      <c r="L259" s="821" t="s">
        <v>347</v>
      </c>
      <c r="M259" s="73"/>
      <c r="N259" s="30"/>
      <c r="O259" s="30"/>
      <c r="P259" s="73"/>
      <c r="Q259" s="30"/>
      <c r="R259" s="75"/>
      <c r="S259" s="822"/>
      <c r="T259" s="822"/>
      <c r="U259" s="823" t="s">
        <v>1478</v>
      </c>
      <c r="V259" s="77">
        <v>13</v>
      </c>
      <c r="W259" s="824" t="str">
        <f t="shared" si="9"/>
        <v>Typ D (Lehrberecht.in einem nichtwiss.Fach)</v>
      </c>
    </row>
    <row r="260" spans="1:23" ht="12.75" x14ac:dyDescent="0.2">
      <c r="A260" s="74" t="str">
        <f t="shared" si="8"/>
        <v>407D.S1</v>
      </c>
      <c r="B260" s="25" t="s">
        <v>733</v>
      </c>
      <c r="C260" s="76">
        <v>407</v>
      </c>
      <c r="D260" s="76"/>
      <c r="E260" s="76"/>
      <c r="F260" s="76"/>
      <c r="G260" s="25" t="s">
        <v>734</v>
      </c>
      <c r="H260" s="76">
        <v>11</v>
      </c>
      <c r="I260" s="76"/>
      <c r="J260" s="76">
        <v>8.5</v>
      </c>
      <c r="K260" s="76">
        <v>4</v>
      </c>
      <c r="L260" s="846" t="s">
        <v>90</v>
      </c>
      <c r="M260" s="31"/>
      <c r="O260" s="32"/>
      <c r="P260" s="31"/>
      <c r="R260" s="32"/>
      <c r="S260" s="847"/>
      <c r="T260" s="847" t="s">
        <v>65</v>
      </c>
      <c r="U260" s="823" t="s">
        <v>1479</v>
      </c>
      <c r="V260" s="77">
        <v>11</v>
      </c>
      <c r="W260" s="824" t="str">
        <f t="shared" si="9"/>
        <v>Lehrperson Sek I (Lehrdipl. Niveau A m. BWK/CAS)</v>
      </c>
    </row>
    <row r="261" spans="1:23" x14ac:dyDescent="0.25">
      <c r="A261" s="74" t="str">
        <f t="shared" si="8"/>
        <v>407E.14</v>
      </c>
      <c r="B261" s="71" t="s">
        <v>450</v>
      </c>
      <c r="C261" s="72" t="s">
        <v>1469</v>
      </c>
      <c r="D261" s="72"/>
      <c r="E261" s="72"/>
      <c r="F261" s="72"/>
      <c r="G261" s="71" t="s">
        <v>451</v>
      </c>
      <c r="H261" s="72">
        <v>14</v>
      </c>
      <c r="I261" s="72" t="s">
        <v>65</v>
      </c>
      <c r="J261" s="72">
        <v>4</v>
      </c>
      <c r="K261" s="72">
        <v>4</v>
      </c>
      <c r="L261" s="821" t="s">
        <v>89</v>
      </c>
      <c r="M261" s="73"/>
      <c r="N261" s="30"/>
      <c r="O261" s="30"/>
      <c r="P261" s="73"/>
      <c r="Q261" s="30"/>
      <c r="R261" s="75"/>
      <c r="S261" s="822"/>
      <c r="T261" s="822"/>
      <c r="U261" s="823" t="s">
        <v>1480</v>
      </c>
      <c r="V261" s="77">
        <v>14</v>
      </c>
      <c r="W261" s="824" t="str">
        <f t="shared" si="9"/>
        <v>Lehrer/in Sek.I (Student&gt;=3Semester)</v>
      </c>
    </row>
    <row r="262" spans="1:23" ht="12.75" x14ac:dyDescent="0.2">
      <c r="A262" s="74" t="str">
        <f t="shared" si="8"/>
        <v>407E.16</v>
      </c>
      <c r="B262" s="28" t="s">
        <v>452</v>
      </c>
      <c r="C262" s="79" t="s">
        <v>1469</v>
      </c>
      <c r="D262" s="79"/>
      <c r="E262" s="79"/>
      <c r="F262" s="79"/>
      <c r="G262" s="28" t="s">
        <v>453</v>
      </c>
      <c r="H262" s="79">
        <v>16</v>
      </c>
      <c r="I262" s="79" t="s">
        <v>65</v>
      </c>
      <c r="J262" s="79">
        <v>4</v>
      </c>
      <c r="K262" s="79">
        <v>4</v>
      </c>
      <c r="L262" s="833" t="s">
        <v>89</v>
      </c>
      <c r="M262" s="35"/>
      <c r="N262" s="36"/>
      <c r="O262" s="36"/>
      <c r="P262" s="35"/>
      <c r="Q262" s="36"/>
      <c r="R262" s="36"/>
      <c r="S262" s="834" t="s">
        <v>65</v>
      </c>
      <c r="T262" s="834" t="s">
        <v>65</v>
      </c>
      <c r="U262" s="823" t="s">
        <v>1481</v>
      </c>
      <c r="V262" s="77">
        <v>16</v>
      </c>
      <c r="W262" s="824" t="str">
        <f t="shared" si="9"/>
        <v>Lehrer/in Sek.I (Student&lt;3Semester)</v>
      </c>
    </row>
    <row r="263" spans="1:23" ht="12.75" x14ac:dyDescent="0.2">
      <c r="A263" s="74" t="str">
        <f t="shared" si="8"/>
        <v>407E.S1</v>
      </c>
      <c r="B263" s="25" t="s">
        <v>735</v>
      </c>
      <c r="C263" s="76">
        <v>407</v>
      </c>
      <c r="D263" s="76"/>
      <c r="E263" s="76"/>
      <c r="F263" s="76"/>
      <c r="G263" s="25" t="s">
        <v>736</v>
      </c>
      <c r="H263" s="76">
        <v>13</v>
      </c>
      <c r="I263" s="76"/>
      <c r="J263" s="76">
        <v>8</v>
      </c>
      <c r="K263" s="76">
        <v>4</v>
      </c>
      <c r="L263" s="846" t="s">
        <v>352</v>
      </c>
      <c r="M263" s="31"/>
      <c r="O263" s="32"/>
      <c r="P263" s="31"/>
      <c r="R263" s="32"/>
      <c r="S263" s="847"/>
      <c r="T263" s="847" t="s">
        <v>65</v>
      </c>
      <c r="U263" s="823" t="s">
        <v>1482</v>
      </c>
      <c r="V263" s="77">
        <v>13</v>
      </c>
      <c r="W263" s="824" t="str">
        <f t="shared" si="9"/>
        <v>Lehrperson Sek I (Lehrdipl. andere Schulstufe Volkssch.)</v>
      </c>
    </row>
    <row r="264" spans="1:23" x14ac:dyDescent="0.25">
      <c r="A264" s="74" t="str">
        <f t="shared" si="8"/>
        <v>407F.10</v>
      </c>
      <c r="B264" s="71" t="s">
        <v>454</v>
      </c>
      <c r="C264" s="72" t="s">
        <v>1469</v>
      </c>
      <c r="D264" s="72"/>
      <c r="E264" s="72"/>
      <c r="F264" s="72"/>
      <c r="G264" s="71" t="s">
        <v>455</v>
      </c>
      <c r="H264" s="72">
        <v>10</v>
      </c>
      <c r="I264" s="72" t="s">
        <v>65</v>
      </c>
      <c r="J264" s="72">
        <v>8.5</v>
      </c>
      <c r="K264" s="72">
        <v>4</v>
      </c>
      <c r="L264" s="821" t="s">
        <v>90</v>
      </c>
      <c r="M264" s="73"/>
      <c r="N264" s="30"/>
      <c r="O264" s="30"/>
      <c r="P264" s="73"/>
      <c r="Q264" s="30"/>
      <c r="R264" s="75"/>
      <c r="S264" s="822"/>
      <c r="T264" s="822"/>
      <c r="U264" s="823" t="s">
        <v>1483</v>
      </c>
      <c r="V264" s="77">
        <v>10</v>
      </c>
      <c r="W264" s="824" t="str">
        <f t="shared" si="9"/>
        <v>Lehrer/in Sek.I (&gt;=3 Fächer)</v>
      </c>
    </row>
    <row r="265" spans="1:23" x14ac:dyDescent="0.25">
      <c r="A265" s="74" t="str">
        <f t="shared" si="8"/>
        <v>407F.11</v>
      </c>
      <c r="B265" s="71" t="s">
        <v>456</v>
      </c>
      <c r="C265" s="72" t="s">
        <v>1469</v>
      </c>
      <c r="D265" s="72"/>
      <c r="E265" s="72"/>
      <c r="F265" s="72"/>
      <c r="G265" s="71" t="s">
        <v>457</v>
      </c>
      <c r="H265" s="72">
        <v>11</v>
      </c>
      <c r="I265" s="72" t="s">
        <v>65</v>
      </c>
      <c r="J265" s="72">
        <v>8.5</v>
      </c>
      <c r="K265" s="72">
        <v>4</v>
      </c>
      <c r="L265" s="821" t="s">
        <v>90</v>
      </c>
      <c r="M265" s="73"/>
      <c r="N265" s="30"/>
      <c r="O265" s="30"/>
      <c r="P265" s="73"/>
      <c r="Q265" s="30"/>
      <c r="R265" s="75"/>
      <c r="S265" s="822"/>
      <c r="T265" s="822"/>
      <c r="U265" s="823" t="s">
        <v>1484</v>
      </c>
      <c r="V265" s="77">
        <v>11</v>
      </c>
      <c r="W265" s="824" t="str">
        <f t="shared" si="9"/>
        <v>Lehrer/in Sek.I (=2 Fächer)</v>
      </c>
    </row>
    <row r="266" spans="1:23" x14ac:dyDescent="0.25">
      <c r="A266" s="74" t="str">
        <f t="shared" si="8"/>
        <v>407F.12</v>
      </c>
      <c r="B266" s="71" t="s">
        <v>458</v>
      </c>
      <c r="C266" s="72" t="s">
        <v>1469</v>
      </c>
      <c r="D266" s="72"/>
      <c r="E266" s="72"/>
      <c r="F266" s="72"/>
      <c r="G266" s="71" t="s">
        <v>459</v>
      </c>
      <c r="H266" s="72">
        <v>12</v>
      </c>
      <c r="I266" s="72" t="s">
        <v>65</v>
      </c>
      <c r="J266" s="72">
        <v>8.5</v>
      </c>
      <c r="K266" s="72">
        <v>4</v>
      </c>
      <c r="L266" s="821" t="s">
        <v>90</v>
      </c>
      <c r="M266" s="73"/>
      <c r="N266" s="30"/>
      <c r="O266" s="30"/>
      <c r="P266" s="73"/>
      <c r="Q266" s="30"/>
      <c r="R266" s="75"/>
      <c r="S266" s="822"/>
      <c r="T266" s="822"/>
      <c r="U266" s="823" t="s">
        <v>1485</v>
      </c>
      <c r="V266" s="77">
        <v>12</v>
      </c>
      <c r="W266" s="824" t="str">
        <f t="shared" si="9"/>
        <v>Lehrer/in Sek.I (ein wiss. Fach)</v>
      </c>
    </row>
    <row r="267" spans="1:23" x14ac:dyDescent="0.25">
      <c r="A267" s="74" t="str">
        <f t="shared" si="8"/>
        <v>407F.13</v>
      </c>
      <c r="B267" s="71" t="s">
        <v>460</v>
      </c>
      <c r="C267" s="72" t="s">
        <v>1469</v>
      </c>
      <c r="D267" s="72"/>
      <c r="E267" s="72"/>
      <c r="F267" s="72"/>
      <c r="G267" s="71" t="s">
        <v>461</v>
      </c>
      <c r="H267" s="72">
        <v>13</v>
      </c>
      <c r="I267" s="72" t="s">
        <v>65</v>
      </c>
      <c r="J267" s="72">
        <v>8.5</v>
      </c>
      <c r="K267" s="72">
        <v>4</v>
      </c>
      <c r="L267" s="821" t="s">
        <v>90</v>
      </c>
      <c r="M267" s="73"/>
      <c r="N267" s="30"/>
      <c r="O267" s="30"/>
      <c r="P267" s="73"/>
      <c r="Q267" s="30"/>
      <c r="R267" s="75"/>
      <c r="S267" s="822"/>
      <c r="T267" s="822"/>
      <c r="U267" s="823" t="s">
        <v>1486</v>
      </c>
      <c r="V267" s="77">
        <v>13</v>
      </c>
      <c r="W267" s="824" t="str">
        <f t="shared" si="9"/>
        <v>Lehrer/in Sek.I (ein nicht-wiss. Fach)</v>
      </c>
    </row>
    <row r="268" spans="1:23" ht="12.75" x14ac:dyDescent="0.2">
      <c r="A268" s="74" t="str">
        <f t="shared" si="8"/>
        <v>407F.S1</v>
      </c>
      <c r="B268" s="25" t="s">
        <v>1100</v>
      </c>
      <c r="C268" s="76">
        <v>407</v>
      </c>
      <c r="D268" s="76"/>
      <c r="E268" s="76"/>
      <c r="F268" s="76"/>
      <c r="G268" s="25" t="s">
        <v>1101</v>
      </c>
      <c r="H268" s="76">
        <v>10</v>
      </c>
      <c r="I268" s="76"/>
      <c r="J268" s="76">
        <v>9.5</v>
      </c>
      <c r="K268" s="76">
        <v>4</v>
      </c>
      <c r="L268" s="846" t="s">
        <v>347</v>
      </c>
      <c r="M268" s="31"/>
      <c r="O268" s="32"/>
      <c r="P268" s="31"/>
      <c r="R268" s="32"/>
      <c r="S268" s="847"/>
      <c r="T268" s="847" t="s">
        <v>65</v>
      </c>
      <c r="U268" s="823" t="s">
        <v>1487</v>
      </c>
      <c r="V268" s="77">
        <v>10</v>
      </c>
      <c r="W268" s="824" t="str">
        <f t="shared" si="9"/>
        <v>Lehrperson Sek I (Lehrdipl. Sek II - 2 Fächer)</v>
      </c>
    </row>
    <row r="269" spans="1:23" x14ac:dyDescent="0.25">
      <c r="A269" s="74" t="str">
        <f t="shared" si="8"/>
        <v>407G.13</v>
      </c>
      <c r="B269" s="71" t="s">
        <v>462</v>
      </c>
      <c r="C269" s="72" t="s">
        <v>1469</v>
      </c>
      <c r="D269" s="72"/>
      <c r="E269" s="72"/>
      <c r="F269" s="72"/>
      <c r="G269" s="71" t="s">
        <v>463</v>
      </c>
      <c r="H269" s="72">
        <v>13</v>
      </c>
      <c r="I269" s="72" t="s">
        <v>65</v>
      </c>
      <c r="J269" s="72">
        <v>6.5</v>
      </c>
      <c r="K269" s="72">
        <v>3</v>
      </c>
      <c r="L269" s="821" t="s">
        <v>346</v>
      </c>
      <c r="M269" s="73"/>
      <c r="N269" s="30"/>
      <c r="O269" s="30"/>
      <c r="P269" s="73"/>
      <c r="Q269" s="30"/>
      <c r="R269" s="75"/>
      <c r="S269" s="822"/>
      <c r="T269" s="822"/>
      <c r="U269" s="823" t="s">
        <v>1488</v>
      </c>
      <c r="V269" s="77">
        <v>13</v>
      </c>
      <c r="W269" s="824" t="str">
        <f t="shared" si="9"/>
        <v>Lehrer/in Sek.I (Primarlehrpatent)</v>
      </c>
    </row>
    <row r="270" spans="1:23" ht="12.75" x14ac:dyDescent="0.2">
      <c r="A270" s="74" t="str">
        <f t="shared" si="8"/>
        <v>407G.S1</v>
      </c>
      <c r="B270" s="25" t="s">
        <v>1102</v>
      </c>
      <c r="C270" s="76">
        <v>407</v>
      </c>
      <c r="D270" s="76"/>
      <c r="E270" s="76"/>
      <c r="F270" s="76"/>
      <c r="G270" s="25" t="s">
        <v>1103</v>
      </c>
      <c r="H270" s="76">
        <v>12</v>
      </c>
      <c r="I270" s="76"/>
      <c r="J270" s="76">
        <v>9.5</v>
      </c>
      <c r="K270" s="76">
        <v>4</v>
      </c>
      <c r="L270" s="846" t="s">
        <v>347</v>
      </c>
      <c r="M270" s="31"/>
      <c r="O270" s="32"/>
      <c r="P270" s="31"/>
      <c r="R270" s="32"/>
      <c r="S270" s="847"/>
      <c r="T270" s="847" t="s">
        <v>65</v>
      </c>
      <c r="U270" s="823" t="s">
        <v>1489</v>
      </c>
      <c r="V270" s="77">
        <v>12</v>
      </c>
      <c r="W270" s="824" t="str">
        <f t="shared" si="9"/>
        <v>Lehrperson Sek I (Lehrdipl. Sek II - 1 Fach)</v>
      </c>
    </row>
    <row r="271" spans="1:23" x14ac:dyDescent="0.25">
      <c r="A271" s="74" t="str">
        <f t="shared" si="8"/>
        <v>407H.12</v>
      </c>
      <c r="B271" s="71" t="s">
        <v>464</v>
      </c>
      <c r="C271" s="72" t="s">
        <v>1469</v>
      </c>
      <c r="D271" s="72"/>
      <c r="E271" s="72"/>
      <c r="F271" s="72"/>
      <c r="G271" s="71" t="s">
        <v>465</v>
      </c>
      <c r="H271" s="72">
        <v>12</v>
      </c>
      <c r="I271" s="72" t="s">
        <v>65</v>
      </c>
      <c r="J271" s="72">
        <v>8</v>
      </c>
      <c r="K271" s="72">
        <v>4</v>
      </c>
      <c r="L271" s="821" t="s">
        <v>352</v>
      </c>
      <c r="M271" s="73"/>
      <c r="N271" s="30"/>
      <c r="O271" s="30"/>
      <c r="P271" s="73"/>
      <c r="Q271" s="30"/>
      <c r="R271" s="75"/>
      <c r="S271" s="822"/>
      <c r="T271" s="822"/>
      <c r="U271" s="823" t="s">
        <v>1490</v>
      </c>
      <c r="V271" s="77">
        <v>12</v>
      </c>
      <c r="W271" s="824" t="str">
        <f t="shared" si="9"/>
        <v>Lehrer/in Sek.I (Liz./Master, &gt;=2 Fächer)</v>
      </c>
    </row>
    <row r="272" spans="1:23" x14ac:dyDescent="0.25">
      <c r="A272" s="74" t="str">
        <f t="shared" si="8"/>
        <v>407H.13</v>
      </c>
      <c r="B272" s="71" t="s">
        <v>466</v>
      </c>
      <c r="C272" s="72" t="s">
        <v>1469</v>
      </c>
      <c r="D272" s="72"/>
      <c r="E272" s="72"/>
      <c r="F272" s="72"/>
      <c r="G272" s="71" t="s">
        <v>467</v>
      </c>
      <c r="H272" s="72">
        <v>13</v>
      </c>
      <c r="I272" s="72" t="s">
        <v>65</v>
      </c>
      <c r="J272" s="72">
        <v>8</v>
      </c>
      <c r="K272" s="72">
        <v>4</v>
      </c>
      <c r="L272" s="821" t="s">
        <v>352</v>
      </c>
      <c r="M272" s="73"/>
      <c r="N272" s="30"/>
      <c r="O272" s="30"/>
      <c r="P272" s="73"/>
      <c r="Q272" s="30"/>
      <c r="R272" s="75"/>
      <c r="S272" s="822"/>
      <c r="T272" s="822"/>
      <c r="U272" s="823" t="s">
        <v>1491</v>
      </c>
      <c r="V272" s="77">
        <v>13</v>
      </c>
      <c r="W272" s="824" t="str">
        <f t="shared" si="9"/>
        <v>Lehrer/in Sek.I (Liz./Master, 1 Fach)</v>
      </c>
    </row>
    <row r="273" spans="1:23" ht="12.75" x14ac:dyDescent="0.2">
      <c r="A273" s="74" t="str">
        <f t="shared" si="8"/>
        <v>407H.S1</v>
      </c>
      <c r="B273" s="25" t="s">
        <v>1104</v>
      </c>
      <c r="C273" s="76">
        <v>407</v>
      </c>
      <c r="D273" s="76"/>
      <c r="E273" s="76"/>
      <c r="F273" s="76"/>
      <c r="G273" s="25" t="s">
        <v>1105</v>
      </c>
      <c r="H273" s="76">
        <v>13</v>
      </c>
      <c r="I273" s="76"/>
      <c r="J273" s="76">
        <v>8</v>
      </c>
      <c r="K273" s="76">
        <v>4</v>
      </c>
      <c r="L273" s="846" t="s">
        <v>352</v>
      </c>
      <c r="M273" s="31"/>
      <c r="O273" s="32"/>
      <c r="P273" s="31"/>
      <c r="R273" s="32"/>
      <c r="S273" s="847"/>
      <c r="T273" s="847" t="s">
        <v>65</v>
      </c>
      <c r="U273" s="823" t="s">
        <v>1492</v>
      </c>
      <c r="V273" s="77">
        <v>13</v>
      </c>
      <c r="W273" s="824" t="str">
        <f t="shared" si="9"/>
        <v>Lehrperson Sek I (in Ausb. - m. Abschluss BA)</v>
      </c>
    </row>
    <row r="274" spans="1:23" x14ac:dyDescent="0.25">
      <c r="A274" s="74" t="str">
        <f t="shared" si="8"/>
        <v>407I.14</v>
      </c>
      <c r="B274" s="71" t="s">
        <v>468</v>
      </c>
      <c r="C274" s="72" t="s">
        <v>1469</v>
      </c>
      <c r="D274" s="72"/>
      <c r="E274" s="72"/>
      <c r="F274" s="72"/>
      <c r="G274" s="71" t="s">
        <v>469</v>
      </c>
      <c r="H274" s="72">
        <v>14</v>
      </c>
      <c r="I274" s="72" t="s">
        <v>65</v>
      </c>
      <c r="J274" s="72">
        <v>6.5</v>
      </c>
      <c r="K274" s="72">
        <v>4</v>
      </c>
      <c r="L274" s="821" t="s">
        <v>346</v>
      </c>
      <c r="M274" s="73"/>
      <c r="N274" s="30"/>
      <c r="O274" s="30"/>
      <c r="P274" s="73"/>
      <c r="Q274" s="30"/>
      <c r="R274" s="75"/>
      <c r="S274" s="822"/>
      <c r="T274" s="822"/>
      <c r="U274" s="823" t="s">
        <v>1493</v>
      </c>
      <c r="V274" s="77">
        <v>14</v>
      </c>
      <c r="W274" s="824" t="str">
        <f t="shared" si="9"/>
        <v>Lehrer/in Sek.I (Berufslehre+päd.Ausb.,&gt;=2 Fächer)</v>
      </c>
    </row>
    <row r="275" spans="1:23" x14ac:dyDescent="0.25">
      <c r="A275" s="74" t="str">
        <f t="shared" si="8"/>
        <v>407I.15</v>
      </c>
      <c r="B275" s="71" t="s">
        <v>470</v>
      </c>
      <c r="C275" s="72" t="s">
        <v>1469</v>
      </c>
      <c r="D275" s="72"/>
      <c r="E275" s="72"/>
      <c r="F275" s="72"/>
      <c r="G275" s="71" t="s">
        <v>471</v>
      </c>
      <c r="H275" s="72">
        <v>15</v>
      </c>
      <c r="I275" s="72" t="s">
        <v>65</v>
      </c>
      <c r="J275" s="72">
        <v>6.5</v>
      </c>
      <c r="K275" s="72">
        <v>4</v>
      </c>
      <c r="L275" s="821" t="s">
        <v>346</v>
      </c>
      <c r="M275" s="73"/>
      <c r="N275" s="30"/>
      <c r="O275" s="30"/>
      <c r="P275" s="73"/>
      <c r="Q275" s="30"/>
      <c r="R275" s="75"/>
      <c r="S275" s="822"/>
      <c r="T275" s="822"/>
      <c r="U275" s="823" t="s">
        <v>1494</v>
      </c>
      <c r="V275" s="77">
        <v>15</v>
      </c>
      <c r="W275" s="824" t="str">
        <f t="shared" si="9"/>
        <v>Lehrer/in Sek.I (Berufslehre+päd.Ausb.,1 Fach)</v>
      </c>
    </row>
    <row r="276" spans="1:23" ht="12.75" x14ac:dyDescent="0.2">
      <c r="A276" s="74" t="str">
        <f t="shared" si="8"/>
        <v>407I.S1</v>
      </c>
      <c r="B276" s="25" t="s">
        <v>1106</v>
      </c>
      <c r="C276" s="76">
        <v>407</v>
      </c>
      <c r="D276" s="76"/>
      <c r="E276" s="76"/>
      <c r="F276" s="76"/>
      <c r="G276" s="25" t="s">
        <v>1107</v>
      </c>
      <c r="H276" s="76">
        <v>15</v>
      </c>
      <c r="I276" s="76"/>
      <c r="J276" s="76">
        <v>2</v>
      </c>
      <c r="K276" s="76">
        <v>4</v>
      </c>
      <c r="L276" s="846" t="s">
        <v>344</v>
      </c>
      <c r="M276" s="31"/>
      <c r="O276" s="32"/>
      <c r="P276" s="31"/>
      <c r="R276" s="32"/>
      <c r="S276" s="847"/>
      <c r="T276" s="847" t="s">
        <v>65</v>
      </c>
      <c r="U276" s="823" t="s">
        <v>1495</v>
      </c>
      <c r="V276" s="77">
        <v>15</v>
      </c>
      <c r="W276" s="824" t="str">
        <f t="shared" si="9"/>
        <v>Lehrperson Sek I (k. Lehrdiplom)</v>
      </c>
    </row>
    <row r="277" spans="1:23" ht="12.75" x14ac:dyDescent="0.2">
      <c r="A277" s="74" t="str">
        <f t="shared" si="8"/>
        <v>407J.16</v>
      </c>
      <c r="B277" s="28" t="s">
        <v>472</v>
      </c>
      <c r="C277" s="79" t="s">
        <v>1469</v>
      </c>
      <c r="D277" s="79"/>
      <c r="E277" s="79"/>
      <c r="F277" s="79"/>
      <c r="G277" s="28" t="s">
        <v>473</v>
      </c>
      <c r="H277" s="79">
        <v>16</v>
      </c>
      <c r="I277" s="79" t="s">
        <v>65</v>
      </c>
      <c r="J277" s="79">
        <v>5</v>
      </c>
      <c r="K277" s="79">
        <v>3</v>
      </c>
      <c r="L277" s="833" t="s">
        <v>87</v>
      </c>
      <c r="M277" s="35"/>
      <c r="N277" s="36"/>
      <c r="O277" s="36"/>
      <c r="P277" s="35"/>
      <c r="Q277" s="36"/>
      <c r="R277" s="36"/>
      <c r="S277" s="834" t="s">
        <v>65</v>
      </c>
      <c r="T277" s="834" t="s">
        <v>65</v>
      </c>
      <c r="U277" s="823" t="s">
        <v>1496</v>
      </c>
      <c r="V277" s="77">
        <v>16</v>
      </c>
      <c r="W277" s="824" t="str">
        <f t="shared" si="9"/>
        <v>Lehrer/in Sek.I (Berufslehre)</v>
      </c>
    </row>
    <row r="278" spans="1:23" x14ac:dyDescent="0.25">
      <c r="A278" s="74" t="str">
        <f t="shared" si="8"/>
        <v>407K.12</v>
      </c>
      <c r="B278" s="71" t="s">
        <v>644</v>
      </c>
      <c r="C278" s="72" t="s">
        <v>1469</v>
      </c>
      <c r="D278" s="72"/>
      <c r="E278" s="72"/>
      <c r="F278" s="72" t="s">
        <v>1469</v>
      </c>
      <c r="G278" s="71" t="s">
        <v>641</v>
      </c>
      <c r="H278" s="72" t="s">
        <v>1497</v>
      </c>
      <c r="I278" s="72"/>
      <c r="J278" s="72">
        <v>9</v>
      </c>
      <c r="K278" s="72">
        <v>4</v>
      </c>
      <c r="L278" s="821" t="s">
        <v>351</v>
      </c>
      <c r="M278" s="73"/>
      <c r="N278" s="30"/>
      <c r="O278" s="30"/>
      <c r="P278" s="73"/>
      <c r="Q278" s="30"/>
      <c r="R278" s="75"/>
      <c r="S278" s="822"/>
      <c r="T278" s="822"/>
      <c r="U278" s="823" t="s">
        <v>1498</v>
      </c>
      <c r="V278" s="77" t="s">
        <v>1497</v>
      </c>
      <c r="W278" s="824" t="str">
        <f t="shared" si="9"/>
        <v>Typ K (Monofach Sport Sek. I)</v>
      </c>
    </row>
    <row r="279" spans="1:23" x14ac:dyDescent="0.25">
      <c r="A279" s="74" t="str">
        <f t="shared" si="8"/>
        <v>407K.13</v>
      </c>
      <c r="B279" s="71" t="s">
        <v>664</v>
      </c>
      <c r="C279" s="72" t="s">
        <v>1469</v>
      </c>
      <c r="D279" s="72"/>
      <c r="E279" s="72"/>
      <c r="F279" s="72" t="s">
        <v>1469</v>
      </c>
      <c r="G279" s="71" t="s">
        <v>665</v>
      </c>
      <c r="H279" s="72">
        <v>13</v>
      </c>
      <c r="I279" s="72"/>
      <c r="J279" s="72">
        <v>8</v>
      </c>
      <c r="K279" s="72">
        <v>4</v>
      </c>
      <c r="L279" s="821" t="s">
        <v>352</v>
      </c>
      <c r="M279" s="73"/>
      <c r="N279" s="30"/>
      <c r="O279" s="30"/>
      <c r="P279" s="73"/>
      <c r="Q279" s="30"/>
      <c r="R279" s="75"/>
      <c r="S279" s="822"/>
      <c r="T279" s="822"/>
      <c r="U279" s="823" t="s">
        <v>1499</v>
      </c>
      <c r="V279" s="77">
        <v>13</v>
      </c>
      <c r="W279" s="824" t="str">
        <f t="shared" si="9"/>
        <v>Typ K (Monofach Sport Sek. I, mit Bachelor ohne Lehrdiplom)</v>
      </c>
    </row>
    <row r="280" spans="1:23" x14ac:dyDescent="0.25">
      <c r="A280" s="74" t="str">
        <f t="shared" si="8"/>
        <v>407L.10</v>
      </c>
      <c r="B280" s="71" t="s">
        <v>626</v>
      </c>
      <c r="C280" s="72" t="s">
        <v>1469</v>
      </c>
      <c r="D280" s="72"/>
      <c r="E280" s="72"/>
      <c r="F280" s="72"/>
      <c r="G280" s="71" t="s">
        <v>629</v>
      </c>
      <c r="H280" s="72">
        <v>10</v>
      </c>
      <c r="I280" s="72" t="s">
        <v>65</v>
      </c>
      <c r="J280" s="72">
        <v>9.5</v>
      </c>
      <c r="K280" s="72">
        <v>4</v>
      </c>
      <c r="L280" s="821" t="s">
        <v>347</v>
      </c>
      <c r="M280" s="73"/>
      <c r="N280" s="30"/>
      <c r="O280" s="30"/>
      <c r="P280" s="73"/>
      <c r="Q280" s="30"/>
      <c r="R280" s="75"/>
      <c r="S280" s="822"/>
      <c r="T280" s="822"/>
      <c r="U280" s="823" t="s">
        <v>1500</v>
      </c>
      <c r="V280" s="77">
        <v>10</v>
      </c>
      <c r="W280" s="824" t="str">
        <f t="shared" si="9"/>
        <v>Lehrer/in Sek.I Niveau A, E &amp; P mit mind. 3 Fächer</v>
      </c>
    </row>
    <row r="281" spans="1:23" x14ac:dyDescent="0.25">
      <c r="A281" s="74" t="str">
        <f t="shared" si="8"/>
        <v>407L.11</v>
      </c>
      <c r="B281" s="71" t="s">
        <v>632</v>
      </c>
      <c r="C281" s="72" t="s">
        <v>1469</v>
      </c>
      <c r="D281" s="72"/>
      <c r="E281" s="72"/>
      <c r="F281" s="72"/>
      <c r="G281" s="71" t="s">
        <v>633</v>
      </c>
      <c r="H281" s="72">
        <v>11</v>
      </c>
      <c r="I281" s="72" t="s">
        <v>65</v>
      </c>
      <c r="J281" s="72">
        <v>9.5</v>
      </c>
      <c r="K281" s="72">
        <v>4</v>
      </c>
      <c r="L281" s="821" t="s">
        <v>347</v>
      </c>
      <c r="M281" s="73"/>
      <c r="N281" s="30"/>
      <c r="O281" s="30"/>
      <c r="P281" s="73"/>
      <c r="Q281" s="30"/>
      <c r="R281" s="75"/>
      <c r="S281" s="822"/>
      <c r="T281" s="822"/>
      <c r="U281" s="823" t="s">
        <v>1501</v>
      </c>
      <c r="V281" s="77">
        <v>11</v>
      </c>
      <c r="W281" s="824" t="str">
        <f t="shared" si="9"/>
        <v>Lehrer/in Sek.I Niveau A, E &amp; P mit mind. 3 Fächer nichtwiss.</v>
      </c>
    </row>
    <row r="282" spans="1:23" x14ac:dyDescent="0.25">
      <c r="A282" s="74" t="str">
        <f t="shared" si="8"/>
        <v>407M.11</v>
      </c>
      <c r="B282" s="71" t="s">
        <v>627</v>
      </c>
      <c r="C282" s="72" t="s">
        <v>1469</v>
      </c>
      <c r="D282" s="72"/>
      <c r="E282" s="72"/>
      <c r="F282" s="72"/>
      <c r="G282" s="71" t="s">
        <v>630</v>
      </c>
      <c r="H282" s="72">
        <v>11</v>
      </c>
      <c r="I282" s="72" t="s">
        <v>65</v>
      </c>
      <c r="J282" s="72">
        <v>9.5</v>
      </c>
      <c r="K282" s="72">
        <v>4</v>
      </c>
      <c r="L282" s="821" t="s">
        <v>347</v>
      </c>
      <c r="M282" s="73"/>
      <c r="N282" s="30"/>
      <c r="O282" s="30"/>
      <c r="P282" s="73"/>
      <c r="Q282" s="30"/>
      <c r="R282" s="75"/>
      <c r="S282" s="822"/>
      <c r="T282" s="822"/>
      <c r="U282" s="823" t="s">
        <v>1502</v>
      </c>
      <c r="V282" s="77">
        <v>11</v>
      </c>
      <c r="W282" s="824" t="str">
        <f t="shared" si="9"/>
        <v>Lehrer/in Sek.I Niveau A, E &amp; P mit 2 Fächer</v>
      </c>
    </row>
    <row r="283" spans="1:23" x14ac:dyDescent="0.25">
      <c r="A283" s="74" t="str">
        <f t="shared" si="8"/>
        <v>407M.12</v>
      </c>
      <c r="B283" s="71" t="s">
        <v>628</v>
      </c>
      <c r="C283" s="72" t="s">
        <v>1469</v>
      </c>
      <c r="D283" s="72"/>
      <c r="E283" s="72"/>
      <c r="F283" s="72"/>
      <c r="G283" s="71" t="s">
        <v>631</v>
      </c>
      <c r="H283" s="72">
        <v>12</v>
      </c>
      <c r="I283" s="72" t="s">
        <v>65</v>
      </c>
      <c r="J283" s="72">
        <v>9.5</v>
      </c>
      <c r="K283" s="72">
        <v>4</v>
      </c>
      <c r="L283" s="821" t="s">
        <v>347</v>
      </c>
      <c r="M283" s="73"/>
      <c r="N283" s="30"/>
      <c r="O283" s="30"/>
      <c r="P283" s="73"/>
      <c r="Q283" s="30"/>
      <c r="R283" s="75"/>
      <c r="S283" s="822"/>
      <c r="T283" s="822"/>
      <c r="U283" s="823" t="s">
        <v>1503</v>
      </c>
      <c r="V283" s="77">
        <v>12</v>
      </c>
      <c r="W283" s="824" t="str">
        <f t="shared" si="9"/>
        <v>Lehrer/in Sek.I Niveau A, E &amp; P mit nichtwiss.2 Fächer</v>
      </c>
    </row>
    <row r="284" spans="1:23" x14ac:dyDescent="0.25">
      <c r="A284" s="74" t="str">
        <f t="shared" si="8"/>
        <v>407N.12</v>
      </c>
      <c r="B284" s="71" t="s">
        <v>666</v>
      </c>
      <c r="C284" s="72" t="s">
        <v>1469</v>
      </c>
      <c r="D284" s="72"/>
      <c r="E284" s="72"/>
      <c r="F284" s="72"/>
      <c r="G284" s="71" t="s">
        <v>668</v>
      </c>
      <c r="H284" s="72">
        <v>12</v>
      </c>
      <c r="I284" s="72" t="s">
        <v>65</v>
      </c>
      <c r="J284" s="72">
        <v>9.5</v>
      </c>
      <c r="K284" s="72">
        <v>4</v>
      </c>
      <c r="L284" s="821" t="s">
        <v>347</v>
      </c>
      <c r="M284" s="73"/>
      <c r="N284" s="30"/>
      <c r="O284" s="30"/>
      <c r="P284" s="73"/>
      <c r="Q284" s="30"/>
      <c r="R284" s="75"/>
      <c r="S284" s="822"/>
      <c r="T284" s="822"/>
      <c r="U284" s="823" t="s">
        <v>1504</v>
      </c>
      <c r="V284" s="77">
        <v>12</v>
      </c>
      <c r="W284" s="824" t="str">
        <f t="shared" si="9"/>
        <v>Lehrer/in Sek.I Niveau A, E &amp; P Monofach wiss.</v>
      </c>
    </row>
    <row r="285" spans="1:23" x14ac:dyDescent="0.25">
      <c r="A285" s="74" t="str">
        <f t="shared" si="8"/>
        <v>407N.13</v>
      </c>
      <c r="B285" s="71" t="s">
        <v>667</v>
      </c>
      <c r="C285" s="72" t="s">
        <v>1469</v>
      </c>
      <c r="D285" s="72"/>
      <c r="E285" s="72"/>
      <c r="F285" s="72"/>
      <c r="G285" s="71" t="s">
        <v>669</v>
      </c>
      <c r="H285" s="72">
        <v>13</v>
      </c>
      <c r="I285" s="72" t="s">
        <v>65</v>
      </c>
      <c r="J285" s="72">
        <v>9.5</v>
      </c>
      <c r="K285" s="72">
        <v>4</v>
      </c>
      <c r="L285" s="821" t="s">
        <v>347</v>
      </c>
      <c r="M285" s="73"/>
      <c r="N285" s="30"/>
      <c r="O285" s="30"/>
      <c r="P285" s="73"/>
      <c r="Q285" s="30"/>
      <c r="R285" s="75"/>
      <c r="S285" s="822"/>
      <c r="T285" s="822"/>
      <c r="U285" s="823" t="s">
        <v>1505</v>
      </c>
      <c r="V285" s="77">
        <v>13</v>
      </c>
      <c r="W285" s="824" t="str">
        <f t="shared" si="9"/>
        <v>Lehrer/in Sek.I Niveau A, E &amp; P Monofach nicht-wiss.</v>
      </c>
    </row>
    <row r="286" spans="1:23" ht="12.75" x14ac:dyDescent="0.2">
      <c r="A286" s="74" t="str">
        <f t="shared" si="8"/>
        <v>408.09b</v>
      </c>
      <c r="B286" s="825" t="s">
        <v>1506</v>
      </c>
      <c r="C286" s="79">
        <v>408</v>
      </c>
      <c r="D286" s="79"/>
      <c r="E286" s="79"/>
      <c r="F286" s="79"/>
      <c r="G286" s="28" t="s">
        <v>1507</v>
      </c>
      <c r="H286" s="79">
        <v>9</v>
      </c>
      <c r="I286" s="79"/>
      <c r="J286" s="79">
        <v>10.5</v>
      </c>
      <c r="K286" s="79">
        <v>4</v>
      </c>
      <c r="L286" s="833" t="s">
        <v>353</v>
      </c>
      <c r="M286" s="35"/>
      <c r="N286" s="36"/>
      <c r="O286" s="36"/>
      <c r="P286" s="35"/>
      <c r="Q286" s="36"/>
      <c r="R286" s="36"/>
      <c r="S286" s="834"/>
      <c r="T286" s="834"/>
      <c r="U286" s="823" t="s">
        <v>1508</v>
      </c>
      <c r="V286" s="77">
        <v>9</v>
      </c>
      <c r="W286" s="824" t="str">
        <f t="shared" si="9"/>
        <v>Lehrperson Sek. II Gymnasium/FMS</v>
      </c>
    </row>
    <row r="287" spans="1:23" ht="12.75" x14ac:dyDescent="0.2">
      <c r="A287" s="74" t="str">
        <f t="shared" si="8"/>
        <v>408.S2</v>
      </c>
      <c r="B287" s="25" t="s">
        <v>737</v>
      </c>
      <c r="C287" s="76">
        <v>408</v>
      </c>
      <c r="D287" s="76"/>
      <c r="E287" s="76"/>
      <c r="F287" s="76"/>
      <c r="G287" s="25" t="s">
        <v>738</v>
      </c>
      <c r="H287" s="76">
        <v>9</v>
      </c>
      <c r="I287" s="76">
        <v>570.1</v>
      </c>
      <c r="J287" s="76">
        <v>10.5</v>
      </c>
      <c r="K287" s="76">
        <v>4</v>
      </c>
      <c r="L287" s="846" t="s">
        <v>353</v>
      </c>
      <c r="M287" s="31"/>
      <c r="O287" s="32"/>
      <c r="P287" s="31"/>
      <c r="R287" s="32"/>
      <c r="S287" s="847"/>
      <c r="T287" s="847" t="s">
        <v>65</v>
      </c>
      <c r="U287" s="823" t="s">
        <v>1509</v>
      </c>
      <c r="V287" s="77">
        <v>9</v>
      </c>
      <c r="W287" s="824" t="str">
        <f t="shared" si="9"/>
        <v>Lehrperson Sek II Gym/FMS</v>
      </c>
    </row>
    <row r="288" spans="1:23" x14ac:dyDescent="0.25">
      <c r="A288" s="74" t="str">
        <f t="shared" si="8"/>
        <v>408A.09</v>
      </c>
      <c r="B288" s="71" t="s">
        <v>338</v>
      </c>
      <c r="C288" s="72" t="s">
        <v>1510</v>
      </c>
      <c r="D288" s="72"/>
      <c r="E288" s="72"/>
      <c r="F288" s="72"/>
      <c r="G288" s="71" t="s">
        <v>474</v>
      </c>
      <c r="H288" s="72">
        <v>9</v>
      </c>
      <c r="I288" s="72">
        <v>563.29999999999995</v>
      </c>
      <c r="J288" s="72">
        <v>10.5</v>
      </c>
      <c r="K288" s="72">
        <v>4</v>
      </c>
      <c r="L288" s="821" t="s">
        <v>353</v>
      </c>
      <c r="M288" s="73"/>
      <c r="N288" s="30"/>
      <c r="O288" s="30"/>
      <c r="P288" s="73"/>
      <c r="Q288" s="30"/>
      <c r="R288" s="75"/>
      <c r="S288" s="822"/>
      <c r="T288" s="822"/>
      <c r="U288" s="823" t="s">
        <v>1511</v>
      </c>
      <c r="V288" s="77">
        <v>9</v>
      </c>
      <c r="W288" s="824" t="str">
        <f t="shared" si="9"/>
        <v>Wissenschaftliches Fach (inkl. Sporttheorie)</v>
      </c>
    </row>
    <row r="289" spans="1:23" ht="12.75" x14ac:dyDescent="0.2">
      <c r="A289" s="74" t="str">
        <f t="shared" si="8"/>
        <v>408A.S2</v>
      </c>
      <c r="B289" s="25" t="s">
        <v>739</v>
      </c>
      <c r="C289" s="76">
        <v>408</v>
      </c>
      <c r="D289" s="76"/>
      <c r="E289" s="76"/>
      <c r="F289" s="76"/>
      <c r="G289" s="25" t="s">
        <v>740</v>
      </c>
      <c r="H289" s="76">
        <v>10</v>
      </c>
      <c r="I289" s="76"/>
      <c r="J289" s="76">
        <v>9.5</v>
      </c>
      <c r="K289" s="76">
        <v>4</v>
      </c>
      <c r="L289" s="846" t="s">
        <v>347</v>
      </c>
      <c r="M289" s="31"/>
      <c r="O289" s="32"/>
      <c r="P289" s="31"/>
      <c r="R289" s="32"/>
      <c r="S289" s="847"/>
      <c r="T289" s="847" t="s">
        <v>65</v>
      </c>
      <c r="U289" s="823" t="s">
        <v>1512</v>
      </c>
      <c r="V289" s="77">
        <v>10</v>
      </c>
      <c r="W289" s="824" t="str">
        <f t="shared" si="9"/>
        <v>Lehrperson Sek II Gym/FMS (ohne Lehrdipl.)</v>
      </c>
    </row>
    <row r="290" spans="1:23" x14ac:dyDescent="0.25">
      <c r="A290" s="74" t="str">
        <f t="shared" si="8"/>
        <v>408B.09</v>
      </c>
      <c r="B290" s="71" t="s">
        <v>475</v>
      </c>
      <c r="C290" s="72" t="s">
        <v>1510</v>
      </c>
      <c r="D290" s="72"/>
      <c r="E290" s="72"/>
      <c r="F290" s="72"/>
      <c r="G290" s="71" t="s">
        <v>476</v>
      </c>
      <c r="H290" s="72">
        <v>9</v>
      </c>
      <c r="I290" s="72" t="s">
        <v>65</v>
      </c>
      <c r="J290" s="72">
        <v>10.5</v>
      </c>
      <c r="K290" s="72">
        <v>4</v>
      </c>
      <c r="L290" s="821" t="s">
        <v>353</v>
      </c>
      <c r="M290" s="73"/>
      <c r="N290" s="30"/>
      <c r="O290" s="30"/>
      <c r="P290" s="73"/>
      <c r="Q290" s="30"/>
      <c r="R290" s="75"/>
      <c r="S290" s="822"/>
      <c r="T290" s="822"/>
      <c r="U290" s="823" t="s">
        <v>1513</v>
      </c>
      <c r="V290" s="77">
        <v>9</v>
      </c>
      <c r="W290" s="824" t="str">
        <f t="shared" si="9"/>
        <v>Sport II mit wissenschaftlichem Fach (Sport II mit wissenschaftl.Fach)</v>
      </c>
    </row>
    <row r="291" spans="1:23" x14ac:dyDescent="0.25">
      <c r="A291" s="74" t="str">
        <f t="shared" si="8"/>
        <v>408B.10</v>
      </c>
      <c r="B291" s="71" t="s">
        <v>268</v>
      </c>
      <c r="C291" s="72" t="s">
        <v>1510</v>
      </c>
      <c r="D291" s="72"/>
      <c r="E291" s="72"/>
      <c r="F291" s="72"/>
      <c r="G291" s="71" t="s">
        <v>476</v>
      </c>
      <c r="H291" s="72">
        <v>10</v>
      </c>
      <c r="I291" s="72">
        <v>0</v>
      </c>
      <c r="J291" s="72">
        <v>9.5</v>
      </c>
      <c r="K291" s="72">
        <v>4</v>
      </c>
      <c r="L291" s="821" t="s">
        <v>347</v>
      </c>
      <c r="M291" s="73"/>
      <c r="N291" s="30"/>
      <c r="O291" s="30"/>
      <c r="P291" s="73"/>
      <c r="Q291" s="30"/>
      <c r="R291" s="75"/>
      <c r="S291" s="822"/>
      <c r="T291" s="822"/>
      <c r="U291" s="823" t="s">
        <v>1514</v>
      </c>
      <c r="V291" s="77">
        <v>10</v>
      </c>
      <c r="W291" s="824" t="str">
        <f t="shared" si="9"/>
        <v>Sport II mit wissenschaftlichem Fach (Sport II mit wissenschaftl.Fach)</v>
      </c>
    </row>
    <row r="292" spans="1:23" ht="12.75" x14ac:dyDescent="0.2">
      <c r="A292" s="74" t="str">
        <f t="shared" si="8"/>
        <v>408B.S2</v>
      </c>
      <c r="B292" s="25" t="s">
        <v>741</v>
      </c>
      <c r="C292" s="76">
        <v>408</v>
      </c>
      <c r="D292" s="76"/>
      <c r="E292" s="76"/>
      <c r="F292" s="76"/>
      <c r="G292" s="25" t="s">
        <v>742</v>
      </c>
      <c r="H292" s="76">
        <v>12</v>
      </c>
      <c r="I292" s="76"/>
      <c r="J292" s="76">
        <v>9.5</v>
      </c>
      <c r="K292" s="76">
        <v>4</v>
      </c>
      <c r="L292" s="846" t="s">
        <v>347</v>
      </c>
      <c r="M292" s="31"/>
      <c r="O292" s="32"/>
      <c r="P292" s="31"/>
      <c r="R292" s="32"/>
      <c r="S292" s="847"/>
      <c r="T292" s="847" t="s">
        <v>65</v>
      </c>
      <c r="U292" s="823" t="s">
        <v>1515</v>
      </c>
      <c r="V292" s="77">
        <v>12</v>
      </c>
      <c r="W292" s="824" t="str">
        <f t="shared" si="9"/>
        <v>Lehrperson Sek II Gym/FMS (Lehrdipl. Sek. I)</v>
      </c>
    </row>
    <row r="293" spans="1:23" x14ac:dyDescent="0.25">
      <c r="A293" s="74" t="str">
        <f t="shared" si="8"/>
        <v>408C.10</v>
      </c>
      <c r="B293" s="71" t="s">
        <v>249</v>
      </c>
      <c r="C293" s="72" t="s">
        <v>1510</v>
      </c>
      <c r="D293" s="72"/>
      <c r="E293" s="72"/>
      <c r="F293" s="72"/>
      <c r="G293" s="71" t="s">
        <v>477</v>
      </c>
      <c r="H293" s="72">
        <v>10</v>
      </c>
      <c r="I293" s="72">
        <v>537.9</v>
      </c>
      <c r="J293" s="72">
        <v>9.5</v>
      </c>
      <c r="K293" s="72">
        <v>4</v>
      </c>
      <c r="L293" s="821" t="s">
        <v>347</v>
      </c>
      <c r="M293" s="73"/>
      <c r="N293" s="30"/>
      <c r="O293" s="30"/>
      <c r="P293" s="73"/>
      <c r="Q293" s="30"/>
      <c r="R293" s="75"/>
      <c r="S293" s="822"/>
      <c r="T293" s="822"/>
      <c r="U293" s="823" t="s">
        <v>1516</v>
      </c>
      <c r="V293" s="77">
        <v>10</v>
      </c>
      <c r="W293" s="824" t="str">
        <f t="shared" si="9"/>
        <v>Sport mit wissenschaftlichem Fach (Sport II+Sek.I-Patent)</v>
      </c>
    </row>
    <row r="294" spans="1:23" ht="12.75" x14ac:dyDescent="0.2">
      <c r="A294" s="74" t="s">
        <v>1131</v>
      </c>
      <c r="B294" s="71" t="s">
        <v>1132</v>
      </c>
      <c r="C294" s="72">
        <v>408</v>
      </c>
      <c r="D294" s="72"/>
      <c r="E294" s="72"/>
      <c r="F294" s="72"/>
      <c r="G294" s="71" t="s">
        <v>1133</v>
      </c>
      <c r="H294" s="72">
        <v>11</v>
      </c>
      <c r="I294" s="72">
        <v>531.9</v>
      </c>
      <c r="J294" s="72">
        <v>10.5</v>
      </c>
      <c r="K294" s="72">
        <v>1</v>
      </c>
      <c r="L294" s="821" t="s">
        <v>353</v>
      </c>
      <c r="M294" s="73"/>
      <c r="N294" s="30"/>
      <c r="O294" s="30"/>
      <c r="P294" s="73"/>
      <c r="Q294" s="30"/>
      <c r="R294" s="30"/>
      <c r="S294" s="822"/>
      <c r="T294" s="822"/>
      <c r="U294" s="823" t="s">
        <v>1131</v>
      </c>
      <c r="V294" s="77">
        <v>11</v>
      </c>
      <c r="W294" s="824" t="str">
        <f t="shared" si="9"/>
        <v>Lehrperson Sek II Individual- und Gruppenunterricht</v>
      </c>
    </row>
    <row r="295" spans="1:23" ht="12.75" x14ac:dyDescent="0.2">
      <c r="A295" s="74" t="str">
        <f t="shared" ref="A295:A358" si="10">RIGHT(B295,LEN(B295)-1)</f>
        <v>408C.S2</v>
      </c>
      <c r="B295" s="25" t="s">
        <v>743</v>
      </c>
      <c r="C295" s="76">
        <v>408</v>
      </c>
      <c r="D295" s="76"/>
      <c r="E295" s="76"/>
      <c r="F295" s="76"/>
      <c r="G295" s="25" t="s">
        <v>744</v>
      </c>
      <c r="H295" s="76">
        <v>13</v>
      </c>
      <c r="I295" s="76"/>
      <c r="J295" s="76">
        <v>8</v>
      </c>
      <c r="K295" s="76">
        <v>4</v>
      </c>
      <c r="L295" s="846" t="s">
        <v>352</v>
      </c>
      <c r="M295" s="31"/>
      <c r="O295" s="32"/>
      <c r="P295" s="31"/>
      <c r="R295" s="32"/>
      <c r="S295" s="847"/>
      <c r="T295" s="847" t="s">
        <v>65</v>
      </c>
      <c r="U295" s="823" t="s">
        <v>1517</v>
      </c>
      <c r="V295" s="77">
        <v>13</v>
      </c>
      <c r="W295" s="824" t="str">
        <f t="shared" si="9"/>
        <v>Lehrperson Sek II Gym/FMS (Lehrdipl. Primarstufe)</v>
      </c>
    </row>
    <row r="296" spans="1:23" x14ac:dyDescent="0.25">
      <c r="A296" s="74" t="str">
        <f t="shared" si="10"/>
        <v>408D.10</v>
      </c>
      <c r="B296" s="71" t="s">
        <v>250</v>
      </c>
      <c r="C296" s="72" t="s">
        <v>1510</v>
      </c>
      <c r="D296" s="72"/>
      <c r="E296" s="72"/>
      <c r="F296" s="72"/>
      <c r="G296" s="71" t="s">
        <v>478</v>
      </c>
      <c r="H296" s="72">
        <v>10</v>
      </c>
      <c r="I296" s="72">
        <v>524.9</v>
      </c>
      <c r="J296" s="72">
        <v>9</v>
      </c>
      <c r="K296" s="72">
        <v>4</v>
      </c>
      <c r="L296" s="821" t="s">
        <v>351</v>
      </c>
      <c r="M296" s="73"/>
      <c r="N296" s="30"/>
      <c r="O296" s="30"/>
      <c r="P296" s="73"/>
      <c r="Q296" s="30"/>
      <c r="R296" s="75"/>
      <c r="S296" s="822"/>
      <c r="T296" s="822"/>
      <c r="U296" s="823" t="s">
        <v>1518</v>
      </c>
      <c r="V296" s="77">
        <v>10</v>
      </c>
      <c r="W296" s="824" t="str">
        <f t="shared" si="9"/>
        <v>Kunst I (Kunststudium+höheres Lehramt/Sek.II)</v>
      </c>
    </row>
    <row r="297" spans="1:23" ht="12.75" x14ac:dyDescent="0.2">
      <c r="A297" s="74" t="str">
        <f t="shared" si="10"/>
        <v>408D.S2</v>
      </c>
      <c r="B297" s="25" t="s">
        <v>745</v>
      </c>
      <c r="C297" s="76">
        <v>408</v>
      </c>
      <c r="D297" s="76"/>
      <c r="E297" s="76"/>
      <c r="F297" s="76"/>
      <c r="G297" s="25" t="s">
        <v>746</v>
      </c>
      <c r="H297" s="76">
        <v>13</v>
      </c>
      <c r="I297" s="76"/>
      <c r="J297" s="76">
        <v>5</v>
      </c>
      <c r="K297" s="76">
        <v>4</v>
      </c>
      <c r="L297" s="846" t="s">
        <v>747</v>
      </c>
      <c r="M297" s="31"/>
      <c r="O297" s="32"/>
      <c r="P297" s="31"/>
      <c r="R297" s="32"/>
      <c r="S297" s="847"/>
      <c r="T297" s="847" t="s">
        <v>65</v>
      </c>
      <c r="U297" s="823" t="s">
        <v>1519</v>
      </c>
      <c r="V297" s="77">
        <v>13</v>
      </c>
      <c r="W297" s="824" t="str">
        <f t="shared" si="9"/>
        <v>Lehrperson Sek II Gym/FMS (in Ausb. - min 1/2 der Fachwissenschaftl. Ausb.)</v>
      </c>
    </row>
    <row r="298" spans="1:23" x14ac:dyDescent="0.25">
      <c r="A298" s="74" t="str">
        <f t="shared" si="10"/>
        <v>408E.10</v>
      </c>
      <c r="B298" s="71" t="s">
        <v>251</v>
      </c>
      <c r="C298" s="72" t="s">
        <v>1510</v>
      </c>
      <c r="D298" s="72"/>
      <c r="E298" s="72"/>
      <c r="F298" s="72"/>
      <c r="G298" s="71" t="s">
        <v>479</v>
      </c>
      <c r="H298" s="72">
        <v>10</v>
      </c>
      <c r="I298" s="72">
        <v>515.6</v>
      </c>
      <c r="J298" s="72">
        <v>9</v>
      </c>
      <c r="K298" s="72">
        <v>4</v>
      </c>
      <c r="L298" s="821" t="s">
        <v>351</v>
      </c>
      <c r="M298" s="73"/>
      <c r="N298" s="30"/>
      <c r="O298" s="30"/>
      <c r="P298" s="73"/>
      <c r="Q298" s="30"/>
      <c r="R298" s="75"/>
      <c r="S298" s="822"/>
      <c r="T298" s="822"/>
      <c r="U298" s="823" t="s">
        <v>1520</v>
      </c>
      <c r="V298" s="77">
        <v>10</v>
      </c>
      <c r="W298" s="824" t="str">
        <f t="shared" si="9"/>
        <v>Kunst II (Kunststudium+höheres Lehramt/Sek.II)</v>
      </c>
    </row>
    <row r="299" spans="1:23" ht="12.75" x14ac:dyDescent="0.2">
      <c r="A299" s="74" t="str">
        <f t="shared" si="10"/>
        <v>408E.S2</v>
      </c>
      <c r="B299" s="25" t="s">
        <v>748</v>
      </c>
      <c r="C299" s="76">
        <v>408</v>
      </c>
      <c r="D299" s="76"/>
      <c r="E299" s="76"/>
      <c r="F299" s="76"/>
      <c r="G299" s="25" t="s">
        <v>749</v>
      </c>
      <c r="H299" s="76">
        <v>15</v>
      </c>
      <c r="I299" s="76"/>
      <c r="J299" s="76">
        <v>1</v>
      </c>
      <c r="K299" s="76">
        <v>4</v>
      </c>
      <c r="L299" s="846" t="s">
        <v>85</v>
      </c>
      <c r="M299" s="31"/>
      <c r="O299" s="32"/>
      <c r="P299" s="31"/>
      <c r="R299" s="32"/>
      <c r="S299" s="847"/>
      <c r="T299" s="847" t="s">
        <v>65</v>
      </c>
      <c r="U299" s="823" t="s">
        <v>1521</v>
      </c>
      <c r="V299" s="77">
        <v>15</v>
      </c>
      <c r="W299" s="824" t="str">
        <f t="shared" si="9"/>
        <v>Lehrperson Sek II Gym/FMS (k. stufengerechte u. pädagogische Ausb.)</v>
      </c>
    </row>
    <row r="300" spans="1:23" ht="12.75" x14ac:dyDescent="0.2">
      <c r="A300" s="74" t="str">
        <f t="shared" si="10"/>
        <v>408F.11</v>
      </c>
      <c r="B300" s="825" t="s">
        <v>252</v>
      </c>
      <c r="C300" s="79">
        <v>408</v>
      </c>
      <c r="D300" s="79"/>
      <c r="E300" s="79"/>
      <c r="F300" s="79"/>
      <c r="G300" s="28" t="s">
        <v>1522</v>
      </c>
      <c r="H300" s="79">
        <v>11</v>
      </c>
      <c r="I300" s="79">
        <v>511.6</v>
      </c>
      <c r="J300" s="79">
        <v>8</v>
      </c>
      <c r="K300" s="79">
        <v>3</v>
      </c>
      <c r="L300" s="833" t="s">
        <v>352</v>
      </c>
      <c r="M300" s="35"/>
      <c r="N300" s="36"/>
      <c r="O300" s="36"/>
      <c r="P300" s="35"/>
      <c r="Q300" s="36"/>
      <c r="R300" s="36"/>
      <c r="S300" s="834"/>
      <c r="T300" s="834"/>
      <c r="U300" s="823" t="s">
        <v>1523</v>
      </c>
      <c r="V300" s="77">
        <v>11</v>
      </c>
      <c r="W300" s="824" t="str">
        <f t="shared" si="9"/>
        <v>Gymnasium Instrumental</v>
      </c>
    </row>
    <row r="301" spans="1:23" x14ac:dyDescent="0.25">
      <c r="A301" s="74" t="str">
        <f t="shared" si="10"/>
        <v>408G.12</v>
      </c>
      <c r="B301" s="71" t="s">
        <v>253</v>
      </c>
      <c r="C301" s="72" t="s">
        <v>1510</v>
      </c>
      <c r="D301" s="72"/>
      <c r="E301" s="72"/>
      <c r="F301" s="72"/>
      <c r="G301" s="71" t="s">
        <v>368</v>
      </c>
      <c r="H301" s="72">
        <v>12</v>
      </c>
      <c r="I301" s="72">
        <v>493.8</v>
      </c>
      <c r="J301" s="72">
        <v>6.5</v>
      </c>
      <c r="K301" s="72">
        <v>5</v>
      </c>
      <c r="L301" s="821" t="s">
        <v>346</v>
      </c>
      <c r="M301" s="73"/>
      <c r="N301" s="30"/>
      <c r="O301" s="30"/>
      <c r="P301" s="73"/>
      <c r="Q301" s="30"/>
      <c r="R301" s="75"/>
      <c r="S301" s="822"/>
      <c r="T301" s="822"/>
      <c r="U301" s="823" t="s">
        <v>1524</v>
      </c>
      <c r="V301" s="77">
        <v>12</v>
      </c>
      <c r="W301" s="824" t="str">
        <f t="shared" si="9"/>
        <v>Textilarbeit/Werken/Hauswirtschaft</v>
      </c>
    </row>
    <row r="302" spans="1:23" x14ac:dyDescent="0.25">
      <c r="A302" s="74" t="str">
        <f t="shared" si="10"/>
        <v>408H.11</v>
      </c>
      <c r="B302" s="71" t="s">
        <v>480</v>
      </c>
      <c r="C302" s="72" t="s">
        <v>1510</v>
      </c>
      <c r="D302" s="72"/>
      <c r="E302" s="72"/>
      <c r="F302" s="72"/>
      <c r="G302" s="71" t="s">
        <v>481</v>
      </c>
      <c r="H302" s="72">
        <v>11</v>
      </c>
      <c r="I302" s="72" t="s">
        <v>65</v>
      </c>
      <c r="J302" s="72">
        <v>10.5</v>
      </c>
      <c r="K302" s="72">
        <v>3</v>
      </c>
      <c r="L302" s="821" t="s">
        <v>353</v>
      </c>
      <c r="M302" s="73"/>
      <c r="N302" s="30"/>
      <c r="O302" s="30"/>
      <c r="P302" s="73"/>
      <c r="Q302" s="30"/>
      <c r="R302" s="75"/>
      <c r="S302" s="822"/>
      <c r="T302" s="822"/>
      <c r="U302" s="823" t="s">
        <v>1525</v>
      </c>
      <c r="V302" s="77">
        <v>11</v>
      </c>
      <c r="W302" s="824" t="str">
        <f t="shared" si="9"/>
        <v>Sport (Turnen, Sport II-Diplom +zus.Fach)</v>
      </c>
    </row>
    <row r="303" spans="1:23" ht="12.75" x14ac:dyDescent="0.2">
      <c r="A303" s="74" t="str">
        <f t="shared" si="10"/>
        <v>408H.12</v>
      </c>
      <c r="B303" s="71" t="s">
        <v>482</v>
      </c>
      <c r="C303" s="72" t="s">
        <v>1510</v>
      </c>
      <c r="D303" s="72"/>
      <c r="E303" s="72"/>
      <c r="F303" s="72"/>
      <c r="G303" s="71" t="s">
        <v>483</v>
      </c>
      <c r="H303" s="72">
        <v>12</v>
      </c>
      <c r="I303" s="72" t="s">
        <v>65</v>
      </c>
      <c r="J303" s="72">
        <v>9.5</v>
      </c>
      <c r="K303" s="72">
        <v>3</v>
      </c>
      <c r="L303" s="821" t="s">
        <v>347</v>
      </c>
      <c r="M303" s="73"/>
      <c r="N303" s="30"/>
      <c r="O303" s="30"/>
      <c r="P303" s="73"/>
      <c r="Q303" s="30"/>
      <c r="R303" s="30"/>
      <c r="S303" s="822"/>
      <c r="T303" s="822"/>
      <c r="U303" s="823" t="s">
        <v>1526</v>
      </c>
      <c r="V303" s="77">
        <v>12</v>
      </c>
      <c r="W303" s="824" t="str">
        <f t="shared" si="9"/>
        <v>Sport (Turnen, Sport II-Diplom)</v>
      </c>
    </row>
    <row r="304" spans="1:23" ht="12.75" x14ac:dyDescent="0.2">
      <c r="A304" s="74" t="str">
        <f t="shared" si="10"/>
        <v>408H.13</v>
      </c>
      <c r="B304" s="71" t="s">
        <v>484</v>
      </c>
      <c r="C304" s="72" t="s">
        <v>1510</v>
      </c>
      <c r="D304" s="72"/>
      <c r="E304" s="72"/>
      <c r="F304" s="72"/>
      <c r="G304" s="71" t="s">
        <v>485</v>
      </c>
      <c r="H304" s="72">
        <v>13</v>
      </c>
      <c r="I304" s="72" t="s">
        <v>65</v>
      </c>
      <c r="J304" s="72">
        <v>8</v>
      </c>
      <c r="K304" s="72">
        <v>3</v>
      </c>
      <c r="L304" s="821" t="s">
        <v>352</v>
      </c>
      <c r="M304" s="73"/>
      <c r="N304" s="30"/>
      <c r="O304" s="30"/>
      <c r="P304" s="73"/>
      <c r="Q304" s="30"/>
      <c r="R304" s="30"/>
      <c r="S304" s="822"/>
      <c r="T304" s="822"/>
      <c r="U304" s="823" t="s">
        <v>1527</v>
      </c>
      <c r="V304" s="77">
        <v>13</v>
      </c>
      <c r="W304" s="824" t="str">
        <f t="shared" si="9"/>
        <v>Sport (Turnen, Sport I-Diplom)</v>
      </c>
    </row>
    <row r="305" spans="1:23" ht="12.75" x14ac:dyDescent="0.2">
      <c r="A305" s="74" t="str">
        <f t="shared" si="10"/>
        <v>408H.14</v>
      </c>
      <c r="B305" s="71" t="s">
        <v>486</v>
      </c>
      <c r="C305" s="72" t="s">
        <v>1510</v>
      </c>
      <c r="D305" s="72"/>
      <c r="E305" s="72"/>
      <c r="F305" s="72"/>
      <c r="G305" s="71" t="s">
        <v>487</v>
      </c>
      <c r="H305" s="72">
        <v>14</v>
      </c>
      <c r="I305" s="72" t="s">
        <v>65</v>
      </c>
      <c r="J305" s="72">
        <v>4</v>
      </c>
      <c r="K305" s="72">
        <v>3</v>
      </c>
      <c r="L305" s="821" t="s">
        <v>89</v>
      </c>
      <c r="M305" s="73"/>
      <c r="N305" s="30"/>
      <c r="O305" s="30"/>
      <c r="P305" s="73"/>
      <c r="Q305" s="30"/>
      <c r="R305" s="30"/>
      <c r="S305" s="822"/>
      <c r="T305" s="822"/>
      <c r="U305" s="823" t="s">
        <v>1528</v>
      </c>
      <c r="V305" s="77">
        <v>14</v>
      </c>
      <c r="W305" s="824" t="str">
        <f t="shared" si="9"/>
        <v>Sport (Turnen) (Student&gt;=3Semester)</v>
      </c>
    </row>
    <row r="306" spans="1:23" ht="12.75" x14ac:dyDescent="0.2">
      <c r="A306" s="74" t="str">
        <f t="shared" si="10"/>
        <v>408H.15</v>
      </c>
      <c r="B306" s="28" t="s">
        <v>488</v>
      </c>
      <c r="C306" s="79" t="s">
        <v>1510</v>
      </c>
      <c r="D306" s="79"/>
      <c r="E306" s="79"/>
      <c r="F306" s="79"/>
      <c r="G306" s="28" t="s">
        <v>489</v>
      </c>
      <c r="H306" s="79">
        <v>15</v>
      </c>
      <c r="I306" s="79" t="s">
        <v>65</v>
      </c>
      <c r="J306" s="79">
        <v>4</v>
      </c>
      <c r="K306" s="79">
        <v>3</v>
      </c>
      <c r="L306" s="833" t="s">
        <v>89</v>
      </c>
      <c r="M306" s="35"/>
      <c r="N306" s="36"/>
      <c r="O306" s="36"/>
      <c r="P306" s="35"/>
      <c r="Q306" s="36"/>
      <c r="R306" s="36"/>
      <c r="S306" s="834" t="s">
        <v>65</v>
      </c>
      <c r="T306" s="834" t="s">
        <v>65</v>
      </c>
      <c r="U306" s="823" t="s">
        <v>1529</v>
      </c>
      <c r="V306" s="77">
        <v>15</v>
      </c>
      <c r="W306" s="824" t="str">
        <f t="shared" si="9"/>
        <v>Sport (Turnen) (Student&lt;3Semester)</v>
      </c>
    </row>
    <row r="307" spans="1:23" ht="12.75" x14ac:dyDescent="0.2">
      <c r="A307" s="74" t="str">
        <f t="shared" si="10"/>
        <v>408I.10</v>
      </c>
      <c r="B307" s="71" t="s">
        <v>645</v>
      </c>
      <c r="C307" s="72" t="s">
        <v>1510</v>
      </c>
      <c r="D307" s="72"/>
      <c r="E307" s="72"/>
      <c r="F307" s="72"/>
      <c r="G307" s="71" t="s">
        <v>490</v>
      </c>
      <c r="H307" s="72">
        <v>10</v>
      </c>
      <c r="I307" s="72" t="s">
        <v>65</v>
      </c>
      <c r="J307" s="72">
        <v>8.5</v>
      </c>
      <c r="K307" s="72">
        <v>4</v>
      </c>
      <c r="L307" s="821" t="s">
        <v>90</v>
      </c>
      <c r="M307" s="73"/>
      <c r="N307" s="30"/>
      <c r="O307" s="30"/>
      <c r="P307" s="73"/>
      <c r="Q307" s="30"/>
      <c r="R307" s="30"/>
      <c r="S307" s="822"/>
      <c r="T307" s="822"/>
      <c r="U307" s="823" t="s">
        <v>1530</v>
      </c>
      <c r="V307" s="77">
        <v>10</v>
      </c>
      <c r="W307" s="824" t="str">
        <f t="shared" si="9"/>
        <v>Lehrberecht.Sek. I E/P, &gt;=3 Fächer</v>
      </c>
    </row>
    <row r="308" spans="1:23" ht="12.75" x14ac:dyDescent="0.2">
      <c r="A308" s="74" t="str">
        <f t="shared" si="10"/>
        <v>408I.11</v>
      </c>
      <c r="B308" s="71" t="s">
        <v>491</v>
      </c>
      <c r="C308" s="72" t="s">
        <v>1510</v>
      </c>
      <c r="D308" s="72"/>
      <c r="E308" s="72"/>
      <c r="F308" s="72"/>
      <c r="G308" s="71" t="s">
        <v>492</v>
      </c>
      <c r="H308" s="72">
        <v>11</v>
      </c>
      <c r="I308" s="72" t="s">
        <v>65</v>
      </c>
      <c r="J308" s="72">
        <v>8.5</v>
      </c>
      <c r="K308" s="72">
        <v>4</v>
      </c>
      <c r="L308" s="821" t="s">
        <v>90</v>
      </c>
      <c r="M308" s="73"/>
      <c r="N308" s="30"/>
      <c r="O308" s="30"/>
      <c r="P308" s="73"/>
      <c r="Q308" s="30"/>
      <c r="R308" s="30"/>
      <c r="S308" s="822"/>
      <c r="T308" s="822"/>
      <c r="U308" s="823" t="s">
        <v>1531</v>
      </c>
      <c r="V308" s="77">
        <v>11</v>
      </c>
      <c r="W308" s="824" t="str">
        <f t="shared" si="9"/>
        <v>Lehrberecht.Sek. I E/P, 2 Fächer</v>
      </c>
    </row>
    <row r="309" spans="1:23" ht="12.75" x14ac:dyDescent="0.2">
      <c r="A309" s="74" t="str">
        <f t="shared" si="10"/>
        <v>408I.12</v>
      </c>
      <c r="B309" s="71" t="s">
        <v>493</v>
      </c>
      <c r="C309" s="72" t="s">
        <v>1510</v>
      </c>
      <c r="D309" s="72"/>
      <c r="E309" s="72"/>
      <c r="F309" s="72"/>
      <c r="G309" s="71" t="s">
        <v>494</v>
      </c>
      <c r="H309" s="72">
        <v>12</v>
      </c>
      <c r="I309" s="72" t="s">
        <v>65</v>
      </c>
      <c r="J309" s="72">
        <v>8.5</v>
      </c>
      <c r="K309" s="72">
        <v>4</v>
      </c>
      <c r="L309" s="821" t="s">
        <v>90</v>
      </c>
      <c r="M309" s="73"/>
      <c r="N309" s="30"/>
      <c r="O309" s="30"/>
      <c r="P309" s="73"/>
      <c r="Q309" s="30"/>
      <c r="R309" s="30"/>
      <c r="S309" s="822"/>
      <c r="T309" s="822"/>
      <c r="U309" s="823" t="s">
        <v>1532</v>
      </c>
      <c r="V309" s="77">
        <v>12</v>
      </c>
      <c r="W309" s="824" t="str">
        <f t="shared" si="9"/>
        <v>Lehrberecht.Sek. I E/P, 1 wiss.Fach</v>
      </c>
    </row>
    <row r="310" spans="1:23" ht="12.75" x14ac:dyDescent="0.2">
      <c r="A310" s="74" t="str">
        <f t="shared" si="10"/>
        <v>408I.13</v>
      </c>
      <c r="B310" s="71" t="s">
        <v>495</v>
      </c>
      <c r="C310" s="72" t="s">
        <v>1510</v>
      </c>
      <c r="D310" s="72"/>
      <c r="E310" s="72"/>
      <c r="F310" s="72"/>
      <c r="G310" s="71" t="s">
        <v>496</v>
      </c>
      <c r="H310" s="72">
        <v>13</v>
      </c>
      <c r="I310" s="72" t="s">
        <v>65</v>
      </c>
      <c r="J310" s="72">
        <v>8.5</v>
      </c>
      <c r="K310" s="72">
        <v>4</v>
      </c>
      <c r="L310" s="821" t="s">
        <v>90</v>
      </c>
      <c r="M310" s="73"/>
      <c r="N310" s="30"/>
      <c r="O310" s="30"/>
      <c r="P310" s="73"/>
      <c r="Q310" s="30"/>
      <c r="R310" s="30"/>
      <c r="S310" s="822"/>
      <c r="T310" s="822"/>
      <c r="U310" s="823" t="s">
        <v>1533</v>
      </c>
      <c r="V310" s="77">
        <v>13</v>
      </c>
      <c r="W310" s="824" t="str">
        <f t="shared" si="9"/>
        <v>Lehrberecht.Sek. I E/P, 1 nicht-wiss.Fach</v>
      </c>
    </row>
    <row r="311" spans="1:23" ht="12.75" x14ac:dyDescent="0.2">
      <c r="A311" s="74" t="str">
        <f t="shared" si="10"/>
        <v>408K.10</v>
      </c>
      <c r="B311" s="71" t="s">
        <v>497</v>
      </c>
      <c r="C311" s="72" t="s">
        <v>1510</v>
      </c>
      <c r="D311" s="72"/>
      <c r="E311" s="72"/>
      <c r="F311" s="72"/>
      <c r="G311" s="71" t="s">
        <v>498</v>
      </c>
      <c r="H311" s="72">
        <v>10</v>
      </c>
      <c r="I311" s="72" t="s">
        <v>65</v>
      </c>
      <c r="J311" s="72">
        <v>9.5</v>
      </c>
      <c r="K311" s="72">
        <v>4</v>
      </c>
      <c r="L311" s="821" t="s">
        <v>347</v>
      </c>
      <c r="M311" s="73"/>
      <c r="N311" s="30"/>
      <c r="O311" s="30"/>
      <c r="P311" s="73"/>
      <c r="Q311" s="30"/>
      <c r="R311" s="30"/>
      <c r="S311" s="822"/>
      <c r="T311" s="822"/>
      <c r="U311" s="823" t="s">
        <v>1534</v>
      </c>
      <c r="V311" s="77">
        <v>10</v>
      </c>
      <c r="W311" s="824" t="str">
        <f t="shared" si="9"/>
        <v>Unterricht ohne Lehrdiplom (wissenschaftl. Liz./Master)</v>
      </c>
    </row>
    <row r="312" spans="1:23" ht="12.75" x14ac:dyDescent="0.2">
      <c r="A312" s="74" t="str">
        <f t="shared" si="10"/>
        <v>408K.13</v>
      </c>
      <c r="B312" s="71" t="s">
        <v>675</v>
      </c>
      <c r="C312" s="72" t="s">
        <v>1510</v>
      </c>
      <c r="D312" s="72"/>
      <c r="E312" s="72"/>
      <c r="F312" s="72"/>
      <c r="G312" s="71" t="s">
        <v>499</v>
      </c>
      <c r="H312" s="72">
        <v>13</v>
      </c>
      <c r="I312" s="72" t="s">
        <v>65</v>
      </c>
      <c r="J312" s="72">
        <v>8</v>
      </c>
      <c r="K312" s="72">
        <v>4</v>
      </c>
      <c r="L312" s="821" t="s">
        <v>352</v>
      </c>
      <c r="M312" s="73"/>
      <c r="N312" s="30"/>
      <c r="O312" s="30"/>
      <c r="P312" s="73"/>
      <c r="Q312" s="30"/>
      <c r="R312" s="30"/>
      <c r="S312" s="822"/>
      <c r="T312" s="822"/>
      <c r="U312" s="823" t="s">
        <v>1535</v>
      </c>
      <c r="V312" s="77">
        <v>13</v>
      </c>
      <c r="W312" s="824" t="str">
        <f t="shared" si="9"/>
        <v>Unterricht ohne Lehrdiplom (wissenschaftl. Bachelor)</v>
      </c>
    </row>
    <row r="313" spans="1:23" ht="12.75" x14ac:dyDescent="0.2">
      <c r="A313" s="74" t="str">
        <f t="shared" si="10"/>
        <v>408K.14</v>
      </c>
      <c r="B313" s="71" t="s">
        <v>676</v>
      </c>
      <c r="C313" s="72" t="s">
        <v>1510</v>
      </c>
      <c r="D313" s="72"/>
      <c r="E313" s="72"/>
      <c r="F313" s="72"/>
      <c r="G313" s="71" t="s">
        <v>677</v>
      </c>
      <c r="H313" s="72">
        <v>14</v>
      </c>
      <c r="I313" s="72" t="s">
        <v>65</v>
      </c>
      <c r="J313" s="72">
        <v>6.5</v>
      </c>
      <c r="K313" s="72">
        <v>4</v>
      </c>
      <c r="L313" s="821" t="s">
        <v>346</v>
      </c>
      <c r="M313" s="73"/>
      <c r="N313" s="30"/>
      <c r="O313" s="30"/>
      <c r="P313" s="73"/>
      <c r="Q313" s="30"/>
      <c r="R313" s="30"/>
      <c r="S313" s="822"/>
      <c r="T313" s="822"/>
      <c r="U313" s="823" t="s">
        <v>1536</v>
      </c>
      <c r="V313" s="77">
        <v>14</v>
      </c>
      <c r="W313" s="824" t="str">
        <f t="shared" si="9"/>
        <v>Unterricht ohne Lehrdiplom (wissenschaftl. &gt;=3 Semester Fachstudium)</v>
      </c>
    </row>
    <row r="314" spans="1:23" ht="12.75" x14ac:dyDescent="0.2">
      <c r="A314" s="74" t="str">
        <f t="shared" si="10"/>
        <v>408L.11</v>
      </c>
      <c r="B314" s="71" t="s">
        <v>500</v>
      </c>
      <c r="C314" s="72" t="s">
        <v>1510</v>
      </c>
      <c r="D314" s="72"/>
      <c r="E314" s="72"/>
      <c r="F314" s="72"/>
      <c r="G314" s="71" t="s">
        <v>501</v>
      </c>
      <c r="H314" s="72">
        <v>11</v>
      </c>
      <c r="I314" s="72" t="s">
        <v>65</v>
      </c>
      <c r="J314" s="72">
        <v>9.5</v>
      </c>
      <c r="K314" s="72">
        <v>4</v>
      </c>
      <c r="L314" s="821" t="s">
        <v>347</v>
      </c>
      <c r="M314" s="73"/>
      <c r="N314" s="30"/>
      <c r="O314" s="30"/>
      <c r="P314" s="73"/>
      <c r="Q314" s="30"/>
      <c r="R314" s="30"/>
      <c r="S314" s="822"/>
      <c r="T314" s="822"/>
      <c r="U314" s="823" t="s">
        <v>1537</v>
      </c>
      <c r="V314" s="77">
        <v>11</v>
      </c>
      <c r="W314" s="824" t="str">
        <f t="shared" si="9"/>
        <v>Unterricht ohne Lehrdiplom (Liz./Master Kunst)</v>
      </c>
    </row>
    <row r="315" spans="1:23" ht="12.75" x14ac:dyDescent="0.2">
      <c r="A315" s="74" t="str">
        <f t="shared" si="10"/>
        <v>408L.13</v>
      </c>
      <c r="B315" s="71" t="s">
        <v>502</v>
      </c>
      <c r="C315" s="72" t="s">
        <v>1510</v>
      </c>
      <c r="D315" s="72"/>
      <c r="E315" s="72"/>
      <c r="F315" s="72"/>
      <c r="G315" s="71" t="s">
        <v>503</v>
      </c>
      <c r="H315" s="72">
        <v>13</v>
      </c>
      <c r="I315" s="72" t="s">
        <v>65</v>
      </c>
      <c r="J315" s="72">
        <v>8</v>
      </c>
      <c r="K315" s="72">
        <v>4</v>
      </c>
      <c r="L315" s="821" t="s">
        <v>352</v>
      </c>
      <c r="M315" s="73"/>
      <c r="N315" s="30"/>
      <c r="O315" s="30"/>
      <c r="P315" s="73"/>
      <c r="Q315" s="30"/>
      <c r="R315" s="30"/>
      <c r="S315" s="822"/>
      <c r="T315" s="822"/>
      <c r="U315" s="823" t="s">
        <v>1538</v>
      </c>
      <c r="V315" s="77">
        <v>13</v>
      </c>
      <c r="W315" s="824" t="str">
        <f t="shared" si="9"/>
        <v>Unterricht ohne Lehrdiplom (Bachelor Kunst)</v>
      </c>
    </row>
    <row r="316" spans="1:23" ht="12.75" x14ac:dyDescent="0.2">
      <c r="A316" s="74" t="str">
        <f t="shared" si="10"/>
        <v>408M.12</v>
      </c>
      <c r="B316" s="71" t="s">
        <v>504</v>
      </c>
      <c r="C316" s="72" t="s">
        <v>1510</v>
      </c>
      <c r="D316" s="72"/>
      <c r="E316" s="72"/>
      <c r="F316" s="72"/>
      <c r="G316" s="71" t="s">
        <v>505</v>
      </c>
      <c r="H316" s="72">
        <v>12</v>
      </c>
      <c r="I316" s="72" t="s">
        <v>65</v>
      </c>
      <c r="J316" s="72">
        <v>9.5</v>
      </c>
      <c r="K316" s="72">
        <v>4</v>
      </c>
      <c r="L316" s="821" t="s">
        <v>347</v>
      </c>
      <c r="M316" s="73"/>
      <c r="N316" s="30"/>
      <c r="O316" s="30"/>
      <c r="P316" s="73"/>
      <c r="Q316" s="30"/>
      <c r="R316" s="30"/>
      <c r="S316" s="822"/>
      <c r="T316" s="822"/>
      <c r="U316" s="823" t="s">
        <v>1539</v>
      </c>
      <c r="V316" s="77">
        <v>12</v>
      </c>
      <c r="W316" s="824" t="str">
        <f t="shared" si="9"/>
        <v>Unterricht ohne Lehrdiplom (Instrumental/Master)</v>
      </c>
    </row>
    <row r="317" spans="1:23" ht="12.75" x14ac:dyDescent="0.2">
      <c r="A317" s="74" t="str">
        <f t="shared" si="10"/>
        <v>408M.13</v>
      </c>
      <c r="B317" s="71" t="s">
        <v>506</v>
      </c>
      <c r="C317" s="72" t="s">
        <v>1510</v>
      </c>
      <c r="D317" s="72"/>
      <c r="E317" s="72"/>
      <c r="F317" s="72"/>
      <c r="G317" s="71" t="s">
        <v>507</v>
      </c>
      <c r="H317" s="72">
        <v>13</v>
      </c>
      <c r="I317" s="72" t="s">
        <v>65</v>
      </c>
      <c r="J317" s="72">
        <v>8</v>
      </c>
      <c r="K317" s="72">
        <v>4</v>
      </c>
      <c r="L317" s="821" t="s">
        <v>352</v>
      </c>
      <c r="M317" s="73"/>
      <c r="N317" s="30"/>
      <c r="O317" s="30"/>
      <c r="P317" s="73"/>
      <c r="Q317" s="30"/>
      <c r="R317" s="30"/>
      <c r="S317" s="822"/>
      <c r="T317" s="822"/>
      <c r="U317" s="823" t="s">
        <v>1540</v>
      </c>
      <c r="V317" s="77">
        <v>13</v>
      </c>
      <c r="W317" s="824" t="str">
        <f t="shared" si="9"/>
        <v>Unterricht ohne Lehrdiplom (Instrumental/Bachelor)</v>
      </c>
    </row>
    <row r="318" spans="1:23" ht="12.75" x14ac:dyDescent="0.2">
      <c r="A318" s="74" t="str">
        <f t="shared" si="10"/>
        <v>408N.13</v>
      </c>
      <c r="B318" s="71" t="s">
        <v>508</v>
      </c>
      <c r="C318" s="72" t="s">
        <v>1510</v>
      </c>
      <c r="D318" s="72"/>
      <c r="E318" s="72"/>
      <c r="F318" s="72"/>
      <c r="G318" s="71" t="s">
        <v>509</v>
      </c>
      <c r="H318" s="72">
        <v>13</v>
      </c>
      <c r="I318" s="72" t="s">
        <v>65</v>
      </c>
      <c r="J318" s="72">
        <v>6.5</v>
      </c>
      <c r="K318" s="72">
        <v>3</v>
      </c>
      <c r="L318" s="821" t="s">
        <v>346</v>
      </c>
      <c r="M318" s="73"/>
      <c r="N318" s="30"/>
      <c r="O318" s="30"/>
      <c r="P318" s="73"/>
      <c r="Q318" s="30"/>
      <c r="R318" s="30"/>
      <c r="S318" s="822"/>
      <c r="T318" s="822"/>
      <c r="U318" s="823" t="s">
        <v>1541</v>
      </c>
      <c r="V318" s="77">
        <v>13</v>
      </c>
      <c r="W318" s="824" t="str">
        <f t="shared" si="9"/>
        <v>Lehrer/inmit Berufslehre+Lehrausweis &gt;=2 Fächer</v>
      </c>
    </row>
    <row r="319" spans="1:23" ht="12.75" x14ac:dyDescent="0.2">
      <c r="A319" s="74" t="str">
        <f t="shared" si="10"/>
        <v>408N.14</v>
      </c>
      <c r="B319" s="71" t="s">
        <v>510</v>
      </c>
      <c r="C319" s="72" t="s">
        <v>1510</v>
      </c>
      <c r="D319" s="72"/>
      <c r="E319" s="72"/>
      <c r="F319" s="72"/>
      <c r="G319" s="71" t="s">
        <v>511</v>
      </c>
      <c r="H319" s="72">
        <v>14</v>
      </c>
      <c r="I319" s="72" t="s">
        <v>65</v>
      </c>
      <c r="J319" s="72">
        <v>6.5</v>
      </c>
      <c r="K319" s="72">
        <v>3</v>
      </c>
      <c r="L319" s="821" t="s">
        <v>346</v>
      </c>
      <c r="M319" s="73"/>
      <c r="N319" s="30"/>
      <c r="O319" s="30"/>
      <c r="P319" s="73"/>
      <c r="Q319" s="30"/>
      <c r="R319" s="30"/>
      <c r="S319" s="822"/>
      <c r="T319" s="822"/>
      <c r="U319" s="823" t="s">
        <v>1542</v>
      </c>
      <c r="V319" s="77">
        <v>14</v>
      </c>
      <c r="W319" s="824" t="str">
        <f t="shared" si="9"/>
        <v>Lehrer/inmit Berufslehre+Lehrausweis 1 Fach</v>
      </c>
    </row>
    <row r="320" spans="1:23" ht="12.75" x14ac:dyDescent="0.2">
      <c r="A320" s="74" t="str">
        <f t="shared" si="10"/>
        <v>408O.10</v>
      </c>
      <c r="B320" s="71" t="s">
        <v>643</v>
      </c>
      <c r="C320" s="72" t="s">
        <v>1510</v>
      </c>
      <c r="D320" s="72"/>
      <c r="E320" s="72"/>
      <c r="F320" s="72" t="s">
        <v>1510</v>
      </c>
      <c r="G320" s="71" t="s">
        <v>642</v>
      </c>
      <c r="H320" s="72" t="s">
        <v>1543</v>
      </c>
      <c r="I320" s="72"/>
      <c r="J320" s="72">
        <v>9.5</v>
      </c>
      <c r="K320" s="72">
        <v>4</v>
      </c>
      <c r="L320" s="821" t="s">
        <v>347</v>
      </c>
      <c r="M320" s="73"/>
      <c r="N320" s="30"/>
      <c r="O320" s="30"/>
      <c r="P320" s="73"/>
      <c r="Q320" s="30"/>
      <c r="R320" s="30"/>
      <c r="S320" s="822"/>
      <c r="T320" s="822"/>
      <c r="U320" s="823" t="s">
        <v>1544</v>
      </c>
      <c r="V320" s="77" t="s">
        <v>1543</v>
      </c>
      <c r="W320" s="824" t="str">
        <f t="shared" si="9"/>
        <v>Monofach Sport II auf Sek.-Stufe II</v>
      </c>
    </row>
    <row r="321" spans="1:23" ht="12.75" x14ac:dyDescent="0.2">
      <c r="A321" s="74" t="str">
        <f t="shared" si="10"/>
        <v>409A.09</v>
      </c>
      <c r="B321" s="825" t="s">
        <v>339</v>
      </c>
      <c r="C321" s="78" t="s">
        <v>1545</v>
      </c>
      <c r="D321" s="78"/>
      <c r="E321" s="78"/>
      <c r="F321" s="78"/>
      <c r="G321" s="27" t="s">
        <v>512</v>
      </c>
      <c r="H321" s="78">
        <v>9</v>
      </c>
      <c r="I321" s="78">
        <v>563.29999999999995</v>
      </c>
      <c r="J321" s="78">
        <v>10.5</v>
      </c>
      <c r="K321" s="78">
        <v>4</v>
      </c>
      <c r="L321" s="848" t="s">
        <v>353</v>
      </c>
      <c r="M321" s="33"/>
      <c r="N321" s="34"/>
      <c r="O321" s="34"/>
      <c r="P321" s="33"/>
      <c r="Q321" s="34"/>
      <c r="R321" s="34"/>
      <c r="S321" s="849" t="s">
        <v>65</v>
      </c>
      <c r="T321" s="849" t="s">
        <v>65</v>
      </c>
      <c r="U321" s="823" t="s">
        <v>1546</v>
      </c>
      <c r="V321" s="77">
        <v>9</v>
      </c>
      <c r="W321" s="824" t="str">
        <f t="shared" si="9"/>
        <v>Wissenschaftliches Fach  (Liz/Master+Oberlehrer/SekII)</v>
      </c>
    </row>
    <row r="322" spans="1:23" ht="12.75" x14ac:dyDescent="0.2">
      <c r="A322" s="74" t="str">
        <f t="shared" si="10"/>
        <v>409B.10</v>
      </c>
      <c r="B322" s="825" t="s">
        <v>254</v>
      </c>
      <c r="C322" s="78" t="s">
        <v>1545</v>
      </c>
      <c r="D322" s="78"/>
      <c r="E322" s="78"/>
      <c r="F322" s="78"/>
      <c r="G322" s="27" t="s">
        <v>513</v>
      </c>
      <c r="H322" s="78">
        <v>10</v>
      </c>
      <c r="I322" s="78">
        <v>0</v>
      </c>
      <c r="J322" s="78">
        <v>8.5</v>
      </c>
      <c r="K322" s="78">
        <v>4</v>
      </c>
      <c r="L322" s="848" t="s">
        <v>90</v>
      </c>
      <c r="M322" s="33"/>
      <c r="N322" s="34"/>
      <c r="O322" s="34"/>
      <c r="P322" s="33"/>
      <c r="Q322" s="34"/>
      <c r="R322" s="34"/>
      <c r="S322" s="849" t="s">
        <v>65</v>
      </c>
      <c r="T322" s="849" t="s">
        <v>65</v>
      </c>
      <c r="U322" s="823" t="s">
        <v>1547</v>
      </c>
      <c r="V322" s="77">
        <v>10</v>
      </c>
      <c r="W322" s="824" t="str">
        <f t="shared" ref="W322:W385" si="11">G322</f>
        <v>Wissenschaftliches Fach  (Bachelor+SIBP/Berufsschullehrer)</v>
      </c>
    </row>
    <row r="323" spans="1:23" ht="12.75" x14ac:dyDescent="0.2">
      <c r="A323" s="74" t="str">
        <f t="shared" si="10"/>
        <v>409C.09</v>
      </c>
      <c r="B323" s="825" t="s">
        <v>340</v>
      </c>
      <c r="C323" s="79" t="s">
        <v>1545</v>
      </c>
      <c r="D323" s="79"/>
      <c r="E323" s="79"/>
      <c r="F323" s="79"/>
      <c r="G323" s="28" t="s">
        <v>514</v>
      </c>
      <c r="H323" s="79">
        <v>9</v>
      </c>
      <c r="I323" s="79">
        <v>0</v>
      </c>
      <c r="J323" s="79">
        <v>10.5</v>
      </c>
      <c r="K323" s="79">
        <v>4</v>
      </c>
      <c r="L323" s="833" t="s">
        <v>353</v>
      </c>
      <c r="M323" s="35"/>
      <c r="N323" s="36"/>
      <c r="O323" s="36"/>
      <c r="P323" s="35"/>
      <c r="Q323" s="36"/>
      <c r="R323" s="36"/>
      <c r="S323" s="834" t="s">
        <v>65</v>
      </c>
      <c r="T323" s="834" t="s">
        <v>65</v>
      </c>
      <c r="U323" s="823" t="s">
        <v>1548</v>
      </c>
      <c r="V323" s="77">
        <v>9</v>
      </c>
      <c r="W323" s="824" t="str">
        <f t="shared" si="11"/>
        <v>Sport II mit wissenschaftlichem Fach (wiss.Unterricht)</v>
      </c>
    </row>
    <row r="324" spans="1:23" ht="12.75" x14ac:dyDescent="0.2">
      <c r="A324" s="74" t="str">
        <f t="shared" si="10"/>
        <v>409C.10</v>
      </c>
      <c r="B324" s="825" t="s">
        <v>271</v>
      </c>
      <c r="C324" s="79" t="s">
        <v>1545</v>
      </c>
      <c r="D324" s="79"/>
      <c r="E324" s="79"/>
      <c r="F324" s="79"/>
      <c r="G324" s="28" t="s">
        <v>515</v>
      </c>
      <c r="H324" s="79">
        <v>10</v>
      </c>
      <c r="I324" s="79">
        <v>0</v>
      </c>
      <c r="J324" s="79">
        <v>9.5</v>
      </c>
      <c r="K324" s="79">
        <v>4</v>
      </c>
      <c r="L324" s="833" t="s">
        <v>347</v>
      </c>
      <c r="M324" s="35"/>
      <c r="N324" s="36"/>
      <c r="O324" s="36"/>
      <c r="P324" s="35"/>
      <c r="Q324" s="36"/>
      <c r="R324" s="36"/>
      <c r="S324" s="834" t="s">
        <v>65</v>
      </c>
      <c r="T324" s="834" t="s">
        <v>65</v>
      </c>
      <c r="U324" s="823" t="s">
        <v>1549</v>
      </c>
      <c r="V324" s="77">
        <v>10</v>
      </c>
      <c r="W324" s="824" t="str">
        <f t="shared" si="11"/>
        <v>Sport II mit wissenschaftlichem Fach (Sportunterricht)</v>
      </c>
    </row>
    <row r="325" spans="1:23" ht="12.75" x14ac:dyDescent="0.2">
      <c r="A325" s="74" t="str">
        <f t="shared" si="10"/>
        <v>409D.10</v>
      </c>
      <c r="B325" s="825" t="s">
        <v>255</v>
      </c>
      <c r="C325" s="78" t="s">
        <v>1545</v>
      </c>
      <c r="D325" s="78"/>
      <c r="E325" s="78"/>
      <c r="F325" s="78"/>
      <c r="G325" s="27" t="s">
        <v>516</v>
      </c>
      <c r="H325" s="78">
        <v>10</v>
      </c>
      <c r="I325" s="78">
        <v>537.9</v>
      </c>
      <c r="J325" s="78">
        <v>9.5</v>
      </c>
      <c r="K325" s="78">
        <v>4</v>
      </c>
      <c r="L325" s="848" t="s">
        <v>347</v>
      </c>
      <c r="M325" s="33"/>
      <c r="N325" s="34"/>
      <c r="O325" s="34"/>
      <c r="P325" s="33"/>
      <c r="Q325" s="34"/>
      <c r="R325" s="34"/>
      <c r="S325" s="849" t="s">
        <v>65</v>
      </c>
      <c r="T325" s="849" t="s">
        <v>65</v>
      </c>
      <c r="U325" s="823" t="s">
        <v>1550</v>
      </c>
      <c r="V325" s="77">
        <v>10</v>
      </c>
      <c r="W325" s="824" t="str">
        <f t="shared" si="11"/>
        <v>Sport mit wissenschaftlichem Fach (Sport II mit wissenschaftlichem Fach auf Sek.-Stu I)</v>
      </c>
    </row>
    <row r="326" spans="1:23" ht="12.75" x14ac:dyDescent="0.2">
      <c r="A326" s="74" t="str">
        <f t="shared" si="10"/>
        <v>409E.10</v>
      </c>
      <c r="B326" s="825" t="s">
        <v>256</v>
      </c>
      <c r="C326" s="79" t="s">
        <v>1545</v>
      </c>
      <c r="D326" s="79"/>
      <c r="E326" s="79"/>
      <c r="F326" s="79"/>
      <c r="G326" s="28" t="s">
        <v>517</v>
      </c>
      <c r="H326" s="79">
        <v>10</v>
      </c>
      <c r="I326" s="79">
        <v>539.29999999999995</v>
      </c>
      <c r="J326" s="79">
        <v>10.5</v>
      </c>
      <c r="K326" s="79">
        <v>6</v>
      </c>
      <c r="L326" s="833" t="s">
        <v>353</v>
      </c>
      <c r="M326" s="35"/>
      <c r="N326" s="36"/>
      <c r="O326" s="36"/>
      <c r="P326" s="35"/>
      <c r="Q326" s="36"/>
      <c r="R326" s="36"/>
      <c r="S326" s="834" t="s">
        <v>65</v>
      </c>
      <c r="T326" s="834" t="s">
        <v>65</v>
      </c>
      <c r="U326" s="823" t="s">
        <v>1551</v>
      </c>
      <c r="V326" s="77">
        <v>10</v>
      </c>
      <c r="W326" s="824" t="str">
        <f t="shared" si="11"/>
        <v>Allg.bildende Fächer (Primarlehrpat+SIBP oder Sek.II-Patent)</v>
      </c>
    </row>
    <row r="327" spans="1:23" ht="12.75" x14ac:dyDescent="0.2">
      <c r="A327" s="74" t="str">
        <f t="shared" si="10"/>
        <v>409E.11</v>
      </c>
      <c r="B327" s="28" t="s">
        <v>518</v>
      </c>
      <c r="C327" s="79" t="s">
        <v>1545</v>
      </c>
      <c r="D327" s="79"/>
      <c r="E327" s="79"/>
      <c r="F327" s="79"/>
      <c r="G327" s="28" t="s">
        <v>519</v>
      </c>
      <c r="H327" s="79">
        <v>11</v>
      </c>
      <c r="I327" s="79">
        <v>539.29999999999995</v>
      </c>
      <c r="J327" s="79">
        <v>9.5</v>
      </c>
      <c r="K327" s="79">
        <v>6</v>
      </c>
      <c r="L327" s="833" t="s">
        <v>347</v>
      </c>
      <c r="M327" s="35"/>
      <c r="N327" s="36"/>
      <c r="O327" s="36"/>
      <c r="P327" s="35"/>
      <c r="Q327" s="36"/>
      <c r="R327" s="36"/>
      <c r="S327" s="834" t="s">
        <v>65</v>
      </c>
      <c r="T327" s="834" t="s">
        <v>65</v>
      </c>
      <c r="U327" s="823" t="s">
        <v>1552</v>
      </c>
      <c r="V327" s="77">
        <v>11</v>
      </c>
      <c r="W327" s="824" t="str">
        <f t="shared" si="11"/>
        <v>Allg.bildende Fächer (Master ohne päd.Ausbildung)</v>
      </c>
    </row>
    <row r="328" spans="1:23" ht="12.75" x14ac:dyDescent="0.2">
      <c r="A328" s="74" t="str">
        <f t="shared" si="10"/>
        <v>409F.10</v>
      </c>
      <c r="B328" s="825" t="s">
        <v>257</v>
      </c>
      <c r="C328" s="78" t="s">
        <v>1545</v>
      </c>
      <c r="D328" s="78"/>
      <c r="E328" s="78"/>
      <c r="F328" s="78"/>
      <c r="G328" s="27" t="s">
        <v>520</v>
      </c>
      <c r="H328" s="78">
        <v>10</v>
      </c>
      <c r="I328" s="78">
        <v>547.29999999999995</v>
      </c>
      <c r="J328" s="78">
        <v>9</v>
      </c>
      <c r="K328" s="78">
        <v>6</v>
      </c>
      <c r="L328" s="848" t="s">
        <v>351</v>
      </c>
      <c r="M328" s="33"/>
      <c r="N328" s="34"/>
      <c r="O328" s="34"/>
      <c r="P328" s="33"/>
      <c r="Q328" s="34"/>
      <c r="R328" s="34"/>
      <c r="S328" s="849" t="s">
        <v>65</v>
      </c>
      <c r="T328" s="849" t="s">
        <v>65</v>
      </c>
      <c r="U328" s="823" t="s">
        <v>1553</v>
      </c>
      <c r="V328" s="77">
        <v>10</v>
      </c>
      <c r="W328" s="824" t="str">
        <f t="shared" si="11"/>
        <v>Berufskundliche Fächer (Bachelor+SIBP)</v>
      </c>
    </row>
    <row r="329" spans="1:23" ht="12.75" x14ac:dyDescent="0.2">
      <c r="A329" s="74" t="str">
        <f t="shared" si="10"/>
        <v>409G.11</v>
      </c>
      <c r="B329" s="825" t="s">
        <v>258</v>
      </c>
      <c r="C329" s="79" t="s">
        <v>1545</v>
      </c>
      <c r="D329" s="79"/>
      <c r="E329" s="79"/>
      <c r="F329" s="79"/>
      <c r="G329" s="28" t="s">
        <v>521</v>
      </c>
      <c r="H329" s="79">
        <v>11</v>
      </c>
      <c r="I329" s="79">
        <v>531.4</v>
      </c>
      <c r="J329" s="79">
        <v>8</v>
      </c>
      <c r="K329" s="79">
        <v>6</v>
      </c>
      <c r="L329" s="833" t="s">
        <v>352</v>
      </c>
      <c r="M329" s="35"/>
      <c r="N329" s="36"/>
      <c r="O329" s="36"/>
      <c r="P329" s="35"/>
      <c r="Q329" s="36"/>
      <c r="R329" s="36"/>
      <c r="S329" s="834" t="s">
        <v>65</v>
      </c>
      <c r="T329" s="834" t="s">
        <v>65</v>
      </c>
      <c r="U329" s="823" t="s">
        <v>1554</v>
      </c>
      <c r="V329" s="77">
        <v>11</v>
      </c>
      <c r="W329" s="824" t="str">
        <f t="shared" si="11"/>
        <v>Berufskundliche Fächer (Meisterprüfung+SIBP)</v>
      </c>
    </row>
    <row r="330" spans="1:23" ht="12.75" x14ac:dyDescent="0.2">
      <c r="A330" s="74" t="str">
        <f t="shared" si="10"/>
        <v>409H.10</v>
      </c>
      <c r="B330" s="825" t="s">
        <v>273</v>
      </c>
      <c r="C330" s="78" t="s">
        <v>1545</v>
      </c>
      <c r="D330" s="78"/>
      <c r="E330" s="78"/>
      <c r="F330" s="78"/>
      <c r="G330" s="27" t="s">
        <v>522</v>
      </c>
      <c r="H330" s="78">
        <v>10</v>
      </c>
      <c r="I330" s="78">
        <v>537.9</v>
      </c>
      <c r="J330" s="78">
        <v>9.5</v>
      </c>
      <c r="K330" s="78">
        <v>4</v>
      </c>
      <c r="L330" s="850" t="s">
        <v>347</v>
      </c>
      <c r="M330" s="33"/>
      <c r="N330" s="34"/>
      <c r="O330" s="34"/>
      <c r="P330" s="33"/>
      <c r="Q330" s="34"/>
      <c r="R330" s="34"/>
      <c r="S330" s="849" t="s">
        <v>65</v>
      </c>
      <c r="T330" s="849" t="s">
        <v>65</v>
      </c>
      <c r="U330" s="823" t="s">
        <v>1555</v>
      </c>
      <c r="V330" s="77">
        <v>10</v>
      </c>
      <c r="W330" s="824" t="str">
        <f t="shared" si="11"/>
        <v>Sport mit allgemein bildendem Fach (Sport II mit wissenschaftl.Fach auf SekStufe I)</v>
      </c>
    </row>
    <row r="331" spans="1:23" ht="12.75" x14ac:dyDescent="0.2">
      <c r="A331" s="74" t="str">
        <f t="shared" si="10"/>
        <v>409H.11</v>
      </c>
      <c r="B331" s="825" t="s">
        <v>272</v>
      </c>
      <c r="C331" s="79" t="s">
        <v>1545</v>
      </c>
      <c r="D331" s="79"/>
      <c r="E331" s="79"/>
      <c r="F331" s="79"/>
      <c r="G331" s="28" t="s">
        <v>523</v>
      </c>
      <c r="H331" s="79">
        <v>11</v>
      </c>
      <c r="I331" s="79">
        <v>537.9</v>
      </c>
      <c r="J331" s="79">
        <v>9.5</v>
      </c>
      <c r="K331" s="79">
        <v>4</v>
      </c>
      <c r="L331" s="850" t="s">
        <v>347</v>
      </c>
      <c r="M331" s="35"/>
      <c r="N331" s="36"/>
      <c r="O331" s="36"/>
      <c r="P331" s="35"/>
      <c r="Q331" s="36"/>
      <c r="R331" s="36"/>
      <c r="S331" s="834" t="s">
        <v>65</v>
      </c>
      <c r="T331" s="834" t="s">
        <v>65</v>
      </c>
      <c r="U331" s="823" t="s">
        <v>1556</v>
      </c>
      <c r="V331" s="77">
        <v>11</v>
      </c>
      <c r="W331" s="824" t="str">
        <f t="shared" si="11"/>
        <v>Sport (Sport II)</v>
      </c>
    </row>
    <row r="332" spans="1:23" ht="12.75" x14ac:dyDescent="0.2">
      <c r="A332" s="74" t="str">
        <f t="shared" si="10"/>
        <v>409H.12</v>
      </c>
      <c r="B332" s="27" t="s">
        <v>634</v>
      </c>
      <c r="C332" s="78" t="s">
        <v>1545</v>
      </c>
      <c r="D332" s="78"/>
      <c r="E332" s="78"/>
      <c r="F332" s="78"/>
      <c r="G332" s="27" t="s">
        <v>635</v>
      </c>
      <c r="H332" s="78">
        <v>12</v>
      </c>
      <c r="I332" s="78">
        <v>537.9</v>
      </c>
      <c r="J332" s="78">
        <v>9.5</v>
      </c>
      <c r="K332" s="78">
        <v>4</v>
      </c>
      <c r="L332" s="848" t="s">
        <v>347</v>
      </c>
      <c r="M332" s="33"/>
      <c r="N332" s="34"/>
      <c r="O332" s="34"/>
      <c r="P332" s="33"/>
      <c r="Q332" s="34"/>
      <c r="R332" s="34"/>
      <c r="S332" s="849" t="s">
        <v>65</v>
      </c>
      <c r="T332" s="849" t="s">
        <v>65</v>
      </c>
      <c r="U332" s="823" t="s">
        <v>1557</v>
      </c>
      <c r="V332" s="77">
        <v>12</v>
      </c>
      <c r="W332" s="824" t="str">
        <f t="shared" si="11"/>
        <v>Sport (Sport II mit Primarlehrerpatent)</v>
      </c>
    </row>
    <row r="333" spans="1:23" ht="12.75" x14ac:dyDescent="0.2">
      <c r="A333" s="74" t="str">
        <f t="shared" si="10"/>
        <v>409I.10</v>
      </c>
      <c r="B333" s="825" t="s">
        <v>259</v>
      </c>
      <c r="C333" s="79" t="s">
        <v>1545</v>
      </c>
      <c r="D333" s="79"/>
      <c r="E333" s="79"/>
      <c r="F333" s="79"/>
      <c r="G333" s="28" t="s">
        <v>524</v>
      </c>
      <c r="H333" s="79">
        <v>10</v>
      </c>
      <c r="I333" s="79">
        <v>543.6</v>
      </c>
      <c r="J333" s="79">
        <v>9.5</v>
      </c>
      <c r="K333" s="79">
        <v>4</v>
      </c>
      <c r="L333" s="833" t="s">
        <v>347</v>
      </c>
      <c r="M333" s="35"/>
      <c r="N333" s="36"/>
      <c r="O333" s="36"/>
      <c r="P333" s="35"/>
      <c r="Q333" s="36"/>
      <c r="R333" s="36"/>
      <c r="S333" s="834" t="s">
        <v>65</v>
      </c>
      <c r="T333" s="834" t="s">
        <v>65</v>
      </c>
      <c r="U333" s="823" t="s">
        <v>1558</v>
      </c>
      <c r="V333" s="77">
        <v>10</v>
      </c>
      <c r="W333" s="824" t="str">
        <f t="shared" si="11"/>
        <v>Allgemein bildende Fächer Vorlehre (Sek.I A+BWK+Heilpäd.)</v>
      </c>
    </row>
    <row r="334" spans="1:23" ht="12.75" x14ac:dyDescent="0.2">
      <c r="A334" s="74" t="str">
        <f t="shared" si="10"/>
        <v>409K.10</v>
      </c>
      <c r="B334" s="25" t="s">
        <v>525</v>
      </c>
      <c r="C334" s="76" t="s">
        <v>1545</v>
      </c>
      <c r="D334" s="76"/>
      <c r="E334" s="76"/>
      <c r="F334" s="76"/>
      <c r="G334" s="25" t="s">
        <v>526</v>
      </c>
      <c r="H334" s="76">
        <v>10</v>
      </c>
      <c r="I334" s="76" t="s">
        <v>65</v>
      </c>
      <c r="J334" s="76">
        <v>8.5</v>
      </c>
      <c r="K334" s="76">
        <v>4</v>
      </c>
      <c r="L334" s="846" t="s">
        <v>90</v>
      </c>
      <c r="M334" s="31"/>
      <c r="O334" s="32"/>
      <c r="P334" s="31"/>
      <c r="R334" s="32"/>
      <c r="S334" s="847" t="s">
        <v>65</v>
      </c>
      <c r="T334" s="847" t="s">
        <v>65</v>
      </c>
      <c r="U334" s="823" t="s">
        <v>1559</v>
      </c>
      <c r="V334" s="77">
        <v>10</v>
      </c>
      <c r="W334" s="824" t="str">
        <f t="shared" si="11"/>
        <v>Sek. I-Lehrperson (Sek.I A, &gt;=3 Fächer)</v>
      </c>
    </row>
    <row r="335" spans="1:23" ht="12.75" x14ac:dyDescent="0.2">
      <c r="A335" s="74" t="str">
        <f t="shared" si="10"/>
        <v>409K.11</v>
      </c>
      <c r="B335" s="27" t="s">
        <v>527</v>
      </c>
      <c r="C335" s="78" t="s">
        <v>1545</v>
      </c>
      <c r="D335" s="78"/>
      <c r="E335" s="78"/>
      <c r="F335" s="78"/>
      <c r="G335" s="27" t="s">
        <v>528</v>
      </c>
      <c r="H335" s="78">
        <v>11</v>
      </c>
      <c r="I335" s="78" t="s">
        <v>65</v>
      </c>
      <c r="J335" s="78">
        <v>8.5</v>
      </c>
      <c r="K335" s="78">
        <v>4</v>
      </c>
      <c r="L335" s="848" t="s">
        <v>90</v>
      </c>
      <c r="M335" s="33"/>
      <c r="N335" s="34"/>
      <c r="O335" s="34"/>
      <c r="P335" s="33"/>
      <c r="Q335" s="34"/>
      <c r="R335" s="34"/>
      <c r="S335" s="849" t="s">
        <v>65</v>
      </c>
      <c r="T335" s="849" t="s">
        <v>65</v>
      </c>
      <c r="U335" s="823" t="s">
        <v>1560</v>
      </c>
      <c r="V335" s="77">
        <v>11</v>
      </c>
      <c r="W335" s="824" t="str">
        <f t="shared" si="11"/>
        <v>Sek. I-Lehrperson (Sek.I A, 2 Fächer)</v>
      </c>
    </row>
    <row r="336" spans="1:23" ht="12.75" x14ac:dyDescent="0.2">
      <c r="A336" s="74" t="str">
        <f t="shared" si="10"/>
        <v>409K.12</v>
      </c>
      <c r="B336" s="28" t="s">
        <v>529</v>
      </c>
      <c r="C336" s="79" t="s">
        <v>1545</v>
      </c>
      <c r="D336" s="79"/>
      <c r="E336" s="79"/>
      <c r="F336" s="79"/>
      <c r="G336" s="28" t="s">
        <v>530</v>
      </c>
      <c r="H336" s="79">
        <v>12</v>
      </c>
      <c r="I336" s="79" t="s">
        <v>65</v>
      </c>
      <c r="J336" s="79">
        <v>8.5</v>
      </c>
      <c r="K336" s="79">
        <v>4</v>
      </c>
      <c r="L336" s="833" t="s">
        <v>90</v>
      </c>
      <c r="M336" s="35"/>
      <c r="N336" s="36"/>
      <c r="O336" s="36"/>
      <c r="P336" s="35"/>
      <c r="Q336" s="36"/>
      <c r="R336" s="36"/>
      <c r="S336" s="834" t="s">
        <v>65</v>
      </c>
      <c r="T336" s="834" t="s">
        <v>65</v>
      </c>
      <c r="U336" s="823" t="s">
        <v>1561</v>
      </c>
      <c r="V336" s="77">
        <v>12</v>
      </c>
      <c r="W336" s="824" t="str">
        <f t="shared" si="11"/>
        <v>Sek. I-Lehrperson (Sek.I A, 1 wiss. Fach)</v>
      </c>
    </row>
    <row r="337" spans="1:23" ht="12.75" x14ac:dyDescent="0.2">
      <c r="A337" s="74" t="str">
        <f t="shared" si="10"/>
        <v>409K.13</v>
      </c>
      <c r="B337" s="28" t="s">
        <v>531</v>
      </c>
      <c r="C337" s="79" t="s">
        <v>1545</v>
      </c>
      <c r="D337" s="79"/>
      <c r="E337" s="79"/>
      <c r="F337" s="79"/>
      <c r="G337" s="28" t="s">
        <v>532</v>
      </c>
      <c r="H337" s="79">
        <v>13</v>
      </c>
      <c r="I337" s="79" t="s">
        <v>65</v>
      </c>
      <c r="J337" s="79">
        <v>8.5</v>
      </c>
      <c r="K337" s="79">
        <v>4</v>
      </c>
      <c r="L337" s="833" t="s">
        <v>90</v>
      </c>
      <c r="M337" s="35"/>
      <c r="N337" s="36"/>
      <c r="O337" s="36"/>
      <c r="P337" s="35"/>
      <c r="Q337" s="36"/>
      <c r="R337" s="36"/>
      <c r="S337" s="834" t="s">
        <v>65</v>
      </c>
      <c r="T337" s="834" t="s">
        <v>65</v>
      </c>
      <c r="U337" s="823" t="s">
        <v>1562</v>
      </c>
      <c r="V337" s="77">
        <v>13</v>
      </c>
      <c r="W337" s="824" t="str">
        <f t="shared" si="11"/>
        <v>Sek. I-Lehrperson (Sek.I A, 1 nicht.-wiss. Fach)</v>
      </c>
    </row>
    <row r="338" spans="1:23" ht="12.75" x14ac:dyDescent="0.2">
      <c r="A338" s="74" t="str">
        <f t="shared" si="10"/>
        <v>409L.11</v>
      </c>
      <c r="B338" s="28" t="s">
        <v>636</v>
      </c>
      <c r="C338" s="79" t="s">
        <v>1545</v>
      </c>
      <c r="D338" s="79"/>
      <c r="E338" s="79"/>
      <c r="F338" s="79"/>
      <c r="G338" s="28" t="s">
        <v>638</v>
      </c>
      <c r="H338" s="79">
        <v>11</v>
      </c>
      <c r="I338" s="79" t="s">
        <v>65</v>
      </c>
      <c r="J338" s="79">
        <v>6.5</v>
      </c>
      <c r="K338" s="79">
        <v>3</v>
      </c>
      <c r="L338" s="833" t="s">
        <v>346</v>
      </c>
      <c r="M338" s="35"/>
      <c r="N338" s="36"/>
      <c r="O338" s="36"/>
      <c r="P338" s="35"/>
      <c r="Q338" s="36"/>
      <c r="R338" s="36"/>
      <c r="S338" s="834" t="s">
        <v>65</v>
      </c>
      <c r="T338" s="834" t="s">
        <v>65</v>
      </c>
      <c r="U338" s="823" t="s">
        <v>1563</v>
      </c>
      <c r="V338" s="77">
        <v>11</v>
      </c>
      <c r="W338" s="824" t="str">
        <f t="shared" si="11"/>
        <v>Primarlehrperson Berufsschule mit Sek.I Niv.A &amp; SIBP</v>
      </c>
    </row>
    <row r="339" spans="1:23" ht="12.75" x14ac:dyDescent="0.2">
      <c r="A339" s="74" t="str">
        <f t="shared" si="10"/>
        <v>409L.12</v>
      </c>
      <c r="B339" s="28" t="s">
        <v>533</v>
      </c>
      <c r="C339" s="79" t="s">
        <v>1545</v>
      </c>
      <c r="D339" s="79"/>
      <c r="E339" s="79"/>
      <c r="F339" s="79"/>
      <c r="G339" s="28" t="s">
        <v>637</v>
      </c>
      <c r="H339" s="79">
        <v>12</v>
      </c>
      <c r="I339" s="79" t="s">
        <v>65</v>
      </c>
      <c r="J339" s="79">
        <v>6.5</v>
      </c>
      <c r="K339" s="79">
        <v>3</v>
      </c>
      <c r="L339" s="833" t="s">
        <v>346</v>
      </c>
      <c r="M339" s="35"/>
      <c r="N339" s="36"/>
      <c r="O339" s="36"/>
      <c r="P339" s="35"/>
      <c r="Q339" s="36"/>
      <c r="R339" s="36"/>
      <c r="S339" s="834" t="s">
        <v>65</v>
      </c>
      <c r="T339" s="834" t="s">
        <v>65</v>
      </c>
      <c r="U339" s="823" t="s">
        <v>1564</v>
      </c>
      <c r="V339" s="77">
        <v>12</v>
      </c>
      <c r="W339" s="824" t="str">
        <f t="shared" si="11"/>
        <v>Primarlehrperson Berufsschule mit Sek I, Niveau A</v>
      </c>
    </row>
    <row r="340" spans="1:23" ht="12.75" x14ac:dyDescent="0.2">
      <c r="A340" s="74" t="str">
        <f t="shared" si="10"/>
        <v>409L.13</v>
      </c>
      <c r="B340" s="28" t="s">
        <v>639</v>
      </c>
      <c r="C340" s="79" t="s">
        <v>1545</v>
      </c>
      <c r="D340" s="79"/>
      <c r="E340" s="79"/>
      <c r="F340" s="79"/>
      <c r="G340" s="28" t="s">
        <v>534</v>
      </c>
      <c r="H340" s="79">
        <v>13</v>
      </c>
      <c r="I340" s="79" t="s">
        <v>65</v>
      </c>
      <c r="J340" s="79">
        <v>6.5</v>
      </c>
      <c r="K340" s="79">
        <v>3</v>
      </c>
      <c r="L340" s="833" t="s">
        <v>346</v>
      </c>
      <c r="M340" s="35"/>
      <c r="N340" s="36"/>
      <c r="O340" s="36"/>
      <c r="P340" s="35"/>
      <c r="Q340" s="36"/>
      <c r="R340" s="36"/>
      <c r="S340" s="834" t="s">
        <v>65</v>
      </c>
      <c r="T340" s="834" t="s">
        <v>65</v>
      </c>
      <c r="U340" s="823" t="s">
        <v>1565</v>
      </c>
      <c r="V340" s="77">
        <v>13</v>
      </c>
      <c r="W340" s="824" t="str">
        <f t="shared" si="11"/>
        <v>Primarlehrperson Berufsschule</v>
      </c>
    </row>
    <row r="341" spans="1:23" ht="12.75" x14ac:dyDescent="0.2">
      <c r="A341" s="74" t="str">
        <f t="shared" si="10"/>
        <v>409M.11</v>
      </c>
      <c r="B341" s="28" t="s">
        <v>535</v>
      </c>
      <c r="C341" s="79" t="s">
        <v>1545</v>
      </c>
      <c r="D341" s="79"/>
      <c r="E341" s="79"/>
      <c r="F341" s="79"/>
      <c r="G341" s="28" t="s">
        <v>536</v>
      </c>
      <c r="H341" s="79">
        <v>11</v>
      </c>
      <c r="I341" s="79" t="s">
        <v>65</v>
      </c>
      <c r="J341" s="79">
        <v>8.5</v>
      </c>
      <c r="K341" s="79">
        <v>6</v>
      </c>
      <c r="L341" s="833" t="s">
        <v>90</v>
      </c>
      <c r="M341" s="35"/>
      <c r="N341" s="36"/>
      <c r="O341" s="36"/>
      <c r="P341" s="35"/>
      <c r="Q341" s="36"/>
      <c r="R341" s="36"/>
      <c r="S341" s="834" t="s">
        <v>65</v>
      </c>
      <c r="T341" s="834" t="s">
        <v>65</v>
      </c>
      <c r="U341" s="823" t="s">
        <v>1566</v>
      </c>
      <c r="V341" s="77">
        <v>11</v>
      </c>
      <c r="W341" s="824" t="str">
        <f t="shared" si="11"/>
        <v>Berufskundliche Fächer (Bachelor/Liz.+SIBP)</v>
      </c>
    </row>
    <row r="342" spans="1:23" ht="12.75" x14ac:dyDescent="0.2">
      <c r="A342" s="74" t="str">
        <f t="shared" si="10"/>
        <v>409M.12</v>
      </c>
      <c r="B342" s="28" t="s">
        <v>1567</v>
      </c>
      <c r="C342" s="79">
        <v>409</v>
      </c>
      <c r="D342" s="79"/>
      <c r="E342" s="79"/>
      <c r="F342" s="79">
        <v>409</v>
      </c>
      <c r="G342" s="28" t="s">
        <v>1568</v>
      </c>
      <c r="H342" s="79">
        <v>12</v>
      </c>
      <c r="I342" s="79"/>
      <c r="J342" s="79"/>
      <c r="K342" s="79"/>
      <c r="L342" s="833"/>
      <c r="M342" s="35"/>
      <c r="N342" s="36"/>
      <c r="O342" s="36"/>
      <c r="P342" s="35"/>
      <c r="Q342" s="36"/>
      <c r="R342" s="36"/>
      <c r="S342" s="834"/>
      <c r="T342" s="834"/>
      <c r="U342" s="823" t="s">
        <v>1569</v>
      </c>
      <c r="V342" s="77">
        <v>12</v>
      </c>
      <c r="W342" s="824" t="str">
        <f t="shared" si="11"/>
        <v>Berufskundliche Fächer</v>
      </c>
    </row>
    <row r="343" spans="1:23" ht="12.75" x14ac:dyDescent="0.2">
      <c r="A343" s="74" t="str">
        <f t="shared" si="10"/>
        <v>409M.13</v>
      </c>
      <c r="B343" s="28" t="s">
        <v>640</v>
      </c>
      <c r="C343" s="79" t="s">
        <v>1545</v>
      </c>
      <c r="D343" s="79"/>
      <c r="E343" s="79"/>
      <c r="F343" s="79"/>
      <c r="G343" s="28" t="s">
        <v>537</v>
      </c>
      <c r="H343" s="79">
        <v>13</v>
      </c>
      <c r="I343" s="79" t="s">
        <v>65</v>
      </c>
      <c r="J343" s="79">
        <v>8</v>
      </c>
      <c r="K343" s="79">
        <v>6</v>
      </c>
      <c r="L343" s="833" t="s">
        <v>352</v>
      </c>
      <c r="M343" s="35"/>
      <c r="N343" s="36"/>
      <c r="O343" s="36"/>
      <c r="P343" s="35"/>
      <c r="Q343" s="36"/>
      <c r="R343" s="36"/>
      <c r="S343" s="834" t="s">
        <v>65</v>
      </c>
      <c r="T343" s="834" t="s">
        <v>65</v>
      </c>
      <c r="U343" s="823" t="s">
        <v>1570</v>
      </c>
      <c r="V343" s="77">
        <v>13</v>
      </c>
      <c r="W343" s="824" t="str">
        <f t="shared" si="11"/>
        <v>Berufskundliche Fächer (Bachelor/Liz.ohne SIBP)</v>
      </c>
    </row>
    <row r="344" spans="1:23" ht="12.75" x14ac:dyDescent="0.2">
      <c r="A344" s="74" t="str">
        <f t="shared" si="10"/>
        <v>409N.12</v>
      </c>
      <c r="B344" s="28" t="s">
        <v>538</v>
      </c>
      <c r="C344" s="79" t="s">
        <v>1545</v>
      </c>
      <c r="D344" s="79"/>
      <c r="E344" s="79"/>
      <c r="F344" s="79"/>
      <c r="G344" s="28" t="s">
        <v>539</v>
      </c>
      <c r="H344" s="79">
        <v>12</v>
      </c>
      <c r="I344" s="79" t="s">
        <v>65</v>
      </c>
      <c r="J344" s="79">
        <v>8.5</v>
      </c>
      <c r="K344" s="79">
        <v>6</v>
      </c>
      <c r="L344" s="833" t="s">
        <v>90</v>
      </c>
      <c r="M344" s="35"/>
      <c r="N344" s="36"/>
      <c r="O344" s="36"/>
      <c r="P344" s="35"/>
      <c r="Q344" s="36"/>
      <c r="R344" s="36"/>
      <c r="S344" s="834" t="s">
        <v>65</v>
      </c>
      <c r="T344" s="834" t="s">
        <v>65</v>
      </c>
      <c r="U344" s="823" t="s">
        <v>1571</v>
      </c>
      <c r="V344" s="77">
        <v>12</v>
      </c>
      <c r="W344" s="824" t="str">
        <f t="shared" si="11"/>
        <v>Berufskundliche Fächer (Bachelor/Liz.+SIBP-DIK II-Kurs)</v>
      </c>
    </row>
    <row r="345" spans="1:23" ht="12.75" x14ac:dyDescent="0.2">
      <c r="A345" s="74" t="str">
        <f t="shared" si="10"/>
        <v>409N.13</v>
      </c>
      <c r="B345" s="28" t="s">
        <v>540</v>
      </c>
      <c r="C345" s="79" t="s">
        <v>1545</v>
      </c>
      <c r="D345" s="79"/>
      <c r="E345" s="79"/>
      <c r="F345" s="79"/>
      <c r="G345" s="28" t="s">
        <v>541</v>
      </c>
      <c r="H345" s="79">
        <v>13</v>
      </c>
      <c r="I345" s="79" t="s">
        <v>65</v>
      </c>
      <c r="J345" s="79">
        <v>8</v>
      </c>
      <c r="K345" s="79">
        <v>6</v>
      </c>
      <c r="L345" s="833" t="s">
        <v>352</v>
      </c>
      <c r="M345" s="35"/>
      <c r="N345" s="36"/>
      <c r="O345" s="36"/>
      <c r="P345" s="35"/>
      <c r="Q345" s="36"/>
      <c r="R345" s="36"/>
      <c r="S345" s="834" t="s">
        <v>65</v>
      </c>
      <c r="T345" s="834" t="s">
        <v>65</v>
      </c>
      <c r="U345" s="823" t="s">
        <v>1572</v>
      </c>
      <c r="V345" s="77">
        <v>13</v>
      </c>
      <c r="W345" s="824" t="str">
        <f t="shared" si="11"/>
        <v>Berufskundliche Fächer (Bachelor/Liz.+SIBP-DIK I-Kurs)</v>
      </c>
    </row>
    <row r="346" spans="1:23" ht="12.75" x14ac:dyDescent="0.2">
      <c r="A346" s="74" t="str">
        <f t="shared" si="10"/>
        <v>409N.14</v>
      </c>
      <c r="B346" s="25" t="s">
        <v>542</v>
      </c>
      <c r="C346" s="76" t="s">
        <v>1545</v>
      </c>
      <c r="D346" s="76"/>
      <c r="E346" s="76"/>
      <c r="F346" s="76">
        <v>409</v>
      </c>
      <c r="G346" s="25" t="s">
        <v>625</v>
      </c>
      <c r="H346" s="76">
        <v>14</v>
      </c>
      <c r="I346" s="76" t="s">
        <v>65</v>
      </c>
      <c r="J346" s="76">
        <v>6.5</v>
      </c>
      <c r="K346" s="76">
        <v>6</v>
      </c>
      <c r="L346" s="846" t="s">
        <v>346</v>
      </c>
      <c r="M346" s="31"/>
      <c r="O346" s="32"/>
      <c r="P346" s="31"/>
      <c r="R346" s="32"/>
      <c r="S346" s="847" t="s">
        <v>65</v>
      </c>
      <c r="T346" s="847" t="s">
        <v>65</v>
      </c>
      <c r="U346" s="823" t="s">
        <v>1573</v>
      </c>
      <c r="V346" s="77">
        <v>14</v>
      </c>
      <c r="W346" s="824" t="str">
        <f t="shared" si="11"/>
        <v>Berufskundliche Fächer (Meister ohne SIBP-Kurs)</v>
      </c>
    </row>
    <row r="347" spans="1:23" ht="12.75" x14ac:dyDescent="0.2">
      <c r="A347" s="74" t="str">
        <f t="shared" si="10"/>
        <v>409O.11</v>
      </c>
      <c r="B347" s="28" t="s">
        <v>543</v>
      </c>
      <c r="C347" s="79" t="s">
        <v>1545</v>
      </c>
      <c r="D347" s="79"/>
      <c r="E347" s="79"/>
      <c r="F347" s="79"/>
      <c r="G347" s="28" t="s">
        <v>544</v>
      </c>
      <c r="H347" s="79">
        <v>11</v>
      </c>
      <c r="I347" s="79" t="s">
        <v>65</v>
      </c>
      <c r="J347" s="79">
        <v>9.5</v>
      </c>
      <c r="K347" s="79">
        <v>4</v>
      </c>
      <c r="L347" s="833" t="s">
        <v>347</v>
      </c>
      <c r="M347" s="35"/>
      <c r="N347" s="36"/>
      <c r="O347" s="36"/>
      <c r="P347" s="35"/>
      <c r="Q347" s="36"/>
      <c r="R347" s="36"/>
      <c r="S347" s="834" t="s">
        <v>65</v>
      </c>
      <c r="T347" s="834" t="s">
        <v>65</v>
      </c>
      <c r="U347" s="823" t="s">
        <v>1574</v>
      </c>
      <c r="V347" s="77">
        <v>11</v>
      </c>
      <c r="W347" s="824" t="str">
        <f t="shared" si="11"/>
        <v>Unterricht ohne Lehrdiplom (Liz./Master wissenschaftl.)</v>
      </c>
    </row>
    <row r="348" spans="1:23" ht="12.75" x14ac:dyDescent="0.2">
      <c r="A348" s="74" t="str">
        <f t="shared" si="10"/>
        <v>409O.12</v>
      </c>
      <c r="B348" s="28" t="s">
        <v>545</v>
      </c>
      <c r="C348" s="79" t="s">
        <v>1545</v>
      </c>
      <c r="D348" s="79"/>
      <c r="E348" s="79"/>
      <c r="F348" s="79"/>
      <c r="G348" s="28" t="s">
        <v>546</v>
      </c>
      <c r="H348" s="79">
        <v>12</v>
      </c>
      <c r="I348" s="79" t="s">
        <v>65</v>
      </c>
      <c r="J348" s="79">
        <v>8</v>
      </c>
      <c r="K348" s="79">
        <v>4</v>
      </c>
      <c r="L348" s="833" t="s">
        <v>352</v>
      </c>
      <c r="M348" s="35"/>
      <c r="N348" s="36"/>
      <c r="O348" s="36"/>
      <c r="P348" s="35"/>
      <c r="Q348" s="36"/>
      <c r="R348" s="36"/>
      <c r="S348" s="834" t="s">
        <v>65</v>
      </c>
      <c r="T348" s="834" t="s">
        <v>65</v>
      </c>
      <c r="U348" s="823" t="s">
        <v>1575</v>
      </c>
      <c r="V348" s="77">
        <v>12</v>
      </c>
      <c r="W348" s="824" t="str">
        <f t="shared" si="11"/>
        <v>Unterricht ohne Lehrdiplom (Bachelor wissenschaftl.)</v>
      </c>
    </row>
    <row r="349" spans="1:23" ht="12.75" x14ac:dyDescent="0.2">
      <c r="A349" s="74" t="str">
        <f t="shared" si="10"/>
        <v>409P.13</v>
      </c>
      <c r="B349" s="28" t="s">
        <v>547</v>
      </c>
      <c r="C349" s="79" t="s">
        <v>1545</v>
      </c>
      <c r="D349" s="79"/>
      <c r="E349" s="79"/>
      <c r="F349" s="79"/>
      <c r="G349" s="28" t="s">
        <v>548</v>
      </c>
      <c r="H349" s="79">
        <v>13</v>
      </c>
      <c r="I349" s="79" t="s">
        <v>65</v>
      </c>
      <c r="J349" s="79">
        <v>6</v>
      </c>
      <c r="K349" s="79">
        <v>3</v>
      </c>
      <c r="L349" s="833" t="s">
        <v>672</v>
      </c>
      <c r="M349" s="35"/>
      <c r="N349" s="36"/>
      <c r="O349" s="36"/>
      <c r="P349" s="35"/>
      <c r="Q349" s="36"/>
      <c r="R349" s="36"/>
      <c r="S349" s="834" t="s">
        <v>65</v>
      </c>
      <c r="T349" s="834" t="s">
        <v>65</v>
      </c>
      <c r="U349" s="823" t="s">
        <v>1576</v>
      </c>
      <c r="V349" s="77">
        <v>13</v>
      </c>
      <c r="W349" s="824" t="str">
        <f t="shared" si="11"/>
        <v>Lehrer/in (Berufslehre+päd.Ausb,&gt;=2 Fächer)</v>
      </c>
    </row>
    <row r="350" spans="1:23" ht="12.75" x14ac:dyDescent="0.2">
      <c r="A350" s="74" t="str">
        <f t="shared" si="10"/>
        <v>409P.14</v>
      </c>
      <c r="B350" s="28" t="s">
        <v>549</v>
      </c>
      <c r="C350" s="79" t="s">
        <v>1545</v>
      </c>
      <c r="D350" s="79"/>
      <c r="E350" s="79"/>
      <c r="F350" s="79"/>
      <c r="G350" s="28" t="s">
        <v>550</v>
      </c>
      <c r="H350" s="79">
        <v>14</v>
      </c>
      <c r="I350" s="79" t="s">
        <v>65</v>
      </c>
      <c r="J350" s="79">
        <v>6</v>
      </c>
      <c r="K350" s="79">
        <v>3</v>
      </c>
      <c r="L350" s="833" t="s">
        <v>672</v>
      </c>
      <c r="M350" s="35"/>
      <c r="N350" s="36"/>
      <c r="O350" s="36"/>
      <c r="P350" s="35"/>
      <c r="Q350" s="36"/>
      <c r="R350" s="36"/>
      <c r="S350" s="834" t="s">
        <v>65</v>
      </c>
      <c r="T350" s="834" t="s">
        <v>65</v>
      </c>
      <c r="U350" s="823" t="s">
        <v>1577</v>
      </c>
      <c r="V350" s="77">
        <v>14</v>
      </c>
      <c r="W350" s="824" t="str">
        <f t="shared" si="11"/>
        <v>Lehrer/in (Berufslehre+päd.Ausb,1 Fach)</v>
      </c>
    </row>
    <row r="351" spans="1:23" ht="12.75" x14ac:dyDescent="0.2">
      <c r="A351" s="74" t="str">
        <f t="shared" si="10"/>
        <v>409Q.11</v>
      </c>
      <c r="B351" s="28" t="s">
        <v>551</v>
      </c>
      <c r="C351" s="79" t="s">
        <v>1545</v>
      </c>
      <c r="D351" s="79"/>
      <c r="E351" s="79"/>
      <c r="F351" s="79"/>
      <c r="G351" s="28" t="s">
        <v>552</v>
      </c>
      <c r="H351" s="79">
        <v>11</v>
      </c>
      <c r="I351" s="79" t="s">
        <v>65</v>
      </c>
      <c r="J351" s="79">
        <v>9.5</v>
      </c>
      <c r="K351" s="79">
        <v>4</v>
      </c>
      <c r="L351" s="833" t="s">
        <v>347</v>
      </c>
      <c r="M351" s="35"/>
      <c r="N351" s="36"/>
      <c r="O351" s="36"/>
      <c r="P351" s="35"/>
      <c r="Q351" s="36"/>
      <c r="R351" s="36"/>
      <c r="S351" s="834" t="s">
        <v>65</v>
      </c>
      <c r="T351" s="834" t="s">
        <v>65</v>
      </c>
      <c r="U351" s="823" t="s">
        <v>1578</v>
      </c>
      <c r="V351" s="77">
        <v>11</v>
      </c>
      <c r="W351" s="824" t="str">
        <f t="shared" si="11"/>
        <v>Vorlehre (Primarlehrer+Heil.Päd oder Berufberater oder Sek.IA)</v>
      </c>
    </row>
    <row r="352" spans="1:23" ht="12.75" x14ac:dyDescent="0.2">
      <c r="A352" s="74" t="str">
        <f t="shared" si="10"/>
        <v>409R.10</v>
      </c>
      <c r="B352" s="28" t="s">
        <v>553</v>
      </c>
      <c r="C352" s="79" t="s">
        <v>1545</v>
      </c>
      <c r="D352" s="79"/>
      <c r="E352" s="79"/>
      <c r="F352" s="79"/>
      <c r="G352" s="28" t="s">
        <v>554</v>
      </c>
      <c r="H352" s="79">
        <v>10</v>
      </c>
      <c r="I352" s="79" t="s">
        <v>65</v>
      </c>
      <c r="J352" s="79">
        <v>8.5</v>
      </c>
      <c r="K352" s="79">
        <v>4</v>
      </c>
      <c r="L352" s="833" t="s">
        <v>90</v>
      </c>
      <c r="M352" s="35"/>
      <c r="N352" s="36"/>
      <c r="O352" s="36"/>
      <c r="P352" s="35"/>
      <c r="Q352" s="36"/>
      <c r="R352" s="36"/>
      <c r="S352" s="834" t="s">
        <v>65</v>
      </c>
      <c r="T352" s="834" t="s">
        <v>65</v>
      </c>
      <c r="U352" s="823" t="s">
        <v>1579</v>
      </c>
      <c r="V352" s="77">
        <v>10</v>
      </c>
      <c r="W352" s="824" t="str">
        <f t="shared" si="11"/>
        <v>Wissenschaftliches Fach (Primarpatent+SIBP)</v>
      </c>
    </row>
    <row r="353" spans="1:23" ht="12.75" x14ac:dyDescent="0.2">
      <c r="A353" s="74" t="str">
        <f t="shared" si="10"/>
        <v>410A.09</v>
      </c>
      <c r="B353" s="825" t="s">
        <v>605</v>
      </c>
      <c r="C353" s="79">
        <v>410</v>
      </c>
      <c r="D353" s="79"/>
      <c r="E353" s="79"/>
      <c r="F353" s="79"/>
      <c r="G353" s="28" t="s">
        <v>596</v>
      </c>
      <c r="H353" s="79">
        <v>9</v>
      </c>
      <c r="I353" s="79"/>
      <c r="J353" s="79">
        <v>10.5</v>
      </c>
      <c r="K353" s="79">
        <v>4</v>
      </c>
      <c r="L353" s="833" t="s">
        <v>353</v>
      </c>
      <c r="M353" s="35"/>
      <c r="N353" s="36"/>
      <c r="O353" s="36"/>
      <c r="P353" s="35"/>
      <c r="Q353" s="36"/>
      <c r="R353" s="36"/>
      <c r="S353" s="834"/>
      <c r="T353" s="834"/>
      <c r="U353" s="823" t="s">
        <v>1580</v>
      </c>
      <c r="V353" s="77">
        <v>9</v>
      </c>
      <c r="W353" s="824" t="str">
        <f t="shared" si="11"/>
        <v>Handelsschule/KV M-Strang</v>
      </c>
    </row>
    <row r="354" spans="1:23" ht="12.75" x14ac:dyDescent="0.2">
      <c r="A354" s="74" t="str">
        <f t="shared" si="10"/>
        <v>410B.09</v>
      </c>
      <c r="B354" s="825" t="s">
        <v>617</v>
      </c>
      <c r="C354" s="79">
        <v>410</v>
      </c>
      <c r="D354" s="79"/>
      <c r="E354" s="79"/>
      <c r="F354" s="79"/>
      <c r="G354" s="28" t="s">
        <v>598</v>
      </c>
      <c r="H354" s="79">
        <v>9</v>
      </c>
      <c r="I354" s="79"/>
      <c r="J354" s="79">
        <v>10.5</v>
      </c>
      <c r="K354" s="79">
        <v>4</v>
      </c>
      <c r="L354" s="833" t="s">
        <v>353</v>
      </c>
      <c r="M354" s="35"/>
      <c r="N354" s="36"/>
      <c r="O354" s="36"/>
      <c r="P354" s="35"/>
      <c r="Q354" s="36"/>
      <c r="R354" s="36"/>
      <c r="S354" s="834"/>
      <c r="T354" s="834"/>
      <c r="U354" s="823" t="s">
        <v>1581</v>
      </c>
      <c r="V354" s="77">
        <v>9</v>
      </c>
      <c r="W354" s="824" t="str">
        <f t="shared" si="11"/>
        <v>Handelsschule/KV M-Strang Sport und wiss. Fach</v>
      </c>
    </row>
    <row r="355" spans="1:23" ht="12.75" x14ac:dyDescent="0.2">
      <c r="A355" s="74" t="str">
        <f t="shared" si="10"/>
        <v>410B.10</v>
      </c>
      <c r="B355" s="825" t="s">
        <v>607</v>
      </c>
      <c r="C355" s="78">
        <v>410</v>
      </c>
      <c r="D355" s="78"/>
      <c r="E355" s="78"/>
      <c r="F355" s="78"/>
      <c r="G355" s="27" t="s">
        <v>598</v>
      </c>
      <c r="H355" s="78">
        <v>10</v>
      </c>
      <c r="I355" s="78"/>
      <c r="J355" s="78">
        <v>9.5</v>
      </c>
      <c r="K355" s="78">
        <v>4</v>
      </c>
      <c r="L355" s="848" t="s">
        <v>347</v>
      </c>
      <c r="M355" s="33"/>
      <c r="N355" s="34"/>
      <c r="O355" s="34"/>
      <c r="P355" s="33"/>
      <c r="Q355" s="34"/>
      <c r="R355" s="34"/>
      <c r="S355" s="849"/>
      <c r="T355" s="849"/>
      <c r="U355" s="823" t="s">
        <v>1582</v>
      </c>
      <c r="V355" s="77">
        <v>10</v>
      </c>
      <c r="W355" s="824" t="str">
        <f t="shared" si="11"/>
        <v>Handelsschule/KV M-Strang Sport und wiss. Fach</v>
      </c>
    </row>
    <row r="356" spans="1:23" ht="12.75" x14ac:dyDescent="0.2">
      <c r="A356" s="74" t="str">
        <f t="shared" si="10"/>
        <v>410C.09</v>
      </c>
      <c r="B356" s="825" t="s">
        <v>608</v>
      </c>
      <c r="C356" s="79">
        <v>410</v>
      </c>
      <c r="D356" s="79"/>
      <c r="E356" s="79"/>
      <c r="F356" s="79"/>
      <c r="G356" s="28" t="s">
        <v>599</v>
      </c>
      <c r="H356" s="79">
        <v>9</v>
      </c>
      <c r="I356" s="79"/>
      <c r="J356" s="79">
        <v>10.5</v>
      </c>
      <c r="K356" s="79">
        <v>4</v>
      </c>
      <c r="L356" s="833" t="s">
        <v>353</v>
      </c>
      <c r="M356" s="35"/>
      <c r="N356" s="36"/>
      <c r="O356" s="36"/>
      <c r="P356" s="35"/>
      <c r="Q356" s="36"/>
      <c r="R356" s="36"/>
      <c r="S356" s="834"/>
      <c r="T356" s="834"/>
      <c r="U356" s="823" t="s">
        <v>1583</v>
      </c>
      <c r="V356" s="77">
        <v>9</v>
      </c>
      <c r="W356" s="824" t="str">
        <f t="shared" si="11"/>
        <v>Handelsschule/KV E-Strang</v>
      </c>
    </row>
    <row r="357" spans="1:23" ht="12.75" x14ac:dyDescent="0.2">
      <c r="A357" s="74" t="str">
        <f t="shared" si="10"/>
        <v>410D.09</v>
      </c>
      <c r="B357" s="825" t="s">
        <v>609</v>
      </c>
      <c r="C357" s="78">
        <v>410</v>
      </c>
      <c r="D357" s="78"/>
      <c r="E357" s="78"/>
      <c r="F357" s="78"/>
      <c r="G357" s="27" t="s">
        <v>597</v>
      </c>
      <c r="H357" s="78">
        <v>9</v>
      </c>
      <c r="I357" s="78"/>
      <c r="J357" s="78">
        <v>10.5</v>
      </c>
      <c r="K357" s="78">
        <v>4</v>
      </c>
      <c r="L357" s="848" t="s">
        <v>353</v>
      </c>
      <c r="M357" s="33"/>
      <c r="N357" s="34"/>
      <c r="O357" s="34"/>
      <c r="P357" s="33"/>
      <c r="Q357" s="34"/>
      <c r="R357" s="34"/>
      <c r="S357" s="849"/>
      <c r="T357" s="849"/>
      <c r="U357" s="823" t="s">
        <v>1584</v>
      </c>
      <c r="V357" s="77">
        <v>9</v>
      </c>
      <c r="W357" s="824" t="str">
        <f t="shared" si="11"/>
        <v>Handelsschule/KV E-Strang Sport und wiss. Fach</v>
      </c>
    </row>
    <row r="358" spans="1:23" ht="12.75" x14ac:dyDescent="0.2">
      <c r="A358" s="74" t="str">
        <f t="shared" si="10"/>
        <v>410D.10</v>
      </c>
      <c r="B358" s="825" t="s">
        <v>606</v>
      </c>
      <c r="C358" s="79">
        <v>410</v>
      </c>
      <c r="D358" s="79"/>
      <c r="E358" s="79"/>
      <c r="F358" s="79"/>
      <c r="G358" s="28" t="s">
        <v>597</v>
      </c>
      <c r="H358" s="79">
        <v>10</v>
      </c>
      <c r="I358" s="79"/>
      <c r="J358" s="79">
        <v>9.5</v>
      </c>
      <c r="K358" s="79">
        <v>4</v>
      </c>
      <c r="L358" s="833" t="s">
        <v>347</v>
      </c>
      <c r="M358" s="35"/>
      <c r="N358" s="36"/>
      <c r="O358" s="36"/>
      <c r="P358" s="35"/>
      <c r="Q358" s="36"/>
      <c r="R358" s="36"/>
      <c r="S358" s="834"/>
      <c r="T358" s="834"/>
      <c r="U358" s="823" t="s">
        <v>1585</v>
      </c>
      <c r="V358" s="77">
        <v>10</v>
      </c>
      <c r="W358" s="824" t="str">
        <f t="shared" si="11"/>
        <v>Handelsschule/KV E-Strang Sport und wiss. Fach</v>
      </c>
    </row>
    <row r="359" spans="1:23" ht="12.75" x14ac:dyDescent="0.2">
      <c r="A359" s="74" t="str">
        <f t="shared" ref="A359:A422" si="12">RIGHT(B359,LEN(B359)-1)</f>
        <v>410E.10</v>
      </c>
      <c r="B359" s="825" t="s">
        <v>610</v>
      </c>
      <c r="C359" s="79">
        <v>410</v>
      </c>
      <c r="D359" s="79"/>
      <c r="E359" s="79"/>
      <c r="F359" s="79"/>
      <c r="G359" s="28" t="s">
        <v>600</v>
      </c>
      <c r="H359" s="79">
        <v>10</v>
      </c>
      <c r="I359" s="79"/>
      <c r="J359" s="79">
        <v>9.5</v>
      </c>
      <c r="K359" s="79">
        <v>4</v>
      </c>
      <c r="L359" s="833" t="s">
        <v>347</v>
      </c>
      <c r="M359" s="35"/>
      <c r="N359" s="36"/>
      <c r="O359" s="36"/>
      <c r="P359" s="35"/>
      <c r="Q359" s="36"/>
      <c r="R359" s="36"/>
      <c r="S359" s="834"/>
      <c r="T359" s="834"/>
      <c r="U359" s="823" t="s">
        <v>1586</v>
      </c>
      <c r="V359" s="77">
        <v>10</v>
      </c>
      <c r="W359" s="824" t="str">
        <f t="shared" si="11"/>
        <v>Handelsschule/KV G-Strang</v>
      </c>
    </row>
    <row r="360" spans="1:23" ht="12.75" x14ac:dyDescent="0.2">
      <c r="A360" s="74" t="str">
        <f t="shared" si="12"/>
        <v>410F.10</v>
      </c>
      <c r="B360" s="27" t="s">
        <v>688</v>
      </c>
      <c r="C360" s="78">
        <v>410</v>
      </c>
      <c r="D360" s="78"/>
      <c r="E360" s="78"/>
      <c r="F360" s="78"/>
      <c r="G360" s="27" t="s">
        <v>600</v>
      </c>
      <c r="H360" s="78">
        <v>10</v>
      </c>
      <c r="I360" s="78"/>
      <c r="J360" s="78">
        <v>9.5</v>
      </c>
      <c r="K360" s="78">
        <v>4</v>
      </c>
      <c r="L360" s="848" t="s">
        <v>347</v>
      </c>
      <c r="M360" s="33"/>
      <c r="N360" s="34"/>
      <c r="O360" s="34"/>
      <c r="P360" s="33"/>
      <c r="Q360" s="34"/>
      <c r="R360" s="34"/>
      <c r="S360" s="849"/>
      <c r="T360" s="849"/>
      <c r="U360" s="823" t="s">
        <v>1587</v>
      </c>
      <c r="V360" s="77">
        <v>10</v>
      </c>
      <c r="W360" s="824" t="str">
        <f t="shared" si="11"/>
        <v>Handelsschule/KV G-Strang</v>
      </c>
    </row>
    <row r="361" spans="1:23" ht="12.75" x14ac:dyDescent="0.2">
      <c r="A361" s="74" t="str">
        <f t="shared" si="12"/>
        <v>410F.12</v>
      </c>
      <c r="B361" s="825" t="s">
        <v>611</v>
      </c>
      <c r="C361" s="79">
        <v>410</v>
      </c>
      <c r="D361" s="79"/>
      <c r="E361" s="79"/>
      <c r="F361" s="79"/>
      <c r="G361" s="28" t="s">
        <v>600</v>
      </c>
      <c r="H361" s="79">
        <v>12</v>
      </c>
      <c r="I361" s="79"/>
      <c r="J361" s="79">
        <v>8</v>
      </c>
      <c r="K361" s="79">
        <v>4</v>
      </c>
      <c r="L361" s="833" t="s">
        <v>352</v>
      </c>
      <c r="M361" s="35"/>
      <c r="N361" s="36"/>
      <c r="O361" s="36"/>
      <c r="P361" s="35"/>
      <c r="Q361" s="36"/>
      <c r="R361" s="36"/>
      <c r="S361" s="834"/>
      <c r="T361" s="834"/>
      <c r="U361" s="823" t="s">
        <v>1588</v>
      </c>
      <c r="V361" s="77">
        <v>12</v>
      </c>
      <c r="W361" s="824" t="str">
        <f t="shared" si="11"/>
        <v>Handelsschule/KV G-Strang</v>
      </c>
    </row>
    <row r="362" spans="1:23" ht="12.75" x14ac:dyDescent="0.2">
      <c r="A362" s="74" t="str">
        <f t="shared" si="12"/>
        <v>410G.13</v>
      </c>
      <c r="B362" s="825" t="s">
        <v>612</v>
      </c>
      <c r="C362" s="78">
        <v>410</v>
      </c>
      <c r="D362" s="78"/>
      <c r="E362" s="78"/>
      <c r="F362" s="78"/>
      <c r="G362" s="27" t="s">
        <v>600</v>
      </c>
      <c r="H362" s="78">
        <v>13</v>
      </c>
      <c r="I362" s="78"/>
      <c r="J362" s="78">
        <v>7</v>
      </c>
      <c r="K362" s="78">
        <v>4</v>
      </c>
      <c r="L362" s="848" t="s">
        <v>673</v>
      </c>
      <c r="M362" s="33"/>
      <c r="N362" s="34"/>
      <c r="O362" s="34"/>
      <c r="P362" s="33"/>
      <c r="Q362" s="34"/>
      <c r="R362" s="34"/>
      <c r="S362" s="849"/>
      <c r="T362" s="849"/>
      <c r="U362" s="823" t="s">
        <v>1589</v>
      </c>
      <c r="V362" s="77">
        <v>13</v>
      </c>
      <c r="W362" s="824" t="str">
        <f t="shared" si="11"/>
        <v>Handelsschule/KV G-Strang</v>
      </c>
    </row>
    <row r="363" spans="1:23" ht="12.75" x14ac:dyDescent="0.2">
      <c r="A363" s="74" t="str">
        <f t="shared" si="12"/>
        <v>410H.10</v>
      </c>
      <c r="B363" s="825" t="s">
        <v>613</v>
      </c>
      <c r="C363" s="79">
        <v>410</v>
      </c>
      <c r="D363" s="79"/>
      <c r="E363" s="79"/>
      <c r="F363" s="79"/>
      <c r="G363" s="28" t="s">
        <v>601</v>
      </c>
      <c r="H363" s="79">
        <v>10</v>
      </c>
      <c r="I363" s="79"/>
      <c r="J363" s="79">
        <v>9.5</v>
      </c>
      <c r="K363" s="79">
        <v>4</v>
      </c>
      <c r="L363" s="833" t="s">
        <v>347</v>
      </c>
      <c r="M363" s="35"/>
      <c r="N363" s="36"/>
      <c r="O363" s="36"/>
      <c r="P363" s="35"/>
      <c r="Q363" s="36"/>
      <c r="R363" s="36"/>
      <c r="S363" s="834"/>
      <c r="T363" s="834"/>
      <c r="U363" s="823" t="s">
        <v>1590</v>
      </c>
      <c r="V363" s="77">
        <v>10</v>
      </c>
      <c r="W363" s="824" t="str">
        <f t="shared" si="11"/>
        <v>Handelsschule/KV G-Strang Sport und wiss. Fach</v>
      </c>
    </row>
    <row r="364" spans="1:23" ht="12.75" x14ac:dyDescent="0.2">
      <c r="A364" s="74" t="str">
        <f t="shared" si="12"/>
        <v>410I.11</v>
      </c>
      <c r="B364" s="825" t="s">
        <v>614</v>
      </c>
      <c r="C364" s="78">
        <v>410</v>
      </c>
      <c r="D364" s="78"/>
      <c r="E364" s="78"/>
      <c r="F364" s="78"/>
      <c r="G364" s="27" t="s">
        <v>602</v>
      </c>
      <c r="H364" s="78">
        <v>11</v>
      </c>
      <c r="I364" s="78"/>
      <c r="J364" s="78">
        <v>9</v>
      </c>
      <c r="K364" s="78">
        <v>3</v>
      </c>
      <c r="L364" s="848" t="s">
        <v>351</v>
      </c>
      <c r="M364" s="33"/>
      <c r="N364" s="34"/>
      <c r="O364" s="34"/>
      <c r="P364" s="33"/>
      <c r="Q364" s="34"/>
      <c r="R364" s="34"/>
      <c r="S364" s="849"/>
      <c r="T364" s="849"/>
      <c r="U364" s="823" t="s">
        <v>1591</v>
      </c>
      <c r="V364" s="77">
        <v>11</v>
      </c>
      <c r="W364" s="824" t="str">
        <f t="shared" si="11"/>
        <v>Handelsschule/KV Kunst</v>
      </c>
    </row>
    <row r="365" spans="1:23" ht="12.75" x14ac:dyDescent="0.2">
      <c r="A365" s="74" t="str">
        <f t="shared" si="12"/>
        <v>410J.13</v>
      </c>
      <c r="B365" s="825" t="s">
        <v>615</v>
      </c>
      <c r="C365" s="79">
        <v>410</v>
      </c>
      <c r="D365" s="79"/>
      <c r="E365" s="79"/>
      <c r="F365" s="79"/>
      <c r="G365" s="28" t="s">
        <v>603</v>
      </c>
      <c r="H365" s="79">
        <v>13</v>
      </c>
      <c r="I365" s="79"/>
      <c r="J365" s="79">
        <v>6</v>
      </c>
      <c r="K365" s="79">
        <v>5</v>
      </c>
      <c r="L365" s="833" t="s">
        <v>672</v>
      </c>
      <c r="M365" s="35"/>
      <c r="N365" s="36"/>
      <c r="O365" s="36"/>
      <c r="P365" s="35"/>
      <c r="Q365" s="36"/>
      <c r="R365" s="36"/>
      <c r="S365" s="834"/>
      <c r="T365" s="834"/>
      <c r="U365" s="823" t="s">
        <v>1592</v>
      </c>
      <c r="V365" s="77">
        <v>13</v>
      </c>
      <c r="W365" s="824" t="str">
        <f t="shared" si="11"/>
        <v>Handelsschule/KV Warenkunde</v>
      </c>
    </row>
    <row r="366" spans="1:23" ht="12.75" x14ac:dyDescent="0.2">
      <c r="A366" s="74" t="str">
        <f t="shared" si="12"/>
        <v>410K.13</v>
      </c>
      <c r="B366" s="825" t="s">
        <v>616</v>
      </c>
      <c r="C366" s="78">
        <v>410</v>
      </c>
      <c r="D366" s="78"/>
      <c r="E366" s="78"/>
      <c r="F366" s="78"/>
      <c r="G366" s="27" t="s">
        <v>604</v>
      </c>
      <c r="H366" s="78">
        <v>13</v>
      </c>
      <c r="I366" s="78"/>
      <c r="J366" s="78">
        <v>6</v>
      </c>
      <c r="K366" s="78">
        <v>5</v>
      </c>
      <c r="L366" s="848" t="s">
        <v>672</v>
      </c>
      <c r="M366" s="33"/>
      <c r="N366" s="34"/>
      <c r="O366" s="34"/>
      <c r="P366" s="33"/>
      <c r="Q366" s="34"/>
      <c r="R366" s="34"/>
      <c r="S366" s="849"/>
      <c r="T366" s="849"/>
      <c r="U366" s="823" t="s">
        <v>1593</v>
      </c>
      <c r="V366" s="77">
        <v>13</v>
      </c>
      <c r="W366" s="824" t="str">
        <f t="shared" si="11"/>
        <v>Handelsschule/KV Verkaufskunde</v>
      </c>
    </row>
    <row r="367" spans="1:23" ht="12.75" x14ac:dyDescent="0.2">
      <c r="A367" s="74" t="str">
        <f t="shared" si="12"/>
        <v>410L.12</v>
      </c>
      <c r="B367" s="28" t="s">
        <v>647</v>
      </c>
      <c r="C367" s="79">
        <v>410</v>
      </c>
      <c r="D367" s="79"/>
      <c r="E367" s="79"/>
      <c r="F367" s="79"/>
      <c r="G367" s="28" t="s">
        <v>654</v>
      </c>
      <c r="H367" s="79">
        <v>12</v>
      </c>
      <c r="I367" s="79"/>
      <c r="J367" s="79">
        <v>6.5</v>
      </c>
      <c r="K367" s="79">
        <v>5</v>
      </c>
      <c r="L367" s="833" t="s">
        <v>346</v>
      </c>
      <c r="M367" s="35"/>
      <c r="N367" s="36"/>
      <c r="O367" s="36"/>
      <c r="P367" s="35"/>
      <c r="Q367" s="36"/>
      <c r="R367" s="36"/>
      <c r="S367" s="834"/>
      <c r="T367" s="834"/>
      <c r="U367" s="823" t="s">
        <v>1594</v>
      </c>
      <c r="V367" s="77">
        <v>12</v>
      </c>
      <c r="W367" s="824" t="str">
        <f t="shared" si="11"/>
        <v>Handelsschule/KV Hausw./Ernähr.</v>
      </c>
    </row>
    <row r="368" spans="1:23" ht="12.75" x14ac:dyDescent="0.2">
      <c r="A368" s="74" t="str">
        <f t="shared" si="12"/>
        <v>410M.11</v>
      </c>
      <c r="B368" s="28" t="s">
        <v>648</v>
      </c>
      <c r="C368" s="79">
        <v>410</v>
      </c>
      <c r="D368" s="79"/>
      <c r="E368" s="79"/>
      <c r="F368" s="79"/>
      <c r="G368" s="28" t="s">
        <v>655</v>
      </c>
      <c r="H368" s="79">
        <v>11</v>
      </c>
      <c r="I368" s="79"/>
      <c r="J368" s="79">
        <v>8</v>
      </c>
      <c r="K368" s="79">
        <v>3</v>
      </c>
      <c r="L368" s="833" t="s">
        <v>352</v>
      </c>
      <c r="M368" s="35"/>
      <c r="N368" s="36"/>
      <c r="O368" s="36"/>
      <c r="P368" s="35"/>
      <c r="Q368" s="36"/>
      <c r="R368" s="36"/>
      <c r="S368" s="834"/>
      <c r="T368" s="834"/>
      <c r="U368" s="823" t="s">
        <v>1595</v>
      </c>
      <c r="V368" s="77">
        <v>11</v>
      </c>
      <c r="W368" s="824" t="str">
        <f t="shared" si="11"/>
        <v>Handelsschule/KV Musik</v>
      </c>
    </row>
    <row r="369" spans="1:23" ht="12.75" x14ac:dyDescent="0.2">
      <c r="A369" s="74" t="str">
        <f t="shared" si="12"/>
        <v>410N.13</v>
      </c>
      <c r="B369" s="28" t="s">
        <v>649</v>
      </c>
      <c r="C369" s="79">
        <v>410</v>
      </c>
      <c r="D369" s="79"/>
      <c r="E369" s="79"/>
      <c r="F369" s="79"/>
      <c r="G369" s="28" t="s">
        <v>656</v>
      </c>
      <c r="H369" s="79">
        <v>13</v>
      </c>
      <c r="I369" s="79"/>
      <c r="J369" s="79">
        <v>6</v>
      </c>
      <c r="K369" s="79">
        <v>4</v>
      </c>
      <c r="L369" s="833" t="s">
        <v>672</v>
      </c>
      <c r="M369" s="35"/>
      <c r="N369" s="36"/>
      <c r="O369" s="36"/>
      <c r="P369" s="35"/>
      <c r="Q369" s="36"/>
      <c r="R369" s="36"/>
      <c r="S369" s="834"/>
      <c r="T369" s="834"/>
      <c r="U369" s="823" t="s">
        <v>1596</v>
      </c>
      <c r="V369" s="77">
        <v>13</v>
      </c>
      <c r="W369" s="824" t="str">
        <f t="shared" si="11"/>
        <v>Handelsschule/KV Informatik</v>
      </c>
    </row>
    <row r="370" spans="1:23" ht="12.75" x14ac:dyDescent="0.2">
      <c r="A370" s="74" t="str">
        <f t="shared" si="12"/>
        <v>410O.12</v>
      </c>
      <c r="B370" s="28" t="s">
        <v>650</v>
      </c>
      <c r="C370" s="79">
        <v>410</v>
      </c>
      <c r="D370" s="79"/>
      <c r="E370" s="79"/>
      <c r="F370" s="79"/>
      <c r="G370" s="28" t="s">
        <v>657</v>
      </c>
      <c r="H370" s="79">
        <v>12</v>
      </c>
      <c r="I370" s="79"/>
      <c r="J370" s="79">
        <v>9.5</v>
      </c>
      <c r="K370" s="79">
        <v>3</v>
      </c>
      <c r="L370" s="833" t="s">
        <v>347</v>
      </c>
      <c r="M370" s="35"/>
      <c r="N370" s="36"/>
      <c r="O370" s="36"/>
      <c r="P370" s="35"/>
      <c r="Q370" s="36"/>
      <c r="R370" s="36"/>
      <c r="S370" s="834"/>
      <c r="T370" s="834"/>
      <c r="U370" s="823" t="s">
        <v>1597</v>
      </c>
      <c r="V370" s="77">
        <v>12</v>
      </c>
      <c r="W370" s="824" t="str">
        <f t="shared" si="11"/>
        <v>Handelsschule/KV Sport II</v>
      </c>
    </row>
    <row r="371" spans="1:23" ht="12.75" x14ac:dyDescent="0.2">
      <c r="A371" s="74" t="str">
        <f t="shared" si="12"/>
        <v>410O.13</v>
      </c>
      <c r="B371" s="28" t="s">
        <v>651</v>
      </c>
      <c r="C371" s="79">
        <v>410</v>
      </c>
      <c r="D371" s="79"/>
      <c r="E371" s="79"/>
      <c r="F371" s="79"/>
      <c r="G371" s="28" t="s">
        <v>658</v>
      </c>
      <c r="H371" s="79">
        <v>13</v>
      </c>
      <c r="I371" s="79"/>
      <c r="J371" s="79">
        <v>8</v>
      </c>
      <c r="K371" s="79">
        <v>3</v>
      </c>
      <c r="L371" s="833" t="s">
        <v>352</v>
      </c>
      <c r="M371" s="35"/>
      <c r="N371" s="36"/>
      <c r="O371" s="36"/>
      <c r="P371" s="35"/>
      <c r="Q371" s="36"/>
      <c r="R371" s="36"/>
      <c r="S371" s="834"/>
      <c r="T371" s="834"/>
      <c r="U371" s="823" t="s">
        <v>1598</v>
      </c>
      <c r="V371" s="77">
        <v>13</v>
      </c>
      <c r="W371" s="824" t="str">
        <f t="shared" si="11"/>
        <v>Handelsschule/KV Sport I</v>
      </c>
    </row>
    <row r="372" spans="1:23" ht="12.75" x14ac:dyDescent="0.2">
      <c r="A372" s="74" t="str">
        <f t="shared" si="12"/>
        <v>410O.14</v>
      </c>
      <c r="B372" s="28" t="s">
        <v>652</v>
      </c>
      <c r="C372" s="79">
        <v>410</v>
      </c>
      <c r="D372" s="79"/>
      <c r="E372" s="79"/>
      <c r="F372" s="79"/>
      <c r="G372" s="28" t="s">
        <v>659</v>
      </c>
      <c r="H372" s="79">
        <v>14</v>
      </c>
      <c r="I372" s="79"/>
      <c r="J372" s="79">
        <v>4</v>
      </c>
      <c r="K372" s="79">
        <v>3</v>
      </c>
      <c r="L372" s="833" t="s">
        <v>89</v>
      </c>
      <c r="M372" s="35"/>
      <c r="N372" s="36"/>
      <c r="O372" s="36"/>
      <c r="P372" s="35"/>
      <c r="Q372" s="36"/>
      <c r="R372" s="36"/>
      <c r="S372" s="834"/>
      <c r="T372" s="834"/>
      <c r="U372" s="823" t="s">
        <v>1599</v>
      </c>
      <c r="V372" s="77">
        <v>14</v>
      </c>
      <c r="W372" s="824" t="str">
        <f t="shared" si="11"/>
        <v>Handelsschule/KV Sportstud. &gt;3Sem</v>
      </c>
    </row>
    <row r="373" spans="1:23" ht="12.75" x14ac:dyDescent="0.2">
      <c r="A373" s="74" t="str">
        <f t="shared" si="12"/>
        <v>410O.15</v>
      </c>
      <c r="B373" s="25" t="s">
        <v>653</v>
      </c>
      <c r="C373" s="76">
        <v>410</v>
      </c>
      <c r="D373" s="76"/>
      <c r="E373" s="76"/>
      <c r="F373" s="76"/>
      <c r="G373" s="25" t="s">
        <v>660</v>
      </c>
      <c r="H373" s="76">
        <v>15</v>
      </c>
      <c r="I373" s="76"/>
      <c r="J373" s="76">
        <v>4</v>
      </c>
      <c r="K373" s="76">
        <v>3</v>
      </c>
      <c r="L373" s="846" t="s">
        <v>89</v>
      </c>
      <c r="M373" s="31"/>
      <c r="O373" s="32"/>
      <c r="P373" s="31"/>
      <c r="R373" s="32"/>
      <c r="S373" s="847"/>
      <c r="T373" s="847"/>
      <c r="U373" s="823" t="s">
        <v>1600</v>
      </c>
      <c r="V373" s="77">
        <v>15</v>
      </c>
      <c r="W373" s="824" t="str">
        <f t="shared" si="11"/>
        <v xml:space="preserve">Handelsschule/KV Sportstud. </v>
      </c>
    </row>
    <row r="374" spans="1:23" ht="12.75" x14ac:dyDescent="0.2">
      <c r="A374" s="74" t="str">
        <f t="shared" si="12"/>
        <v>411A.12</v>
      </c>
      <c r="B374" s="825" t="s">
        <v>260</v>
      </c>
      <c r="C374" s="79" t="s">
        <v>1601</v>
      </c>
      <c r="D374" s="79"/>
      <c r="E374" s="79"/>
      <c r="F374" s="79"/>
      <c r="G374" s="28" t="s">
        <v>555</v>
      </c>
      <c r="H374" s="79">
        <v>12</v>
      </c>
      <c r="I374" s="79">
        <v>497.2</v>
      </c>
      <c r="J374" s="79">
        <v>9.5</v>
      </c>
      <c r="K374" s="79">
        <v>2</v>
      </c>
      <c r="L374" s="833" t="s">
        <v>347</v>
      </c>
      <c r="M374" s="35"/>
      <c r="N374" s="36"/>
      <c r="O374" s="36"/>
      <c r="P374" s="35"/>
      <c r="Q374" s="36"/>
      <c r="R374" s="36"/>
      <c r="S374" s="834"/>
      <c r="T374" s="834" t="s">
        <v>65</v>
      </c>
      <c r="U374" s="823" t="s">
        <v>1602</v>
      </c>
      <c r="V374" s="77">
        <v>12</v>
      </c>
      <c r="W374" s="824" t="str">
        <f t="shared" si="11"/>
        <v>Musikunterricht (Liz./Master+Lehrpatent AGJM)</v>
      </c>
    </row>
    <row r="375" spans="1:23" ht="12.75" x14ac:dyDescent="0.2">
      <c r="A375" s="74" t="str">
        <f t="shared" si="12"/>
        <v>411A.13</v>
      </c>
      <c r="B375" s="28" t="s">
        <v>556</v>
      </c>
      <c r="C375" s="79" t="s">
        <v>1601</v>
      </c>
      <c r="D375" s="79"/>
      <c r="E375" s="79"/>
      <c r="F375" s="79"/>
      <c r="G375" s="28" t="s">
        <v>557</v>
      </c>
      <c r="H375" s="79">
        <v>13</v>
      </c>
      <c r="I375" s="79" t="s">
        <v>65</v>
      </c>
      <c r="J375" s="79">
        <v>8.5</v>
      </c>
      <c r="K375" s="79">
        <v>2</v>
      </c>
      <c r="L375" s="833" t="s">
        <v>90</v>
      </c>
      <c r="M375" s="35"/>
      <c r="N375" s="36"/>
      <c r="O375" s="36"/>
      <c r="P375" s="35"/>
      <c r="Q375" s="36"/>
      <c r="R375" s="36"/>
      <c r="S375" s="834"/>
      <c r="T375" s="834" t="s">
        <v>65</v>
      </c>
      <c r="U375" s="823" t="s">
        <v>1603</v>
      </c>
      <c r="V375" s="77">
        <v>13</v>
      </c>
      <c r="W375" s="824" t="str">
        <f t="shared" si="11"/>
        <v>Musikunterricht (Bachelor+Lehrpatent AGJM)</v>
      </c>
    </row>
    <row r="376" spans="1:23" ht="12.75" x14ac:dyDescent="0.2">
      <c r="A376" s="74" t="str">
        <f t="shared" si="12"/>
        <v>411A.15</v>
      </c>
      <c r="B376" s="28" t="s">
        <v>558</v>
      </c>
      <c r="C376" s="79" t="s">
        <v>1601</v>
      </c>
      <c r="D376" s="79"/>
      <c r="E376" s="79"/>
      <c r="F376" s="79"/>
      <c r="G376" s="28" t="s">
        <v>559</v>
      </c>
      <c r="H376" s="79">
        <v>15</v>
      </c>
      <c r="I376" s="79" t="s">
        <v>65</v>
      </c>
      <c r="J376" s="79">
        <v>8</v>
      </c>
      <c r="K376" s="79">
        <v>2</v>
      </c>
      <c r="L376" s="833" t="s">
        <v>352</v>
      </c>
      <c r="M376" s="35"/>
      <c r="N376" s="36"/>
      <c r="O376" s="36"/>
      <c r="P376" s="35"/>
      <c r="Q376" s="36"/>
      <c r="R376" s="36"/>
      <c r="S376" s="834"/>
      <c r="T376" s="834" t="s">
        <v>65</v>
      </c>
      <c r="U376" s="823" t="s">
        <v>1604</v>
      </c>
      <c r="V376" s="77">
        <v>15</v>
      </c>
      <c r="W376" s="824" t="str">
        <f t="shared" si="11"/>
        <v>Musikunterricht (Bachelor ohne Lehrpatent AGJM)</v>
      </c>
    </row>
    <row r="377" spans="1:23" ht="12.75" x14ac:dyDescent="0.2">
      <c r="A377" s="74" t="str">
        <f t="shared" si="12"/>
        <v>412A.10</v>
      </c>
      <c r="B377" s="825" t="s">
        <v>261</v>
      </c>
      <c r="C377" s="79" t="s">
        <v>1605</v>
      </c>
      <c r="D377" s="79"/>
      <c r="E377" s="79"/>
      <c r="F377" s="79"/>
      <c r="G377" s="28" t="s">
        <v>560</v>
      </c>
      <c r="H377" s="79">
        <v>10</v>
      </c>
      <c r="I377" s="79">
        <v>538.5</v>
      </c>
      <c r="J377" s="79">
        <v>8.5</v>
      </c>
      <c r="K377" s="79">
        <v>6</v>
      </c>
      <c r="L377" s="833" t="s">
        <v>90</v>
      </c>
      <c r="M377" s="35"/>
      <c r="N377" s="36"/>
      <c r="O377" s="36"/>
      <c r="P377" s="35"/>
      <c r="Q377" s="36"/>
      <c r="R377" s="36"/>
      <c r="S377" s="834"/>
      <c r="T377" s="834" t="s">
        <v>65</v>
      </c>
      <c r="U377" s="823" t="s">
        <v>1606</v>
      </c>
      <c r="V377" s="77">
        <v>10</v>
      </c>
      <c r="W377" s="824" t="str">
        <f t="shared" si="11"/>
        <v>KTSI (Bachelor + SIBP)</v>
      </c>
    </row>
    <row r="378" spans="1:23" ht="12.75" x14ac:dyDescent="0.2">
      <c r="A378" s="74" t="str">
        <f t="shared" si="12"/>
        <v>414A.13</v>
      </c>
      <c r="B378" s="825" t="s">
        <v>584</v>
      </c>
      <c r="C378" s="79">
        <v>414</v>
      </c>
      <c r="D378" s="28" t="s">
        <v>1248</v>
      </c>
      <c r="E378" s="79"/>
      <c r="F378" s="79">
        <v>414</v>
      </c>
      <c r="G378" s="28" t="s">
        <v>1250</v>
      </c>
      <c r="H378" s="79">
        <v>13</v>
      </c>
      <c r="I378" s="79">
        <v>461.9</v>
      </c>
      <c r="J378" s="79">
        <v>8</v>
      </c>
      <c r="K378" s="79">
        <v>2</v>
      </c>
      <c r="L378" s="833" t="s">
        <v>352</v>
      </c>
      <c r="M378" s="35"/>
      <c r="N378" s="36"/>
      <c r="O378" s="36"/>
      <c r="P378" s="35"/>
      <c r="Q378" s="36"/>
      <c r="R378" s="36"/>
      <c r="S378" s="834"/>
      <c r="T378" s="834"/>
      <c r="U378" s="823" t="s">
        <v>1822</v>
      </c>
      <c r="V378" s="77">
        <v>13</v>
      </c>
      <c r="W378" s="824" t="str">
        <f t="shared" si="11"/>
        <v>Logopädie für den Vorschul- und Schulbereich</v>
      </c>
    </row>
    <row r="379" spans="1:23" ht="12.75" x14ac:dyDescent="0.2">
      <c r="A379" s="74" t="str">
        <f t="shared" si="12"/>
        <v>414B.13</v>
      </c>
      <c r="B379" s="825" t="s">
        <v>583</v>
      </c>
      <c r="C379" s="79">
        <v>414</v>
      </c>
      <c r="D379" s="79"/>
      <c r="E379" s="79"/>
      <c r="F379" s="79"/>
      <c r="G379" s="28" t="s">
        <v>586</v>
      </c>
      <c r="H379" s="79">
        <v>13</v>
      </c>
      <c r="I379" s="79">
        <v>484.1</v>
      </c>
      <c r="J379" s="79">
        <v>8.5</v>
      </c>
      <c r="K379" s="79">
        <v>2</v>
      </c>
      <c r="L379" s="833" t="s">
        <v>90</v>
      </c>
      <c r="M379" s="35"/>
      <c r="N379" s="36"/>
      <c r="O379" s="36"/>
      <c r="P379" s="35"/>
      <c r="Q379" s="36"/>
      <c r="R379" s="36"/>
      <c r="S379" s="834"/>
      <c r="T379" s="834"/>
      <c r="U379" s="823" t="s">
        <v>1607</v>
      </c>
      <c r="V379" s="77">
        <v>13</v>
      </c>
      <c r="W379" s="824" t="str">
        <f t="shared" si="11"/>
        <v>Psychomotorik</v>
      </c>
    </row>
    <row r="380" spans="1:23" ht="12.75" x14ac:dyDescent="0.2">
      <c r="A380" s="74" t="str">
        <f t="shared" si="12"/>
        <v>415.15</v>
      </c>
      <c r="B380" s="825" t="s">
        <v>1256</v>
      </c>
      <c r="C380" s="79">
        <v>415</v>
      </c>
      <c r="D380" s="28" t="s">
        <v>1252</v>
      </c>
      <c r="E380" s="79"/>
      <c r="F380" s="79">
        <v>415</v>
      </c>
      <c r="G380" s="28" t="s">
        <v>1257</v>
      </c>
      <c r="H380" s="79">
        <v>15</v>
      </c>
      <c r="I380" s="79">
        <v>429.7</v>
      </c>
      <c r="J380" s="79">
        <v>8</v>
      </c>
      <c r="K380" s="79">
        <v>2</v>
      </c>
      <c r="L380" s="833" t="s">
        <v>352</v>
      </c>
      <c r="M380" s="35"/>
      <c r="N380" s="36"/>
      <c r="O380" s="36"/>
      <c r="P380" s="35"/>
      <c r="Q380" s="36"/>
      <c r="R380" s="36"/>
      <c r="S380" s="834"/>
      <c r="T380" s="834"/>
      <c r="U380" s="823" t="s">
        <v>1951</v>
      </c>
      <c r="V380" s="77">
        <v>15</v>
      </c>
      <c r="W380" s="824" t="str">
        <f t="shared" si="11"/>
        <v>Sozialpädagogik für den Vorschul- und Schulbereich</v>
      </c>
    </row>
    <row r="381" spans="1:23" ht="12.75" x14ac:dyDescent="0.2">
      <c r="A381" s="74" t="str">
        <f t="shared" si="12"/>
        <v>501.09</v>
      </c>
      <c r="B381" s="825" t="s">
        <v>690</v>
      </c>
      <c r="C381" s="79">
        <v>501</v>
      </c>
      <c r="D381" s="79"/>
      <c r="E381" s="79"/>
      <c r="F381" s="79">
        <v>501</v>
      </c>
      <c r="G381" s="28" t="s">
        <v>691</v>
      </c>
      <c r="H381" s="79">
        <v>9</v>
      </c>
      <c r="I381" s="79">
        <v>579.6</v>
      </c>
      <c r="J381" s="79">
        <v>10.5</v>
      </c>
      <c r="K381" s="79">
        <v>3</v>
      </c>
      <c r="L381" s="833" t="s">
        <v>353</v>
      </c>
      <c r="M381" s="35"/>
      <c r="N381" s="36"/>
      <c r="O381" s="36"/>
      <c r="P381" s="35"/>
      <c r="Q381" s="36"/>
      <c r="R381" s="36"/>
      <c r="S381" s="834"/>
      <c r="T381" s="834"/>
      <c r="U381" s="823" t="s">
        <v>1608</v>
      </c>
      <c r="V381" s="77">
        <v>9</v>
      </c>
      <c r="W381" s="824" t="str">
        <f t="shared" si="11"/>
        <v>Untersuchungsfunktion WK II</v>
      </c>
    </row>
    <row r="382" spans="1:23" ht="12.75" x14ac:dyDescent="0.2">
      <c r="A382" s="74" t="str">
        <f t="shared" si="12"/>
        <v>501.10</v>
      </c>
      <c r="B382" s="825" t="s">
        <v>692</v>
      </c>
      <c r="C382" s="76">
        <v>501</v>
      </c>
      <c r="D382" s="76"/>
      <c r="E382" s="76"/>
      <c r="F382" s="76">
        <v>501</v>
      </c>
      <c r="G382" s="25" t="s">
        <v>693</v>
      </c>
      <c r="H382" s="76">
        <v>10</v>
      </c>
      <c r="I382" s="76">
        <v>551.1</v>
      </c>
      <c r="J382" s="76">
        <v>10</v>
      </c>
      <c r="K382" s="76">
        <v>3</v>
      </c>
      <c r="L382" s="846" t="s">
        <v>348</v>
      </c>
      <c r="M382" s="31"/>
      <c r="O382" s="32"/>
      <c r="P382" s="31"/>
      <c r="R382" s="32"/>
      <c r="S382" s="847"/>
      <c r="T382" s="847"/>
      <c r="U382" s="823" t="s">
        <v>1609</v>
      </c>
      <c r="V382" s="77">
        <v>10</v>
      </c>
      <c r="W382" s="824" t="str">
        <f t="shared" si="11"/>
        <v>Untersuchungsfunktion III</v>
      </c>
    </row>
    <row r="383" spans="1:23" ht="12.75" x14ac:dyDescent="0.2">
      <c r="A383" s="74" t="str">
        <f t="shared" si="12"/>
        <v>501.10a</v>
      </c>
      <c r="B383" s="28" t="s">
        <v>1610</v>
      </c>
      <c r="C383" s="79">
        <v>501</v>
      </c>
      <c r="D383" s="79"/>
      <c r="E383" s="79" t="s">
        <v>1952</v>
      </c>
      <c r="F383" s="79">
        <v>501</v>
      </c>
      <c r="G383" s="28" t="s">
        <v>1611</v>
      </c>
      <c r="H383" s="79">
        <v>10</v>
      </c>
      <c r="I383" s="79"/>
      <c r="J383" s="79"/>
      <c r="K383" s="79"/>
      <c r="L383" s="833"/>
      <c r="M383" s="35"/>
      <c r="N383" s="36"/>
      <c r="O383" s="36"/>
      <c r="P383" s="35"/>
      <c r="Q383" s="36"/>
      <c r="R383" s="36"/>
      <c r="S383" s="834"/>
      <c r="T383" s="834"/>
      <c r="U383" s="823" t="s">
        <v>1612</v>
      </c>
      <c r="V383" s="77">
        <v>10</v>
      </c>
      <c r="W383" s="824" t="str">
        <f t="shared" si="11"/>
        <v>Untersuchungsfunktion 2</v>
      </c>
    </row>
    <row r="384" spans="1:23" ht="12.75" x14ac:dyDescent="0.2">
      <c r="A384" s="74" t="str">
        <f t="shared" si="12"/>
        <v>501.11</v>
      </c>
      <c r="B384" s="25" t="s">
        <v>180</v>
      </c>
      <c r="C384" s="76">
        <v>501</v>
      </c>
      <c r="D384" s="76"/>
      <c r="E384" s="76"/>
      <c r="F384" s="76">
        <v>501</v>
      </c>
      <c r="G384" s="25" t="s">
        <v>693</v>
      </c>
      <c r="H384" s="76">
        <v>11</v>
      </c>
      <c r="I384" s="76"/>
      <c r="J384" s="76">
        <v>10</v>
      </c>
      <c r="K384" s="76">
        <v>2</v>
      </c>
      <c r="L384" s="846" t="s">
        <v>348</v>
      </c>
      <c r="M384" s="31"/>
      <c r="O384" s="32"/>
      <c r="P384" s="31"/>
      <c r="R384" s="32"/>
      <c r="S384" s="847"/>
      <c r="T384" s="847"/>
      <c r="U384" s="823" t="s">
        <v>1613</v>
      </c>
      <c r="V384" s="77">
        <v>11</v>
      </c>
      <c r="W384" s="824" t="str">
        <f t="shared" si="11"/>
        <v>Untersuchungsfunktion III</v>
      </c>
    </row>
    <row r="385" spans="1:23" ht="12.75" x14ac:dyDescent="0.2">
      <c r="A385" s="74" t="str">
        <f t="shared" si="12"/>
        <v>501.12a</v>
      </c>
      <c r="B385" s="825" t="s">
        <v>262</v>
      </c>
      <c r="C385" s="76">
        <v>501</v>
      </c>
      <c r="D385" s="76" t="s">
        <v>66</v>
      </c>
      <c r="E385" s="76"/>
      <c r="F385" s="76">
        <v>501</v>
      </c>
      <c r="G385" s="25" t="s">
        <v>694</v>
      </c>
      <c r="H385" s="76">
        <v>12</v>
      </c>
      <c r="I385" s="76">
        <v>498.8</v>
      </c>
      <c r="J385" s="76">
        <v>10</v>
      </c>
      <c r="K385" s="76">
        <v>2</v>
      </c>
      <c r="L385" s="846" t="s">
        <v>348</v>
      </c>
      <c r="M385" s="31"/>
      <c r="O385" s="32"/>
      <c r="P385" s="31"/>
      <c r="R385" s="32"/>
      <c r="S385" s="847"/>
      <c r="T385" s="847"/>
      <c r="U385" s="823" t="s">
        <v>1614</v>
      </c>
      <c r="V385" s="77">
        <v>12</v>
      </c>
      <c r="W385" s="824" t="str">
        <f t="shared" si="11"/>
        <v>Untersuchungsfunktion II</v>
      </c>
    </row>
    <row r="386" spans="1:23" ht="12.75" x14ac:dyDescent="0.2">
      <c r="A386" s="74" t="str">
        <f t="shared" si="12"/>
        <v>501.12b</v>
      </c>
      <c r="B386" s="825" t="s">
        <v>263</v>
      </c>
      <c r="C386" s="76">
        <v>501</v>
      </c>
      <c r="D386" s="76" t="s">
        <v>67</v>
      </c>
      <c r="E386" s="76"/>
      <c r="F386" s="76">
        <v>501</v>
      </c>
      <c r="G386" s="25" t="s">
        <v>695</v>
      </c>
      <c r="H386" s="76">
        <v>12</v>
      </c>
      <c r="I386" s="76">
        <v>505</v>
      </c>
      <c r="J386" s="76">
        <v>9.5</v>
      </c>
      <c r="K386" s="76">
        <v>2</v>
      </c>
      <c r="L386" s="846" t="s">
        <v>347</v>
      </c>
      <c r="M386" s="31"/>
      <c r="O386" s="32"/>
      <c r="P386" s="31"/>
      <c r="R386" s="32"/>
      <c r="S386" s="847"/>
      <c r="T386" s="847"/>
      <c r="U386" s="823" t="s">
        <v>1615</v>
      </c>
      <c r="V386" s="77">
        <v>12</v>
      </c>
      <c r="W386" s="824" t="str">
        <f t="shared" ref="W386:W449" si="13">G386</f>
        <v>Untersuchungsfunktion WK I</v>
      </c>
    </row>
    <row r="387" spans="1:23" ht="12.75" x14ac:dyDescent="0.2">
      <c r="A387" s="74" t="str">
        <f t="shared" si="12"/>
        <v>501.13</v>
      </c>
      <c r="B387" s="25" t="s">
        <v>355</v>
      </c>
      <c r="C387" s="76">
        <v>501</v>
      </c>
      <c r="D387" s="76"/>
      <c r="E387" s="76"/>
      <c r="F387" s="76">
        <v>501</v>
      </c>
      <c r="G387" s="25" t="s">
        <v>694</v>
      </c>
      <c r="H387" s="76">
        <v>13</v>
      </c>
      <c r="I387" s="76"/>
      <c r="J387" s="76">
        <v>9.5</v>
      </c>
      <c r="K387" s="76">
        <v>1</v>
      </c>
      <c r="L387" s="846" t="s">
        <v>347</v>
      </c>
      <c r="M387" s="31"/>
      <c r="O387" s="32"/>
      <c r="P387" s="31"/>
      <c r="R387" s="32"/>
      <c r="S387" s="847"/>
      <c r="T387" s="847"/>
      <c r="U387" s="823" t="s">
        <v>1616</v>
      </c>
      <c r="V387" s="77">
        <v>13</v>
      </c>
      <c r="W387" s="824" t="str">
        <f t="shared" si="13"/>
        <v>Untersuchungsfunktion II</v>
      </c>
    </row>
    <row r="388" spans="1:23" ht="12.75" x14ac:dyDescent="0.2">
      <c r="A388" s="74" t="str">
        <f t="shared" si="12"/>
        <v>501.14</v>
      </c>
      <c r="B388" s="825" t="s">
        <v>689</v>
      </c>
      <c r="C388" s="76">
        <v>501</v>
      </c>
      <c r="D388" s="76"/>
      <c r="E388" s="76"/>
      <c r="F388" s="76">
        <v>501</v>
      </c>
      <c r="G388" s="25" t="s">
        <v>696</v>
      </c>
      <c r="H388" s="76">
        <v>14</v>
      </c>
      <c r="I388" s="76">
        <v>435.5</v>
      </c>
      <c r="J388" s="76">
        <v>9.5</v>
      </c>
      <c r="K388" s="76">
        <v>1</v>
      </c>
      <c r="L388" s="846" t="s">
        <v>347</v>
      </c>
      <c r="M388" s="31"/>
      <c r="O388" s="32"/>
      <c r="P388" s="31"/>
      <c r="R388" s="32"/>
      <c r="S388" s="847"/>
      <c r="T388" s="847"/>
      <c r="U388" s="823" t="s">
        <v>1617</v>
      </c>
      <c r="V388" s="77">
        <v>14</v>
      </c>
      <c r="W388" s="824" t="str">
        <f t="shared" si="13"/>
        <v>Untersuchungsfunktion I</v>
      </c>
    </row>
    <row r="389" spans="1:23" ht="12.75" x14ac:dyDescent="0.2">
      <c r="A389" s="74" t="str">
        <f t="shared" si="12"/>
        <v>504.06</v>
      </c>
      <c r="B389" s="28" t="s">
        <v>1618</v>
      </c>
      <c r="C389" s="79">
        <v>504</v>
      </c>
      <c r="D389" s="79"/>
      <c r="E389" s="79"/>
      <c r="F389" s="79">
        <v>504</v>
      </c>
      <c r="G389" s="28" t="s">
        <v>1619</v>
      </c>
      <c r="H389" s="79">
        <v>6</v>
      </c>
      <c r="I389" s="79"/>
      <c r="J389" s="79"/>
      <c r="K389" s="79"/>
      <c r="L389" s="833"/>
      <c r="M389" s="35"/>
      <c r="N389" s="36"/>
      <c r="O389" s="36"/>
      <c r="P389" s="35"/>
      <c r="Q389" s="36"/>
      <c r="R389" s="36"/>
      <c r="S389" s="834"/>
      <c r="T389" s="834"/>
      <c r="U389" s="823" t="s">
        <v>1620</v>
      </c>
      <c r="V389" s="77">
        <v>6</v>
      </c>
      <c r="W389" s="824" t="str">
        <f t="shared" si="13"/>
        <v>Staatsanwalt/-anwältin</v>
      </c>
    </row>
    <row r="390" spans="1:23" ht="12.75" x14ac:dyDescent="0.2">
      <c r="A390" s="74" t="str">
        <f t="shared" si="12"/>
        <v>504.07</v>
      </c>
      <c r="B390" s="28" t="s">
        <v>1621</v>
      </c>
      <c r="C390" s="79">
        <v>504</v>
      </c>
      <c r="D390" s="79"/>
      <c r="E390" s="79"/>
      <c r="F390" s="79">
        <v>504</v>
      </c>
      <c r="G390" s="28" t="s">
        <v>1619</v>
      </c>
      <c r="H390" s="79">
        <v>7</v>
      </c>
      <c r="I390" s="79"/>
      <c r="J390" s="79"/>
      <c r="K390" s="79"/>
      <c r="L390" s="833"/>
      <c r="M390" s="35"/>
      <c r="N390" s="36"/>
      <c r="O390" s="36"/>
      <c r="P390" s="35"/>
      <c r="Q390" s="36"/>
      <c r="R390" s="36"/>
      <c r="S390" s="834"/>
      <c r="T390" s="834"/>
      <c r="U390" s="823" t="s">
        <v>1622</v>
      </c>
      <c r="V390" s="77">
        <v>7</v>
      </c>
      <c r="W390" s="824" t="str">
        <f t="shared" si="13"/>
        <v>Staatsanwalt/-anwältin</v>
      </c>
    </row>
    <row r="391" spans="1:23" ht="12.75" x14ac:dyDescent="0.2">
      <c r="A391" s="74" t="str">
        <f t="shared" si="12"/>
        <v>504.07a</v>
      </c>
      <c r="B391" s="825" t="s">
        <v>697</v>
      </c>
      <c r="C391" s="78">
        <v>504</v>
      </c>
      <c r="D391" s="78" t="s">
        <v>66</v>
      </c>
      <c r="E391" s="78"/>
      <c r="F391" s="78">
        <v>504</v>
      </c>
      <c r="G391" s="27" t="s">
        <v>698</v>
      </c>
      <c r="H391" s="78">
        <v>7</v>
      </c>
      <c r="I391" s="78">
        <v>628.5</v>
      </c>
      <c r="J391" s="78">
        <v>10</v>
      </c>
      <c r="K391" s="78">
        <v>5</v>
      </c>
      <c r="L391" s="848" t="s">
        <v>348</v>
      </c>
      <c r="M391" s="33"/>
      <c r="N391" s="34"/>
      <c r="O391" s="34"/>
      <c r="P391" s="33"/>
      <c r="Q391" s="34"/>
      <c r="R391" s="34"/>
      <c r="S391" s="849"/>
      <c r="T391" s="849"/>
      <c r="U391" s="823" t="s">
        <v>1623</v>
      </c>
      <c r="V391" s="77">
        <v>7</v>
      </c>
      <c r="W391" s="824" t="str">
        <f t="shared" si="13"/>
        <v>Staatsanwalt/-anwältin III</v>
      </c>
    </row>
    <row r="392" spans="1:23" ht="12.75" x14ac:dyDescent="0.2">
      <c r="A392" s="74" t="str">
        <f t="shared" si="12"/>
        <v>504.07b</v>
      </c>
      <c r="B392" s="825" t="s">
        <v>699</v>
      </c>
      <c r="C392" s="79">
        <v>504</v>
      </c>
      <c r="D392" s="79" t="s">
        <v>67</v>
      </c>
      <c r="E392" s="79"/>
      <c r="F392" s="79">
        <v>504</v>
      </c>
      <c r="G392" s="28" t="s">
        <v>700</v>
      </c>
      <c r="H392" s="79">
        <v>7</v>
      </c>
      <c r="I392" s="79">
        <v>630.29999999999995</v>
      </c>
      <c r="J392" s="79">
        <v>10.5</v>
      </c>
      <c r="K392" s="79">
        <v>2</v>
      </c>
      <c r="L392" s="833" t="s">
        <v>353</v>
      </c>
      <c r="M392" s="35"/>
      <c r="N392" s="36"/>
      <c r="O392" s="36"/>
      <c r="P392" s="35"/>
      <c r="Q392" s="36"/>
      <c r="R392" s="36"/>
      <c r="S392" s="834"/>
      <c r="T392" s="834"/>
      <c r="U392" s="823" t="s">
        <v>1624</v>
      </c>
      <c r="V392" s="77">
        <v>7</v>
      </c>
      <c r="W392" s="824" t="str">
        <f t="shared" si="13"/>
        <v>Staatsanwalt/-anwältin WK</v>
      </c>
    </row>
    <row r="393" spans="1:23" ht="12.75" x14ac:dyDescent="0.2">
      <c r="A393" s="74" t="str">
        <f t="shared" si="12"/>
        <v>504.08</v>
      </c>
      <c r="B393" s="28" t="s">
        <v>1625</v>
      </c>
      <c r="C393" s="79">
        <v>504</v>
      </c>
      <c r="D393" s="79"/>
      <c r="E393" s="79"/>
      <c r="F393" s="79">
        <v>504</v>
      </c>
      <c r="G393" s="28" t="s">
        <v>1619</v>
      </c>
      <c r="H393" s="79">
        <v>8</v>
      </c>
      <c r="I393" s="79"/>
      <c r="J393" s="79"/>
      <c r="K393" s="79"/>
      <c r="L393" s="833"/>
      <c r="M393" s="35"/>
      <c r="N393" s="36"/>
      <c r="O393" s="36"/>
      <c r="P393" s="35"/>
      <c r="Q393" s="36"/>
      <c r="R393" s="36"/>
      <c r="S393" s="834"/>
      <c r="T393" s="834"/>
      <c r="U393" s="823" t="s">
        <v>1626</v>
      </c>
      <c r="V393" s="77">
        <v>8</v>
      </c>
      <c r="W393" s="824" t="str">
        <f t="shared" si="13"/>
        <v>Staatsanwalt/-anwältin</v>
      </c>
    </row>
    <row r="394" spans="1:23" ht="12.75" x14ac:dyDescent="0.2">
      <c r="A394" s="74" t="str">
        <f t="shared" si="12"/>
        <v>504.08a</v>
      </c>
      <c r="B394" s="825" t="s">
        <v>701</v>
      </c>
      <c r="C394" s="78">
        <v>504</v>
      </c>
      <c r="D394" s="78" t="s">
        <v>66</v>
      </c>
      <c r="E394" s="78"/>
      <c r="F394" s="78">
        <v>504</v>
      </c>
      <c r="G394" s="27" t="s">
        <v>702</v>
      </c>
      <c r="H394" s="78">
        <v>8</v>
      </c>
      <c r="I394" s="78">
        <v>606.70000000000005</v>
      </c>
      <c r="J394" s="78">
        <v>9.5</v>
      </c>
      <c r="K394" s="78">
        <v>4</v>
      </c>
      <c r="L394" s="848" t="s">
        <v>347</v>
      </c>
      <c r="M394" s="33"/>
      <c r="N394" s="34"/>
      <c r="O394" s="34"/>
      <c r="P394" s="33"/>
      <c r="Q394" s="34"/>
      <c r="R394" s="34"/>
      <c r="S394" s="849"/>
      <c r="T394" s="849"/>
      <c r="U394" s="823" t="s">
        <v>1627</v>
      </c>
      <c r="V394" s="77">
        <v>8</v>
      </c>
      <c r="W394" s="824" t="str">
        <f t="shared" si="13"/>
        <v>Staatsanwalt/-anwältin II</v>
      </c>
    </row>
    <row r="395" spans="1:23" ht="12.75" x14ac:dyDescent="0.2">
      <c r="A395" s="74" t="str">
        <f t="shared" si="12"/>
        <v>504.08c</v>
      </c>
      <c r="B395" s="825" t="s">
        <v>703</v>
      </c>
      <c r="C395" s="79">
        <v>504</v>
      </c>
      <c r="D395" s="79" t="s">
        <v>76</v>
      </c>
      <c r="E395" s="79"/>
      <c r="F395" s="79">
        <v>504</v>
      </c>
      <c r="G395" s="28" t="s">
        <v>704</v>
      </c>
      <c r="H395" s="79">
        <v>8</v>
      </c>
      <c r="I395" s="79">
        <v>595.70000000000005</v>
      </c>
      <c r="J395" s="79">
        <v>10</v>
      </c>
      <c r="K395" s="79">
        <v>3</v>
      </c>
      <c r="L395" s="833" t="s">
        <v>348</v>
      </c>
      <c r="M395" s="35"/>
      <c r="N395" s="36"/>
      <c r="O395" s="36"/>
      <c r="P395" s="35"/>
      <c r="Q395" s="36"/>
      <c r="R395" s="36"/>
      <c r="S395" s="834"/>
      <c r="T395" s="834"/>
      <c r="U395" s="823" t="s">
        <v>1628</v>
      </c>
      <c r="V395" s="77">
        <v>8</v>
      </c>
      <c r="W395" s="824" t="str">
        <f t="shared" si="13"/>
        <v>Staatsanwalt/-anwältin GK/RV/StB</v>
      </c>
    </row>
    <row r="396" spans="1:23" ht="12.75" x14ac:dyDescent="0.2">
      <c r="A396" s="74" t="str">
        <f t="shared" si="12"/>
        <v>504.09</v>
      </c>
      <c r="B396" s="825" t="s">
        <v>335</v>
      </c>
      <c r="C396" s="78">
        <v>504</v>
      </c>
      <c r="D396" s="78"/>
      <c r="E396" s="78"/>
      <c r="F396" s="78">
        <v>504</v>
      </c>
      <c r="G396" s="27" t="s">
        <v>705</v>
      </c>
      <c r="H396" s="78">
        <v>9</v>
      </c>
      <c r="I396" s="78">
        <v>571.9</v>
      </c>
      <c r="J396" s="78">
        <v>9.5</v>
      </c>
      <c r="K396" s="78">
        <v>2</v>
      </c>
      <c r="L396" s="848" t="s">
        <v>347</v>
      </c>
      <c r="M396" s="33"/>
      <c r="N396" s="34"/>
      <c r="O396" s="34"/>
      <c r="P396" s="33"/>
      <c r="Q396" s="34"/>
      <c r="R396" s="34"/>
      <c r="S396" s="849"/>
      <c r="T396" s="849"/>
      <c r="U396" s="823" t="s">
        <v>1629</v>
      </c>
      <c r="V396" s="77">
        <v>9</v>
      </c>
      <c r="W396" s="824" t="str">
        <f t="shared" si="13"/>
        <v>Staatsanwalt/-anwältin I</v>
      </c>
    </row>
    <row r="397" spans="1:23" ht="12.75" x14ac:dyDescent="0.2">
      <c r="A397" s="74" t="str">
        <f t="shared" si="12"/>
        <v>505.06</v>
      </c>
      <c r="B397" s="25" t="s">
        <v>319</v>
      </c>
      <c r="C397" s="76" t="s">
        <v>1630</v>
      </c>
      <c r="D397" s="76" t="s">
        <v>65</v>
      </c>
      <c r="E397" s="76"/>
      <c r="F397" s="76">
        <v>505</v>
      </c>
      <c r="G397" s="25" t="s">
        <v>58</v>
      </c>
      <c r="H397" s="76">
        <v>6</v>
      </c>
      <c r="I397" s="76">
        <v>644.5</v>
      </c>
      <c r="J397" s="76">
        <v>10.5</v>
      </c>
      <c r="K397" s="76">
        <v>7</v>
      </c>
      <c r="L397" s="846" t="s">
        <v>353</v>
      </c>
      <c r="M397" s="31"/>
      <c r="O397" s="32"/>
      <c r="P397" s="31"/>
      <c r="R397" s="32"/>
      <c r="S397" s="847"/>
      <c r="T397" s="847"/>
      <c r="U397" s="823" t="s">
        <v>1631</v>
      </c>
      <c r="V397" s="77">
        <v>6</v>
      </c>
      <c r="W397" s="824" t="str">
        <f t="shared" si="13"/>
        <v>Gerichtsschreiber/in 2. Instanz</v>
      </c>
    </row>
    <row r="398" spans="1:23" ht="12.75" x14ac:dyDescent="0.2">
      <c r="A398" s="74" t="str">
        <f t="shared" si="12"/>
        <v>505.07</v>
      </c>
      <c r="B398" s="825" t="s">
        <v>323</v>
      </c>
      <c r="C398" s="78" t="s">
        <v>1630</v>
      </c>
      <c r="D398" s="78" t="s">
        <v>65</v>
      </c>
      <c r="E398" s="78"/>
      <c r="F398" s="78">
        <v>505</v>
      </c>
      <c r="G398" s="27" t="s">
        <v>58</v>
      </c>
      <c r="H398" s="78">
        <v>7</v>
      </c>
      <c r="I398" s="78">
        <v>627.70000000000005</v>
      </c>
      <c r="J398" s="78">
        <v>10.5</v>
      </c>
      <c r="K398" s="78">
        <v>5</v>
      </c>
      <c r="L398" s="848" t="s">
        <v>353</v>
      </c>
      <c r="M398" s="33"/>
      <c r="N398" s="34"/>
      <c r="O398" s="34"/>
      <c r="P398" s="33"/>
      <c r="Q398" s="34"/>
      <c r="R398" s="34"/>
      <c r="S398" s="849"/>
      <c r="T398" s="849" t="s">
        <v>65</v>
      </c>
      <c r="U398" s="823" t="s">
        <v>1632</v>
      </c>
      <c r="V398" s="77">
        <v>7</v>
      </c>
      <c r="W398" s="824" t="str">
        <f t="shared" si="13"/>
        <v>Gerichtsschreiber/in 2. Instanz</v>
      </c>
    </row>
    <row r="399" spans="1:23" ht="12.75" x14ac:dyDescent="0.2">
      <c r="A399" s="74" t="str">
        <f t="shared" si="12"/>
        <v>505.08</v>
      </c>
      <c r="B399" s="28" t="s">
        <v>329</v>
      </c>
      <c r="C399" s="79" t="s">
        <v>1630</v>
      </c>
      <c r="D399" s="79" t="s">
        <v>65</v>
      </c>
      <c r="E399" s="79"/>
      <c r="F399" s="79">
        <v>505</v>
      </c>
      <c r="G399" s="28" t="s">
        <v>58</v>
      </c>
      <c r="H399" s="79">
        <v>8</v>
      </c>
      <c r="I399" s="79"/>
      <c r="J399" s="79">
        <v>9.5</v>
      </c>
      <c r="K399" s="79">
        <v>6</v>
      </c>
      <c r="L399" s="833" t="s">
        <v>347</v>
      </c>
      <c r="M399" s="35"/>
      <c r="N399" s="36"/>
      <c r="O399" s="36"/>
      <c r="P399" s="35"/>
      <c r="Q399" s="36"/>
      <c r="R399" s="36"/>
      <c r="S399" s="834"/>
      <c r="T399" s="834" t="s">
        <v>65</v>
      </c>
      <c r="U399" s="823" t="s">
        <v>1633</v>
      </c>
      <c r="V399" s="77">
        <v>8</v>
      </c>
      <c r="W399" s="824" t="str">
        <f t="shared" si="13"/>
        <v>Gerichtsschreiber/in 2. Instanz</v>
      </c>
    </row>
    <row r="400" spans="1:23" ht="12.75" x14ac:dyDescent="0.2">
      <c r="A400" s="74" t="str">
        <f t="shared" si="12"/>
        <v>505.09</v>
      </c>
      <c r="B400" s="825" t="s">
        <v>336</v>
      </c>
      <c r="C400" s="78" t="s">
        <v>1630</v>
      </c>
      <c r="D400" s="78" t="s">
        <v>65</v>
      </c>
      <c r="E400" s="78"/>
      <c r="F400" s="78">
        <v>505</v>
      </c>
      <c r="G400" s="27" t="s">
        <v>1953</v>
      </c>
      <c r="H400" s="78">
        <v>9</v>
      </c>
      <c r="I400" s="78">
        <v>564.4</v>
      </c>
      <c r="J400" s="78">
        <v>9.5</v>
      </c>
      <c r="K400" s="78">
        <v>4</v>
      </c>
      <c r="L400" s="848" t="s">
        <v>347</v>
      </c>
      <c r="M400" s="33"/>
      <c r="N400" s="34"/>
      <c r="O400" s="34"/>
      <c r="P400" s="33"/>
      <c r="Q400" s="34"/>
      <c r="R400" s="34"/>
      <c r="S400" s="849"/>
      <c r="T400" s="849" t="s">
        <v>65</v>
      </c>
      <c r="U400" s="823" t="s">
        <v>1634</v>
      </c>
      <c r="V400" s="77">
        <v>9</v>
      </c>
      <c r="W400" s="824" t="str">
        <f t="shared" si="13"/>
        <v>Gerichtsschreiber/in 2</v>
      </c>
    </row>
    <row r="401" spans="1:23" ht="12.75" x14ac:dyDescent="0.2">
      <c r="A401" s="74" t="str">
        <f t="shared" si="12"/>
        <v>505.10</v>
      </c>
      <c r="B401" s="28" t="s">
        <v>308</v>
      </c>
      <c r="C401" s="79" t="s">
        <v>1630</v>
      </c>
      <c r="D401" s="79" t="s">
        <v>65</v>
      </c>
      <c r="E401" s="79"/>
      <c r="F401" s="79">
        <v>505</v>
      </c>
      <c r="G401" s="28" t="s">
        <v>1953</v>
      </c>
      <c r="H401" s="79">
        <v>10</v>
      </c>
      <c r="I401" s="79"/>
      <c r="J401" s="79">
        <v>9.5</v>
      </c>
      <c r="K401" s="79">
        <v>3</v>
      </c>
      <c r="L401" s="833" t="s">
        <v>347</v>
      </c>
      <c r="M401" s="35"/>
      <c r="N401" s="36"/>
      <c r="O401" s="36"/>
      <c r="P401" s="35"/>
      <c r="Q401" s="36"/>
      <c r="R401" s="36"/>
      <c r="S401" s="834"/>
      <c r="T401" s="834"/>
      <c r="U401" s="823" t="s">
        <v>1635</v>
      </c>
      <c r="V401" s="77">
        <v>10</v>
      </c>
      <c r="W401" s="824" t="str">
        <f t="shared" si="13"/>
        <v>Gerichtsschreiber/in 2</v>
      </c>
    </row>
    <row r="402" spans="1:23" ht="12.75" x14ac:dyDescent="0.2">
      <c r="A402" s="74" t="str">
        <f t="shared" si="12"/>
        <v>505.11</v>
      </c>
      <c r="B402" s="825" t="s">
        <v>181</v>
      </c>
      <c r="C402" s="78" t="s">
        <v>1630</v>
      </c>
      <c r="D402" s="78" t="s">
        <v>65</v>
      </c>
      <c r="E402" s="78"/>
      <c r="F402" s="78">
        <v>505</v>
      </c>
      <c r="G402" s="27" t="s">
        <v>1954</v>
      </c>
      <c r="H402" s="78">
        <v>11</v>
      </c>
      <c r="I402" s="78">
        <v>523.9</v>
      </c>
      <c r="J402" s="78">
        <v>9.5</v>
      </c>
      <c r="K402" s="78">
        <v>2</v>
      </c>
      <c r="L402" s="848" t="s">
        <v>347</v>
      </c>
      <c r="M402" s="33"/>
      <c r="N402" s="34"/>
      <c r="O402" s="34"/>
      <c r="P402" s="33"/>
      <c r="Q402" s="34"/>
      <c r="R402" s="34"/>
      <c r="S402" s="849"/>
      <c r="T402" s="849" t="s">
        <v>65</v>
      </c>
      <c r="U402" s="823" t="s">
        <v>1636</v>
      </c>
      <c r="V402" s="77">
        <v>11</v>
      </c>
      <c r="W402" s="824" t="str">
        <f t="shared" si="13"/>
        <v>Gerichtsschreiber/in 1</v>
      </c>
    </row>
    <row r="403" spans="1:23" ht="12.75" x14ac:dyDescent="0.2">
      <c r="A403" s="74" t="str">
        <f t="shared" si="12"/>
        <v>506.03</v>
      </c>
      <c r="B403" s="28" t="s">
        <v>312</v>
      </c>
      <c r="C403" s="79" t="s">
        <v>1637</v>
      </c>
      <c r="D403" s="79" t="s">
        <v>65</v>
      </c>
      <c r="E403" s="79"/>
      <c r="F403" s="79">
        <v>506</v>
      </c>
      <c r="G403" s="28" t="s">
        <v>59</v>
      </c>
      <c r="H403" s="79">
        <v>3</v>
      </c>
      <c r="I403" s="79">
        <v>720.6</v>
      </c>
      <c r="J403" s="79">
        <v>10.5</v>
      </c>
      <c r="K403" s="79">
        <v>8</v>
      </c>
      <c r="L403" s="833" t="s">
        <v>353</v>
      </c>
      <c r="M403" s="35"/>
      <c r="N403" s="36"/>
      <c r="O403" s="36"/>
      <c r="P403" s="35"/>
      <c r="Q403" s="36"/>
      <c r="R403" s="36"/>
      <c r="S403" s="834"/>
      <c r="T403" s="834"/>
      <c r="U403" s="823" t="s">
        <v>1638</v>
      </c>
      <c r="V403" s="77">
        <v>3</v>
      </c>
      <c r="W403" s="824" t="str">
        <f t="shared" si="13"/>
        <v>Gerichtspräsident/in 1. Instanz</v>
      </c>
    </row>
    <row r="404" spans="1:23" ht="12.75" x14ac:dyDescent="0.2">
      <c r="A404" s="74" t="str">
        <f t="shared" si="12"/>
        <v>506.04</v>
      </c>
      <c r="B404" s="825" t="s">
        <v>314</v>
      </c>
      <c r="C404" s="78" t="s">
        <v>1637</v>
      </c>
      <c r="D404" s="78" t="s">
        <v>65</v>
      </c>
      <c r="E404" s="78"/>
      <c r="F404" s="78">
        <v>506</v>
      </c>
      <c r="G404" s="27" t="s">
        <v>59</v>
      </c>
      <c r="H404" s="78">
        <v>4</v>
      </c>
      <c r="I404" s="78">
        <v>704.6</v>
      </c>
      <c r="J404" s="78">
        <v>10.5</v>
      </c>
      <c r="K404" s="78">
        <v>6</v>
      </c>
      <c r="L404" s="848" t="s">
        <v>353</v>
      </c>
      <c r="M404" s="33"/>
      <c r="N404" s="34"/>
      <c r="O404" s="34"/>
      <c r="P404" s="33"/>
      <c r="Q404" s="34"/>
      <c r="R404" s="34"/>
      <c r="S404" s="849"/>
      <c r="T404" s="849" t="s">
        <v>65</v>
      </c>
      <c r="U404" s="823" t="s">
        <v>1639</v>
      </c>
      <c r="V404" s="77">
        <v>4</v>
      </c>
      <c r="W404" s="824" t="str">
        <f t="shared" si="13"/>
        <v>Gerichtspräsident/in 1. Instanz</v>
      </c>
    </row>
    <row r="405" spans="1:23" ht="12.75" x14ac:dyDescent="0.2">
      <c r="A405" s="74" t="str">
        <f t="shared" si="12"/>
        <v>601.19</v>
      </c>
      <c r="B405" s="825" t="s">
        <v>182</v>
      </c>
      <c r="C405" s="78" t="s">
        <v>1640</v>
      </c>
      <c r="D405" s="78" t="s">
        <v>65</v>
      </c>
      <c r="E405" s="78"/>
      <c r="F405" s="78">
        <v>601</v>
      </c>
      <c r="G405" s="27" t="s">
        <v>60</v>
      </c>
      <c r="H405" s="78">
        <v>19</v>
      </c>
      <c r="I405" s="78">
        <v>310.3</v>
      </c>
      <c r="J405" s="78">
        <v>5</v>
      </c>
      <c r="K405" s="78">
        <v>1</v>
      </c>
      <c r="L405" s="848" t="s">
        <v>87</v>
      </c>
      <c r="M405" s="33"/>
      <c r="N405" s="34"/>
      <c r="O405" s="34"/>
      <c r="P405" s="33"/>
      <c r="Q405" s="34"/>
      <c r="R405" s="34"/>
      <c r="S405" s="849"/>
      <c r="T405" s="849" t="s">
        <v>65</v>
      </c>
      <c r="U405" s="823" t="s">
        <v>1641</v>
      </c>
      <c r="V405" s="77">
        <v>19</v>
      </c>
      <c r="W405" s="824" t="str">
        <f t="shared" si="13"/>
        <v>Polizeiaspirant/in</v>
      </c>
    </row>
    <row r="406" spans="1:23" ht="12.75" x14ac:dyDescent="0.2">
      <c r="A406" s="74" t="str">
        <f t="shared" si="12"/>
        <v>602.14</v>
      </c>
      <c r="B406" s="825" t="s">
        <v>183</v>
      </c>
      <c r="C406" s="76" t="s">
        <v>1642</v>
      </c>
      <c r="D406" s="76" t="s">
        <v>65</v>
      </c>
      <c r="E406" s="76"/>
      <c r="F406" s="76">
        <v>602</v>
      </c>
      <c r="G406" s="25" t="s">
        <v>61</v>
      </c>
      <c r="H406" s="76">
        <v>14</v>
      </c>
      <c r="I406" s="76">
        <v>448.4</v>
      </c>
      <c r="J406" s="76">
        <v>5.5</v>
      </c>
      <c r="K406" s="76">
        <v>6</v>
      </c>
      <c r="L406" s="846" t="s">
        <v>671</v>
      </c>
      <c r="M406" s="31"/>
      <c r="O406" s="32"/>
      <c r="P406" s="31"/>
      <c r="R406" s="32"/>
      <c r="S406" s="847"/>
      <c r="T406" s="847" t="s">
        <v>65</v>
      </c>
      <c r="U406" s="823" t="s">
        <v>1643</v>
      </c>
      <c r="V406" s="77">
        <v>14</v>
      </c>
      <c r="W406" s="824" t="str">
        <f t="shared" si="13"/>
        <v>Pol. Sachbearbeitungsfunktion</v>
      </c>
    </row>
    <row r="407" spans="1:23" ht="12.75" x14ac:dyDescent="0.2">
      <c r="A407" s="74" t="str">
        <f t="shared" si="12"/>
        <v>602.15</v>
      </c>
      <c r="B407" s="825" t="s">
        <v>184</v>
      </c>
      <c r="C407" s="76" t="s">
        <v>1642</v>
      </c>
      <c r="D407" s="76" t="s">
        <v>65</v>
      </c>
      <c r="E407" s="76"/>
      <c r="F407" s="76">
        <v>602</v>
      </c>
      <c r="G407" s="25" t="s">
        <v>61</v>
      </c>
      <c r="H407" s="76">
        <v>15</v>
      </c>
      <c r="I407" s="76">
        <v>415.2</v>
      </c>
      <c r="J407" s="76">
        <v>5.5</v>
      </c>
      <c r="K407" s="76">
        <v>5</v>
      </c>
      <c r="L407" s="846" t="s">
        <v>671</v>
      </c>
      <c r="M407" s="31"/>
      <c r="O407" s="32"/>
      <c r="P407" s="31"/>
      <c r="R407" s="32"/>
      <c r="S407" s="847"/>
      <c r="T407" s="847" t="s">
        <v>65</v>
      </c>
      <c r="U407" s="823" t="s">
        <v>1644</v>
      </c>
      <c r="V407" s="77">
        <v>15</v>
      </c>
      <c r="W407" s="824" t="str">
        <f t="shared" si="13"/>
        <v>Pol. Sachbearbeitungsfunktion</v>
      </c>
    </row>
    <row r="408" spans="1:23" ht="12.75" x14ac:dyDescent="0.2">
      <c r="A408" s="74" t="str">
        <f t="shared" si="12"/>
        <v>602.16</v>
      </c>
      <c r="B408" s="825" t="s">
        <v>185</v>
      </c>
      <c r="C408" s="76" t="s">
        <v>1642</v>
      </c>
      <c r="D408" s="76" t="s">
        <v>65</v>
      </c>
      <c r="E408" s="76"/>
      <c r="F408" s="76">
        <v>602</v>
      </c>
      <c r="G408" s="25" t="s">
        <v>61</v>
      </c>
      <c r="H408" s="76">
        <v>16</v>
      </c>
      <c r="I408" s="76">
        <v>391.4</v>
      </c>
      <c r="J408" s="76">
        <v>5.5</v>
      </c>
      <c r="K408" s="76">
        <v>4</v>
      </c>
      <c r="L408" s="846" t="s">
        <v>671</v>
      </c>
      <c r="M408" s="31"/>
      <c r="O408" s="32"/>
      <c r="P408" s="31"/>
      <c r="R408" s="32"/>
      <c r="S408" s="847"/>
      <c r="T408" s="847" t="s">
        <v>65</v>
      </c>
      <c r="U408" s="823" t="s">
        <v>1645</v>
      </c>
      <c r="V408" s="77">
        <v>16</v>
      </c>
      <c r="W408" s="824" t="str">
        <f t="shared" si="13"/>
        <v>Pol. Sachbearbeitungsfunktion</v>
      </c>
    </row>
    <row r="409" spans="1:23" ht="12.75" x14ac:dyDescent="0.2">
      <c r="A409" s="74" t="str">
        <f t="shared" si="12"/>
        <v>602.17a</v>
      </c>
      <c r="B409" s="825" t="s">
        <v>679</v>
      </c>
      <c r="C409" s="76" t="s">
        <v>1642</v>
      </c>
      <c r="D409" s="76" t="s">
        <v>66</v>
      </c>
      <c r="E409" s="76"/>
      <c r="F409" s="76" t="s">
        <v>683</v>
      </c>
      <c r="G409" s="25" t="s">
        <v>61</v>
      </c>
      <c r="H409" s="76">
        <v>17</v>
      </c>
      <c r="I409" s="76">
        <v>376</v>
      </c>
      <c r="J409" s="76">
        <v>5.5</v>
      </c>
      <c r="K409" s="76">
        <v>3</v>
      </c>
      <c r="L409" s="846" t="s">
        <v>671</v>
      </c>
      <c r="M409" s="31"/>
      <c r="O409" s="32"/>
      <c r="P409" s="31"/>
      <c r="R409" s="32"/>
      <c r="S409" s="847"/>
      <c r="T409" s="847" t="s">
        <v>65</v>
      </c>
      <c r="U409" s="823" t="s">
        <v>1646</v>
      </c>
      <c r="V409" s="77">
        <v>17</v>
      </c>
      <c r="W409" s="824" t="str">
        <f t="shared" si="13"/>
        <v>Pol. Sachbearbeitungsfunktion</v>
      </c>
    </row>
    <row r="410" spans="1:23" ht="12.75" x14ac:dyDescent="0.2">
      <c r="A410" s="74" t="str">
        <f t="shared" si="12"/>
        <v>602.17b</v>
      </c>
      <c r="B410" s="825" t="s">
        <v>680</v>
      </c>
      <c r="C410" s="79" t="s">
        <v>1642</v>
      </c>
      <c r="D410" s="79" t="s">
        <v>67</v>
      </c>
      <c r="E410" s="79"/>
      <c r="F410" s="79" t="s">
        <v>684</v>
      </c>
      <c r="G410" s="28" t="s">
        <v>61</v>
      </c>
      <c r="H410" s="79">
        <v>17</v>
      </c>
      <c r="I410" s="79">
        <v>363.4</v>
      </c>
      <c r="J410" s="79">
        <v>5.5</v>
      </c>
      <c r="K410" s="79">
        <v>3</v>
      </c>
      <c r="L410" s="833" t="s">
        <v>671</v>
      </c>
      <c r="M410" s="35"/>
      <c r="N410" s="36"/>
      <c r="O410" s="36"/>
      <c r="P410" s="35"/>
      <c r="Q410" s="36"/>
      <c r="R410" s="36"/>
      <c r="S410" s="834"/>
      <c r="T410" s="834" t="s">
        <v>65</v>
      </c>
      <c r="U410" s="823" t="s">
        <v>1647</v>
      </c>
      <c r="V410" s="77">
        <v>17</v>
      </c>
      <c r="W410" s="824" t="str">
        <f t="shared" si="13"/>
        <v>Pol. Sachbearbeitungsfunktion</v>
      </c>
    </row>
    <row r="411" spans="1:23" ht="12.75" x14ac:dyDescent="0.2">
      <c r="A411" s="74" t="str">
        <f t="shared" si="12"/>
        <v>602.18a</v>
      </c>
      <c r="B411" s="825" t="s">
        <v>681</v>
      </c>
      <c r="C411" s="79" t="s">
        <v>1642</v>
      </c>
      <c r="D411" s="79" t="s">
        <v>66</v>
      </c>
      <c r="E411" s="79"/>
      <c r="F411" s="79" t="s">
        <v>683</v>
      </c>
      <c r="G411" s="28" t="s">
        <v>61</v>
      </c>
      <c r="H411" s="79">
        <v>18</v>
      </c>
      <c r="I411" s="79">
        <v>350.8</v>
      </c>
      <c r="J411" s="79">
        <v>5.5</v>
      </c>
      <c r="K411" s="79">
        <v>2</v>
      </c>
      <c r="L411" s="833" t="s">
        <v>671</v>
      </c>
      <c r="M411" s="35"/>
      <c r="N411" s="36"/>
      <c r="O411" s="36"/>
      <c r="P411" s="35"/>
      <c r="Q411" s="36"/>
      <c r="R411" s="36"/>
      <c r="S411" s="834"/>
      <c r="T411" s="834" t="s">
        <v>65</v>
      </c>
      <c r="U411" s="823" t="s">
        <v>1648</v>
      </c>
      <c r="V411" s="77">
        <v>18</v>
      </c>
      <c r="W411" s="824" t="str">
        <f t="shared" si="13"/>
        <v>Pol. Sachbearbeitungsfunktion</v>
      </c>
    </row>
    <row r="412" spans="1:23" ht="12.75" x14ac:dyDescent="0.2">
      <c r="A412" s="74" t="str">
        <f t="shared" si="12"/>
        <v>602.18b</v>
      </c>
      <c r="B412" s="825" t="s">
        <v>682</v>
      </c>
      <c r="C412" s="79" t="s">
        <v>1642</v>
      </c>
      <c r="D412" s="79" t="s">
        <v>67</v>
      </c>
      <c r="E412" s="79"/>
      <c r="F412" s="79" t="s">
        <v>684</v>
      </c>
      <c r="G412" s="28" t="s">
        <v>61</v>
      </c>
      <c r="H412" s="79">
        <v>18</v>
      </c>
      <c r="I412" s="79">
        <v>343.7</v>
      </c>
      <c r="J412" s="79">
        <v>5.5</v>
      </c>
      <c r="K412" s="79">
        <v>2</v>
      </c>
      <c r="L412" s="833" t="s">
        <v>671</v>
      </c>
      <c r="M412" s="35"/>
      <c r="N412" s="36"/>
      <c r="O412" s="36"/>
      <c r="P412" s="35"/>
      <c r="Q412" s="36"/>
      <c r="R412" s="36"/>
      <c r="S412" s="834"/>
      <c r="T412" s="834" t="s">
        <v>65</v>
      </c>
      <c r="U412" s="823" t="s">
        <v>1649</v>
      </c>
      <c r="V412" s="77">
        <v>18</v>
      </c>
      <c r="W412" s="824" t="str">
        <f t="shared" si="13"/>
        <v>Pol. Sachbearbeitungsfunktion</v>
      </c>
    </row>
    <row r="413" spans="1:23" ht="12.75" x14ac:dyDescent="0.2">
      <c r="A413" s="74" t="str">
        <f t="shared" si="12"/>
        <v>603.11</v>
      </c>
      <c r="B413" s="825" t="s">
        <v>186</v>
      </c>
      <c r="C413" s="79" t="s">
        <v>1650</v>
      </c>
      <c r="D413" s="79" t="s">
        <v>65</v>
      </c>
      <c r="E413" s="79"/>
      <c r="F413" s="79">
        <v>603</v>
      </c>
      <c r="G413" s="28" t="s">
        <v>62</v>
      </c>
      <c r="H413" s="79">
        <v>11</v>
      </c>
      <c r="I413" s="79">
        <v>512.5</v>
      </c>
      <c r="J413" s="79">
        <v>5.5</v>
      </c>
      <c r="K413" s="79">
        <v>10</v>
      </c>
      <c r="L413" s="833" t="s">
        <v>671</v>
      </c>
      <c r="M413" s="35"/>
      <c r="N413" s="36"/>
      <c r="O413" s="36"/>
      <c r="P413" s="35"/>
      <c r="Q413" s="36"/>
      <c r="R413" s="36"/>
      <c r="S413" s="834"/>
      <c r="T413" s="834" t="s">
        <v>65</v>
      </c>
      <c r="U413" s="823" t="s">
        <v>1651</v>
      </c>
      <c r="V413" s="77">
        <v>11</v>
      </c>
      <c r="W413" s="824" t="str">
        <f t="shared" si="13"/>
        <v>Pol. Führungsfunktion/Fachspez.</v>
      </c>
    </row>
    <row r="414" spans="1:23" ht="12.75" x14ac:dyDescent="0.2">
      <c r="A414" s="74" t="str">
        <f t="shared" si="12"/>
        <v>603.12</v>
      </c>
      <c r="B414" s="825" t="s">
        <v>187</v>
      </c>
      <c r="C414" s="79" t="s">
        <v>1650</v>
      </c>
      <c r="D414" s="79" t="s">
        <v>65</v>
      </c>
      <c r="E414" s="79"/>
      <c r="F414" s="79">
        <v>603</v>
      </c>
      <c r="G414" s="28" t="s">
        <v>62</v>
      </c>
      <c r="H414" s="79">
        <v>12</v>
      </c>
      <c r="I414" s="79">
        <v>493.2</v>
      </c>
      <c r="J414" s="79">
        <v>5.5</v>
      </c>
      <c r="K414" s="79">
        <v>9</v>
      </c>
      <c r="L414" s="833" t="s">
        <v>671</v>
      </c>
      <c r="M414" s="35"/>
      <c r="N414" s="36"/>
      <c r="O414" s="36"/>
      <c r="P414" s="35"/>
      <c r="Q414" s="36"/>
      <c r="R414" s="36"/>
      <c r="S414" s="834"/>
      <c r="T414" s="834" t="s">
        <v>65</v>
      </c>
      <c r="U414" s="823" t="s">
        <v>1652</v>
      </c>
      <c r="V414" s="77">
        <v>12</v>
      </c>
      <c r="W414" s="824" t="str">
        <f t="shared" si="13"/>
        <v>Pol. Führungsfunktion/Fachspez.</v>
      </c>
    </row>
    <row r="415" spans="1:23" ht="12.75" x14ac:dyDescent="0.2">
      <c r="A415" s="74" t="str">
        <f t="shared" si="12"/>
        <v>603.13</v>
      </c>
      <c r="B415" s="825" t="s">
        <v>188</v>
      </c>
      <c r="C415" s="79" t="s">
        <v>1650</v>
      </c>
      <c r="D415" s="79" t="s">
        <v>65</v>
      </c>
      <c r="E415" s="79"/>
      <c r="F415" s="79">
        <v>603</v>
      </c>
      <c r="G415" s="28" t="s">
        <v>62</v>
      </c>
      <c r="H415" s="79">
        <v>13</v>
      </c>
      <c r="I415" s="79">
        <v>479.2</v>
      </c>
      <c r="J415" s="79">
        <v>5.5</v>
      </c>
      <c r="K415" s="79">
        <v>8</v>
      </c>
      <c r="L415" s="833" t="s">
        <v>671</v>
      </c>
      <c r="M415" s="35"/>
      <c r="N415" s="36"/>
      <c r="O415" s="36"/>
      <c r="P415" s="35"/>
      <c r="Q415" s="36"/>
      <c r="R415" s="36"/>
      <c r="S415" s="834"/>
      <c r="T415" s="834" t="s">
        <v>65</v>
      </c>
      <c r="U415" s="823" t="s">
        <v>1653</v>
      </c>
      <c r="V415" s="77">
        <v>13</v>
      </c>
      <c r="W415" s="824" t="str">
        <f t="shared" si="13"/>
        <v>Pol. Führungsfunktion/Fachspez.</v>
      </c>
    </row>
    <row r="416" spans="1:23" ht="12.75" x14ac:dyDescent="0.2">
      <c r="A416" s="74" t="str">
        <f t="shared" si="12"/>
        <v>711.07</v>
      </c>
      <c r="B416" s="28" t="s">
        <v>324</v>
      </c>
      <c r="C416" s="79" t="s">
        <v>1654</v>
      </c>
      <c r="D416" s="79" t="s">
        <v>65</v>
      </c>
      <c r="E416" s="79"/>
      <c r="F416" s="79">
        <v>711</v>
      </c>
      <c r="G416" s="28" t="s">
        <v>63</v>
      </c>
      <c r="H416" s="79">
        <v>7</v>
      </c>
      <c r="I416" s="79">
        <v>619.4</v>
      </c>
      <c r="J416" s="79">
        <v>9.5</v>
      </c>
      <c r="K416" s="79">
        <v>9</v>
      </c>
      <c r="L416" s="833" t="s">
        <v>347</v>
      </c>
      <c r="M416" s="35"/>
      <c r="N416" s="36"/>
      <c r="O416" s="36"/>
      <c r="P416" s="35"/>
      <c r="Q416" s="36"/>
      <c r="R416" s="36"/>
      <c r="S416" s="834"/>
      <c r="T416" s="834"/>
      <c r="U416" s="823" t="s">
        <v>1655</v>
      </c>
      <c r="V416" s="77">
        <v>7</v>
      </c>
      <c r="W416" s="824" t="str">
        <f t="shared" si="13"/>
        <v>Allgemeine Führungsfunktion 2</v>
      </c>
    </row>
    <row r="417" spans="1:23" ht="12.75" x14ac:dyDescent="0.2">
      <c r="A417" s="74" t="str">
        <f t="shared" si="12"/>
        <v>711.08</v>
      </c>
      <c r="B417" s="825" t="s">
        <v>330</v>
      </c>
      <c r="C417" s="76" t="s">
        <v>1654</v>
      </c>
      <c r="D417" s="76" t="s">
        <v>65</v>
      </c>
      <c r="E417" s="76"/>
      <c r="F417" s="76">
        <v>711</v>
      </c>
      <c r="G417" s="25" t="s">
        <v>63</v>
      </c>
      <c r="H417" s="76">
        <v>8</v>
      </c>
      <c r="I417" s="76">
        <v>604.29999999999995</v>
      </c>
      <c r="J417" s="76">
        <v>9.5</v>
      </c>
      <c r="K417" s="76">
        <v>7</v>
      </c>
      <c r="L417" s="846" t="s">
        <v>347</v>
      </c>
      <c r="M417" s="31"/>
      <c r="O417" s="32"/>
      <c r="P417" s="31"/>
      <c r="R417" s="32"/>
      <c r="S417" s="847"/>
      <c r="T417" s="847" t="s">
        <v>65</v>
      </c>
      <c r="U417" s="823" t="s">
        <v>1656</v>
      </c>
      <c r="V417" s="77">
        <v>8</v>
      </c>
      <c r="W417" s="824" t="str">
        <f t="shared" si="13"/>
        <v>Allgemeine Führungsfunktion 2</v>
      </c>
    </row>
    <row r="418" spans="1:23" ht="12.75" x14ac:dyDescent="0.2">
      <c r="A418" s="74" t="str">
        <f t="shared" si="12"/>
        <v>711.08a</v>
      </c>
      <c r="B418" s="28" t="s">
        <v>1095</v>
      </c>
      <c r="C418" s="79" t="s">
        <v>1654</v>
      </c>
      <c r="D418" s="79" t="s">
        <v>66</v>
      </c>
      <c r="E418" s="79"/>
      <c r="F418" s="79" t="s">
        <v>1660</v>
      </c>
      <c r="G418" s="28" t="s">
        <v>1821</v>
      </c>
      <c r="H418" s="79">
        <v>8</v>
      </c>
      <c r="I418" s="79">
        <v>606.9</v>
      </c>
      <c r="J418" s="79">
        <v>8.5</v>
      </c>
      <c r="K418" s="79">
        <v>8</v>
      </c>
      <c r="L418" s="833" t="s">
        <v>90</v>
      </c>
      <c r="M418" s="35"/>
      <c r="N418" s="36"/>
      <c r="O418" s="36"/>
      <c r="P418" s="35"/>
      <c r="Q418" s="36"/>
      <c r="R418" s="36"/>
      <c r="S418" s="834"/>
      <c r="T418" s="834" t="s">
        <v>65</v>
      </c>
      <c r="U418" s="823" t="s">
        <v>1657</v>
      </c>
      <c r="V418" s="77">
        <v>8</v>
      </c>
      <c r="W418" s="824" t="str">
        <f t="shared" si="13"/>
        <v>Rektorat Volksschule (Primarstufe + Sekundarstufe I)</v>
      </c>
    </row>
    <row r="419" spans="1:23" ht="12.75" x14ac:dyDescent="0.2">
      <c r="A419" s="74" t="str">
        <f t="shared" si="12"/>
        <v>711.09</v>
      </c>
      <c r="B419" s="28" t="s">
        <v>337</v>
      </c>
      <c r="C419" s="79" t="s">
        <v>1654</v>
      </c>
      <c r="D419" s="79" t="s">
        <v>65</v>
      </c>
      <c r="E419" s="79"/>
      <c r="F419" s="79">
        <v>711</v>
      </c>
      <c r="G419" s="28" t="s">
        <v>63</v>
      </c>
      <c r="H419" s="79">
        <v>9</v>
      </c>
      <c r="I419" s="79"/>
      <c r="J419" s="79">
        <v>9.5</v>
      </c>
      <c r="K419" s="79">
        <v>6</v>
      </c>
      <c r="L419" s="833" t="s">
        <v>347</v>
      </c>
      <c r="M419" s="35"/>
      <c r="N419" s="36"/>
      <c r="O419" s="36"/>
      <c r="P419" s="35"/>
      <c r="Q419" s="36"/>
      <c r="R419" s="36"/>
      <c r="S419" s="834"/>
      <c r="T419" s="834" t="s">
        <v>65</v>
      </c>
      <c r="U419" s="823" t="s">
        <v>1658</v>
      </c>
      <c r="V419" s="77">
        <v>9</v>
      </c>
      <c r="W419" s="824" t="str">
        <f t="shared" si="13"/>
        <v>Allgemeine Führungsfunktion 2</v>
      </c>
    </row>
    <row r="420" spans="1:23" ht="12.75" x14ac:dyDescent="0.2">
      <c r="A420" s="74" t="str">
        <f t="shared" si="12"/>
        <v>711.09a</v>
      </c>
      <c r="B420" s="28" t="s">
        <v>1659</v>
      </c>
      <c r="C420" s="79">
        <v>711</v>
      </c>
      <c r="D420" s="79" t="s">
        <v>66</v>
      </c>
      <c r="E420" s="79"/>
      <c r="F420" s="79" t="s">
        <v>1660</v>
      </c>
      <c r="G420" s="28" t="s">
        <v>1661</v>
      </c>
      <c r="H420" s="79">
        <v>9</v>
      </c>
      <c r="I420" s="79"/>
      <c r="J420" s="79">
        <v>8.5</v>
      </c>
      <c r="K420" s="79">
        <v>5</v>
      </c>
      <c r="L420" s="833" t="s">
        <v>90</v>
      </c>
      <c r="M420" s="35"/>
      <c r="N420" s="36"/>
      <c r="O420" s="36"/>
      <c r="P420" s="35"/>
      <c r="Q420" s="36"/>
      <c r="R420" s="36"/>
      <c r="S420" s="834"/>
      <c r="T420" s="834"/>
      <c r="U420" s="823" t="s">
        <v>1662</v>
      </c>
      <c r="V420" s="77">
        <v>9</v>
      </c>
      <c r="W420" s="824" t="str">
        <f t="shared" si="13"/>
        <v>Schulleitung Sekundarstufe I</v>
      </c>
    </row>
    <row r="421" spans="1:23" ht="12.75" x14ac:dyDescent="0.2">
      <c r="A421" s="74" t="str">
        <f t="shared" si="12"/>
        <v>711.09b</v>
      </c>
      <c r="B421" s="28" t="s">
        <v>1663</v>
      </c>
      <c r="C421" s="79">
        <v>711</v>
      </c>
      <c r="D421" s="79" t="s">
        <v>67</v>
      </c>
      <c r="E421" s="79"/>
      <c r="F421" s="79" t="s">
        <v>1300</v>
      </c>
      <c r="G421" s="28" t="s">
        <v>1301</v>
      </c>
      <c r="H421" s="79">
        <v>9</v>
      </c>
      <c r="I421" s="79"/>
      <c r="J421" s="79">
        <v>8.5</v>
      </c>
      <c r="K421" s="79">
        <v>5</v>
      </c>
      <c r="L421" s="833" t="s">
        <v>90</v>
      </c>
      <c r="M421" s="35"/>
      <c r="N421" s="36"/>
      <c r="O421" s="36"/>
      <c r="P421" s="35"/>
      <c r="Q421" s="36"/>
      <c r="R421" s="36"/>
      <c r="S421" s="834"/>
      <c r="T421" s="834"/>
      <c r="U421" s="823" t="s">
        <v>1299</v>
      </c>
      <c r="V421" s="77">
        <v>9</v>
      </c>
      <c r="W421" s="824" t="str">
        <f t="shared" si="13"/>
        <v>Konrektorat Sekundarstufe I</v>
      </c>
    </row>
    <row r="422" spans="1:23" ht="12.75" x14ac:dyDescent="0.2">
      <c r="A422" s="74" t="str">
        <f t="shared" si="12"/>
        <v>711.10</v>
      </c>
      <c r="B422" s="825" t="s">
        <v>189</v>
      </c>
      <c r="C422" s="76" t="s">
        <v>1654</v>
      </c>
      <c r="D422" s="76" t="s">
        <v>65</v>
      </c>
      <c r="E422" s="76"/>
      <c r="F422" s="76">
        <v>711</v>
      </c>
      <c r="G422" s="25" t="s">
        <v>63</v>
      </c>
      <c r="H422" s="76">
        <v>10</v>
      </c>
      <c r="I422" s="76">
        <v>549</v>
      </c>
      <c r="J422" s="76">
        <v>9.5</v>
      </c>
      <c r="K422" s="76">
        <v>5</v>
      </c>
      <c r="L422" s="846" t="s">
        <v>347</v>
      </c>
      <c r="M422" s="31"/>
      <c r="O422" s="32"/>
      <c r="P422" s="31"/>
      <c r="R422" s="32"/>
      <c r="S422" s="847"/>
      <c r="T422" s="847" t="s">
        <v>65</v>
      </c>
      <c r="U422" s="823" t="s">
        <v>1664</v>
      </c>
      <c r="V422" s="77">
        <v>10</v>
      </c>
      <c r="W422" s="824" t="str">
        <f t="shared" si="13"/>
        <v>Allgemeine Führungsfunktion 2</v>
      </c>
    </row>
    <row r="423" spans="1:23" ht="12.75" x14ac:dyDescent="0.2">
      <c r="A423" s="74" t="str">
        <f t="shared" ref="A423:A486" si="14">RIGHT(B423,LEN(B423)-1)</f>
        <v>711.10a</v>
      </c>
      <c r="B423" s="825" t="s">
        <v>1096</v>
      </c>
      <c r="C423" s="76" t="s">
        <v>1654</v>
      </c>
      <c r="D423" s="76" t="s">
        <v>67</v>
      </c>
      <c r="E423" s="76"/>
      <c r="F423" s="76" t="s">
        <v>1300</v>
      </c>
      <c r="G423" s="25" t="s">
        <v>1099</v>
      </c>
      <c r="H423" s="76">
        <v>10</v>
      </c>
      <c r="I423" s="76">
        <v>546</v>
      </c>
      <c r="J423" s="76">
        <v>8.5</v>
      </c>
      <c r="K423" s="76">
        <v>5</v>
      </c>
      <c r="L423" s="846" t="s">
        <v>90</v>
      </c>
      <c r="M423" s="31"/>
      <c r="O423" s="32"/>
      <c r="P423" s="31"/>
      <c r="R423" s="32"/>
      <c r="S423" s="847"/>
      <c r="T423" s="847" t="s">
        <v>65</v>
      </c>
      <c r="U423" s="823" t="s">
        <v>1665</v>
      </c>
      <c r="V423" s="77">
        <v>10</v>
      </c>
      <c r="W423" s="824" t="str">
        <f t="shared" si="13"/>
        <v>Schulleitung Primarstufe</v>
      </c>
    </row>
    <row r="424" spans="1:23" ht="12.75" x14ac:dyDescent="0.2">
      <c r="A424" s="74" t="str">
        <f t="shared" si="14"/>
        <v>711.10b</v>
      </c>
      <c r="B424" s="825" t="s">
        <v>1098</v>
      </c>
      <c r="C424" s="79" t="s">
        <v>1654</v>
      </c>
      <c r="D424" s="79" t="s">
        <v>66</v>
      </c>
      <c r="E424" s="79"/>
      <c r="F424" s="79" t="s">
        <v>1660</v>
      </c>
      <c r="G424" s="28" t="s">
        <v>1097</v>
      </c>
      <c r="H424" s="79">
        <v>10</v>
      </c>
      <c r="I424" s="79">
        <v>546</v>
      </c>
      <c r="J424" s="79">
        <v>8.5</v>
      </c>
      <c r="K424" s="79">
        <v>5</v>
      </c>
      <c r="L424" s="833" t="s">
        <v>90</v>
      </c>
      <c r="M424" s="35"/>
      <c r="N424" s="36"/>
      <c r="O424" s="36"/>
      <c r="P424" s="35"/>
      <c r="Q424" s="36"/>
      <c r="R424" s="36"/>
      <c r="S424" s="834"/>
      <c r="T424" s="834" t="s">
        <v>65</v>
      </c>
      <c r="U424" s="823" t="s">
        <v>1666</v>
      </c>
      <c r="V424" s="77">
        <v>10</v>
      </c>
      <c r="W424" s="824" t="str">
        <f t="shared" si="13"/>
        <v>Konrektorat Primarstufe</v>
      </c>
    </row>
    <row r="425" spans="1:23" ht="12.75" x14ac:dyDescent="0.2">
      <c r="A425" s="74" t="str">
        <f t="shared" si="14"/>
        <v>711.11</v>
      </c>
      <c r="B425" s="25" t="s">
        <v>190</v>
      </c>
      <c r="C425" s="76" t="s">
        <v>1654</v>
      </c>
      <c r="D425" s="76" t="s">
        <v>65</v>
      </c>
      <c r="E425" s="76"/>
      <c r="F425" s="76">
        <v>711</v>
      </c>
      <c r="G425" s="25" t="s">
        <v>63</v>
      </c>
      <c r="H425" s="76">
        <v>11</v>
      </c>
      <c r="I425" s="76"/>
      <c r="J425" s="76">
        <v>8</v>
      </c>
      <c r="K425" s="76">
        <v>7</v>
      </c>
      <c r="L425" s="846" t="s">
        <v>352</v>
      </c>
      <c r="M425" s="31"/>
      <c r="N425" s="32">
        <v>9.5</v>
      </c>
      <c r="O425" s="32">
        <v>3</v>
      </c>
      <c r="P425" s="31"/>
      <c r="R425" s="32"/>
      <c r="S425" s="847" t="s">
        <v>347</v>
      </c>
      <c r="T425" s="847" t="s">
        <v>65</v>
      </c>
      <c r="U425" s="823" t="s">
        <v>1667</v>
      </c>
      <c r="V425" s="77">
        <v>11</v>
      </c>
      <c r="W425" s="824" t="str">
        <f t="shared" si="13"/>
        <v>Allgemeine Führungsfunktion 2</v>
      </c>
    </row>
    <row r="426" spans="1:23" ht="12.75" x14ac:dyDescent="0.2">
      <c r="A426" s="74" t="str">
        <f t="shared" si="14"/>
        <v>711.12</v>
      </c>
      <c r="B426" s="825" t="s">
        <v>191</v>
      </c>
      <c r="C426" s="79" t="s">
        <v>1654</v>
      </c>
      <c r="D426" s="79" t="s">
        <v>65</v>
      </c>
      <c r="E426" s="79"/>
      <c r="F426" s="79">
        <v>711</v>
      </c>
      <c r="G426" s="28" t="s">
        <v>63</v>
      </c>
      <c r="H426" s="79">
        <v>12</v>
      </c>
      <c r="I426" s="79">
        <v>489.9</v>
      </c>
      <c r="J426" s="79">
        <v>8</v>
      </c>
      <c r="K426" s="79">
        <v>5</v>
      </c>
      <c r="L426" s="833" t="s">
        <v>352</v>
      </c>
      <c r="M426" s="35"/>
      <c r="N426" s="36"/>
      <c r="O426" s="36"/>
      <c r="P426" s="35"/>
      <c r="Q426" s="36"/>
      <c r="R426" s="36"/>
      <c r="S426" s="834" t="s">
        <v>65</v>
      </c>
      <c r="T426" s="834" t="s">
        <v>65</v>
      </c>
      <c r="U426" s="823" t="s">
        <v>1668</v>
      </c>
      <c r="V426" s="77">
        <v>12</v>
      </c>
      <c r="W426" s="824" t="str">
        <f t="shared" si="13"/>
        <v>Allgemeine Führungsfunktion 2</v>
      </c>
    </row>
    <row r="427" spans="1:23" s="77" customFormat="1" ht="12.75" x14ac:dyDescent="0.2">
      <c r="A427" s="74" t="str">
        <f t="shared" si="14"/>
        <v>712.01</v>
      </c>
      <c r="B427" s="28" t="s">
        <v>309</v>
      </c>
      <c r="C427" s="79" t="s">
        <v>1669</v>
      </c>
      <c r="D427" s="79" t="s">
        <v>65</v>
      </c>
      <c r="E427" s="79"/>
      <c r="F427" s="79">
        <v>712</v>
      </c>
      <c r="G427" s="28" t="s">
        <v>64</v>
      </c>
      <c r="H427" s="79">
        <v>1</v>
      </c>
      <c r="I427" s="79"/>
      <c r="J427" s="79">
        <v>9.5</v>
      </c>
      <c r="K427" s="79">
        <v>16</v>
      </c>
      <c r="L427" s="833" t="s">
        <v>347</v>
      </c>
      <c r="M427" s="35"/>
      <c r="N427" s="36"/>
      <c r="O427" s="36"/>
      <c r="P427" s="35"/>
      <c r="Q427" s="36"/>
      <c r="R427" s="36"/>
      <c r="S427" s="834"/>
      <c r="T427" s="834"/>
      <c r="U427" s="823" t="s">
        <v>1670</v>
      </c>
      <c r="V427" s="77">
        <v>1</v>
      </c>
      <c r="W427" s="824" t="str">
        <f t="shared" si="13"/>
        <v>Allgemeine Führungsfunktion 1</v>
      </c>
    </row>
    <row r="428" spans="1:23" ht="12.75" x14ac:dyDescent="0.2">
      <c r="A428" s="74" t="str">
        <f t="shared" si="14"/>
        <v>712.02</v>
      </c>
      <c r="B428" s="28" t="s">
        <v>311</v>
      </c>
      <c r="C428" s="79" t="s">
        <v>1669</v>
      </c>
      <c r="D428" s="79" t="s">
        <v>65</v>
      </c>
      <c r="E428" s="79"/>
      <c r="F428" s="79">
        <v>712</v>
      </c>
      <c r="G428" s="28" t="s">
        <v>64</v>
      </c>
      <c r="H428" s="79">
        <v>2</v>
      </c>
      <c r="I428" s="79">
        <v>735.5</v>
      </c>
      <c r="J428" s="79">
        <v>9.5</v>
      </c>
      <c r="K428" s="79">
        <v>15</v>
      </c>
      <c r="L428" s="833" t="s">
        <v>347</v>
      </c>
      <c r="M428" s="35"/>
      <c r="N428" s="36"/>
      <c r="O428" s="36"/>
      <c r="P428" s="35"/>
      <c r="Q428" s="36"/>
      <c r="R428" s="36"/>
      <c r="S428" s="834"/>
      <c r="T428" s="834"/>
      <c r="U428" s="823" t="s">
        <v>1671</v>
      </c>
      <c r="V428" s="77">
        <v>2</v>
      </c>
      <c r="W428" s="824" t="str">
        <f t="shared" si="13"/>
        <v>Allgemeine Führungsfunktion 1</v>
      </c>
    </row>
    <row r="429" spans="1:23" ht="12.75" x14ac:dyDescent="0.2">
      <c r="A429" s="74" t="str">
        <f t="shared" si="14"/>
        <v>712.03</v>
      </c>
      <c r="B429" s="825" t="s">
        <v>313</v>
      </c>
      <c r="C429" s="79" t="s">
        <v>1669</v>
      </c>
      <c r="D429" s="79" t="s">
        <v>65</v>
      </c>
      <c r="E429" s="79"/>
      <c r="F429" s="79">
        <v>712</v>
      </c>
      <c r="G429" s="28" t="s">
        <v>64</v>
      </c>
      <c r="H429" s="79">
        <v>3</v>
      </c>
      <c r="I429" s="79">
        <v>724.2</v>
      </c>
      <c r="J429" s="79">
        <v>9.5</v>
      </c>
      <c r="K429" s="79">
        <v>12</v>
      </c>
      <c r="L429" s="833" t="s">
        <v>347</v>
      </c>
      <c r="M429" s="35"/>
      <c r="N429" s="36"/>
      <c r="O429" s="36"/>
      <c r="P429" s="35"/>
      <c r="Q429" s="36"/>
      <c r="R429" s="36"/>
      <c r="S429" s="834" t="s">
        <v>65</v>
      </c>
      <c r="T429" s="834" t="s">
        <v>65</v>
      </c>
      <c r="U429" s="823" t="s">
        <v>1672</v>
      </c>
      <c r="V429" s="77">
        <v>3</v>
      </c>
      <c r="W429" s="824" t="str">
        <f t="shared" si="13"/>
        <v>Allgemeine Führungsfunktion 1</v>
      </c>
    </row>
    <row r="430" spans="1:23" ht="12.75" x14ac:dyDescent="0.2">
      <c r="A430" s="74" t="str">
        <f t="shared" si="14"/>
        <v>712.04</v>
      </c>
      <c r="B430" s="28" t="s">
        <v>315</v>
      </c>
      <c r="C430" s="79" t="s">
        <v>1669</v>
      </c>
      <c r="D430" s="79" t="s">
        <v>65</v>
      </c>
      <c r="E430" s="79"/>
      <c r="F430" s="79">
        <v>712</v>
      </c>
      <c r="G430" s="28" t="s">
        <v>64</v>
      </c>
      <c r="H430" s="79">
        <v>4</v>
      </c>
      <c r="I430" s="79"/>
      <c r="J430" s="79">
        <v>9.5</v>
      </c>
      <c r="K430" s="79">
        <v>11</v>
      </c>
      <c r="L430" s="833" t="s">
        <v>347</v>
      </c>
      <c r="M430" s="35"/>
      <c r="N430" s="36"/>
      <c r="O430" s="36"/>
      <c r="P430" s="35"/>
      <c r="Q430" s="36"/>
      <c r="R430" s="36"/>
      <c r="S430" s="834" t="s">
        <v>65</v>
      </c>
      <c r="T430" s="834" t="s">
        <v>65</v>
      </c>
      <c r="U430" s="823" t="s">
        <v>1673</v>
      </c>
      <c r="V430" s="77">
        <v>4</v>
      </c>
      <c r="W430" s="824" t="str">
        <f t="shared" si="13"/>
        <v>Allgemeine Führungsfunktion 1</v>
      </c>
    </row>
    <row r="431" spans="1:23" ht="12.75" x14ac:dyDescent="0.2">
      <c r="A431" s="74" t="str">
        <f t="shared" si="14"/>
        <v>712.05</v>
      </c>
      <c r="B431" s="825" t="s">
        <v>317</v>
      </c>
      <c r="C431" s="79" t="s">
        <v>1669</v>
      </c>
      <c r="D431" s="79" t="s">
        <v>65</v>
      </c>
      <c r="E431" s="79"/>
      <c r="F431" s="79">
        <v>712</v>
      </c>
      <c r="G431" s="28" t="s">
        <v>64</v>
      </c>
      <c r="H431" s="79">
        <v>5</v>
      </c>
      <c r="I431" s="79">
        <v>668.5</v>
      </c>
      <c r="J431" s="79">
        <v>9.5</v>
      </c>
      <c r="K431" s="79">
        <v>10</v>
      </c>
      <c r="L431" s="833" t="s">
        <v>347</v>
      </c>
      <c r="M431" s="35"/>
      <c r="N431" s="36"/>
      <c r="O431" s="36"/>
      <c r="P431" s="35"/>
      <c r="Q431" s="36"/>
      <c r="R431" s="36"/>
      <c r="S431" s="834" t="s">
        <v>65</v>
      </c>
      <c r="T431" s="834" t="s">
        <v>65</v>
      </c>
      <c r="U431" s="823" t="s">
        <v>1674</v>
      </c>
      <c r="V431" s="77">
        <v>5</v>
      </c>
      <c r="W431" s="824" t="str">
        <f t="shared" si="13"/>
        <v>Allgemeine Führungsfunktion 1</v>
      </c>
    </row>
    <row r="432" spans="1:23" ht="12.75" x14ac:dyDescent="0.2">
      <c r="A432" s="74" t="str">
        <f t="shared" si="14"/>
        <v>712.06</v>
      </c>
      <c r="B432" s="28" t="s">
        <v>320</v>
      </c>
      <c r="C432" s="79" t="s">
        <v>1669</v>
      </c>
      <c r="D432" s="79" t="s">
        <v>65</v>
      </c>
      <c r="E432" s="79"/>
      <c r="F432" s="79">
        <v>712</v>
      </c>
      <c r="G432" s="28" t="s">
        <v>64</v>
      </c>
      <c r="H432" s="79">
        <v>6</v>
      </c>
      <c r="I432" s="79">
        <v>612.1</v>
      </c>
      <c r="J432" s="79">
        <v>9.5</v>
      </c>
      <c r="K432" s="79">
        <v>9</v>
      </c>
      <c r="L432" s="833" t="s">
        <v>347</v>
      </c>
      <c r="M432" s="35"/>
      <c r="N432" s="36"/>
      <c r="O432" s="36"/>
      <c r="P432" s="35"/>
      <c r="Q432" s="36"/>
      <c r="R432" s="36"/>
      <c r="S432" s="834" t="s">
        <v>65</v>
      </c>
      <c r="T432" s="834" t="s">
        <v>65</v>
      </c>
      <c r="U432" s="823" t="s">
        <v>1675</v>
      </c>
      <c r="V432" s="77">
        <v>6</v>
      </c>
      <c r="W432" s="824" t="str">
        <f t="shared" si="13"/>
        <v>Allgemeine Führungsfunktion 1</v>
      </c>
    </row>
    <row r="433" spans="1:23" ht="12.75" x14ac:dyDescent="0.2">
      <c r="A433" s="74" t="str">
        <f t="shared" si="14"/>
        <v>712.07</v>
      </c>
      <c r="B433" s="825" t="s">
        <v>325</v>
      </c>
      <c r="C433" s="79" t="s">
        <v>1669</v>
      </c>
      <c r="D433" s="79" t="s">
        <v>65</v>
      </c>
      <c r="E433" s="79"/>
      <c r="F433" s="79">
        <v>712</v>
      </c>
      <c r="G433" s="28" t="s">
        <v>64</v>
      </c>
      <c r="H433" s="79">
        <v>7</v>
      </c>
      <c r="I433" s="79">
        <v>612.1</v>
      </c>
      <c r="J433" s="79">
        <v>9.5</v>
      </c>
      <c r="K433" s="79">
        <v>8</v>
      </c>
      <c r="L433" s="833" t="s">
        <v>347</v>
      </c>
      <c r="M433" s="35"/>
      <c r="N433" s="36"/>
      <c r="O433" s="36"/>
      <c r="P433" s="35"/>
      <c r="Q433" s="36"/>
      <c r="R433" s="36"/>
      <c r="S433" s="834" t="s">
        <v>65</v>
      </c>
      <c r="T433" s="834" t="s">
        <v>65</v>
      </c>
      <c r="U433" s="823" t="s">
        <v>1676</v>
      </c>
      <c r="V433" s="77">
        <v>7</v>
      </c>
      <c r="W433" s="824" t="str">
        <f t="shared" si="13"/>
        <v>Allgemeine Führungsfunktion 1</v>
      </c>
    </row>
    <row r="434" spans="1:23" ht="12.75" x14ac:dyDescent="0.2">
      <c r="A434" s="74" t="str">
        <f t="shared" si="14"/>
        <v>901.DKiA</v>
      </c>
      <c r="B434" s="28" t="s">
        <v>1677</v>
      </c>
      <c r="C434" s="79">
        <v>901</v>
      </c>
      <c r="D434" s="79"/>
      <c r="E434" s="79"/>
      <c r="F434" s="79">
        <v>901</v>
      </c>
      <c r="G434" s="28" t="s">
        <v>1678</v>
      </c>
      <c r="H434" s="79">
        <v>20</v>
      </c>
      <c r="I434" s="79"/>
      <c r="J434" s="79"/>
      <c r="K434" s="79"/>
      <c r="L434" s="833"/>
      <c r="M434" s="35"/>
      <c r="N434" s="36"/>
      <c r="O434" s="36"/>
      <c r="P434" s="35"/>
      <c r="Q434" s="36"/>
      <c r="R434" s="36"/>
      <c r="S434" s="834"/>
      <c r="T434" s="834"/>
      <c r="U434" s="823" t="s">
        <v>1679</v>
      </c>
      <c r="V434" s="80">
        <v>20</v>
      </c>
      <c r="W434" s="824" t="str">
        <f t="shared" si="13"/>
        <v>Diätkoche und -köchinnen</v>
      </c>
    </row>
    <row r="435" spans="1:23" ht="12.75" x14ac:dyDescent="0.2">
      <c r="A435" s="74" t="str">
        <f t="shared" si="14"/>
        <v>901.EBA</v>
      </c>
      <c r="B435" s="28" t="s">
        <v>1680</v>
      </c>
      <c r="C435" s="79">
        <v>901</v>
      </c>
      <c r="D435" s="79"/>
      <c r="E435" s="79"/>
      <c r="F435" s="79">
        <v>901</v>
      </c>
      <c r="G435" s="28" t="s">
        <v>1681</v>
      </c>
      <c r="H435" s="79">
        <v>52</v>
      </c>
      <c r="I435" s="79"/>
      <c r="J435" s="79"/>
      <c r="K435" s="79"/>
      <c r="L435" s="833"/>
      <c r="M435" s="35"/>
      <c r="N435" s="36"/>
      <c r="O435" s="36"/>
      <c r="P435" s="35"/>
      <c r="Q435" s="36"/>
      <c r="R435" s="36"/>
      <c r="S435" s="834"/>
      <c r="T435" s="834"/>
      <c r="U435" s="823" t="s">
        <v>1682</v>
      </c>
      <c r="V435" s="80">
        <v>52</v>
      </c>
      <c r="W435" s="824" t="str">
        <f t="shared" si="13"/>
        <v>Attestausbildungen/-lehren EBA</v>
      </c>
    </row>
    <row r="436" spans="1:23" ht="12.75" x14ac:dyDescent="0.2">
      <c r="A436" s="74" t="str">
        <f t="shared" si="14"/>
        <v>901.EFZK</v>
      </c>
      <c r="B436" s="28" t="s">
        <v>1683</v>
      </c>
      <c r="C436" s="79">
        <v>901</v>
      </c>
      <c r="D436" s="79"/>
      <c r="E436" s="79"/>
      <c r="F436" s="79">
        <v>901</v>
      </c>
      <c r="G436" s="28" t="s">
        <v>1684</v>
      </c>
      <c r="H436" s="79">
        <v>50</v>
      </c>
      <c r="I436" s="79"/>
      <c r="J436" s="79"/>
      <c r="K436" s="79"/>
      <c r="L436" s="833"/>
      <c r="M436" s="35"/>
      <c r="N436" s="36"/>
      <c r="O436" s="36"/>
      <c r="P436" s="35"/>
      <c r="Q436" s="36"/>
      <c r="R436" s="36"/>
      <c r="S436" s="834"/>
      <c r="T436" s="834"/>
      <c r="U436" s="823" t="s">
        <v>1685</v>
      </c>
      <c r="V436" s="80">
        <v>50</v>
      </c>
      <c r="W436" s="824" t="str">
        <f t="shared" si="13"/>
        <v>Verk. Zusatzl. n. Erstausb. EFZ</v>
      </c>
    </row>
    <row r="437" spans="1:23" ht="12.75" x14ac:dyDescent="0.2">
      <c r="A437" s="74" t="str">
        <f t="shared" si="14"/>
        <v>901.EFZN</v>
      </c>
      <c r="B437" s="28" t="s">
        <v>1686</v>
      </c>
      <c r="C437" s="79">
        <v>901</v>
      </c>
      <c r="D437" s="79"/>
      <c r="E437" s="79"/>
      <c r="F437" s="79">
        <v>901</v>
      </c>
      <c r="G437" s="28" t="s">
        <v>1687</v>
      </c>
      <c r="H437" s="79">
        <v>50</v>
      </c>
      <c r="I437" s="79"/>
      <c r="J437" s="79"/>
      <c r="K437" s="79"/>
      <c r="L437" s="833"/>
      <c r="M437" s="35"/>
      <c r="N437" s="36"/>
      <c r="O437" s="36"/>
      <c r="P437" s="35"/>
      <c r="Q437" s="36"/>
      <c r="R437" s="36"/>
      <c r="S437" s="834"/>
      <c r="T437" s="834"/>
      <c r="U437" s="823" t="s">
        <v>1688</v>
      </c>
      <c r="V437" s="80">
        <v>50</v>
      </c>
      <c r="W437" s="824" t="str">
        <f t="shared" si="13"/>
        <v>Berufslehre EFZ</v>
      </c>
    </row>
    <row r="438" spans="1:23" ht="12.75" x14ac:dyDescent="0.2">
      <c r="A438" s="74" t="str">
        <f t="shared" si="14"/>
        <v>901.PA1J</v>
      </c>
      <c r="B438" s="28" t="s">
        <v>1689</v>
      </c>
      <c r="C438" s="79">
        <v>901</v>
      </c>
      <c r="D438" s="79"/>
      <c r="E438" s="79"/>
      <c r="F438" s="79">
        <v>901</v>
      </c>
      <c r="G438" s="28" t="s">
        <v>1690</v>
      </c>
      <c r="H438" s="79">
        <v>53</v>
      </c>
      <c r="I438" s="79"/>
      <c r="J438" s="79"/>
      <c r="K438" s="79"/>
      <c r="L438" s="833"/>
      <c r="M438" s="35"/>
      <c r="N438" s="36"/>
      <c r="O438" s="36"/>
      <c r="P438" s="35"/>
      <c r="Q438" s="36"/>
      <c r="R438" s="36"/>
      <c r="S438" s="834"/>
      <c r="T438" s="834"/>
      <c r="U438" s="823" t="s">
        <v>1691</v>
      </c>
      <c r="V438" s="80">
        <v>53</v>
      </c>
      <c r="W438" s="824" t="str">
        <f t="shared" si="13"/>
        <v>Pflegeassistent/in (nicht EBA, sondern 1-jährig)</v>
      </c>
    </row>
    <row r="439" spans="1:23" ht="12.75" x14ac:dyDescent="0.2">
      <c r="A439" s="74" t="str">
        <f t="shared" si="14"/>
        <v>901.PBV</v>
      </c>
      <c r="B439" s="28" t="s">
        <v>1692</v>
      </c>
      <c r="C439" s="79">
        <v>901</v>
      </c>
      <c r="D439" s="79"/>
      <c r="E439" s="79"/>
      <c r="F439" s="79">
        <v>901</v>
      </c>
      <c r="G439" s="28" t="s">
        <v>1693</v>
      </c>
      <c r="H439" s="79">
        <v>54</v>
      </c>
      <c r="I439" s="79"/>
      <c r="J439" s="79"/>
      <c r="K439" s="79"/>
      <c r="L439" s="833"/>
      <c r="M439" s="35"/>
      <c r="N439" s="36"/>
      <c r="O439" s="36"/>
      <c r="P439" s="35"/>
      <c r="Q439" s="36"/>
      <c r="R439" s="36"/>
      <c r="S439" s="834"/>
      <c r="T439" s="834"/>
      <c r="U439" s="823" t="s">
        <v>1694</v>
      </c>
      <c r="V439" s="80">
        <v>54</v>
      </c>
      <c r="W439" s="824" t="str">
        <f t="shared" si="13"/>
        <v>Praxiseinsatz Berufsvorb. (&lt;1J)</v>
      </c>
    </row>
    <row r="440" spans="1:23" ht="12.75" x14ac:dyDescent="0.2">
      <c r="A440" s="74" t="str">
        <f t="shared" si="14"/>
        <v>901.VRL</v>
      </c>
      <c r="B440" s="28" t="s">
        <v>1695</v>
      </c>
      <c r="C440" s="79">
        <v>901</v>
      </c>
      <c r="D440" s="79"/>
      <c r="E440" s="79"/>
      <c r="F440" s="79">
        <v>901</v>
      </c>
      <c r="G440" s="28" t="s">
        <v>1696</v>
      </c>
      <c r="H440" s="79">
        <v>50</v>
      </c>
      <c r="I440" s="79"/>
      <c r="J440" s="79"/>
      <c r="K440" s="79"/>
      <c r="L440" s="833"/>
      <c r="M440" s="35"/>
      <c r="N440" s="36"/>
      <c r="O440" s="36"/>
      <c r="P440" s="35"/>
      <c r="Q440" s="36"/>
      <c r="R440" s="36"/>
      <c r="S440" s="834"/>
      <c r="T440" s="834"/>
      <c r="U440" s="823" t="s">
        <v>1697</v>
      </c>
      <c r="V440" s="80">
        <v>50</v>
      </c>
      <c r="W440" s="824" t="str">
        <f t="shared" si="13"/>
        <v>Vorlehren</v>
      </c>
    </row>
    <row r="441" spans="1:23" ht="12.75" x14ac:dyDescent="0.2">
      <c r="A441" s="74" t="str">
        <f t="shared" si="14"/>
        <v>901.VWB</v>
      </c>
      <c r="B441" s="28" t="s">
        <v>1698</v>
      </c>
      <c r="C441" s="79">
        <v>901</v>
      </c>
      <c r="D441" s="79"/>
      <c r="E441" s="79"/>
      <c r="F441" s="79">
        <v>901</v>
      </c>
      <c r="G441" s="28" t="s">
        <v>1699</v>
      </c>
      <c r="H441" s="79">
        <v>51</v>
      </c>
      <c r="I441" s="79"/>
      <c r="J441" s="79"/>
      <c r="K441" s="79"/>
      <c r="L441" s="833"/>
      <c r="M441" s="35"/>
      <c r="N441" s="36"/>
      <c r="O441" s="36"/>
      <c r="P441" s="35"/>
      <c r="Q441" s="36"/>
      <c r="R441" s="36"/>
      <c r="S441" s="834"/>
      <c r="T441" s="834"/>
      <c r="U441" s="823" t="s">
        <v>1700</v>
      </c>
      <c r="V441" s="80">
        <v>51</v>
      </c>
      <c r="W441" s="824" t="str">
        <f t="shared" si="13"/>
        <v>Verkehrswegbauer/in</v>
      </c>
    </row>
    <row r="442" spans="1:23" ht="12.75" x14ac:dyDescent="0.2">
      <c r="A442" s="74" t="str">
        <f t="shared" si="14"/>
        <v>910.FSch</v>
      </c>
      <c r="B442" s="28" t="s">
        <v>1701</v>
      </c>
      <c r="C442" s="79">
        <v>910</v>
      </c>
      <c r="D442" s="79"/>
      <c r="E442" s="79"/>
      <c r="F442" s="79">
        <v>910</v>
      </c>
      <c r="G442" s="28" t="s">
        <v>1702</v>
      </c>
      <c r="H442" s="79">
        <v>60</v>
      </c>
      <c r="I442" s="79"/>
      <c r="J442" s="79"/>
      <c r="K442" s="79"/>
      <c r="L442" s="833"/>
      <c r="M442" s="35"/>
      <c r="N442" s="36"/>
      <c r="O442" s="36"/>
      <c r="P442" s="35"/>
      <c r="Q442" s="36"/>
      <c r="R442" s="36"/>
      <c r="S442" s="834"/>
      <c r="T442" s="834"/>
      <c r="U442" s="823" t="s">
        <v>1703</v>
      </c>
      <c r="V442" s="80">
        <v>60</v>
      </c>
      <c r="W442" s="824" t="str">
        <f t="shared" si="13"/>
        <v>Ferienbesch. von Schüler/-innen</v>
      </c>
    </row>
    <row r="443" spans="1:23" ht="12.75" x14ac:dyDescent="0.2">
      <c r="A443" s="74" t="str">
        <f t="shared" si="14"/>
        <v>910.FStT</v>
      </c>
      <c r="B443" s="28" t="s">
        <v>1704</v>
      </c>
      <c r="C443" s="79">
        <v>910</v>
      </c>
      <c r="D443" s="79"/>
      <c r="E443" s="79"/>
      <c r="F443" s="79">
        <v>910</v>
      </c>
      <c r="G443" s="28" t="s">
        <v>1705</v>
      </c>
      <c r="H443" s="79">
        <v>60</v>
      </c>
      <c r="I443" s="79"/>
      <c r="J443" s="79"/>
      <c r="K443" s="79"/>
      <c r="L443" s="833"/>
      <c r="M443" s="35"/>
      <c r="N443" s="36"/>
      <c r="O443" s="36"/>
      <c r="P443" s="35"/>
      <c r="Q443" s="36"/>
      <c r="R443" s="36"/>
      <c r="S443" s="834"/>
      <c r="T443" s="834"/>
      <c r="U443" s="823" t="s">
        <v>1706</v>
      </c>
      <c r="V443" s="80">
        <v>60</v>
      </c>
      <c r="W443" s="824" t="str">
        <f t="shared" si="13"/>
        <v>Ferienbesch. von Studierenden</v>
      </c>
    </row>
    <row r="444" spans="1:23" ht="12.75" x14ac:dyDescent="0.2">
      <c r="A444" s="74" t="str">
        <f t="shared" si="14"/>
        <v>911.PKurz</v>
      </c>
      <c r="B444" s="28" t="s">
        <v>1707</v>
      </c>
      <c r="C444" s="79">
        <v>911</v>
      </c>
      <c r="D444" s="79"/>
      <c r="E444" s="79"/>
      <c r="F444" s="79">
        <v>911</v>
      </c>
      <c r="G444" s="28" t="s">
        <v>1708</v>
      </c>
      <c r="H444" s="79">
        <v>61</v>
      </c>
      <c r="I444" s="79"/>
      <c r="J444" s="79"/>
      <c r="K444" s="79"/>
      <c r="L444" s="833"/>
      <c r="M444" s="35"/>
      <c r="N444" s="36"/>
      <c r="O444" s="36"/>
      <c r="P444" s="35"/>
      <c r="Q444" s="36"/>
      <c r="R444" s="36"/>
      <c r="S444" s="834"/>
      <c r="T444" s="834"/>
      <c r="U444" s="823" t="s">
        <v>1709</v>
      </c>
      <c r="V444" s="80">
        <v>61</v>
      </c>
      <c r="W444" s="824" t="str">
        <f t="shared" si="13"/>
        <v>SekII_Praktikum_bis_3Monate</v>
      </c>
    </row>
    <row r="445" spans="1:23" ht="12.75" x14ac:dyDescent="0.2">
      <c r="A445" s="74" t="str">
        <f t="shared" si="14"/>
        <v>911.PVK</v>
      </c>
      <c r="B445" s="28" t="s">
        <v>1710</v>
      </c>
      <c r="C445" s="79">
        <v>911</v>
      </c>
      <c r="D445" s="79"/>
      <c r="E445" s="79"/>
      <c r="F445" s="79">
        <v>911</v>
      </c>
      <c r="G445" s="28" t="s">
        <v>1711</v>
      </c>
      <c r="H445" s="79">
        <v>62</v>
      </c>
      <c r="I445" s="79"/>
      <c r="J445" s="79"/>
      <c r="K445" s="79"/>
      <c r="L445" s="833"/>
      <c r="M445" s="35"/>
      <c r="N445" s="36"/>
      <c r="O445" s="36"/>
      <c r="P445" s="35"/>
      <c r="Q445" s="36"/>
      <c r="R445" s="36"/>
      <c r="S445" s="834"/>
      <c r="T445" s="834"/>
      <c r="U445" s="823" t="s">
        <v>1712</v>
      </c>
      <c r="V445" s="80">
        <v>62</v>
      </c>
      <c r="W445" s="824" t="str">
        <f t="shared" si="13"/>
        <v>SekII_Praktikum_mehr_als_12Wo</v>
      </c>
    </row>
    <row r="446" spans="1:23" ht="12.75" x14ac:dyDescent="0.2">
      <c r="A446" s="74" t="str">
        <f t="shared" si="14"/>
        <v>912.PnAusb</v>
      </c>
      <c r="B446" s="28" t="s">
        <v>1713</v>
      </c>
      <c r="C446" s="79">
        <v>912</v>
      </c>
      <c r="D446" s="79"/>
      <c r="E446" s="79"/>
      <c r="F446" s="79">
        <v>912</v>
      </c>
      <c r="G446" s="28" t="s">
        <v>1714</v>
      </c>
      <c r="H446" s="79">
        <v>71</v>
      </c>
      <c r="I446" s="79"/>
      <c r="J446" s="79"/>
      <c r="K446" s="79"/>
      <c r="L446" s="833"/>
      <c r="M446" s="35"/>
      <c r="N446" s="36"/>
      <c r="O446" s="36"/>
      <c r="P446" s="35"/>
      <c r="Q446" s="36"/>
      <c r="R446" s="36"/>
      <c r="S446" s="834"/>
      <c r="T446" s="834"/>
      <c r="U446" s="823" t="s">
        <v>1715</v>
      </c>
      <c r="V446" s="80">
        <v>71</v>
      </c>
      <c r="W446" s="824" t="str">
        <f t="shared" si="13"/>
        <v>Berufsprakt. nach Ausbildung</v>
      </c>
    </row>
    <row r="447" spans="1:23" ht="12.75" x14ac:dyDescent="0.2">
      <c r="A447" s="74" t="str">
        <f t="shared" si="14"/>
        <v>912.PvATt</v>
      </c>
      <c r="B447" s="28" t="s">
        <v>1716</v>
      </c>
      <c r="C447" s="79">
        <v>912</v>
      </c>
      <c r="D447" s="79"/>
      <c r="E447" s="79"/>
      <c r="F447" s="79">
        <v>912</v>
      </c>
      <c r="G447" s="28" t="s">
        <v>1717</v>
      </c>
      <c r="H447" s="79">
        <v>63</v>
      </c>
      <c r="I447" s="79"/>
      <c r="J447" s="79"/>
      <c r="K447" s="79"/>
      <c r="L447" s="833"/>
      <c r="M447" s="35"/>
      <c r="N447" s="36"/>
      <c r="O447" s="36"/>
      <c r="P447" s="35"/>
      <c r="Q447" s="36"/>
      <c r="R447" s="36"/>
      <c r="S447" s="834"/>
      <c r="T447" s="834"/>
      <c r="U447" s="823" t="s">
        <v>1718</v>
      </c>
      <c r="V447" s="80">
        <v>63</v>
      </c>
      <c r="W447" s="824" t="str">
        <f t="shared" si="13"/>
        <v>Prakt.v. Ausb. Teritärbereich</v>
      </c>
    </row>
    <row r="448" spans="1:23" ht="12.75" x14ac:dyDescent="0.2">
      <c r="A448" s="74" t="str">
        <f t="shared" si="14"/>
        <v>913.Apr</v>
      </c>
      <c r="B448" s="28" t="s">
        <v>1719</v>
      </c>
      <c r="C448" s="79">
        <v>913</v>
      </c>
      <c r="D448" s="79"/>
      <c r="E448" s="79"/>
      <c r="F448" s="79">
        <v>913</v>
      </c>
      <c r="G448" s="28" t="s">
        <v>1720</v>
      </c>
      <c r="H448" s="79"/>
      <c r="I448" s="79"/>
      <c r="J448" s="79"/>
      <c r="K448" s="79"/>
      <c r="L448" s="833"/>
      <c r="M448" s="35"/>
      <c r="N448" s="36"/>
      <c r="O448" s="36"/>
      <c r="P448" s="35"/>
      <c r="Q448" s="36"/>
      <c r="R448" s="36"/>
      <c r="S448" s="834"/>
      <c r="T448" s="834"/>
      <c r="U448" s="823" t="s">
        <v>1721</v>
      </c>
      <c r="V448" s="80"/>
      <c r="W448" s="824" t="str">
        <f t="shared" si="13"/>
        <v>Anerkennungspraktika</v>
      </c>
    </row>
    <row r="449" spans="1:23" ht="12.75" x14ac:dyDescent="0.2">
      <c r="A449" s="74" t="str">
        <f t="shared" si="14"/>
        <v>913.Doc</v>
      </c>
      <c r="B449" s="28" t="s">
        <v>1722</v>
      </c>
      <c r="C449" s="79">
        <v>913</v>
      </c>
      <c r="D449" s="79"/>
      <c r="E449" s="79"/>
      <c r="F449" s="79">
        <v>913</v>
      </c>
      <c r="G449" s="28" t="s">
        <v>1723</v>
      </c>
      <c r="H449" s="79" t="s">
        <v>1724</v>
      </c>
      <c r="I449" s="79"/>
      <c r="J449" s="79"/>
      <c r="K449" s="79"/>
      <c r="L449" s="833"/>
      <c r="M449" s="35"/>
      <c r="N449" s="36"/>
      <c r="O449" s="36"/>
      <c r="P449" s="35"/>
      <c r="Q449" s="36"/>
      <c r="R449" s="36"/>
      <c r="S449" s="834"/>
      <c r="T449" s="834"/>
      <c r="U449" s="823" t="s">
        <v>1725</v>
      </c>
      <c r="V449" s="80" t="s">
        <v>1724</v>
      </c>
      <c r="W449" s="824" t="str">
        <f t="shared" si="13"/>
        <v>Doktor. Dissertation</v>
      </c>
    </row>
    <row r="450" spans="1:23" ht="12.75" x14ac:dyDescent="0.2">
      <c r="A450" s="74" t="str">
        <f t="shared" si="14"/>
        <v>913.GesHF</v>
      </c>
      <c r="B450" s="28" t="s">
        <v>1726</v>
      </c>
      <c r="C450" s="79">
        <v>913</v>
      </c>
      <c r="D450" s="79"/>
      <c r="E450" s="79"/>
      <c r="F450" s="79">
        <v>913</v>
      </c>
      <c r="G450" s="28" t="s">
        <v>1727</v>
      </c>
      <c r="H450" s="79">
        <v>67</v>
      </c>
      <c r="I450" s="79"/>
      <c r="J450" s="79"/>
      <c r="K450" s="79"/>
      <c r="L450" s="833"/>
      <c r="M450" s="35"/>
      <c r="N450" s="36"/>
      <c r="O450" s="36"/>
      <c r="P450" s="35"/>
      <c r="Q450" s="36"/>
      <c r="R450" s="36"/>
      <c r="S450" s="834"/>
      <c r="T450" s="834"/>
      <c r="U450" s="823" t="s">
        <v>1728</v>
      </c>
      <c r="V450" s="80">
        <v>67</v>
      </c>
      <c r="W450" s="824" t="str">
        <f t="shared" ref="W450:W513" si="15">G450</f>
        <v>Ausbildungsberufe im Bereich Gesundheit HF</v>
      </c>
    </row>
    <row r="451" spans="1:23" ht="12.75" x14ac:dyDescent="0.2">
      <c r="A451" s="74" t="str">
        <f t="shared" si="14"/>
        <v>913.PädHF</v>
      </c>
      <c r="B451" s="28" t="s">
        <v>1729</v>
      </c>
      <c r="C451" s="79">
        <v>913</v>
      </c>
      <c r="D451" s="79"/>
      <c r="E451" s="79"/>
      <c r="F451" s="79">
        <v>913</v>
      </c>
      <c r="G451" s="28" t="s">
        <v>1730</v>
      </c>
      <c r="H451" s="79">
        <v>68</v>
      </c>
      <c r="I451" s="79"/>
      <c r="J451" s="79"/>
      <c r="K451" s="79"/>
      <c r="L451" s="833"/>
      <c r="M451" s="35"/>
      <c r="N451" s="36"/>
      <c r="O451" s="36"/>
      <c r="P451" s="35"/>
      <c r="Q451" s="36"/>
      <c r="R451" s="36"/>
      <c r="S451" s="834"/>
      <c r="T451" s="834"/>
      <c r="U451" s="823" t="s">
        <v>1731</v>
      </c>
      <c r="V451" s="80">
        <v>68</v>
      </c>
      <c r="W451" s="824" t="str">
        <f t="shared" si="15"/>
        <v>HF Pädagogische Richtung</v>
      </c>
    </row>
    <row r="452" spans="1:23" ht="12.75" x14ac:dyDescent="0.2">
      <c r="A452" s="74" t="str">
        <f t="shared" si="14"/>
        <v>913.PädHS</v>
      </c>
      <c r="B452" s="28" t="s">
        <v>1732</v>
      </c>
      <c r="C452" s="79">
        <v>913</v>
      </c>
      <c r="D452" s="79"/>
      <c r="E452" s="79"/>
      <c r="F452" s="79">
        <v>913</v>
      </c>
      <c r="G452" s="28" t="s">
        <v>1733</v>
      </c>
      <c r="H452" s="79">
        <v>99</v>
      </c>
      <c r="I452" s="79"/>
      <c r="J452" s="79"/>
      <c r="K452" s="79"/>
      <c r="L452" s="833"/>
      <c r="M452" s="35"/>
      <c r="N452" s="36"/>
      <c r="O452" s="36"/>
      <c r="P452" s="35"/>
      <c r="Q452" s="36"/>
      <c r="R452" s="36"/>
      <c r="S452" s="834"/>
      <c r="T452" s="834"/>
      <c r="U452" s="823" t="s">
        <v>1734</v>
      </c>
      <c r="V452" s="80" t="s">
        <v>1724</v>
      </c>
      <c r="W452" s="824" t="str">
        <f t="shared" si="15"/>
        <v>Ausbildungspraktika der Päd. Hochschule (FHNW)</v>
      </c>
    </row>
    <row r="453" spans="1:23" ht="12.75" x14ac:dyDescent="0.2">
      <c r="A453" s="74" t="str">
        <f t="shared" si="14"/>
        <v>913.PädZ</v>
      </c>
      <c r="B453" s="28" t="s">
        <v>1735</v>
      </c>
      <c r="C453" s="79">
        <v>913</v>
      </c>
      <c r="D453" s="79"/>
      <c r="E453" s="79"/>
      <c r="F453" s="79">
        <v>913</v>
      </c>
      <c r="G453" s="28" t="s">
        <v>1736</v>
      </c>
      <c r="H453" s="79" t="s">
        <v>1737</v>
      </c>
      <c r="I453" s="79"/>
      <c r="J453" s="79"/>
      <c r="K453" s="79"/>
      <c r="L453" s="833"/>
      <c r="M453" s="35"/>
      <c r="N453" s="36"/>
      <c r="O453" s="36"/>
      <c r="P453" s="35"/>
      <c r="Q453" s="36"/>
      <c r="R453" s="36"/>
      <c r="S453" s="834"/>
      <c r="T453" s="834"/>
      <c r="U453" s="823" t="s">
        <v>1738</v>
      </c>
      <c r="V453" s="80" t="s">
        <v>1737</v>
      </c>
      <c r="W453" s="824" t="str">
        <f t="shared" si="15"/>
        <v>Zusatzausbildung z. dipl Berufsfachschullehrer/in</v>
      </c>
    </row>
    <row r="454" spans="1:23" ht="12.75" x14ac:dyDescent="0.2">
      <c r="A454" s="74" t="str">
        <f t="shared" si="14"/>
        <v>913.PDoc</v>
      </c>
      <c r="B454" s="28" t="s">
        <v>1739</v>
      </c>
      <c r="C454" s="79">
        <v>913</v>
      </c>
      <c r="D454" s="79"/>
      <c r="E454" s="79"/>
      <c r="F454" s="79">
        <v>913</v>
      </c>
      <c r="G454" s="28" t="s">
        <v>1740</v>
      </c>
      <c r="H454" s="79" t="s">
        <v>1724</v>
      </c>
      <c r="I454" s="79"/>
      <c r="J454" s="79"/>
      <c r="K454" s="79"/>
      <c r="L454" s="833"/>
      <c r="M454" s="35"/>
      <c r="N454" s="36"/>
      <c r="O454" s="36"/>
      <c r="P454" s="35"/>
      <c r="Q454" s="36"/>
      <c r="R454" s="36"/>
      <c r="S454" s="834"/>
      <c r="T454" s="834"/>
      <c r="U454" s="823" t="s">
        <v>1955</v>
      </c>
      <c r="V454" s="80" t="s">
        <v>1724</v>
      </c>
      <c r="W454" s="824" t="str">
        <f t="shared" si="15"/>
        <v>Doktor. Habilitation</v>
      </c>
    </row>
    <row r="455" spans="1:23" ht="12.75" x14ac:dyDescent="0.2">
      <c r="A455" s="74" t="str">
        <f t="shared" si="14"/>
        <v>913.PwBac</v>
      </c>
      <c r="B455" s="28" t="s">
        <v>1741</v>
      </c>
      <c r="C455" s="79">
        <v>913</v>
      </c>
      <c r="D455" s="79"/>
      <c r="E455" s="79"/>
      <c r="F455" s="79">
        <v>913</v>
      </c>
      <c r="G455" s="28" t="s">
        <v>1742</v>
      </c>
      <c r="H455" s="79">
        <v>64</v>
      </c>
      <c r="I455" s="79"/>
      <c r="J455" s="79"/>
      <c r="K455" s="79"/>
      <c r="L455" s="833"/>
      <c r="M455" s="35"/>
      <c r="N455" s="36"/>
      <c r="O455" s="36"/>
      <c r="P455" s="35"/>
      <c r="Q455" s="36"/>
      <c r="R455" s="36"/>
      <c r="S455" s="834"/>
      <c r="T455" s="834"/>
      <c r="U455" s="823" t="s">
        <v>1743</v>
      </c>
      <c r="V455" s="80">
        <v>64</v>
      </c>
      <c r="W455" s="824" t="str">
        <f t="shared" si="15"/>
        <v>Praktikum während Bachelor</v>
      </c>
    </row>
    <row r="456" spans="1:23" ht="12.75" x14ac:dyDescent="0.2">
      <c r="A456" s="74" t="str">
        <f t="shared" si="14"/>
        <v>913.PwMas</v>
      </c>
      <c r="B456" s="28" t="s">
        <v>1744</v>
      </c>
      <c r="C456" s="79">
        <v>913</v>
      </c>
      <c r="D456" s="79"/>
      <c r="E456" s="79"/>
      <c r="F456" s="79">
        <v>913</v>
      </c>
      <c r="G456" s="28" t="s">
        <v>1745</v>
      </c>
      <c r="H456" s="79">
        <v>64</v>
      </c>
      <c r="I456" s="79"/>
      <c r="J456" s="79"/>
      <c r="K456" s="79"/>
      <c r="L456" s="833"/>
      <c r="M456" s="35"/>
      <c r="N456" s="36"/>
      <c r="O456" s="36"/>
      <c r="P456" s="35"/>
      <c r="Q456" s="36"/>
      <c r="R456" s="36"/>
      <c r="S456" s="834"/>
      <c r="T456" s="834"/>
      <c r="U456" s="823" t="s">
        <v>1746</v>
      </c>
      <c r="V456" s="80">
        <v>64</v>
      </c>
      <c r="W456" s="824" t="str">
        <f t="shared" si="15"/>
        <v>Praktikum während Masterstudium</v>
      </c>
    </row>
    <row r="457" spans="1:23" ht="12.75" x14ac:dyDescent="0.2">
      <c r="A457" s="74" t="str">
        <f t="shared" si="14"/>
        <v>914.PnBac</v>
      </c>
      <c r="B457" s="28" t="s">
        <v>1747</v>
      </c>
      <c r="C457" s="79">
        <v>914</v>
      </c>
      <c r="D457" s="79"/>
      <c r="E457" s="79"/>
      <c r="F457" s="79">
        <v>914</v>
      </c>
      <c r="G457" s="28" t="s">
        <v>1748</v>
      </c>
      <c r="H457" s="79">
        <v>66</v>
      </c>
      <c r="I457" s="79"/>
      <c r="J457" s="79"/>
      <c r="K457" s="79"/>
      <c r="L457" s="833"/>
      <c r="M457" s="35"/>
      <c r="N457" s="36"/>
      <c r="O457" s="36"/>
      <c r="P457" s="35"/>
      <c r="Q457" s="36"/>
      <c r="R457" s="36"/>
      <c r="S457" s="834"/>
      <c r="T457" s="834"/>
      <c r="U457" s="823" t="s">
        <v>1749</v>
      </c>
      <c r="V457" s="80">
        <v>66</v>
      </c>
      <c r="W457" s="824" t="str">
        <f t="shared" si="15"/>
        <v>Praktika nach Bachelorstudium</v>
      </c>
    </row>
    <row r="458" spans="1:23" ht="12.75" x14ac:dyDescent="0.2">
      <c r="A458" s="74" t="str">
        <f t="shared" si="14"/>
        <v>914.PnMas</v>
      </c>
      <c r="B458" s="28" t="s">
        <v>1750</v>
      </c>
      <c r="C458" s="79">
        <v>914</v>
      </c>
      <c r="D458" s="79"/>
      <c r="E458" s="79"/>
      <c r="F458" s="79">
        <v>914</v>
      </c>
      <c r="G458" s="28" t="s">
        <v>1751</v>
      </c>
      <c r="H458" s="79">
        <v>65</v>
      </c>
      <c r="I458" s="79"/>
      <c r="J458" s="79"/>
      <c r="K458" s="79"/>
      <c r="L458" s="833"/>
      <c r="M458" s="35"/>
      <c r="N458" s="36"/>
      <c r="O458" s="36"/>
      <c r="P458" s="35"/>
      <c r="Q458" s="36"/>
      <c r="R458" s="36"/>
      <c r="S458" s="834"/>
      <c r="T458" s="834"/>
      <c r="U458" s="823" t="s">
        <v>1752</v>
      </c>
      <c r="V458" s="80">
        <v>65</v>
      </c>
      <c r="W458" s="824" t="str">
        <f t="shared" si="15"/>
        <v>Praktika nach Masterstudium</v>
      </c>
    </row>
    <row r="459" spans="1:23" ht="12.75" x14ac:dyDescent="0.2">
      <c r="A459" s="74" t="str">
        <f t="shared" si="14"/>
        <v>914.PsPG</v>
      </c>
      <c r="B459" s="28" t="s">
        <v>1753</v>
      </c>
      <c r="C459" s="79">
        <v>914</v>
      </c>
      <c r="D459" s="79"/>
      <c r="E459" s="79"/>
      <c r="F459" s="79">
        <v>914</v>
      </c>
      <c r="G459" s="28" t="s">
        <v>1754</v>
      </c>
      <c r="H459" s="79">
        <v>70</v>
      </c>
      <c r="I459" s="79"/>
      <c r="J459" s="79"/>
      <c r="K459" s="79"/>
      <c r="L459" s="833"/>
      <c r="M459" s="35"/>
      <c r="N459" s="36"/>
      <c r="O459" s="36"/>
      <c r="P459" s="35"/>
      <c r="Q459" s="36"/>
      <c r="R459" s="36"/>
      <c r="S459" s="834"/>
      <c r="T459" s="834"/>
      <c r="U459" s="823" t="s">
        <v>1755</v>
      </c>
      <c r="V459" s="80">
        <v>70</v>
      </c>
      <c r="W459" s="824" t="str">
        <f t="shared" si="15"/>
        <v>Psychologie Anerkennungspraktikum</v>
      </c>
    </row>
    <row r="460" spans="1:23" ht="12.75" x14ac:dyDescent="0.2">
      <c r="A460" s="74" t="str">
        <f t="shared" si="14"/>
        <v>920.00</v>
      </c>
      <c r="B460" s="28" t="s">
        <v>1756</v>
      </c>
      <c r="C460" s="79">
        <v>920</v>
      </c>
      <c r="D460" s="79"/>
      <c r="E460" s="79"/>
      <c r="F460" s="79">
        <v>920</v>
      </c>
      <c r="G460" s="28" t="s">
        <v>1757</v>
      </c>
      <c r="H460" s="79"/>
      <c r="I460" s="79"/>
      <c r="J460" s="79"/>
      <c r="K460" s="79"/>
      <c r="L460" s="833"/>
      <c r="M460" s="35"/>
      <c r="N460" s="36"/>
      <c r="O460" s="36"/>
      <c r="P460" s="35"/>
      <c r="Q460" s="36"/>
      <c r="R460" s="36"/>
      <c r="S460" s="834"/>
      <c r="T460" s="834"/>
      <c r="U460" s="823" t="s">
        <v>1758</v>
      </c>
      <c r="V460" s="77">
        <v>0</v>
      </c>
      <c r="W460" s="824" t="str">
        <f t="shared" si="15"/>
        <v>Dolmetscher</v>
      </c>
    </row>
    <row r="461" spans="1:23" ht="12.75" x14ac:dyDescent="0.2">
      <c r="A461" s="74" t="str">
        <f t="shared" si="14"/>
        <v>930.00</v>
      </c>
      <c r="B461" s="28" t="s">
        <v>1759</v>
      </c>
      <c r="C461" s="79">
        <v>930</v>
      </c>
      <c r="D461" s="79"/>
      <c r="E461" s="79"/>
      <c r="F461" s="79">
        <v>930</v>
      </c>
      <c r="G461" s="28" t="s">
        <v>1760</v>
      </c>
      <c r="H461" s="79"/>
      <c r="I461" s="79"/>
      <c r="J461" s="79"/>
      <c r="K461" s="79"/>
      <c r="L461" s="833"/>
      <c r="M461" s="35"/>
      <c r="N461" s="36"/>
      <c r="O461" s="36"/>
      <c r="P461" s="35"/>
      <c r="Q461" s="36"/>
      <c r="R461" s="36"/>
      <c r="S461" s="834"/>
      <c r="T461" s="834"/>
      <c r="U461" s="823" t="s">
        <v>1761</v>
      </c>
      <c r="V461" s="77">
        <v>0</v>
      </c>
      <c r="W461" s="824" t="str">
        <f t="shared" si="15"/>
        <v>Kursleiter</v>
      </c>
    </row>
    <row r="462" spans="1:23" ht="12.75" x14ac:dyDescent="0.2">
      <c r="A462" s="74" t="str">
        <f t="shared" si="14"/>
        <v>930.01</v>
      </c>
      <c r="B462" s="28" t="s">
        <v>1762</v>
      </c>
      <c r="C462" s="79">
        <v>930</v>
      </c>
      <c r="D462" s="79"/>
      <c r="E462" s="79"/>
      <c r="F462" s="79">
        <v>930</v>
      </c>
      <c r="G462" s="28" t="s">
        <v>1763</v>
      </c>
      <c r="H462" s="79"/>
      <c r="I462" s="79"/>
      <c r="J462" s="79"/>
      <c r="K462" s="79"/>
      <c r="L462" s="833"/>
      <c r="M462" s="35"/>
      <c r="N462" s="36"/>
      <c r="O462" s="36"/>
      <c r="P462" s="35"/>
      <c r="Q462" s="36"/>
      <c r="R462" s="36"/>
      <c r="S462" s="834"/>
      <c r="T462" s="834"/>
      <c r="U462" s="823" t="s">
        <v>1764</v>
      </c>
      <c r="V462" s="77">
        <v>0</v>
      </c>
      <c r="W462" s="824" t="str">
        <f t="shared" si="15"/>
        <v>Experten</v>
      </c>
    </row>
    <row r="463" spans="1:23" ht="12.75" x14ac:dyDescent="0.2">
      <c r="A463" s="74" t="str">
        <f t="shared" si="14"/>
        <v>930.03</v>
      </c>
      <c r="B463" s="28" t="s">
        <v>1765</v>
      </c>
      <c r="C463" s="79">
        <v>930</v>
      </c>
      <c r="D463" s="79"/>
      <c r="E463" s="79"/>
      <c r="F463" s="79">
        <v>930</v>
      </c>
      <c r="G463" s="28" t="s">
        <v>1766</v>
      </c>
      <c r="H463" s="79"/>
      <c r="I463" s="79"/>
      <c r="J463" s="79"/>
      <c r="K463" s="79"/>
      <c r="L463" s="833"/>
      <c r="M463" s="35"/>
      <c r="N463" s="36"/>
      <c r="O463" s="36"/>
      <c r="P463" s="35"/>
      <c r="Q463" s="36"/>
      <c r="R463" s="36"/>
      <c r="S463" s="834"/>
      <c r="T463" s="834"/>
      <c r="U463" s="823" t="s">
        <v>1767</v>
      </c>
      <c r="V463" s="77">
        <v>0</v>
      </c>
      <c r="W463" s="824" t="str">
        <f t="shared" si="15"/>
        <v>Nebenämter</v>
      </c>
    </row>
    <row r="464" spans="1:23" ht="12.75" x14ac:dyDescent="0.2">
      <c r="A464" s="74" t="str">
        <f t="shared" si="14"/>
        <v>930.04</v>
      </c>
      <c r="B464" s="28" t="s">
        <v>1768</v>
      </c>
      <c r="C464" s="79">
        <v>930</v>
      </c>
      <c r="D464" s="79"/>
      <c r="E464" s="79"/>
      <c r="F464" s="79">
        <v>930</v>
      </c>
      <c r="G464" s="28" t="s">
        <v>1769</v>
      </c>
      <c r="H464" s="79"/>
      <c r="I464" s="79"/>
      <c r="J464" s="79"/>
      <c r="K464" s="79"/>
      <c r="L464" s="833"/>
      <c r="M464" s="35"/>
      <c r="N464" s="36"/>
      <c r="O464" s="36"/>
      <c r="P464" s="35"/>
      <c r="Q464" s="36"/>
      <c r="R464" s="36"/>
      <c r="S464" s="834"/>
      <c r="T464" s="834"/>
      <c r="U464" s="823" t="s">
        <v>1770</v>
      </c>
      <c r="V464" s="77">
        <v>0</v>
      </c>
      <c r="W464" s="824" t="str">
        <f t="shared" si="15"/>
        <v>Künstler</v>
      </c>
    </row>
    <row r="465" spans="1:23" ht="12.75" x14ac:dyDescent="0.2">
      <c r="A465" s="74" t="str">
        <f t="shared" si="14"/>
        <v>996.00</v>
      </c>
      <c r="B465" s="28" t="s">
        <v>1771</v>
      </c>
      <c r="C465" s="79">
        <v>996</v>
      </c>
      <c r="D465" s="79"/>
      <c r="E465" s="79"/>
      <c r="F465" s="79">
        <v>996</v>
      </c>
      <c r="G465" s="28" t="s">
        <v>1772</v>
      </c>
      <c r="H465" s="79"/>
      <c r="I465" s="79"/>
      <c r="J465" s="79"/>
      <c r="K465" s="79"/>
      <c r="L465" s="833"/>
      <c r="M465" s="35"/>
      <c r="N465" s="36"/>
      <c r="O465" s="36"/>
      <c r="P465" s="35"/>
      <c r="Q465" s="36"/>
      <c r="R465" s="36"/>
      <c r="S465" s="834"/>
      <c r="T465" s="834"/>
      <c r="U465" s="823" t="s">
        <v>1773</v>
      </c>
      <c r="V465" s="77">
        <v>0</v>
      </c>
      <c r="W465" s="824" t="str">
        <f t="shared" si="15"/>
        <v>Präsident/-in Kantonsgericht</v>
      </c>
    </row>
    <row r="466" spans="1:23" ht="12.75" x14ac:dyDescent="0.2">
      <c r="A466" s="74" t="str">
        <f t="shared" si="14"/>
        <v>996.01</v>
      </c>
      <c r="B466" s="28" t="s">
        <v>1774</v>
      </c>
      <c r="C466" s="79">
        <v>996</v>
      </c>
      <c r="D466" s="79"/>
      <c r="E466" s="79"/>
      <c r="F466" s="79">
        <v>996</v>
      </c>
      <c r="G466" s="28" t="s">
        <v>1775</v>
      </c>
      <c r="H466" s="79"/>
      <c r="I466" s="79"/>
      <c r="J466" s="79"/>
      <c r="K466" s="79"/>
      <c r="L466" s="833"/>
      <c r="M466" s="35"/>
      <c r="N466" s="36"/>
      <c r="O466" s="36"/>
      <c r="P466" s="35"/>
      <c r="Q466" s="36"/>
      <c r="R466" s="36"/>
      <c r="S466" s="834"/>
      <c r="T466" s="834"/>
      <c r="U466" s="823" t="s">
        <v>1776</v>
      </c>
      <c r="V466" s="77">
        <v>0</v>
      </c>
      <c r="W466" s="824" t="str">
        <f t="shared" si="15"/>
        <v>Vizepräsident/-in Kantonsgericht</v>
      </c>
    </row>
    <row r="467" spans="1:23" ht="12.75" x14ac:dyDescent="0.2">
      <c r="A467" s="74" t="str">
        <f t="shared" si="14"/>
        <v>996.02</v>
      </c>
      <c r="B467" s="28" t="s">
        <v>1777</v>
      </c>
      <c r="C467" s="79">
        <v>996</v>
      </c>
      <c r="D467" s="79"/>
      <c r="E467" s="79"/>
      <c r="F467" s="79">
        <v>996</v>
      </c>
      <c r="G467" s="28" t="s">
        <v>1778</v>
      </c>
      <c r="H467" s="79"/>
      <c r="I467" s="79"/>
      <c r="J467" s="79"/>
      <c r="K467" s="79"/>
      <c r="L467" s="833"/>
      <c r="M467" s="35"/>
      <c r="N467" s="36"/>
      <c r="O467" s="36"/>
      <c r="P467" s="35"/>
      <c r="Q467" s="36"/>
      <c r="R467" s="36"/>
      <c r="S467" s="834"/>
      <c r="T467" s="834"/>
      <c r="U467" s="823" t="s">
        <v>1779</v>
      </c>
      <c r="V467" s="77">
        <v>0</v>
      </c>
      <c r="W467" s="824" t="str">
        <f t="shared" si="15"/>
        <v>Abt.präsident/-in Kantonsgericht</v>
      </c>
    </row>
    <row r="468" spans="1:23" ht="12.75" x14ac:dyDescent="0.2">
      <c r="A468" s="74" t="str">
        <f t="shared" si="14"/>
        <v>996.03</v>
      </c>
      <c r="B468" s="28" t="s">
        <v>1780</v>
      </c>
      <c r="C468" s="79">
        <v>996</v>
      </c>
      <c r="D468" s="79"/>
      <c r="E468" s="79"/>
      <c r="F468" s="79">
        <v>996</v>
      </c>
      <c r="G468" s="28" t="s">
        <v>1781</v>
      </c>
      <c r="H468" s="79"/>
      <c r="I468" s="79"/>
      <c r="J468" s="79"/>
      <c r="K468" s="79"/>
      <c r="L468" s="833"/>
      <c r="M468" s="35"/>
      <c r="N468" s="36"/>
      <c r="O468" s="36"/>
      <c r="P468" s="35"/>
      <c r="Q468" s="36"/>
      <c r="R468" s="36"/>
      <c r="S468" s="834"/>
      <c r="T468" s="834"/>
      <c r="U468" s="823" t="s">
        <v>1782</v>
      </c>
      <c r="V468" s="77">
        <v>0</v>
      </c>
      <c r="W468" s="824" t="str">
        <f t="shared" si="15"/>
        <v>Abt.-Vizepräs. Kantonsgericht</v>
      </c>
    </row>
    <row r="469" spans="1:23" ht="12.75" x14ac:dyDescent="0.2">
      <c r="A469" s="74" t="str">
        <f t="shared" si="14"/>
        <v>996.04</v>
      </c>
      <c r="B469" s="28" t="s">
        <v>1783</v>
      </c>
      <c r="C469" s="79">
        <v>996</v>
      </c>
      <c r="D469" s="79"/>
      <c r="E469" s="79"/>
      <c r="F469" s="79">
        <v>996</v>
      </c>
      <c r="G469" s="28" t="s">
        <v>1784</v>
      </c>
      <c r="H469" s="79"/>
      <c r="I469" s="79"/>
      <c r="J469" s="79"/>
      <c r="K469" s="79"/>
      <c r="L469" s="833"/>
      <c r="M469" s="35"/>
      <c r="N469" s="36"/>
      <c r="O469" s="36"/>
      <c r="P469" s="35"/>
      <c r="Q469" s="36"/>
      <c r="R469" s="36"/>
      <c r="S469" s="834"/>
      <c r="T469" s="834"/>
      <c r="U469" s="823" t="s">
        <v>1785</v>
      </c>
      <c r="V469" s="77">
        <v>0</v>
      </c>
      <c r="W469" s="824" t="str">
        <f t="shared" si="15"/>
        <v>Kantonsrichter</v>
      </c>
    </row>
    <row r="470" spans="1:23" ht="12.75" x14ac:dyDescent="0.2">
      <c r="A470" s="74" t="str">
        <f t="shared" si="14"/>
        <v>996.05</v>
      </c>
      <c r="B470" s="28" t="s">
        <v>1786</v>
      </c>
      <c r="C470" s="79">
        <v>996</v>
      </c>
      <c r="D470" s="79"/>
      <c r="E470" s="79"/>
      <c r="F470" s="79">
        <v>996</v>
      </c>
      <c r="G470" s="28" t="s">
        <v>1787</v>
      </c>
      <c r="H470" s="79"/>
      <c r="I470" s="79"/>
      <c r="J470" s="79"/>
      <c r="K470" s="79"/>
      <c r="L470" s="833"/>
      <c r="M470" s="35"/>
      <c r="N470" s="36"/>
      <c r="O470" s="36"/>
      <c r="P470" s="35"/>
      <c r="Q470" s="36"/>
      <c r="R470" s="36"/>
      <c r="S470" s="834"/>
      <c r="T470" s="834"/>
      <c r="U470" s="823" t="s">
        <v>1788</v>
      </c>
      <c r="V470" s="77">
        <v>0</v>
      </c>
      <c r="W470" s="824" t="str">
        <f t="shared" si="15"/>
        <v>Friedensrichter</v>
      </c>
    </row>
    <row r="471" spans="1:23" ht="12.75" x14ac:dyDescent="0.2">
      <c r="A471" s="74" t="str">
        <f t="shared" si="14"/>
        <v>996.06</v>
      </c>
      <c r="B471" s="28" t="s">
        <v>1789</v>
      </c>
      <c r="C471" s="79">
        <v>996</v>
      </c>
      <c r="D471" s="79"/>
      <c r="E471" s="79"/>
      <c r="F471" s="79">
        <v>996</v>
      </c>
      <c r="G471" s="28" t="s">
        <v>1790</v>
      </c>
      <c r="H471" s="79"/>
      <c r="I471" s="79"/>
      <c r="J471" s="79"/>
      <c r="K471" s="79"/>
      <c r="L471" s="833"/>
      <c r="M471" s="35"/>
      <c r="N471" s="36"/>
      <c r="O471" s="36"/>
      <c r="P471" s="35"/>
      <c r="Q471" s="36"/>
      <c r="R471" s="36"/>
      <c r="S471" s="834"/>
      <c r="T471" s="834"/>
      <c r="U471" s="823" t="s">
        <v>1791</v>
      </c>
      <c r="V471" s="77">
        <v>0</v>
      </c>
      <c r="W471" s="824" t="str">
        <f t="shared" si="15"/>
        <v>Erstinstanzpräsidium</v>
      </c>
    </row>
    <row r="472" spans="1:23" ht="12.75" x14ac:dyDescent="0.2">
      <c r="A472" s="74" t="str">
        <f t="shared" si="14"/>
        <v>996.07</v>
      </c>
      <c r="B472" s="28" t="s">
        <v>1792</v>
      </c>
      <c r="C472" s="79">
        <v>996</v>
      </c>
      <c r="D472" s="79"/>
      <c r="E472" s="79"/>
      <c r="F472" s="79">
        <v>996</v>
      </c>
      <c r="G472" s="28" t="s">
        <v>1793</v>
      </c>
      <c r="H472" s="79"/>
      <c r="I472" s="79"/>
      <c r="J472" s="79"/>
      <c r="K472" s="79"/>
      <c r="L472" s="833"/>
      <c r="M472" s="35"/>
      <c r="N472" s="36"/>
      <c r="O472" s="36"/>
      <c r="P472" s="35"/>
      <c r="Q472" s="36"/>
      <c r="R472" s="36"/>
      <c r="S472" s="834"/>
      <c r="T472" s="834"/>
      <c r="U472" s="823" t="s">
        <v>1794</v>
      </c>
      <c r="V472" s="77">
        <v>0</v>
      </c>
      <c r="W472" s="824" t="str">
        <f t="shared" si="15"/>
        <v>Erstinstanzrichter</v>
      </c>
    </row>
    <row r="473" spans="1:23" ht="12.75" x14ac:dyDescent="0.2">
      <c r="A473" s="74" t="str">
        <f t="shared" si="14"/>
        <v>997.00</v>
      </c>
      <c r="B473" s="28" t="s">
        <v>1795</v>
      </c>
      <c r="C473" s="79">
        <v>997</v>
      </c>
      <c r="D473" s="79"/>
      <c r="E473" s="79"/>
      <c r="F473" s="79">
        <v>997</v>
      </c>
      <c r="G473" s="28" t="s">
        <v>1796</v>
      </c>
      <c r="H473" s="79"/>
      <c r="I473" s="79"/>
      <c r="J473" s="79"/>
      <c r="K473" s="79"/>
      <c r="L473" s="833"/>
      <c r="M473" s="35"/>
      <c r="N473" s="36"/>
      <c r="O473" s="36"/>
      <c r="P473" s="35"/>
      <c r="Q473" s="36"/>
      <c r="R473" s="36"/>
      <c r="S473" s="834"/>
      <c r="T473" s="834"/>
      <c r="U473" s="823" t="s">
        <v>1797</v>
      </c>
      <c r="V473" s="77">
        <v>0</v>
      </c>
      <c r="W473" s="824" t="str">
        <f t="shared" si="15"/>
        <v>Erster Staatsanwalt/-anwältin</v>
      </c>
    </row>
    <row r="474" spans="1:23" ht="12.75" x14ac:dyDescent="0.2">
      <c r="A474" s="74" t="str">
        <f t="shared" si="14"/>
        <v>997.01</v>
      </c>
      <c r="B474" s="28" t="s">
        <v>1798</v>
      </c>
      <c r="C474" s="79">
        <v>997</v>
      </c>
      <c r="D474" s="79"/>
      <c r="E474" s="79"/>
      <c r="F474" s="79">
        <v>997</v>
      </c>
      <c r="G474" s="28" t="s">
        <v>1799</v>
      </c>
      <c r="H474" s="79"/>
      <c r="I474" s="79"/>
      <c r="J474" s="79"/>
      <c r="K474" s="79"/>
      <c r="L474" s="833"/>
      <c r="M474" s="35"/>
      <c r="N474" s="36"/>
      <c r="O474" s="36"/>
      <c r="P474" s="35"/>
      <c r="Q474" s="36"/>
      <c r="R474" s="36"/>
      <c r="S474" s="834"/>
      <c r="T474" s="834"/>
      <c r="U474" s="823" t="s">
        <v>1800</v>
      </c>
      <c r="V474" s="77">
        <v>0</v>
      </c>
      <c r="W474" s="824" t="str">
        <f t="shared" si="15"/>
        <v>Leiternder Staatsanwalt I</v>
      </c>
    </row>
    <row r="475" spans="1:23" ht="12.75" x14ac:dyDescent="0.2">
      <c r="A475" s="74" t="str">
        <f t="shared" si="14"/>
        <v>998.00</v>
      </c>
      <c r="B475" s="28" t="s">
        <v>1801</v>
      </c>
      <c r="C475" s="79">
        <v>998</v>
      </c>
      <c r="D475" s="79"/>
      <c r="E475" s="79"/>
      <c r="F475" s="79">
        <v>998</v>
      </c>
      <c r="G475" s="28" t="s">
        <v>1802</v>
      </c>
      <c r="H475" s="79"/>
      <c r="I475" s="79"/>
      <c r="J475" s="79"/>
      <c r="K475" s="79"/>
      <c r="L475" s="833"/>
      <c r="M475" s="35"/>
      <c r="N475" s="36"/>
      <c r="O475" s="36"/>
      <c r="P475" s="35"/>
      <c r="Q475" s="36"/>
      <c r="R475" s="36"/>
      <c r="S475" s="834"/>
      <c r="T475" s="834"/>
      <c r="U475" s="823" t="s">
        <v>1803</v>
      </c>
      <c r="V475" s="77">
        <v>0</v>
      </c>
      <c r="W475" s="824" t="str">
        <f t="shared" si="15"/>
        <v>Landschreiber</v>
      </c>
    </row>
    <row r="476" spans="1:23" ht="12.75" x14ac:dyDescent="0.2">
      <c r="A476" s="74" t="str">
        <f t="shared" si="14"/>
        <v>998.01</v>
      </c>
      <c r="B476" s="28" t="s">
        <v>1804</v>
      </c>
      <c r="C476" s="79">
        <v>998</v>
      </c>
      <c r="D476" s="79"/>
      <c r="E476" s="79"/>
      <c r="F476" s="79">
        <v>998</v>
      </c>
      <c r="G476" s="28" t="s">
        <v>1805</v>
      </c>
      <c r="H476" s="79"/>
      <c r="I476" s="79"/>
      <c r="J476" s="79"/>
      <c r="K476" s="79"/>
      <c r="L476" s="833"/>
      <c r="M476" s="35"/>
      <c r="N476" s="36"/>
      <c r="O476" s="36"/>
      <c r="P476" s="35"/>
      <c r="Q476" s="36"/>
      <c r="R476" s="36"/>
      <c r="S476" s="834"/>
      <c r="T476" s="834"/>
      <c r="U476" s="823" t="s">
        <v>1806</v>
      </c>
      <c r="V476" s="77">
        <v>0</v>
      </c>
      <c r="W476" s="824" t="str">
        <f t="shared" si="15"/>
        <v>Vorsteher Finanzkontrolle</v>
      </c>
    </row>
    <row r="477" spans="1:23" ht="12.75" x14ac:dyDescent="0.2">
      <c r="A477" s="74" t="str">
        <f t="shared" si="14"/>
        <v>998.02</v>
      </c>
      <c r="B477" s="28" t="s">
        <v>1807</v>
      </c>
      <c r="C477" s="79">
        <v>998</v>
      </c>
      <c r="D477" s="79"/>
      <c r="E477" s="79"/>
      <c r="F477" s="79">
        <v>998</v>
      </c>
      <c r="G477" s="28" t="s">
        <v>1808</v>
      </c>
      <c r="H477" s="79"/>
      <c r="I477" s="79"/>
      <c r="J477" s="79"/>
      <c r="K477" s="79"/>
      <c r="L477" s="833"/>
      <c r="M477" s="35"/>
      <c r="N477" s="36"/>
      <c r="O477" s="36"/>
      <c r="P477" s="35"/>
      <c r="Q477" s="36"/>
      <c r="R477" s="36"/>
      <c r="S477" s="834"/>
      <c r="T477" s="834"/>
      <c r="U477" s="823" t="s">
        <v>1809</v>
      </c>
      <c r="V477" s="77">
        <v>0</v>
      </c>
      <c r="W477" s="824" t="str">
        <f t="shared" si="15"/>
        <v>Vorsteher Datenschutzstelle</v>
      </c>
    </row>
    <row r="478" spans="1:23" ht="12.75" x14ac:dyDescent="0.2">
      <c r="A478" s="74" t="str">
        <f t="shared" si="14"/>
        <v>998.03</v>
      </c>
      <c r="B478" s="28" t="s">
        <v>1810</v>
      </c>
      <c r="C478" s="79">
        <v>998</v>
      </c>
      <c r="D478" s="79"/>
      <c r="E478" s="79"/>
      <c r="F478" s="79">
        <v>998</v>
      </c>
      <c r="G478" s="28" t="s">
        <v>1811</v>
      </c>
      <c r="H478" s="79"/>
      <c r="I478" s="79"/>
      <c r="J478" s="79"/>
      <c r="K478" s="79"/>
      <c r="L478" s="833"/>
      <c r="M478" s="35"/>
      <c r="N478" s="36"/>
      <c r="O478" s="36"/>
      <c r="P478" s="35"/>
      <c r="Q478" s="36"/>
      <c r="R478" s="36"/>
      <c r="S478" s="834"/>
      <c r="T478" s="834"/>
      <c r="U478" s="823" t="s">
        <v>1812</v>
      </c>
      <c r="V478" s="77">
        <v>0</v>
      </c>
      <c r="W478" s="824" t="str">
        <f t="shared" si="15"/>
        <v>Ombudsman</v>
      </c>
    </row>
    <row r="479" spans="1:23" ht="12.75" x14ac:dyDescent="0.2">
      <c r="A479" s="74" t="str">
        <f t="shared" si="14"/>
        <v>999.00</v>
      </c>
      <c r="B479" s="28" t="s">
        <v>1813</v>
      </c>
      <c r="C479" s="79">
        <v>999</v>
      </c>
      <c r="D479" s="79"/>
      <c r="E479" s="79"/>
      <c r="F479" s="79">
        <v>999</v>
      </c>
      <c r="G479" s="28" t="s">
        <v>1814</v>
      </c>
      <c r="H479" s="79"/>
      <c r="I479" s="79"/>
      <c r="J479" s="79"/>
      <c r="K479" s="79"/>
      <c r="L479" s="833"/>
      <c r="M479" s="35"/>
      <c r="N479" s="36"/>
      <c r="O479" s="36"/>
      <c r="P479" s="35"/>
      <c r="Q479" s="36"/>
      <c r="R479" s="36"/>
      <c r="S479" s="834"/>
      <c r="T479" s="834"/>
      <c r="U479" s="823" t="s">
        <v>1815</v>
      </c>
      <c r="V479" s="77">
        <v>0</v>
      </c>
      <c r="W479" s="824" t="str">
        <f t="shared" si="15"/>
        <v>Regierungsrat</v>
      </c>
    </row>
    <row r="480" spans="1:23" ht="12.75" x14ac:dyDescent="0.2">
      <c r="A480" s="74" t="str">
        <f t="shared" si="14"/>
        <v>999.03</v>
      </c>
      <c r="B480" s="28" t="s">
        <v>1816</v>
      </c>
      <c r="C480" s="79">
        <v>999</v>
      </c>
      <c r="D480" s="79"/>
      <c r="E480" s="79"/>
      <c r="F480" s="79">
        <v>999</v>
      </c>
      <c r="G480" s="28" t="s">
        <v>1817</v>
      </c>
      <c r="H480" s="79"/>
      <c r="I480" s="79"/>
      <c r="J480" s="79"/>
      <c r="K480" s="79"/>
      <c r="L480" s="833"/>
      <c r="M480" s="35"/>
      <c r="N480" s="36"/>
      <c r="O480" s="36"/>
      <c r="P480" s="35"/>
      <c r="Q480" s="36"/>
      <c r="R480" s="36"/>
      <c r="S480" s="834"/>
      <c r="T480" s="834"/>
      <c r="U480" s="823" t="s">
        <v>1818</v>
      </c>
      <c r="V480" s="77">
        <v>0</v>
      </c>
      <c r="W480" s="824" t="str">
        <f t="shared" si="15"/>
        <v>Landrat</v>
      </c>
    </row>
    <row r="481" spans="1:23" ht="12.75" x14ac:dyDescent="0.2">
      <c r="A481" s="74" t="str">
        <f t="shared" si="14"/>
        <v>deaktiviert</v>
      </c>
      <c r="B481" s="825" t="s">
        <v>1956</v>
      </c>
      <c r="C481" s="72" t="s">
        <v>1262</v>
      </c>
      <c r="D481" s="72" t="s">
        <v>66</v>
      </c>
      <c r="E481" s="72" t="s">
        <v>1263</v>
      </c>
      <c r="F481" s="72" t="s">
        <v>46</v>
      </c>
      <c r="G481" s="71" t="s">
        <v>47</v>
      </c>
      <c r="H481" s="72">
        <v>13</v>
      </c>
      <c r="I481" s="72"/>
      <c r="J481" s="72">
        <v>7</v>
      </c>
      <c r="K481" s="72">
        <v>6</v>
      </c>
      <c r="L481" s="821" t="s">
        <v>673</v>
      </c>
      <c r="M481" s="73"/>
      <c r="N481" s="30"/>
      <c r="O481" s="30"/>
      <c r="P481" s="73"/>
      <c r="Q481" s="30"/>
      <c r="R481" s="30"/>
      <c r="S481" s="822" t="s">
        <v>65</v>
      </c>
      <c r="T481" s="822" t="s">
        <v>65</v>
      </c>
      <c r="U481" s="823" t="s">
        <v>1957</v>
      </c>
      <c r="V481" s="824">
        <v>13</v>
      </c>
      <c r="W481" s="824" t="str">
        <f t="shared" si="15"/>
        <v>Sachbearbeitung 2 (mbA)</v>
      </c>
    </row>
    <row r="482" spans="1:23" ht="12.75" x14ac:dyDescent="0.2">
      <c r="A482" s="74" t="str">
        <f t="shared" si="14"/>
        <v>deaktiviert</v>
      </c>
      <c r="B482" s="71" t="s">
        <v>1956</v>
      </c>
      <c r="C482" s="72" t="s">
        <v>1262</v>
      </c>
      <c r="D482" s="72" t="s">
        <v>67</v>
      </c>
      <c r="E482" s="72" t="s">
        <v>1264</v>
      </c>
      <c r="F482" s="72" t="s">
        <v>46</v>
      </c>
      <c r="G482" s="71" t="s">
        <v>47</v>
      </c>
      <c r="H482" s="72">
        <v>13</v>
      </c>
      <c r="I482" s="72"/>
      <c r="J482" s="72">
        <v>7</v>
      </c>
      <c r="K482" s="72">
        <v>6</v>
      </c>
      <c r="L482" s="821" t="s">
        <v>673</v>
      </c>
      <c r="M482" s="73"/>
      <c r="N482" s="30"/>
      <c r="O482" s="30"/>
      <c r="P482" s="73"/>
      <c r="Q482" s="30"/>
      <c r="R482" s="30"/>
      <c r="S482" s="822" t="s">
        <v>65</v>
      </c>
      <c r="T482" s="822" t="s">
        <v>65</v>
      </c>
      <c r="U482" s="823" t="s">
        <v>1957</v>
      </c>
      <c r="V482" s="824">
        <v>13</v>
      </c>
      <c r="W482" s="824" t="str">
        <f t="shared" si="15"/>
        <v>Sachbearbeitung 2 (mbA)</v>
      </c>
    </row>
    <row r="483" spans="1:23" ht="12.75" x14ac:dyDescent="0.2">
      <c r="A483" s="74" t="str">
        <f t="shared" si="14"/>
        <v>deaktiviert</v>
      </c>
      <c r="B483" s="71" t="s">
        <v>1956</v>
      </c>
      <c r="C483" s="72" t="s">
        <v>1262</v>
      </c>
      <c r="D483" s="72" t="s">
        <v>66</v>
      </c>
      <c r="E483" s="72" t="s">
        <v>1267</v>
      </c>
      <c r="F483" s="72" t="s">
        <v>46</v>
      </c>
      <c r="G483" s="71" t="s">
        <v>47</v>
      </c>
      <c r="H483" s="72">
        <v>15</v>
      </c>
      <c r="I483" s="72"/>
      <c r="J483" s="72">
        <v>7</v>
      </c>
      <c r="K483" s="72">
        <v>2</v>
      </c>
      <c r="L483" s="821" t="s">
        <v>673</v>
      </c>
      <c r="M483" s="73"/>
      <c r="N483" s="30">
        <v>5.5</v>
      </c>
      <c r="O483" s="30">
        <v>6</v>
      </c>
      <c r="P483" s="73"/>
      <c r="Q483" s="30"/>
      <c r="R483" s="30"/>
      <c r="S483" s="822" t="s">
        <v>671</v>
      </c>
      <c r="T483" s="822" t="s">
        <v>65</v>
      </c>
      <c r="U483" s="823" t="s">
        <v>1957</v>
      </c>
      <c r="V483" s="824">
        <v>15</v>
      </c>
      <c r="W483" s="824" t="str">
        <f t="shared" si="15"/>
        <v>Sachbearbeitung 2 (mbA)</v>
      </c>
    </row>
    <row r="484" spans="1:23" ht="12.75" x14ac:dyDescent="0.2">
      <c r="A484" s="74" t="str">
        <f t="shared" si="14"/>
        <v>deaktiviert</v>
      </c>
      <c r="B484" s="71" t="s">
        <v>1956</v>
      </c>
      <c r="C484" s="72" t="s">
        <v>1262</v>
      </c>
      <c r="D484" s="72" t="s">
        <v>67</v>
      </c>
      <c r="E484" s="72" t="s">
        <v>1268</v>
      </c>
      <c r="F484" s="72" t="s">
        <v>46</v>
      </c>
      <c r="G484" s="71" t="s">
        <v>47</v>
      </c>
      <c r="H484" s="72">
        <v>15</v>
      </c>
      <c r="I484" s="72"/>
      <c r="J484" s="72">
        <v>7</v>
      </c>
      <c r="K484" s="72">
        <v>2</v>
      </c>
      <c r="L484" s="821" t="s">
        <v>673</v>
      </c>
      <c r="M484" s="73"/>
      <c r="N484" s="30">
        <v>5.5</v>
      </c>
      <c r="O484" s="30">
        <v>6</v>
      </c>
      <c r="P484" s="73"/>
      <c r="Q484" s="30"/>
      <c r="R484" s="30"/>
      <c r="S484" s="822" t="s">
        <v>671</v>
      </c>
      <c r="T484" s="822" t="s">
        <v>65</v>
      </c>
      <c r="U484" s="823" t="s">
        <v>1957</v>
      </c>
      <c r="V484" s="824">
        <v>15</v>
      </c>
      <c r="W484" s="824" t="str">
        <f t="shared" si="15"/>
        <v>Sachbearbeitung 2 (mbA)</v>
      </c>
    </row>
    <row r="485" spans="1:23" ht="12.75" x14ac:dyDescent="0.2">
      <c r="A485" s="74" t="str">
        <f t="shared" si="14"/>
        <v>deaktiviert</v>
      </c>
      <c r="B485" s="71" t="s">
        <v>1956</v>
      </c>
      <c r="C485" s="72" t="s">
        <v>1262</v>
      </c>
      <c r="D485" s="72" t="s">
        <v>66</v>
      </c>
      <c r="E485" s="72" t="s">
        <v>1271</v>
      </c>
      <c r="F485" s="72" t="s">
        <v>46</v>
      </c>
      <c r="G485" s="71" t="s">
        <v>47</v>
      </c>
      <c r="H485" s="72">
        <v>17</v>
      </c>
      <c r="I485" s="72"/>
      <c r="J485" s="72">
        <v>5</v>
      </c>
      <c r="K485" s="72">
        <v>5</v>
      </c>
      <c r="L485" s="821" t="s">
        <v>87</v>
      </c>
      <c r="M485" s="73"/>
      <c r="N485" s="30">
        <v>5.5</v>
      </c>
      <c r="O485" s="30">
        <v>2</v>
      </c>
      <c r="P485" s="73"/>
      <c r="Q485" s="30"/>
      <c r="R485" s="30"/>
      <c r="S485" s="822" t="s">
        <v>671</v>
      </c>
      <c r="T485" s="822" t="s">
        <v>65</v>
      </c>
      <c r="U485" s="823" t="s">
        <v>1957</v>
      </c>
      <c r="V485" s="824">
        <v>17</v>
      </c>
      <c r="W485" s="824" t="str">
        <f t="shared" si="15"/>
        <v>Sachbearbeitung 2 (mbA)</v>
      </c>
    </row>
    <row r="486" spans="1:23" ht="12.75" x14ac:dyDescent="0.2">
      <c r="A486" s="74" t="str">
        <f t="shared" si="14"/>
        <v>deaktiviert</v>
      </c>
      <c r="B486" s="71" t="s">
        <v>1956</v>
      </c>
      <c r="C486" s="72" t="s">
        <v>1262</v>
      </c>
      <c r="D486" s="72" t="s">
        <v>67</v>
      </c>
      <c r="E486" s="72" t="s">
        <v>1272</v>
      </c>
      <c r="F486" s="72" t="s">
        <v>46</v>
      </c>
      <c r="G486" s="71" t="s">
        <v>47</v>
      </c>
      <c r="H486" s="72">
        <v>17</v>
      </c>
      <c r="I486" s="72"/>
      <c r="J486" s="72">
        <v>5</v>
      </c>
      <c r="K486" s="72">
        <v>5</v>
      </c>
      <c r="L486" s="821" t="s">
        <v>87</v>
      </c>
      <c r="M486" s="73"/>
      <c r="N486" s="30">
        <v>5.5</v>
      </c>
      <c r="O486" s="30">
        <v>2</v>
      </c>
      <c r="P486" s="73"/>
      <c r="Q486" s="30"/>
      <c r="R486" s="30"/>
      <c r="S486" s="822" t="s">
        <v>671</v>
      </c>
      <c r="T486" s="822" t="s">
        <v>65</v>
      </c>
      <c r="U486" s="823" t="s">
        <v>1957</v>
      </c>
      <c r="V486" s="824">
        <v>17</v>
      </c>
      <c r="W486" s="824" t="str">
        <f t="shared" si="15"/>
        <v>Sachbearbeitung 2 (mbA)</v>
      </c>
    </row>
    <row r="487" spans="1:23" ht="12.75" x14ac:dyDescent="0.2">
      <c r="A487" s="74" t="str">
        <f t="shared" ref="A487:A528" si="16">RIGHT(B487,LEN(B487)-1)</f>
        <v>deaktiviert</v>
      </c>
      <c r="B487" s="71" t="s">
        <v>1956</v>
      </c>
      <c r="C487" s="72" t="s">
        <v>1262</v>
      </c>
      <c r="D487" s="72" t="s">
        <v>66</v>
      </c>
      <c r="E487" s="72" t="s">
        <v>1275</v>
      </c>
      <c r="F487" s="72" t="s">
        <v>46</v>
      </c>
      <c r="G487" s="71" t="s">
        <v>47</v>
      </c>
      <c r="H487" s="72">
        <v>19</v>
      </c>
      <c r="I487" s="72"/>
      <c r="J487" s="72">
        <v>5</v>
      </c>
      <c r="K487" s="72">
        <v>1</v>
      </c>
      <c r="L487" s="821" t="s">
        <v>87</v>
      </c>
      <c r="M487" s="73"/>
      <c r="N487" s="30"/>
      <c r="O487" s="30"/>
      <c r="P487" s="73"/>
      <c r="Q487" s="30"/>
      <c r="R487" s="30"/>
      <c r="S487" s="822" t="s">
        <v>65</v>
      </c>
      <c r="T487" s="822" t="s">
        <v>65</v>
      </c>
      <c r="U487" s="823" t="s">
        <v>1957</v>
      </c>
      <c r="V487" s="824">
        <v>19</v>
      </c>
      <c r="W487" s="824" t="str">
        <f t="shared" si="15"/>
        <v>Sachbearbeitung 2 (mbA)</v>
      </c>
    </row>
    <row r="488" spans="1:23" ht="12.75" x14ac:dyDescent="0.2">
      <c r="A488" s="74" t="str">
        <f t="shared" si="16"/>
        <v>deaktiviert</v>
      </c>
      <c r="B488" s="71" t="s">
        <v>1956</v>
      </c>
      <c r="C488" s="72" t="s">
        <v>1262</v>
      </c>
      <c r="D488" s="72" t="s">
        <v>67</v>
      </c>
      <c r="E488" s="72" t="s">
        <v>1276</v>
      </c>
      <c r="F488" s="72" t="s">
        <v>46</v>
      </c>
      <c r="G488" s="71" t="s">
        <v>47</v>
      </c>
      <c r="H488" s="72">
        <v>19</v>
      </c>
      <c r="I488" s="72"/>
      <c r="J488" s="72">
        <v>5</v>
      </c>
      <c r="K488" s="72">
        <v>1</v>
      </c>
      <c r="L488" s="821" t="s">
        <v>87</v>
      </c>
      <c r="M488" s="73"/>
      <c r="N488" s="30"/>
      <c r="O488" s="30"/>
      <c r="P488" s="73"/>
      <c r="Q488" s="30"/>
      <c r="R488" s="30"/>
      <c r="S488" s="822" t="s">
        <v>65</v>
      </c>
      <c r="T488" s="822" t="s">
        <v>65</v>
      </c>
      <c r="U488" s="823" t="s">
        <v>1957</v>
      </c>
      <c r="V488" s="824">
        <v>19</v>
      </c>
      <c r="W488" s="824" t="str">
        <f t="shared" si="15"/>
        <v>Sachbearbeitung 2 (mbA)</v>
      </c>
    </row>
    <row r="489" spans="1:23" ht="12.75" x14ac:dyDescent="0.2">
      <c r="A489" s="74" t="str">
        <f t="shared" si="16"/>
        <v>deaktiviert</v>
      </c>
      <c r="B489" s="71" t="s">
        <v>1956</v>
      </c>
      <c r="C489" s="72" t="s">
        <v>1277</v>
      </c>
      <c r="D489" s="72" t="s">
        <v>66</v>
      </c>
      <c r="E489" s="72" t="s">
        <v>1278</v>
      </c>
      <c r="F489" s="72" t="s">
        <v>48</v>
      </c>
      <c r="G489" s="71" t="s">
        <v>49</v>
      </c>
      <c r="H489" s="72">
        <v>7</v>
      </c>
      <c r="I489" s="72"/>
      <c r="J489" s="72">
        <v>9.5</v>
      </c>
      <c r="K489" s="72">
        <v>6</v>
      </c>
      <c r="L489" s="821" t="s">
        <v>347</v>
      </c>
      <c r="M489" s="73"/>
      <c r="N489" s="30"/>
      <c r="O489" s="30"/>
      <c r="P489" s="73"/>
      <c r="Q489" s="30"/>
      <c r="R489" s="30"/>
      <c r="S489" s="822" t="s">
        <v>65</v>
      </c>
      <c r="T489" s="822" t="s">
        <v>65</v>
      </c>
      <c r="U489" s="823" t="s">
        <v>1957</v>
      </c>
      <c r="V489" s="824">
        <v>7</v>
      </c>
      <c r="W489" s="824" t="str">
        <f t="shared" si="15"/>
        <v>Sachbearbeitung 1 (wiss.)</v>
      </c>
    </row>
    <row r="490" spans="1:23" ht="12.75" x14ac:dyDescent="0.2">
      <c r="A490" s="74" t="str">
        <f t="shared" si="16"/>
        <v>deaktiviert</v>
      </c>
      <c r="B490" s="71" t="s">
        <v>1956</v>
      </c>
      <c r="C490" s="72" t="s">
        <v>1277</v>
      </c>
      <c r="D490" s="72" t="s">
        <v>67</v>
      </c>
      <c r="E490" s="72" t="s">
        <v>1279</v>
      </c>
      <c r="F490" s="72" t="s">
        <v>48</v>
      </c>
      <c r="G490" s="71" t="s">
        <v>49</v>
      </c>
      <c r="H490" s="72">
        <v>7</v>
      </c>
      <c r="I490" s="72"/>
      <c r="J490" s="72">
        <v>9.5</v>
      </c>
      <c r="K490" s="72">
        <v>6</v>
      </c>
      <c r="L490" s="821" t="s">
        <v>347</v>
      </c>
      <c r="M490" s="73"/>
      <c r="N490" s="30"/>
      <c r="O490" s="30"/>
      <c r="P490" s="73"/>
      <c r="Q490" s="30"/>
      <c r="R490" s="30"/>
      <c r="S490" s="822" t="s">
        <v>65</v>
      </c>
      <c r="T490" s="822" t="s">
        <v>65</v>
      </c>
      <c r="U490" s="823" t="s">
        <v>1957</v>
      </c>
      <c r="V490" s="824">
        <v>7</v>
      </c>
      <c r="W490" s="824" t="str">
        <f t="shared" si="15"/>
        <v>Sachbearbeitung 1 (wiss.)</v>
      </c>
    </row>
    <row r="491" spans="1:23" ht="12.75" x14ac:dyDescent="0.2">
      <c r="A491" s="74" t="str">
        <f t="shared" si="16"/>
        <v>deaktiviert</v>
      </c>
      <c r="B491" s="825" t="s">
        <v>1956</v>
      </c>
      <c r="C491" s="72" t="s">
        <v>1277</v>
      </c>
      <c r="D491" s="72" t="s">
        <v>67</v>
      </c>
      <c r="E491" s="72" t="s">
        <v>1281</v>
      </c>
      <c r="F491" s="72" t="s">
        <v>48</v>
      </c>
      <c r="G491" s="71" t="s">
        <v>49</v>
      </c>
      <c r="H491" s="72">
        <v>8</v>
      </c>
      <c r="I491" s="72">
        <v>593.4</v>
      </c>
      <c r="J491" s="72">
        <v>9.5</v>
      </c>
      <c r="K491" s="72">
        <v>4</v>
      </c>
      <c r="L491" s="821" t="s">
        <v>347</v>
      </c>
      <c r="M491" s="73"/>
      <c r="N491" s="30"/>
      <c r="O491" s="30"/>
      <c r="P491" s="73"/>
      <c r="Q491" s="30"/>
      <c r="R491" s="30"/>
      <c r="S491" s="822" t="s">
        <v>65</v>
      </c>
      <c r="T491" s="822" t="s">
        <v>65</v>
      </c>
      <c r="U491" s="823" t="s">
        <v>1957</v>
      </c>
      <c r="V491" s="824">
        <v>8</v>
      </c>
      <c r="W491" s="824" t="str">
        <f t="shared" si="15"/>
        <v>Sachbearbeitung 1 (wiss.)</v>
      </c>
    </row>
    <row r="492" spans="1:23" ht="12.75" x14ac:dyDescent="0.2">
      <c r="A492" s="74" t="str">
        <f t="shared" si="16"/>
        <v>deaktiviert</v>
      </c>
      <c r="B492" s="71" t="s">
        <v>1956</v>
      </c>
      <c r="C492" s="72" t="s">
        <v>1277</v>
      </c>
      <c r="D492" s="72" t="s">
        <v>66</v>
      </c>
      <c r="E492" s="72" t="s">
        <v>1283</v>
      </c>
      <c r="F492" s="72" t="s">
        <v>48</v>
      </c>
      <c r="G492" s="71" t="s">
        <v>49</v>
      </c>
      <c r="H492" s="72">
        <v>9</v>
      </c>
      <c r="I492" s="72"/>
      <c r="J492" s="72">
        <v>9.5</v>
      </c>
      <c r="K492" s="72">
        <v>3</v>
      </c>
      <c r="L492" s="821" t="s">
        <v>347</v>
      </c>
      <c r="M492" s="73"/>
      <c r="N492" s="30"/>
      <c r="O492" s="30"/>
      <c r="P492" s="73"/>
      <c r="Q492" s="30"/>
      <c r="R492" s="30"/>
      <c r="S492" s="822" t="s">
        <v>65</v>
      </c>
      <c r="T492" s="822" t="s">
        <v>65</v>
      </c>
      <c r="U492" s="823" t="s">
        <v>1957</v>
      </c>
      <c r="V492" s="824">
        <v>9</v>
      </c>
      <c r="W492" s="824" t="str">
        <f t="shared" si="15"/>
        <v>Sachbearbeitung 1 (wiss.)</v>
      </c>
    </row>
    <row r="493" spans="1:23" ht="12.75" x14ac:dyDescent="0.2">
      <c r="A493" s="74" t="str">
        <f t="shared" si="16"/>
        <v>deaktiviert</v>
      </c>
      <c r="B493" s="71" t="s">
        <v>1956</v>
      </c>
      <c r="C493" s="72" t="s">
        <v>1277</v>
      </c>
      <c r="D493" s="72" t="s">
        <v>67</v>
      </c>
      <c r="E493" s="72" t="s">
        <v>1284</v>
      </c>
      <c r="F493" s="72" t="s">
        <v>48</v>
      </c>
      <c r="G493" s="71" t="s">
        <v>49</v>
      </c>
      <c r="H493" s="72">
        <v>9</v>
      </c>
      <c r="I493" s="72"/>
      <c r="J493" s="72">
        <v>9.5</v>
      </c>
      <c r="K493" s="72">
        <v>3</v>
      </c>
      <c r="L493" s="821" t="s">
        <v>347</v>
      </c>
      <c r="M493" s="73"/>
      <c r="N493" s="30"/>
      <c r="O493" s="30"/>
      <c r="P493" s="73"/>
      <c r="Q493" s="30"/>
      <c r="R493" s="30"/>
      <c r="S493" s="822" t="s">
        <v>65</v>
      </c>
      <c r="T493" s="822" t="s">
        <v>65</v>
      </c>
      <c r="U493" s="823" t="s">
        <v>1957</v>
      </c>
      <c r="V493" s="824">
        <v>9</v>
      </c>
      <c r="W493" s="824" t="str">
        <f t="shared" si="15"/>
        <v>Sachbearbeitung 1 (wiss.)</v>
      </c>
    </row>
    <row r="494" spans="1:23" ht="12.75" x14ac:dyDescent="0.2">
      <c r="A494" s="74" t="str">
        <f t="shared" si="16"/>
        <v>deaktiviert</v>
      </c>
      <c r="B494" s="71" t="s">
        <v>1956</v>
      </c>
      <c r="C494" s="72" t="s">
        <v>1277</v>
      </c>
      <c r="D494" s="72" t="s">
        <v>66</v>
      </c>
      <c r="E494" s="72" t="s">
        <v>1289</v>
      </c>
      <c r="F494" s="72" t="s">
        <v>48</v>
      </c>
      <c r="G494" s="71" t="s">
        <v>49</v>
      </c>
      <c r="H494" s="72">
        <v>11</v>
      </c>
      <c r="I494" s="72"/>
      <c r="J494" s="72">
        <v>9.5</v>
      </c>
      <c r="K494" s="72">
        <v>1</v>
      </c>
      <c r="L494" s="821" t="s">
        <v>347</v>
      </c>
      <c r="M494" s="73"/>
      <c r="N494" s="30"/>
      <c r="O494" s="30"/>
      <c r="P494" s="73"/>
      <c r="Q494" s="30"/>
      <c r="R494" s="30"/>
      <c r="S494" s="822" t="s">
        <v>65</v>
      </c>
      <c r="T494" s="822" t="s">
        <v>65</v>
      </c>
      <c r="U494" s="823" t="s">
        <v>1957</v>
      </c>
      <c r="V494" s="824">
        <v>11</v>
      </c>
      <c r="W494" s="824" t="str">
        <f t="shared" si="15"/>
        <v>Sachbearbeitung 1 (wiss.)</v>
      </c>
    </row>
    <row r="495" spans="1:23" ht="12.75" x14ac:dyDescent="0.2">
      <c r="A495" s="74" t="str">
        <f t="shared" si="16"/>
        <v>deaktiviert</v>
      </c>
      <c r="B495" s="71" t="s">
        <v>1956</v>
      </c>
      <c r="C495" s="72" t="s">
        <v>1277</v>
      </c>
      <c r="D495" s="72" t="s">
        <v>67</v>
      </c>
      <c r="E495" s="72" t="s">
        <v>1290</v>
      </c>
      <c r="F495" s="72" t="s">
        <v>48</v>
      </c>
      <c r="G495" s="71" t="s">
        <v>49</v>
      </c>
      <c r="H495" s="72">
        <v>11</v>
      </c>
      <c r="I495" s="72"/>
      <c r="J495" s="72">
        <v>9.5</v>
      </c>
      <c r="K495" s="72">
        <v>1</v>
      </c>
      <c r="L495" s="821" t="s">
        <v>347</v>
      </c>
      <c r="M495" s="73"/>
      <c r="N495" s="30"/>
      <c r="O495" s="30"/>
      <c r="P495" s="73"/>
      <c r="Q495" s="30"/>
      <c r="R495" s="30"/>
      <c r="S495" s="822" t="s">
        <v>65</v>
      </c>
      <c r="T495" s="822" t="s">
        <v>65</v>
      </c>
      <c r="U495" s="823" t="s">
        <v>1957</v>
      </c>
      <c r="V495" s="824">
        <v>11</v>
      </c>
      <c r="W495" s="824" t="str">
        <f t="shared" si="15"/>
        <v>Sachbearbeitung 1 (wiss.)</v>
      </c>
    </row>
    <row r="496" spans="1:23" ht="12.75" x14ac:dyDescent="0.2">
      <c r="A496" s="74" t="str">
        <f t="shared" si="16"/>
        <v>deaktiviert</v>
      </c>
      <c r="B496" s="71" t="s">
        <v>1956</v>
      </c>
      <c r="C496" s="72" t="s">
        <v>1277</v>
      </c>
      <c r="D496" s="72" t="s">
        <v>66</v>
      </c>
      <c r="E496" s="72" t="s">
        <v>1295</v>
      </c>
      <c r="F496" s="72" t="s">
        <v>48</v>
      </c>
      <c r="G496" s="71" t="s">
        <v>49</v>
      </c>
      <c r="H496" s="72">
        <v>13</v>
      </c>
      <c r="I496" s="72"/>
      <c r="J496" s="72">
        <v>8</v>
      </c>
      <c r="K496" s="72">
        <v>4</v>
      </c>
      <c r="L496" s="821" t="s">
        <v>352</v>
      </c>
      <c r="M496" s="73"/>
      <c r="N496" s="30">
        <v>9.5</v>
      </c>
      <c r="O496" s="30">
        <v>0</v>
      </c>
      <c r="P496" s="73"/>
      <c r="Q496" s="30"/>
      <c r="R496" s="30"/>
      <c r="S496" s="822" t="s">
        <v>347</v>
      </c>
      <c r="T496" s="822" t="s">
        <v>65</v>
      </c>
      <c r="U496" s="823" t="s">
        <v>1957</v>
      </c>
      <c r="V496" s="824">
        <v>13</v>
      </c>
      <c r="W496" s="824" t="str">
        <f t="shared" si="15"/>
        <v>Sachbearbeitung 1 (wiss.)</v>
      </c>
    </row>
    <row r="497" spans="1:23" ht="12.75" x14ac:dyDescent="0.2">
      <c r="A497" s="74" t="str">
        <f t="shared" si="16"/>
        <v>deaktiviert</v>
      </c>
      <c r="B497" s="71" t="s">
        <v>1956</v>
      </c>
      <c r="C497" s="72" t="s">
        <v>1277</v>
      </c>
      <c r="D497" s="72" t="s">
        <v>67</v>
      </c>
      <c r="E497" s="72" t="s">
        <v>1296</v>
      </c>
      <c r="F497" s="72" t="s">
        <v>48</v>
      </c>
      <c r="G497" s="71" t="s">
        <v>49</v>
      </c>
      <c r="H497" s="72">
        <v>13</v>
      </c>
      <c r="I497" s="72"/>
      <c r="J497" s="72">
        <v>8</v>
      </c>
      <c r="K497" s="72">
        <v>4</v>
      </c>
      <c r="L497" s="821" t="s">
        <v>352</v>
      </c>
      <c r="M497" s="73"/>
      <c r="N497" s="30">
        <v>9.5</v>
      </c>
      <c r="O497" s="30">
        <v>0</v>
      </c>
      <c r="P497" s="73"/>
      <c r="Q497" s="30"/>
      <c r="R497" s="30"/>
      <c r="S497" s="822" t="s">
        <v>347</v>
      </c>
      <c r="T497" s="822" t="s">
        <v>65</v>
      </c>
      <c r="U497" s="823" t="s">
        <v>1957</v>
      </c>
      <c r="V497" s="824">
        <v>13</v>
      </c>
      <c r="W497" s="824" t="str">
        <f t="shared" si="15"/>
        <v>Sachbearbeitung 1 (wiss.)</v>
      </c>
    </row>
    <row r="498" spans="1:23" ht="12.75" x14ac:dyDescent="0.2">
      <c r="A498" s="74" t="str">
        <f t="shared" si="16"/>
        <v>deaktiviert</v>
      </c>
      <c r="B498" s="71" t="s">
        <v>1956</v>
      </c>
      <c r="C498" s="72" t="s">
        <v>1305</v>
      </c>
      <c r="D498" s="72" t="s">
        <v>66</v>
      </c>
      <c r="E498" s="72" t="s">
        <v>1307</v>
      </c>
      <c r="F498" s="72" t="s">
        <v>1306</v>
      </c>
      <c r="G498" s="71" t="s">
        <v>54</v>
      </c>
      <c r="H498" s="72">
        <v>13</v>
      </c>
      <c r="I498" s="72">
        <v>465.3</v>
      </c>
      <c r="J498" s="72">
        <v>7</v>
      </c>
      <c r="K498" s="72">
        <v>6</v>
      </c>
      <c r="L498" s="821" t="s">
        <v>673</v>
      </c>
      <c r="M498" s="73"/>
      <c r="N498" s="30"/>
      <c r="O498" s="30"/>
      <c r="P498" s="73"/>
      <c r="Q498" s="30"/>
      <c r="R498" s="30"/>
      <c r="S498" s="822"/>
      <c r="T498" s="822"/>
      <c r="U498" s="823" t="s">
        <v>1957</v>
      </c>
      <c r="V498" s="824">
        <v>13</v>
      </c>
      <c r="W498" s="824" t="str">
        <f t="shared" si="15"/>
        <v>Handwerklich-Technische Angestellte</v>
      </c>
    </row>
    <row r="499" spans="1:23" ht="12.75" x14ac:dyDescent="0.2">
      <c r="A499" s="74" t="str">
        <f t="shared" si="16"/>
        <v>deaktiviert</v>
      </c>
      <c r="B499" s="71" t="s">
        <v>1956</v>
      </c>
      <c r="C499" s="72" t="s">
        <v>1305</v>
      </c>
      <c r="D499" s="72" t="s">
        <v>67</v>
      </c>
      <c r="E499" s="72" t="s">
        <v>1308</v>
      </c>
      <c r="F499" s="72" t="s">
        <v>1306</v>
      </c>
      <c r="G499" s="71" t="s">
        <v>54</v>
      </c>
      <c r="H499" s="72">
        <v>13</v>
      </c>
      <c r="I499" s="72">
        <v>465.3</v>
      </c>
      <c r="J499" s="72">
        <v>7</v>
      </c>
      <c r="K499" s="72">
        <v>6</v>
      </c>
      <c r="L499" s="821" t="s">
        <v>673</v>
      </c>
      <c r="M499" s="73"/>
      <c r="N499" s="30"/>
      <c r="O499" s="30"/>
      <c r="P499" s="73"/>
      <c r="Q499" s="30"/>
      <c r="R499" s="30"/>
      <c r="S499" s="822"/>
      <c r="T499" s="822"/>
      <c r="U499" s="823" t="s">
        <v>1957</v>
      </c>
      <c r="V499" s="824">
        <v>13</v>
      </c>
      <c r="W499" s="824" t="str">
        <f t="shared" si="15"/>
        <v>Handwerklich-Technische Angestellte</v>
      </c>
    </row>
    <row r="500" spans="1:23" ht="12.75" x14ac:dyDescent="0.2">
      <c r="A500" s="74" t="str">
        <f t="shared" si="16"/>
        <v>deaktiviert</v>
      </c>
      <c r="B500" s="71" t="s">
        <v>1956</v>
      </c>
      <c r="C500" s="72" t="s">
        <v>1305</v>
      </c>
      <c r="D500" s="72" t="s">
        <v>76</v>
      </c>
      <c r="E500" s="72" t="s">
        <v>1309</v>
      </c>
      <c r="F500" s="72" t="s">
        <v>1306</v>
      </c>
      <c r="G500" s="71" t="s">
        <v>54</v>
      </c>
      <c r="H500" s="72">
        <v>13</v>
      </c>
      <c r="I500" s="72">
        <v>465.3</v>
      </c>
      <c r="J500" s="72">
        <v>7</v>
      </c>
      <c r="K500" s="72">
        <v>6</v>
      </c>
      <c r="L500" s="821" t="s">
        <v>673</v>
      </c>
      <c r="M500" s="73"/>
      <c r="N500" s="30"/>
      <c r="O500" s="30"/>
      <c r="P500" s="73"/>
      <c r="Q500" s="30"/>
      <c r="R500" s="30"/>
      <c r="S500" s="822"/>
      <c r="T500" s="822"/>
      <c r="U500" s="823" t="s">
        <v>1957</v>
      </c>
      <c r="V500" s="824">
        <v>13</v>
      </c>
      <c r="W500" s="824" t="str">
        <f t="shared" si="15"/>
        <v>Handwerklich-Technische Angestellte</v>
      </c>
    </row>
    <row r="501" spans="1:23" ht="12.75" x14ac:dyDescent="0.2">
      <c r="A501" s="74" t="str">
        <f t="shared" si="16"/>
        <v>deaktiviert</v>
      </c>
      <c r="B501" s="71" t="s">
        <v>1956</v>
      </c>
      <c r="C501" s="72" t="s">
        <v>1305</v>
      </c>
      <c r="D501" s="72" t="s">
        <v>66</v>
      </c>
      <c r="E501" s="72" t="s">
        <v>1314</v>
      </c>
      <c r="F501" s="72">
        <v>202</v>
      </c>
      <c r="G501" s="71" t="s">
        <v>52</v>
      </c>
      <c r="H501" s="72">
        <v>15</v>
      </c>
      <c r="I501" s="72"/>
      <c r="J501" s="72">
        <v>5.5</v>
      </c>
      <c r="K501" s="72">
        <v>6</v>
      </c>
      <c r="L501" s="821" t="s">
        <v>671</v>
      </c>
      <c r="M501" s="73"/>
      <c r="N501" s="30">
        <v>7</v>
      </c>
      <c r="O501" s="30">
        <v>2</v>
      </c>
      <c r="P501" s="73"/>
      <c r="Q501" s="30"/>
      <c r="R501" s="30"/>
      <c r="S501" s="822" t="s">
        <v>673</v>
      </c>
      <c r="T501" s="822" t="s">
        <v>65</v>
      </c>
      <c r="U501" s="823" t="s">
        <v>1957</v>
      </c>
      <c r="V501" s="824">
        <v>15</v>
      </c>
      <c r="W501" s="824" t="str">
        <f t="shared" si="15"/>
        <v>Hw.-Tech. und Hauswirtschaftliche Ang.</v>
      </c>
    </row>
    <row r="502" spans="1:23" ht="12.75" x14ac:dyDescent="0.2">
      <c r="A502" s="74" t="str">
        <f t="shared" si="16"/>
        <v>deaktiviert</v>
      </c>
      <c r="B502" s="71" t="s">
        <v>1956</v>
      </c>
      <c r="C502" s="72" t="s">
        <v>1305</v>
      </c>
      <c r="D502" s="72" t="s">
        <v>67</v>
      </c>
      <c r="E502" s="72" t="s">
        <v>1315</v>
      </c>
      <c r="F502" s="72">
        <v>202</v>
      </c>
      <c r="G502" s="71" t="s">
        <v>54</v>
      </c>
      <c r="H502" s="72">
        <v>15</v>
      </c>
      <c r="I502" s="72"/>
      <c r="J502" s="72">
        <v>5.5</v>
      </c>
      <c r="K502" s="72">
        <v>6</v>
      </c>
      <c r="L502" s="821" t="s">
        <v>671</v>
      </c>
      <c r="M502" s="73"/>
      <c r="N502" s="30">
        <v>7</v>
      </c>
      <c r="O502" s="30">
        <v>2</v>
      </c>
      <c r="P502" s="73"/>
      <c r="Q502" s="30"/>
      <c r="R502" s="30"/>
      <c r="S502" s="822" t="s">
        <v>673</v>
      </c>
      <c r="T502" s="822" t="s">
        <v>65</v>
      </c>
      <c r="U502" s="823" t="s">
        <v>1957</v>
      </c>
      <c r="V502" s="824">
        <v>15</v>
      </c>
      <c r="W502" s="824" t="str">
        <f t="shared" si="15"/>
        <v>Handwerklich-Technische Angestellte</v>
      </c>
    </row>
    <row r="503" spans="1:23" ht="12.75" x14ac:dyDescent="0.2">
      <c r="A503" s="74" t="str">
        <f t="shared" si="16"/>
        <v>deaktiviert</v>
      </c>
      <c r="B503" s="71" t="s">
        <v>1956</v>
      </c>
      <c r="C503" s="72" t="s">
        <v>1305</v>
      </c>
      <c r="D503" s="72" t="s">
        <v>76</v>
      </c>
      <c r="E503" s="72" t="s">
        <v>1316</v>
      </c>
      <c r="F503" s="72">
        <v>202</v>
      </c>
      <c r="G503" s="71" t="s">
        <v>54</v>
      </c>
      <c r="H503" s="72">
        <v>15</v>
      </c>
      <c r="I503" s="72"/>
      <c r="J503" s="72">
        <v>5.5</v>
      </c>
      <c r="K503" s="72">
        <v>6</v>
      </c>
      <c r="L503" s="821" t="s">
        <v>671</v>
      </c>
      <c r="M503" s="73"/>
      <c r="N503" s="30">
        <v>7</v>
      </c>
      <c r="O503" s="30">
        <v>2</v>
      </c>
      <c r="P503" s="73"/>
      <c r="Q503" s="30"/>
      <c r="R503" s="30"/>
      <c r="S503" s="822" t="s">
        <v>673</v>
      </c>
      <c r="T503" s="822" t="s">
        <v>65</v>
      </c>
      <c r="U503" s="823" t="s">
        <v>1957</v>
      </c>
      <c r="V503" s="824">
        <v>15</v>
      </c>
      <c r="W503" s="824" t="str">
        <f t="shared" si="15"/>
        <v>Handwerklich-Technische Angestellte</v>
      </c>
    </row>
    <row r="504" spans="1:23" ht="12.75" x14ac:dyDescent="0.2">
      <c r="A504" s="74" t="str">
        <f t="shared" si="16"/>
        <v>deaktiviert</v>
      </c>
      <c r="B504" s="71" t="s">
        <v>1956</v>
      </c>
      <c r="C504" s="72" t="s">
        <v>1305</v>
      </c>
      <c r="D504" s="72" t="s">
        <v>77</v>
      </c>
      <c r="E504" s="72" t="s">
        <v>1317</v>
      </c>
      <c r="F504" s="72">
        <v>202</v>
      </c>
      <c r="G504" s="71" t="s">
        <v>54</v>
      </c>
      <c r="H504" s="72">
        <v>15</v>
      </c>
      <c r="I504" s="72"/>
      <c r="J504" s="72">
        <v>5.5</v>
      </c>
      <c r="K504" s="72">
        <v>6</v>
      </c>
      <c r="L504" s="821" t="s">
        <v>671</v>
      </c>
      <c r="M504" s="73"/>
      <c r="N504" s="30">
        <v>7</v>
      </c>
      <c r="O504" s="30">
        <v>2</v>
      </c>
      <c r="P504" s="73"/>
      <c r="Q504" s="30"/>
      <c r="R504" s="30"/>
      <c r="S504" s="822" t="s">
        <v>673</v>
      </c>
      <c r="T504" s="822" t="s">
        <v>65</v>
      </c>
      <c r="U504" s="823" t="s">
        <v>1957</v>
      </c>
      <c r="V504" s="824">
        <v>15</v>
      </c>
      <c r="W504" s="824" t="str">
        <f t="shared" si="15"/>
        <v>Handwerklich-Technische Angestellte</v>
      </c>
    </row>
    <row r="505" spans="1:23" ht="12.75" x14ac:dyDescent="0.2">
      <c r="A505" s="74" t="str">
        <f t="shared" si="16"/>
        <v>deaktiviert</v>
      </c>
      <c r="B505" s="71" t="s">
        <v>1956</v>
      </c>
      <c r="C505" s="72" t="s">
        <v>1305</v>
      </c>
      <c r="D505" s="72" t="s">
        <v>66</v>
      </c>
      <c r="E505" s="72" t="s">
        <v>1322</v>
      </c>
      <c r="F505" s="72">
        <v>202</v>
      </c>
      <c r="G505" s="71" t="s">
        <v>52</v>
      </c>
      <c r="H505" s="72">
        <v>17</v>
      </c>
      <c r="I505" s="72"/>
      <c r="J505" s="72">
        <v>5</v>
      </c>
      <c r="K505" s="72">
        <v>5</v>
      </c>
      <c r="L505" s="821" t="s">
        <v>87</v>
      </c>
      <c r="M505" s="73"/>
      <c r="N505" s="30">
        <v>7</v>
      </c>
      <c r="O505" s="30">
        <v>0</v>
      </c>
      <c r="P505" s="73"/>
      <c r="Q505" s="30"/>
      <c r="R505" s="30"/>
      <c r="S505" s="822" t="s">
        <v>673</v>
      </c>
      <c r="T505" s="822" t="s">
        <v>65</v>
      </c>
      <c r="U505" s="823" t="s">
        <v>1957</v>
      </c>
      <c r="V505" s="824">
        <v>17</v>
      </c>
      <c r="W505" s="824" t="str">
        <f t="shared" si="15"/>
        <v>Hw.-Tech. und Hauswirtschaftliche Ang.</v>
      </c>
    </row>
    <row r="506" spans="1:23" ht="12.75" x14ac:dyDescent="0.2">
      <c r="A506" s="74" t="str">
        <f t="shared" si="16"/>
        <v>deaktiviert</v>
      </c>
      <c r="B506" s="71" t="s">
        <v>1956</v>
      </c>
      <c r="C506" s="72" t="s">
        <v>1305</v>
      </c>
      <c r="D506" s="72" t="s">
        <v>67</v>
      </c>
      <c r="E506" s="72" t="s">
        <v>1323</v>
      </c>
      <c r="F506" s="72">
        <v>202</v>
      </c>
      <c r="G506" s="71" t="s">
        <v>54</v>
      </c>
      <c r="H506" s="72">
        <v>17</v>
      </c>
      <c r="I506" s="72"/>
      <c r="J506" s="72">
        <v>5</v>
      </c>
      <c r="K506" s="72">
        <v>5</v>
      </c>
      <c r="L506" s="821" t="s">
        <v>87</v>
      </c>
      <c r="M506" s="73"/>
      <c r="N506" s="30">
        <v>7</v>
      </c>
      <c r="O506" s="30">
        <v>0</v>
      </c>
      <c r="P506" s="73"/>
      <c r="Q506" s="30"/>
      <c r="R506" s="30"/>
      <c r="S506" s="822" t="s">
        <v>673</v>
      </c>
      <c r="T506" s="822" t="s">
        <v>65</v>
      </c>
      <c r="U506" s="823" t="s">
        <v>1957</v>
      </c>
      <c r="V506" s="824">
        <v>17</v>
      </c>
      <c r="W506" s="824" t="str">
        <f t="shared" si="15"/>
        <v>Handwerklich-Technische Angestellte</v>
      </c>
    </row>
    <row r="507" spans="1:23" ht="12.75" x14ac:dyDescent="0.2">
      <c r="A507" s="74" t="str">
        <f t="shared" si="16"/>
        <v>deaktiviert</v>
      </c>
      <c r="B507" s="71" t="s">
        <v>1956</v>
      </c>
      <c r="C507" s="72" t="s">
        <v>1305</v>
      </c>
      <c r="D507" s="72" t="s">
        <v>76</v>
      </c>
      <c r="E507" s="72" t="s">
        <v>1324</v>
      </c>
      <c r="F507" s="72">
        <v>202</v>
      </c>
      <c r="G507" s="71" t="s">
        <v>54</v>
      </c>
      <c r="H507" s="72">
        <v>17</v>
      </c>
      <c r="I507" s="72"/>
      <c r="J507" s="72">
        <v>5</v>
      </c>
      <c r="K507" s="72">
        <v>5</v>
      </c>
      <c r="L507" s="821" t="s">
        <v>87</v>
      </c>
      <c r="M507" s="73"/>
      <c r="N507" s="30">
        <v>7</v>
      </c>
      <c r="O507" s="30">
        <v>0</v>
      </c>
      <c r="P507" s="73"/>
      <c r="Q507" s="30"/>
      <c r="R507" s="30"/>
      <c r="S507" s="822" t="s">
        <v>673</v>
      </c>
      <c r="T507" s="822" t="s">
        <v>65</v>
      </c>
      <c r="U507" s="823" t="s">
        <v>1957</v>
      </c>
      <c r="V507" s="824">
        <v>17</v>
      </c>
      <c r="W507" s="824" t="str">
        <f t="shared" si="15"/>
        <v>Handwerklich-Technische Angestellte</v>
      </c>
    </row>
    <row r="508" spans="1:23" ht="12.75" x14ac:dyDescent="0.2">
      <c r="A508" s="74" t="str">
        <f t="shared" si="16"/>
        <v>deaktiviert</v>
      </c>
      <c r="B508" s="71" t="s">
        <v>1956</v>
      </c>
      <c r="C508" s="72" t="s">
        <v>1305</v>
      </c>
      <c r="D508" s="72" t="s">
        <v>66</v>
      </c>
      <c r="E508" s="72" t="s">
        <v>1328</v>
      </c>
      <c r="F508" s="72" t="s">
        <v>1306</v>
      </c>
      <c r="G508" s="71" t="s">
        <v>52</v>
      </c>
      <c r="H508" s="72">
        <v>19</v>
      </c>
      <c r="I508" s="72"/>
      <c r="J508" s="72">
        <v>5</v>
      </c>
      <c r="K508" s="72">
        <v>3</v>
      </c>
      <c r="L508" s="821" t="s">
        <v>87</v>
      </c>
      <c r="M508" s="73"/>
      <c r="N508" s="30"/>
      <c r="O508" s="30"/>
      <c r="P508" s="73"/>
      <c r="Q508" s="30"/>
      <c r="R508" s="30"/>
      <c r="S508" s="822" t="s">
        <v>65</v>
      </c>
      <c r="T508" s="822" t="s">
        <v>65</v>
      </c>
      <c r="U508" s="823" t="s">
        <v>1957</v>
      </c>
      <c r="V508" s="824">
        <v>19</v>
      </c>
      <c r="W508" s="824" t="str">
        <f t="shared" si="15"/>
        <v>Hw.-Tech. und Hauswirtschaftliche Ang.</v>
      </c>
    </row>
    <row r="509" spans="1:23" ht="12.75" x14ac:dyDescent="0.2">
      <c r="A509" s="74" t="str">
        <f t="shared" si="16"/>
        <v>deaktiviert</v>
      </c>
      <c r="B509" s="71" t="s">
        <v>1956</v>
      </c>
      <c r="C509" s="72" t="s">
        <v>1305</v>
      </c>
      <c r="D509" s="72" t="s">
        <v>67</v>
      </c>
      <c r="E509" s="72" t="s">
        <v>1329</v>
      </c>
      <c r="F509" s="72" t="s">
        <v>1306</v>
      </c>
      <c r="G509" s="71" t="s">
        <v>54</v>
      </c>
      <c r="H509" s="72">
        <v>19</v>
      </c>
      <c r="I509" s="72"/>
      <c r="J509" s="72">
        <v>5</v>
      </c>
      <c r="K509" s="72">
        <v>3</v>
      </c>
      <c r="L509" s="821" t="s">
        <v>87</v>
      </c>
      <c r="M509" s="73"/>
      <c r="N509" s="30"/>
      <c r="O509" s="30"/>
      <c r="P509" s="73"/>
      <c r="Q509" s="30"/>
      <c r="R509" s="30"/>
      <c r="S509" s="822" t="s">
        <v>65</v>
      </c>
      <c r="T509" s="822" t="s">
        <v>65</v>
      </c>
      <c r="U509" s="823" t="s">
        <v>1957</v>
      </c>
      <c r="V509" s="824">
        <v>19</v>
      </c>
      <c r="W509" s="824" t="str">
        <f t="shared" si="15"/>
        <v>Handwerklich-Technische Angestellte</v>
      </c>
    </row>
    <row r="510" spans="1:23" ht="12.75" x14ac:dyDescent="0.2">
      <c r="A510" s="74" t="str">
        <f t="shared" si="16"/>
        <v>deaktiviert</v>
      </c>
      <c r="B510" s="71" t="s">
        <v>1956</v>
      </c>
      <c r="C510" s="72" t="s">
        <v>1305</v>
      </c>
      <c r="D510" s="72" t="s">
        <v>76</v>
      </c>
      <c r="E510" s="72" t="s">
        <v>1330</v>
      </c>
      <c r="F510" s="72" t="s">
        <v>1306</v>
      </c>
      <c r="G510" s="71" t="s">
        <v>54</v>
      </c>
      <c r="H510" s="72">
        <v>19</v>
      </c>
      <c r="I510" s="72"/>
      <c r="J510" s="72">
        <v>5</v>
      </c>
      <c r="K510" s="72">
        <v>3</v>
      </c>
      <c r="L510" s="821" t="s">
        <v>87</v>
      </c>
      <c r="M510" s="73"/>
      <c r="N510" s="30"/>
      <c r="O510" s="30"/>
      <c r="P510" s="73"/>
      <c r="Q510" s="30"/>
      <c r="R510" s="30"/>
      <c r="S510" s="822" t="s">
        <v>65</v>
      </c>
      <c r="T510" s="822" t="s">
        <v>65</v>
      </c>
      <c r="U510" s="823" t="s">
        <v>1957</v>
      </c>
      <c r="V510" s="824">
        <v>19</v>
      </c>
      <c r="W510" s="824" t="str">
        <f t="shared" si="15"/>
        <v>Handwerklich-Technische Angestellte</v>
      </c>
    </row>
    <row r="511" spans="1:23" ht="12.75" x14ac:dyDescent="0.2">
      <c r="A511" s="74" t="str">
        <f t="shared" si="16"/>
        <v>deaktiviert</v>
      </c>
      <c r="B511" s="71" t="s">
        <v>1956</v>
      </c>
      <c r="C511" s="72" t="s">
        <v>1333</v>
      </c>
      <c r="D511" s="72" t="s">
        <v>66</v>
      </c>
      <c r="E511" s="72" t="s">
        <v>1334</v>
      </c>
      <c r="F511" s="72" t="s">
        <v>687</v>
      </c>
      <c r="G511" s="71" t="s">
        <v>57</v>
      </c>
      <c r="H511" s="72">
        <v>7</v>
      </c>
      <c r="I511" s="72">
        <v>614.20000000000005</v>
      </c>
      <c r="J511" s="72">
        <v>10.5</v>
      </c>
      <c r="K511" s="72">
        <v>5</v>
      </c>
      <c r="L511" s="821" t="s">
        <v>353</v>
      </c>
      <c r="M511" s="73">
        <v>589.9</v>
      </c>
      <c r="N511" s="30">
        <v>9</v>
      </c>
      <c r="O511" s="30">
        <v>8</v>
      </c>
      <c r="P511" s="73"/>
      <c r="Q511" s="30"/>
      <c r="R511" s="30"/>
      <c r="S511" s="822" t="s">
        <v>351</v>
      </c>
      <c r="T511" s="822"/>
      <c r="U511" s="823" t="s">
        <v>1957</v>
      </c>
      <c r="V511" s="824">
        <v>7</v>
      </c>
      <c r="W511" s="824" t="str">
        <f t="shared" si="15"/>
        <v>Technisch-Wissenschaftliche Angestellte</v>
      </c>
    </row>
    <row r="512" spans="1:23" ht="12.75" x14ac:dyDescent="0.2">
      <c r="A512" s="74" t="str">
        <f t="shared" si="16"/>
        <v>deaktiviert</v>
      </c>
      <c r="B512" s="71" t="s">
        <v>1956</v>
      </c>
      <c r="C512" s="72" t="s">
        <v>1333</v>
      </c>
      <c r="D512" s="72" t="s">
        <v>67</v>
      </c>
      <c r="E512" s="72" t="s">
        <v>1335</v>
      </c>
      <c r="F512" s="72" t="s">
        <v>687</v>
      </c>
      <c r="G512" s="71" t="s">
        <v>57</v>
      </c>
      <c r="H512" s="72">
        <v>7</v>
      </c>
      <c r="I512" s="72">
        <v>614.20000000000005</v>
      </c>
      <c r="J512" s="72">
        <v>10.5</v>
      </c>
      <c r="K512" s="72">
        <v>5</v>
      </c>
      <c r="L512" s="821" t="s">
        <v>353</v>
      </c>
      <c r="M512" s="73">
        <v>589.9</v>
      </c>
      <c r="N512" s="30">
        <v>9</v>
      </c>
      <c r="O512" s="30">
        <v>8</v>
      </c>
      <c r="P512" s="73"/>
      <c r="Q512" s="30"/>
      <c r="R512" s="30"/>
      <c r="S512" s="822" t="s">
        <v>351</v>
      </c>
      <c r="T512" s="822"/>
      <c r="U512" s="823" t="s">
        <v>1957</v>
      </c>
      <c r="V512" s="824">
        <v>7</v>
      </c>
      <c r="W512" s="824" t="str">
        <f t="shared" si="15"/>
        <v>Technisch-Wissenschaftliche Angestellte</v>
      </c>
    </row>
    <row r="513" spans="1:23" ht="12.75" x14ac:dyDescent="0.2">
      <c r="A513" s="74" t="str">
        <f t="shared" si="16"/>
        <v>deaktiviert</v>
      </c>
      <c r="B513" s="835" t="s">
        <v>1956</v>
      </c>
      <c r="C513" s="72" t="s">
        <v>1333</v>
      </c>
      <c r="D513" s="72" t="s">
        <v>66</v>
      </c>
      <c r="E513" s="72" t="s">
        <v>1336</v>
      </c>
      <c r="F513" s="72" t="s">
        <v>687</v>
      </c>
      <c r="G513" s="71" t="s">
        <v>57</v>
      </c>
      <c r="H513" s="72">
        <v>8</v>
      </c>
      <c r="I513" s="72">
        <v>605.29999999999995</v>
      </c>
      <c r="J513" s="72">
        <v>10.5</v>
      </c>
      <c r="K513" s="72">
        <v>4</v>
      </c>
      <c r="L513" s="821" t="s">
        <v>353</v>
      </c>
      <c r="M513" s="73">
        <v>589.9</v>
      </c>
      <c r="N513" s="30">
        <v>9</v>
      </c>
      <c r="O513" s="30">
        <v>5</v>
      </c>
      <c r="P513" s="73"/>
      <c r="Q513" s="30"/>
      <c r="R513" s="30"/>
      <c r="S513" s="822" t="s">
        <v>351</v>
      </c>
      <c r="T513" s="822" t="s">
        <v>65</v>
      </c>
      <c r="U513" s="823" t="s">
        <v>1957</v>
      </c>
      <c r="V513" s="824">
        <v>8</v>
      </c>
      <c r="W513" s="824" t="str">
        <f t="shared" si="15"/>
        <v>Technisch-Wissenschaftliche Angestellte</v>
      </c>
    </row>
    <row r="514" spans="1:23" ht="12.75" x14ac:dyDescent="0.2">
      <c r="A514" s="74" t="str">
        <f t="shared" si="16"/>
        <v>deaktiviert</v>
      </c>
      <c r="B514" s="835" t="s">
        <v>1956</v>
      </c>
      <c r="C514" s="72" t="s">
        <v>1333</v>
      </c>
      <c r="D514" s="72" t="s">
        <v>67</v>
      </c>
      <c r="E514" s="72" t="s">
        <v>1337</v>
      </c>
      <c r="F514" s="72" t="s">
        <v>687</v>
      </c>
      <c r="G514" s="71" t="s">
        <v>57</v>
      </c>
      <c r="H514" s="72">
        <v>8</v>
      </c>
      <c r="I514" s="72">
        <v>605.29999999999995</v>
      </c>
      <c r="J514" s="72">
        <v>10.5</v>
      </c>
      <c r="K514" s="72">
        <v>4</v>
      </c>
      <c r="L514" s="821" t="s">
        <v>353</v>
      </c>
      <c r="M514" s="73">
        <v>589.9</v>
      </c>
      <c r="N514" s="30">
        <v>9</v>
      </c>
      <c r="O514" s="30">
        <v>5</v>
      </c>
      <c r="P514" s="73"/>
      <c r="Q514" s="30"/>
      <c r="R514" s="30"/>
      <c r="S514" s="822" t="s">
        <v>351</v>
      </c>
      <c r="T514" s="822" t="s">
        <v>65</v>
      </c>
      <c r="U514" s="823" t="s">
        <v>1957</v>
      </c>
      <c r="V514" s="824">
        <v>8</v>
      </c>
      <c r="W514" s="824" t="str">
        <f t="shared" ref="W514:W527" si="17">G514</f>
        <v>Technisch-Wissenschaftliche Angestellte</v>
      </c>
    </row>
    <row r="515" spans="1:23" ht="12.75" x14ac:dyDescent="0.2">
      <c r="A515" s="74" t="str">
        <f t="shared" si="16"/>
        <v>deaktiviert</v>
      </c>
      <c r="B515" s="71" t="s">
        <v>1956</v>
      </c>
      <c r="C515" s="72" t="s">
        <v>1333</v>
      </c>
      <c r="D515" s="72" t="s">
        <v>66</v>
      </c>
      <c r="E515" s="72" t="s">
        <v>1338</v>
      </c>
      <c r="F515" s="72" t="s">
        <v>687</v>
      </c>
      <c r="G515" s="71" t="s">
        <v>57</v>
      </c>
      <c r="H515" s="72">
        <v>9</v>
      </c>
      <c r="I515" s="72">
        <v>553.29999999999995</v>
      </c>
      <c r="J515" s="72">
        <v>9.5</v>
      </c>
      <c r="K515" s="72">
        <v>4</v>
      </c>
      <c r="L515" s="821" t="s">
        <v>347</v>
      </c>
      <c r="M515" s="73"/>
      <c r="N515" s="30"/>
      <c r="O515" s="30"/>
      <c r="P515" s="73"/>
      <c r="Q515" s="30"/>
      <c r="R515" s="30"/>
      <c r="S515" s="822" t="s">
        <v>65</v>
      </c>
      <c r="T515" s="822" t="s">
        <v>65</v>
      </c>
      <c r="U515" s="823" t="s">
        <v>1957</v>
      </c>
      <c r="V515" s="824">
        <v>9</v>
      </c>
      <c r="W515" s="824" t="str">
        <f t="shared" si="17"/>
        <v>Technisch-Wissenschaftliche Angestellte</v>
      </c>
    </row>
    <row r="516" spans="1:23" ht="12.75" x14ac:dyDescent="0.2">
      <c r="A516" s="74" t="str">
        <f t="shared" si="16"/>
        <v>deaktiviert</v>
      </c>
      <c r="B516" s="71" t="s">
        <v>1956</v>
      </c>
      <c r="C516" s="72" t="s">
        <v>1333</v>
      </c>
      <c r="D516" s="72" t="s">
        <v>67</v>
      </c>
      <c r="E516" s="72" t="s">
        <v>1339</v>
      </c>
      <c r="F516" s="72" t="s">
        <v>687</v>
      </c>
      <c r="G516" s="71" t="s">
        <v>57</v>
      </c>
      <c r="H516" s="72">
        <v>9</v>
      </c>
      <c r="I516" s="72">
        <v>553.29999999999995</v>
      </c>
      <c r="J516" s="72">
        <v>9.5</v>
      </c>
      <c r="K516" s="72">
        <v>4</v>
      </c>
      <c r="L516" s="821" t="s">
        <v>347</v>
      </c>
      <c r="M516" s="73"/>
      <c r="N516" s="30"/>
      <c r="O516" s="30"/>
      <c r="P516" s="73"/>
      <c r="Q516" s="30"/>
      <c r="R516" s="30"/>
      <c r="S516" s="822" t="s">
        <v>65</v>
      </c>
      <c r="T516" s="822" t="s">
        <v>65</v>
      </c>
      <c r="U516" s="823" t="s">
        <v>1957</v>
      </c>
      <c r="V516" s="824">
        <v>9</v>
      </c>
      <c r="W516" s="824" t="str">
        <f t="shared" si="17"/>
        <v>Technisch-Wissenschaftliche Angestellte</v>
      </c>
    </row>
    <row r="517" spans="1:23" ht="12.75" x14ac:dyDescent="0.2">
      <c r="A517" s="74" t="str">
        <f t="shared" si="16"/>
        <v>deaktiviert</v>
      </c>
      <c r="B517" s="71" t="s">
        <v>1956</v>
      </c>
      <c r="C517" s="836">
        <v>203</v>
      </c>
      <c r="D517" s="836" t="s">
        <v>66</v>
      </c>
      <c r="E517" s="836" t="s">
        <v>1340</v>
      </c>
      <c r="F517" s="836" t="s">
        <v>687</v>
      </c>
      <c r="G517" s="835" t="s">
        <v>57</v>
      </c>
      <c r="H517" s="836">
        <v>10</v>
      </c>
      <c r="I517" s="836">
        <v>553.29999999999995</v>
      </c>
      <c r="J517" s="836">
        <v>9.5</v>
      </c>
      <c r="K517" s="836">
        <v>2</v>
      </c>
      <c r="L517" s="837" t="s">
        <v>347</v>
      </c>
      <c r="M517" s="838">
        <v>557.20000000000005</v>
      </c>
      <c r="N517" s="30">
        <v>9</v>
      </c>
      <c r="O517" s="30">
        <v>5</v>
      </c>
      <c r="P517" s="838"/>
      <c r="Q517" s="30"/>
      <c r="R517" s="30"/>
      <c r="S517" s="839" t="s">
        <v>351</v>
      </c>
      <c r="T517" s="839" t="s">
        <v>65</v>
      </c>
      <c r="U517" s="823" t="s">
        <v>1957</v>
      </c>
      <c r="V517" s="824">
        <v>10</v>
      </c>
      <c r="W517" s="824" t="str">
        <f t="shared" si="17"/>
        <v>Technisch-Wissenschaftliche Angestellte</v>
      </c>
    </row>
    <row r="518" spans="1:23" ht="12.75" x14ac:dyDescent="0.2">
      <c r="A518" s="74" t="str">
        <f t="shared" si="16"/>
        <v>deaktiviert</v>
      </c>
      <c r="B518" s="71" t="s">
        <v>1956</v>
      </c>
      <c r="C518" s="836" t="s">
        <v>1333</v>
      </c>
      <c r="D518" s="836" t="s">
        <v>67</v>
      </c>
      <c r="E518" s="836" t="s">
        <v>1341</v>
      </c>
      <c r="F518" s="836" t="s">
        <v>687</v>
      </c>
      <c r="G518" s="835" t="s">
        <v>57</v>
      </c>
      <c r="H518" s="836">
        <v>10</v>
      </c>
      <c r="I518" s="836">
        <v>553.29999999999995</v>
      </c>
      <c r="J518" s="836">
        <v>9.5</v>
      </c>
      <c r="K518" s="836">
        <v>2</v>
      </c>
      <c r="L518" s="837" t="s">
        <v>347</v>
      </c>
      <c r="M518" s="838">
        <v>557.20000000000005</v>
      </c>
      <c r="N518" s="30">
        <v>9</v>
      </c>
      <c r="O518" s="30">
        <v>5</v>
      </c>
      <c r="P518" s="838"/>
      <c r="Q518" s="30"/>
      <c r="R518" s="30"/>
      <c r="S518" s="839" t="s">
        <v>351</v>
      </c>
      <c r="T518" s="839" t="s">
        <v>65</v>
      </c>
      <c r="U518" s="823" t="s">
        <v>1957</v>
      </c>
      <c r="V518" s="824">
        <v>10</v>
      </c>
      <c r="W518" s="824" t="str">
        <f t="shared" si="17"/>
        <v>Technisch-Wissenschaftliche Angestellte</v>
      </c>
    </row>
    <row r="519" spans="1:23" ht="12.75" x14ac:dyDescent="0.2">
      <c r="A519" s="74" t="str">
        <f t="shared" si="16"/>
        <v>deaktiviert</v>
      </c>
      <c r="B519" s="71" t="s">
        <v>1956</v>
      </c>
      <c r="C519" s="72" t="s">
        <v>1333</v>
      </c>
      <c r="D519" s="72" t="s">
        <v>66</v>
      </c>
      <c r="E519" s="72" t="s">
        <v>1342</v>
      </c>
      <c r="F519" s="72" t="s">
        <v>687</v>
      </c>
      <c r="G519" s="71" t="s">
        <v>57</v>
      </c>
      <c r="H519" s="72">
        <v>11</v>
      </c>
      <c r="I519" s="72"/>
      <c r="J519" s="72">
        <v>8</v>
      </c>
      <c r="K519" s="72">
        <v>5</v>
      </c>
      <c r="L519" s="821" t="s">
        <v>352</v>
      </c>
      <c r="M519" s="73"/>
      <c r="N519" s="30">
        <v>9.5</v>
      </c>
      <c r="O519" s="30">
        <v>0</v>
      </c>
      <c r="P519" s="73"/>
      <c r="Q519" s="30"/>
      <c r="R519" s="30"/>
      <c r="S519" s="822" t="s">
        <v>347</v>
      </c>
      <c r="T519" s="822" t="s">
        <v>65</v>
      </c>
      <c r="U519" s="823" t="s">
        <v>1957</v>
      </c>
      <c r="V519" s="824">
        <v>11</v>
      </c>
      <c r="W519" s="824" t="str">
        <f t="shared" si="17"/>
        <v>Technisch-Wissenschaftliche Angestellte</v>
      </c>
    </row>
    <row r="520" spans="1:23" ht="12.75" x14ac:dyDescent="0.2">
      <c r="A520" s="74" t="str">
        <f t="shared" si="16"/>
        <v>deaktiviert</v>
      </c>
      <c r="B520" s="71" t="s">
        <v>1956</v>
      </c>
      <c r="C520" s="72" t="s">
        <v>1333</v>
      </c>
      <c r="D520" s="72" t="s">
        <v>67</v>
      </c>
      <c r="E520" s="72" t="s">
        <v>1343</v>
      </c>
      <c r="F520" s="72" t="s">
        <v>687</v>
      </c>
      <c r="G520" s="71" t="s">
        <v>57</v>
      </c>
      <c r="H520" s="72">
        <v>11</v>
      </c>
      <c r="I520" s="72"/>
      <c r="J520" s="72">
        <v>8</v>
      </c>
      <c r="K520" s="72">
        <v>5</v>
      </c>
      <c r="L520" s="821" t="s">
        <v>352</v>
      </c>
      <c r="M520" s="73"/>
      <c r="N520" s="30">
        <v>9.5</v>
      </c>
      <c r="O520" s="30">
        <v>0</v>
      </c>
      <c r="P520" s="73"/>
      <c r="Q520" s="30"/>
      <c r="R520" s="30"/>
      <c r="S520" s="822" t="s">
        <v>347</v>
      </c>
      <c r="T520" s="822" t="s">
        <v>65</v>
      </c>
      <c r="U520" s="823" t="s">
        <v>1957</v>
      </c>
      <c r="V520" s="824">
        <v>11</v>
      </c>
      <c r="W520" s="824" t="str">
        <f t="shared" si="17"/>
        <v>Technisch-Wissenschaftliche Angestellte</v>
      </c>
    </row>
    <row r="521" spans="1:23" ht="12.75" x14ac:dyDescent="0.2">
      <c r="A521" s="74" t="str">
        <f t="shared" si="16"/>
        <v>deaktiviert</v>
      </c>
      <c r="B521" s="71" t="s">
        <v>1956</v>
      </c>
      <c r="C521" s="72" t="s">
        <v>1333</v>
      </c>
      <c r="D521" s="72" t="s">
        <v>66</v>
      </c>
      <c r="E521" s="72" t="s">
        <v>1344</v>
      </c>
      <c r="F521" s="72" t="s">
        <v>687</v>
      </c>
      <c r="G521" s="71" t="s">
        <v>57</v>
      </c>
      <c r="H521" s="72">
        <v>13</v>
      </c>
      <c r="I521" s="72"/>
      <c r="J521" s="72">
        <v>8</v>
      </c>
      <c r="K521" s="72">
        <v>3</v>
      </c>
      <c r="L521" s="821" t="s">
        <v>352</v>
      </c>
      <c r="M521" s="73"/>
      <c r="N521" s="30"/>
      <c r="O521" s="30"/>
      <c r="P521" s="73"/>
      <c r="Q521" s="30"/>
      <c r="R521" s="30"/>
      <c r="S521" s="822" t="s">
        <v>65</v>
      </c>
      <c r="T521" s="822" t="s">
        <v>65</v>
      </c>
      <c r="U521" s="823" t="s">
        <v>1957</v>
      </c>
      <c r="V521" s="824">
        <v>13</v>
      </c>
      <c r="W521" s="824" t="str">
        <f t="shared" si="17"/>
        <v>Technisch-Wissenschaftliche Angestellte</v>
      </c>
    </row>
    <row r="522" spans="1:23" ht="12.75" x14ac:dyDescent="0.2">
      <c r="A522" s="74" t="str">
        <f t="shared" si="16"/>
        <v>deaktiviert</v>
      </c>
      <c r="B522" s="71" t="s">
        <v>1956</v>
      </c>
      <c r="C522" s="72" t="s">
        <v>1333</v>
      </c>
      <c r="D522" s="72" t="s">
        <v>67</v>
      </c>
      <c r="E522" s="72" t="s">
        <v>1345</v>
      </c>
      <c r="F522" s="72" t="s">
        <v>687</v>
      </c>
      <c r="G522" s="71" t="s">
        <v>57</v>
      </c>
      <c r="H522" s="72">
        <v>13</v>
      </c>
      <c r="I522" s="72"/>
      <c r="J522" s="72">
        <v>8</v>
      </c>
      <c r="K522" s="72">
        <v>3</v>
      </c>
      <c r="L522" s="821" t="s">
        <v>352</v>
      </c>
      <c r="M522" s="73"/>
      <c r="N522" s="30"/>
      <c r="O522" s="30"/>
      <c r="P522" s="73"/>
      <c r="Q522" s="30"/>
      <c r="R522" s="30"/>
      <c r="S522" s="822" t="s">
        <v>65</v>
      </c>
      <c r="T522" s="822" t="s">
        <v>65</v>
      </c>
      <c r="U522" s="823" t="s">
        <v>1957</v>
      </c>
      <c r="V522" s="824">
        <v>13</v>
      </c>
      <c r="W522" s="824" t="str">
        <f t="shared" si="17"/>
        <v>Technisch-Wissenschaftliche Angestellte</v>
      </c>
    </row>
    <row r="523" spans="1:23" ht="12.75" x14ac:dyDescent="0.2">
      <c r="A523" s="74" t="str">
        <f t="shared" si="16"/>
        <v>inaktiv</v>
      </c>
      <c r="B523" s="825" t="s">
        <v>1244</v>
      </c>
      <c r="C523" s="79">
        <v>408</v>
      </c>
      <c r="D523" s="79" t="s">
        <v>1819</v>
      </c>
      <c r="E523" s="79"/>
      <c r="F523" s="79"/>
      <c r="G523" s="28" t="s">
        <v>1820</v>
      </c>
      <c r="H523" s="79">
        <v>11</v>
      </c>
      <c r="I523" s="79"/>
      <c r="J523" s="79">
        <v>10.5</v>
      </c>
      <c r="K523" s="79">
        <v>1</v>
      </c>
      <c r="L523" s="833" t="s">
        <v>353</v>
      </c>
      <c r="M523" s="35"/>
      <c r="N523" s="36"/>
      <c r="O523" s="36"/>
      <c r="P523" s="35"/>
      <c r="Q523" s="36"/>
      <c r="R523" s="36"/>
      <c r="S523" s="834"/>
      <c r="T523" s="834"/>
      <c r="U523" s="823" t="s">
        <v>1958</v>
      </c>
      <c r="V523" s="77">
        <v>11</v>
      </c>
      <c r="W523" s="824" t="str">
        <f t="shared" si="17"/>
        <v>Lehrperson Sek. II Individual- und Gruppenunterricht</v>
      </c>
    </row>
    <row r="524" spans="1:23" ht="12.75" x14ac:dyDescent="0.2">
      <c r="A524" s="74" t="str">
        <f t="shared" si="16"/>
        <v>inaktiv</v>
      </c>
      <c r="B524" s="825" t="s">
        <v>1244</v>
      </c>
      <c r="C524" s="76">
        <v>711</v>
      </c>
      <c r="D524" s="76" t="s">
        <v>1657</v>
      </c>
      <c r="E524" s="76"/>
      <c r="F524" s="76" t="s">
        <v>1660</v>
      </c>
      <c r="G524" s="25" t="s">
        <v>1821</v>
      </c>
      <c r="H524" s="76">
        <v>8</v>
      </c>
      <c r="I524" s="76"/>
      <c r="J524" s="76">
        <v>8.5</v>
      </c>
      <c r="K524" s="76">
        <v>8</v>
      </c>
      <c r="L524" s="846" t="s">
        <v>90</v>
      </c>
      <c r="M524" s="31"/>
      <c r="O524" s="32"/>
      <c r="P524" s="31"/>
      <c r="R524" s="32"/>
      <c r="S524" s="847"/>
      <c r="T524" s="847"/>
      <c r="U524" s="823" t="s">
        <v>1958</v>
      </c>
      <c r="V524" s="77">
        <v>8</v>
      </c>
      <c r="W524" s="824" t="str">
        <f t="shared" si="17"/>
        <v>Rektorat Volksschule (Primarstufe + Sekundarstufe I)</v>
      </c>
    </row>
    <row r="525" spans="1:23" ht="12.75" x14ac:dyDescent="0.2">
      <c r="A525" s="74" t="str">
        <f t="shared" si="16"/>
        <v>inaktiv</v>
      </c>
      <c r="B525" s="825" t="s">
        <v>1244</v>
      </c>
      <c r="C525" s="79">
        <v>414</v>
      </c>
      <c r="D525" s="79" t="s">
        <v>1822</v>
      </c>
      <c r="E525" s="79"/>
      <c r="F525" s="79"/>
      <c r="G525" s="28" t="s">
        <v>585</v>
      </c>
      <c r="H525" s="79">
        <v>13</v>
      </c>
      <c r="I525" s="79">
        <v>484.1</v>
      </c>
      <c r="J525" s="79">
        <v>8.5</v>
      </c>
      <c r="K525" s="79">
        <v>2</v>
      </c>
      <c r="L525" s="833" t="s">
        <v>90</v>
      </c>
      <c r="M525" s="35"/>
      <c r="N525" s="36"/>
      <c r="O525" s="36"/>
      <c r="P525" s="35"/>
      <c r="Q525" s="36"/>
      <c r="R525" s="36"/>
      <c r="S525" s="834"/>
      <c r="T525" s="834"/>
      <c r="U525" s="823" t="s">
        <v>1958</v>
      </c>
      <c r="V525" s="77">
        <v>13</v>
      </c>
      <c r="W525" s="824" t="str">
        <f t="shared" si="17"/>
        <v>Logopädie</v>
      </c>
    </row>
    <row r="526" spans="1:23" ht="12.75" x14ac:dyDescent="0.2">
      <c r="A526" s="74" t="str">
        <f t="shared" si="16"/>
        <v>inaktiv</v>
      </c>
      <c r="B526" s="851" t="s">
        <v>1244</v>
      </c>
      <c r="C526" s="72" t="s">
        <v>1333</v>
      </c>
      <c r="D526" s="72" t="s">
        <v>1823</v>
      </c>
      <c r="E526" s="72"/>
      <c r="F526" s="72" t="s">
        <v>687</v>
      </c>
      <c r="G526" s="71" t="s">
        <v>57</v>
      </c>
      <c r="H526" s="72">
        <v>12</v>
      </c>
      <c r="I526" s="72">
        <v>497.9</v>
      </c>
      <c r="J526" s="72">
        <v>8</v>
      </c>
      <c r="K526" s="72">
        <v>3</v>
      </c>
      <c r="L526" s="821" t="s">
        <v>352</v>
      </c>
      <c r="M526" s="73">
        <v>504.2</v>
      </c>
      <c r="N526" s="30">
        <v>9</v>
      </c>
      <c r="O526" s="30">
        <v>2</v>
      </c>
      <c r="P526" s="73">
        <v>502.2</v>
      </c>
      <c r="Q526" s="30">
        <v>9.5</v>
      </c>
      <c r="R526" s="30">
        <v>1</v>
      </c>
      <c r="S526" s="822" t="s">
        <v>351</v>
      </c>
      <c r="T526" s="822" t="s">
        <v>347</v>
      </c>
      <c r="U526" s="823" t="s">
        <v>1958</v>
      </c>
      <c r="V526" s="824">
        <v>12</v>
      </c>
      <c r="W526" s="824" t="str">
        <f t="shared" si="17"/>
        <v>Technisch-Wissenschaftliche Angestellte</v>
      </c>
    </row>
    <row r="527" spans="1:23" ht="12.75" x14ac:dyDescent="0.2">
      <c r="A527" s="74" t="str">
        <f t="shared" si="16"/>
        <v>inaktiv</v>
      </c>
      <c r="B527" s="825" t="s">
        <v>1244</v>
      </c>
      <c r="C527" s="79" t="s">
        <v>1382</v>
      </c>
      <c r="D527" s="79" t="s">
        <v>1247</v>
      </c>
      <c r="E527" s="79"/>
      <c r="F527" s="79"/>
      <c r="G527" s="28" t="s">
        <v>357</v>
      </c>
      <c r="H527" s="79">
        <v>12</v>
      </c>
      <c r="I527" s="79">
        <v>486.5</v>
      </c>
      <c r="J527" s="79">
        <v>7.5</v>
      </c>
      <c r="K527" s="79">
        <v>4</v>
      </c>
      <c r="L527" s="833" t="s">
        <v>674</v>
      </c>
      <c r="M527" s="35"/>
      <c r="N527" s="36"/>
      <c r="O527" s="36"/>
      <c r="P527" s="35"/>
      <c r="Q527" s="36"/>
      <c r="R527" s="36"/>
      <c r="S527" s="834"/>
      <c r="T527" s="834" t="s">
        <v>65</v>
      </c>
      <c r="U527" s="823" t="s">
        <v>1958</v>
      </c>
      <c r="V527" s="824">
        <v>12</v>
      </c>
      <c r="W527" s="824" t="str">
        <f t="shared" si="17"/>
        <v>Vorschulheilpädagogischer Dienst</v>
      </c>
    </row>
    <row r="528" spans="1:23" ht="12.75" x14ac:dyDescent="0.2">
      <c r="A528" s="74" t="str">
        <f t="shared" si="16"/>
        <v>zzzz</v>
      </c>
      <c r="B528" s="28" t="s">
        <v>341</v>
      </c>
      <c r="C528" s="79" t="s">
        <v>342</v>
      </c>
      <c r="D528" s="79"/>
      <c r="E528" s="79"/>
      <c r="F528" s="79"/>
      <c r="G528" s="28" t="s">
        <v>92</v>
      </c>
      <c r="H528" s="79" t="s">
        <v>342</v>
      </c>
      <c r="I528" s="79"/>
      <c r="J528" s="79">
        <v>12.5</v>
      </c>
      <c r="K528" s="79">
        <v>99</v>
      </c>
      <c r="L528" s="833"/>
      <c r="M528" s="35"/>
      <c r="N528" s="36"/>
      <c r="O528" s="36"/>
      <c r="P528" s="35"/>
      <c r="Q528" s="36"/>
      <c r="R528" s="36"/>
      <c r="S528" s="834"/>
      <c r="T528" s="834"/>
      <c r="U528" s="823" t="s">
        <v>1959</v>
      </c>
      <c r="V528" s="80" t="s">
        <v>1824</v>
      </c>
      <c r="W528" s="824"/>
    </row>
  </sheetData>
  <sheetProtection selectLockedCells="1" selectUnlockedCells="1"/>
  <autoFilter ref="A1:T427">
    <sortState ref="A2:T426">
      <sortCondition ref="A1:A426"/>
    </sortState>
  </autoFilter>
  <phoneticPr fontId="12" type="noConversion"/>
  <conditionalFormatting sqref="A1:A528">
    <cfRule type="duplicateValues" dxfId="0" priority="1"/>
  </conditionalFormatting>
  <pageMargins left="0.39370078740157483" right="0.39370078740157483" top="0.39370078740157483" bottom="0.39370078740157483" header="0.19685039370078741" footer="0.11811023622047245"/>
  <pageSetup paperSize="9" scale="32" fitToHeight="99" orientation="landscape" horizontalDpi="1200" verticalDpi="1200" r:id="rId1"/>
  <headerFooter alignWithMargins="0"/>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indexed="22"/>
  </sheetPr>
  <dimension ref="A1:F56"/>
  <sheetViews>
    <sheetView workbookViewId="0">
      <selection activeCell="I31" sqref="I31"/>
    </sheetView>
  </sheetViews>
  <sheetFormatPr baseColWidth="10" defaultColWidth="11.42578125" defaultRowHeight="12.75" x14ac:dyDescent="0.2"/>
  <cols>
    <col min="1" max="1" width="19.42578125" style="10" customWidth="1"/>
    <col min="2" max="2" width="23.5703125" style="10" customWidth="1"/>
    <col min="3" max="3" width="31.5703125" style="10" customWidth="1"/>
    <col min="4" max="4" width="23.42578125" style="10" customWidth="1"/>
    <col min="5" max="5" width="25" style="10" customWidth="1"/>
    <col min="6" max="6" width="11.42578125" style="10"/>
    <col min="7" max="16384" width="11.42578125" style="1"/>
  </cols>
  <sheetData>
    <row r="1" spans="1:4" x14ac:dyDescent="0.2">
      <c r="A1" s="11" t="s">
        <v>283</v>
      </c>
      <c r="B1" s="12" t="s">
        <v>73</v>
      </c>
      <c r="C1" s="12" t="s">
        <v>10</v>
      </c>
      <c r="D1" s="11" t="s">
        <v>284</v>
      </c>
    </row>
    <row r="2" spans="1:4" x14ac:dyDescent="0.2">
      <c r="A2" s="13">
        <v>0</v>
      </c>
      <c r="B2" s="14">
        <v>0</v>
      </c>
      <c r="C2" s="14">
        <v>0</v>
      </c>
      <c r="D2" s="13">
        <v>0</v>
      </c>
    </row>
    <row r="3" spans="1:4" x14ac:dyDescent="0.2">
      <c r="A3" s="15">
        <v>0.5</v>
      </c>
      <c r="B3" s="16">
        <v>4</v>
      </c>
      <c r="C3" s="16">
        <v>5.2</v>
      </c>
      <c r="D3" s="15">
        <v>0.5</v>
      </c>
    </row>
    <row r="4" spans="1:4" x14ac:dyDescent="0.2">
      <c r="A4" s="15">
        <v>1</v>
      </c>
      <c r="B4" s="16">
        <v>9.1</v>
      </c>
      <c r="C4" s="16">
        <v>10.199999999999999</v>
      </c>
      <c r="D4" s="15">
        <v>1</v>
      </c>
    </row>
    <row r="5" spans="1:4" x14ac:dyDescent="0.2">
      <c r="A5" s="15">
        <v>1.5</v>
      </c>
      <c r="B5" s="16">
        <v>14.8</v>
      </c>
      <c r="C5" s="16">
        <v>15.2</v>
      </c>
      <c r="D5" s="15">
        <v>1.5</v>
      </c>
    </row>
    <row r="6" spans="1:4" x14ac:dyDescent="0.2">
      <c r="A6" s="15">
        <v>2</v>
      </c>
      <c r="B6" s="16">
        <v>20.7</v>
      </c>
      <c r="C6" s="16">
        <v>20.2</v>
      </c>
      <c r="D6" s="15">
        <v>2</v>
      </c>
    </row>
    <row r="7" spans="1:4" x14ac:dyDescent="0.2">
      <c r="A7" s="15">
        <v>2.5</v>
      </c>
      <c r="B7" s="16">
        <v>27</v>
      </c>
      <c r="C7" s="16">
        <v>25</v>
      </c>
      <c r="D7" s="15">
        <v>2.5</v>
      </c>
    </row>
    <row r="8" spans="1:4" x14ac:dyDescent="0.2">
      <c r="A8" s="15">
        <v>3</v>
      </c>
      <c r="B8" s="16">
        <v>33.4</v>
      </c>
      <c r="C8" s="16">
        <v>29.8</v>
      </c>
      <c r="D8" s="15">
        <v>3</v>
      </c>
    </row>
    <row r="9" spans="1:4" x14ac:dyDescent="0.2">
      <c r="A9" s="15">
        <v>3.5</v>
      </c>
      <c r="B9" s="16">
        <v>40.1</v>
      </c>
      <c r="C9" s="16">
        <v>34.5</v>
      </c>
      <c r="D9" s="15">
        <v>3.5</v>
      </c>
    </row>
    <row r="10" spans="1:4" x14ac:dyDescent="0.2">
      <c r="A10" s="15">
        <v>4</v>
      </c>
      <c r="B10" s="16">
        <v>46.9</v>
      </c>
      <c r="C10" s="16">
        <v>39.1</v>
      </c>
      <c r="D10" s="15">
        <v>4</v>
      </c>
    </row>
    <row r="11" spans="1:4" x14ac:dyDescent="0.2">
      <c r="A11" s="15">
        <v>4.5</v>
      </c>
      <c r="B11" s="16">
        <v>53.9</v>
      </c>
      <c r="C11" s="16">
        <v>43.6</v>
      </c>
      <c r="D11" s="15">
        <v>4.5</v>
      </c>
    </row>
    <row r="12" spans="1:4" x14ac:dyDescent="0.2">
      <c r="A12" s="15">
        <v>5</v>
      </c>
      <c r="B12" s="16">
        <v>61.1</v>
      </c>
      <c r="C12" s="16">
        <v>48</v>
      </c>
      <c r="D12" s="15">
        <v>5</v>
      </c>
    </row>
    <row r="13" spans="1:4" x14ac:dyDescent="0.2">
      <c r="A13" s="15">
        <v>5.5</v>
      </c>
      <c r="B13" s="16">
        <v>68.3</v>
      </c>
      <c r="C13" s="16">
        <v>52.3</v>
      </c>
      <c r="D13" s="15">
        <v>5.5</v>
      </c>
    </row>
    <row r="14" spans="1:4" x14ac:dyDescent="0.2">
      <c r="A14" s="15">
        <v>6</v>
      </c>
      <c r="B14" s="16">
        <v>75.7</v>
      </c>
      <c r="C14" s="16">
        <v>56.6</v>
      </c>
      <c r="D14" s="15">
        <v>6</v>
      </c>
    </row>
    <row r="15" spans="1:4" x14ac:dyDescent="0.2">
      <c r="A15" s="15">
        <v>6.5</v>
      </c>
      <c r="B15" s="16">
        <v>83.2</v>
      </c>
      <c r="C15" s="16">
        <v>60.7</v>
      </c>
      <c r="D15" s="15">
        <v>6.5</v>
      </c>
    </row>
    <row r="16" spans="1:4" x14ac:dyDescent="0.2">
      <c r="A16" s="15">
        <v>7</v>
      </c>
      <c r="B16" s="16">
        <v>90.8</v>
      </c>
      <c r="C16" s="16">
        <v>64.8</v>
      </c>
      <c r="D16" s="15">
        <v>7</v>
      </c>
    </row>
    <row r="17" spans="1:4" x14ac:dyDescent="0.2">
      <c r="A17" s="15">
        <v>7.5</v>
      </c>
      <c r="B17" s="16">
        <v>98.5</v>
      </c>
      <c r="C17" s="16">
        <v>68.7</v>
      </c>
      <c r="D17" s="15">
        <v>7.5</v>
      </c>
    </row>
    <row r="18" spans="1:4" x14ac:dyDescent="0.2">
      <c r="A18" s="15">
        <v>8</v>
      </c>
      <c r="B18" s="16">
        <v>106.3</v>
      </c>
      <c r="C18" s="16">
        <v>72.599999999999994</v>
      </c>
      <c r="D18" s="15">
        <v>8</v>
      </c>
    </row>
    <row r="19" spans="1:4" x14ac:dyDescent="0.2">
      <c r="A19" s="15">
        <v>8.5</v>
      </c>
      <c r="B19" s="16">
        <v>114.2</v>
      </c>
      <c r="C19" s="16">
        <v>76.3</v>
      </c>
      <c r="D19" s="15">
        <v>8.5</v>
      </c>
    </row>
    <row r="20" spans="1:4" x14ac:dyDescent="0.2">
      <c r="A20" s="15">
        <v>9</v>
      </c>
      <c r="B20" s="16">
        <v>122.2</v>
      </c>
      <c r="C20" s="16">
        <v>79.900000000000006</v>
      </c>
      <c r="D20" s="15">
        <v>9</v>
      </c>
    </row>
    <row r="21" spans="1:4" x14ac:dyDescent="0.2">
      <c r="A21" s="15">
        <v>9.5</v>
      </c>
      <c r="B21" s="16">
        <v>130.19999999999999</v>
      </c>
      <c r="C21" s="16">
        <v>83.4</v>
      </c>
      <c r="D21" s="15">
        <v>9.5</v>
      </c>
    </row>
    <row r="22" spans="1:4" x14ac:dyDescent="0.2">
      <c r="A22" s="15">
        <v>10</v>
      </c>
      <c r="B22" s="16">
        <v>138.30000000000001</v>
      </c>
      <c r="C22" s="16">
        <v>86.7</v>
      </c>
      <c r="D22" s="15">
        <v>10</v>
      </c>
    </row>
    <row r="23" spans="1:4" x14ac:dyDescent="0.2">
      <c r="A23" s="15">
        <v>10.5</v>
      </c>
      <c r="B23" s="16">
        <v>146.5</v>
      </c>
      <c r="C23" s="16">
        <v>90</v>
      </c>
      <c r="D23" s="15">
        <v>10.5</v>
      </c>
    </row>
    <row r="24" spans="1:4" x14ac:dyDescent="0.2">
      <c r="A24" s="15">
        <v>11</v>
      </c>
      <c r="B24" s="16">
        <v>154.80000000000001</v>
      </c>
      <c r="C24" s="16">
        <v>93</v>
      </c>
      <c r="D24" s="15">
        <v>11</v>
      </c>
    </row>
    <row r="25" spans="1:4" x14ac:dyDescent="0.2">
      <c r="A25" s="15">
        <v>11.5</v>
      </c>
      <c r="B25" s="16">
        <v>163.1</v>
      </c>
      <c r="C25" s="16">
        <v>96</v>
      </c>
      <c r="D25" s="15">
        <v>11.5</v>
      </c>
    </row>
    <row r="26" spans="1:4" x14ac:dyDescent="0.2">
      <c r="A26" s="15">
        <v>12</v>
      </c>
      <c r="B26" s="16">
        <v>171.5</v>
      </c>
      <c r="C26" s="16">
        <v>98.7</v>
      </c>
      <c r="D26" s="15">
        <v>12</v>
      </c>
    </row>
    <row r="27" spans="1:4" x14ac:dyDescent="0.2">
      <c r="A27" s="15">
        <v>12.5</v>
      </c>
      <c r="B27" s="16">
        <v>180</v>
      </c>
      <c r="C27" s="16">
        <v>101.3</v>
      </c>
      <c r="D27" s="15">
        <v>12.5</v>
      </c>
    </row>
    <row r="28" spans="1:4" x14ac:dyDescent="0.2">
      <c r="A28" s="15">
        <v>13</v>
      </c>
      <c r="B28" s="16"/>
      <c r="C28" s="16">
        <v>103.6</v>
      </c>
      <c r="D28" s="15">
        <v>13</v>
      </c>
    </row>
    <row r="29" spans="1:4" x14ac:dyDescent="0.2">
      <c r="A29" s="17">
        <v>13.5</v>
      </c>
      <c r="B29" s="16"/>
      <c r="C29" s="18">
        <f>(C28+C30)/2</f>
        <v>105.6</v>
      </c>
      <c r="D29" s="17">
        <v>13.5</v>
      </c>
    </row>
    <row r="30" spans="1:4" x14ac:dyDescent="0.2">
      <c r="A30" s="15">
        <v>14</v>
      </c>
      <c r="B30" s="16"/>
      <c r="C30" s="16">
        <v>107.6</v>
      </c>
      <c r="D30" s="15">
        <v>14</v>
      </c>
    </row>
    <row r="31" spans="1:4" x14ac:dyDescent="0.2">
      <c r="A31" s="17">
        <v>14.5</v>
      </c>
      <c r="B31" s="16"/>
      <c r="C31" s="18">
        <f>(C30+C32)/2</f>
        <v>108.8</v>
      </c>
      <c r="D31" s="17">
        <v>14.5</v>
      </c>
    </row>
    <row r="32" spans="1:4" x14ac:dyDescent="0.2">
      <c r="A32" s="15">
        <v>15</v>
      </c>
      <c r="B32" s="16"/>
      <c r="C32" s="16">
        <v>110</v>
      </c>
      <c r="D32" s="15">
        <v>15</v>
      </c>
    </row>
    <row r="33" spans="1:4" x14ac:dyDescent="0.2">
      <c r="A33" s="19">
        <v>15.5</v>
      </c>
      <c r="C33" s="19">
        <f>C32+3</f>
        <v>113</v>
      </c>
      <c r="D33" s="20">
        <v>15.5</v>
      </c>
    </row>
    <row r="34" spans="1:4" x14ac:dyDescent="0.2">
      <c r="A34" s="19">
        <v>16</v>
      </c>
      <c r="C34" s="19">
        <f t="shared" ref="C34:C56" si="0">C33+3</f>
        <v>116</v>
      </c>
      <c r="D34" s="20">
        <v>16</v>
      </c>
    </row>
    <row r="35" spans="1:4" x14ac:dyDescent="0.2">
      <c r="A35" s="19">
        <v>16.5</v>
      </c>
      <c r="C35" s="19">
        <f t="shared" si="0"/>
        <v>119</v>
      </c>
      <c r="D35" s="20">
        <v>16.5</v>
      </c>
    </row>
    <row r="36" spans="1:4" x14ac:dyDescent="0.2">
      <c r="A36" s="19">
        <v>17</v>
      </c>
      <c r="C36" s="19">
        <f t="shared" si="0"/>
        <v>122</v>
      </c>
      <c r="D36" s="20">
        <v>17</v>
      </c>
    </row>
    <row r="37" spans="1:4" x14ac:dyDescent="0.2">
      <c r="A37" s="19">
        <v>17.5</v>
      </c>
      <c r="C37" s="19">
        <f t="shared" si="0"/>
        <v>125</v>
      </c>
      <c r="D37" s="20">
        <v>17.5</v>
      </c>
    </row>
    <row r="38" spans="1:4" x14ac:dyDescent="0.2">
      <c r="A38" s="19">
        <v>18</v>
      </c>
      <c r="C38" s="19">
        <f t="shared" si="0"/>
        <v>128</v>
      </c>
      <c r="D38" s="20">
        <v>18</v>
      </c>
    </row>
    <row r="39" spans="1:4" x14ac:dyDescent="0.2">
      <c r="A39" s="19">
        <v>18.5</v>
      </c>
      <c r="C39" s="19">
        <f t="shared" si="0"/>
        <v>131</v>
      </c>
      <c r="D39" s="20">
        <v>18.5</v>
      </c>
    </row>
    <row r="40" spans="1:4" x14ac:dyDescent="0.2">
      <c r="A40" s="19">
        <v>19</v>
      </c>
      <c r="C40" s="19">
        <f t="shared" si="0"/>
        <v>134</v>
      </c>
      <c r="D40" s="20">
        <v>19</v>
      </c>
    </row>
    <row r="41" spans="1:4" x14ac:dyDescent="0.2">
      <c r="A41" s="19">
        <v>19.5</v>
      </c>
      <c r="C41" s="19">
        <f t="shared" si="0"/>
        <v>137</v>
      </c>
      <c r="D41" s="20">
        <v>19.5</v>
      </c>
    </row>
    <row r="42" spans="1:4" x14ac:dyDescent="0.2">
      <c r="A42" s="19">
        <v>20</v>
      </c>
      <c r="C42" s="19">
        <f t="shared" si="0"/>
        <v>140</v>
      </c>
      <c r="D42" s="20">
        <v>20</v>
      </c>
    </row>
    <row r="43" spans="1:4" x14ac:dyDescent="0.2">
      <c r="A43" s="19">
        <v>20.5</v>
      </c>
      <c r="C43" s="19">
        <f t="shared" si="0"/>
        <v>143</v>
      </c>
      <c r="D43" s="20">
        <v>20.5</v>
      </c>
    </row>
    <row r="44" spans="1:4" x14ac:dyDescent="0.2">
      <c r="A44" s="19">
        <v>21</v>
      </c>
      <c r="C44" s="19">
        <f t="shared" si="0"/>
        <v>146</v>
      </c>
      <c r="D44" s="20">
        <v>21</v>
      </c>
    </row>
    <row r="45" spans="1:4" x14ac:dyDescent="0.2">
      <c r="A45" s="19">
        <v>21.5</v>
      </c>
      <c r="C45" s="19">
        <f t="shared" si="0"/>
        <v>149</v>
      </c>
      <c r="D45" s="20">
        <v>21.5</v>
      </c>
    </row>
    <row r="46" spans="1:4" x14ac:dyDescent="0.2">
      <c r="A46" s="19">
        <v>22</v>
      </c>
      <c r="C46" s="19">
        <f t="shared" si="0"/>
        <v>152</v>
      </c>
      <c r="D46" s="20">
        <v>22</v>
      </c>
    </row>
    <row r="47" spans="1:4" x14ac:dyDescent="0.2">
      <c r="A47" s="19">
        <v>22.5</v>
      </c>
      <c r="C47" s="19">
        <f t="shared" si="0"/>
        <v>155</v>
      </c>
      <c r="D47" s="20">
        <v>22.5</v>
      </c>
    </row>
    <row r="48" spans="1:4" x14ac:dyDescent="0.2">
      <c r="A48" s="19">
        <v>23</v>
      </c>
      <c r="C48" s="19">
        <f t="shared" si="0"/>
        <v>158</v>
      </c>
      <c r="D48" s="20">
        <v>23</v>
      </c>
    </row>
    <row r="49" spans="1:4" x14ac:dyDescent="0.2">
      <c r="A49" s="19">
        <v>23.5</v>
      </c>
      <c r="C49" s="19">
        <f t="shared" si="0"/>
        <v>161</v>
      </c>
      <c r="D49" s="20">
        <v>23.5</v>
      </c>
    </row>
    <row r="50" spans="1:4" x14ac:dyDescent="0.2">
      <c r="A50" s="19">
        <v>24</v>
      </c>
      <c r="C50" s="19">
        <f t="shared" si="0"/>
        <v>164</v>
      </c>
      <c r="D50" s="20">
        <v>24</v>
      </c>
    </row>
    <row r="51" spans="1:4" x14ac:dyDescent="0.2">
      <c r="A51" s="19">
        <v>24.5</v>
      </c>
      <c r="C51" s="19">
        <f t="shared" si="0"/>
        <v>167</v>
      </c>
      <c r="D51" s="20">
        <v>24.5</v>
      </c>
    </row>
    <row r="52" spans="1:4" x14ac:dyDescent="0.2">
      <c r="A52" s="19">
        <v>25</v>
      </c>
      <c r="C52" s="19">
        <f t="shared" si="0"/>
        <v>170</v>
      </c>
      <c r="D52" s="20">
        <v>25</v>
      </c>
    </row>
    <row r="53" spans="1:4" x14ac:dyDescent="0.2">
      <c r="A53" s="19">
        <v>25.5</v>
      </c>
      <c r="C53" s="19">
        <f t="shared" si="0"/>
        <v>173</v>
      </c>
      <c r="D53" s="20">
        <v>25.5</v>
      </c>
    </row>
    <row r="54" spans="1:4" x14ac:dyDescent="0.2">
      <c r="A54" s="19">
        <v>26</v>
      </c>
      <c r="C54" s="19">
        <f t="shared" si="0"/>
        <v>176</v>
      </c>
      <c r="D54" s="20">
        <v>26</v>
      </c>
    </row>
    <row r="55" spans="1:4" x14ac:dyDescent="0.2">
      <c r="A55" s="19">
        <v>26.5</v>
      </c>
      <c r="C55" s="19">
        <f t="shared" si="0"/>
        <v>179</v>
      </c>
      <c r="D55" s="20">
        <v>26.5</v>
      </c>
    </row>
    <row r="56" spans="1:4" x14ac:dyDescent="0.2">
      <c r="A56" s="19">
        <v>27</v>
      </c>
      <c r="C56" s="19">
        <f t="shared" si="0"/>
        <v>182</v>
      </c>
      <c r="D56" s="20">
        <v>27</v>
      </c>
    </row>
  </sheetData>
  <sheetProtection selectLockedCells="1" selectUnlockedCells="1"/>
  <phoneticPr fontId="12" type="noConversion"/>
  <pageMargins left="0.78740157499999996" right="0.78740157499999996" top="0.984251969" bottom="0.984251969" header="0.4921259845" footer="0.4921259845"/>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5">
    <tabColor theme="6" tint="0.39997558519241921"/>
    <pageSetUpPr fitToPage="1"/>
  </sheetPr>
  <dimension ref="A1:R118"/>
  <sheetViews>
    <sheetView topLeftCell="A13" zoomScaleNormal="100" workbookViewId="0">
      <selection activeCell="K38" sqref="K38:L38"/>
    </sheetView>
  </sheetViews>
  <sheetFormatPr baseColWidth="10" defaultColWidth="11.5703125" defaultRowHeight="12.75" x14ac:dyDescent="0.2"/>
  <cols>
    <col min="1" max="1" width="3.5703125" style="91" customWidth="1"/>
    <col min="2" max="2" width="1.42578125" style="238" customWidth="1"/>
    <col min="3" max="3" width="0.5703125" style="238" customWidth="1"/>
    <col min="4" max="4" width="3.5703125" style="91" customWidth="1"/>
    <col min="5" max="6" width="10.5703125" style="91" customWidth="1"/>
    <col min="7" max="7" width="14.5703125" style="91" customWidth="1"/>
    <col min="8" max="8" width="13.42578125" style="91" customWidth="1"/>
    <col min="9" max="9" width="3.7109375" style="91" customWidth="1"/>
    <col min="10" max="10" width="14.5703125" style="91" customWidth="1"/>
    <col min="11" max="11" width="6.7109375" style="91" customWidth="1"/>
    <col min="12" max="12" width="13.28515625" style="91" customWidth="1"/>
    <col min="13" max="13" width="3.5703125" style="91" customWidth="1"/>
    <col min="14" max="14" width="2.28515625" style="91" customWidth="1"/>
    <col min="15" max="15" width="18" style="91" customWidth="1"/>
    <col min="16" max="16" width="11.5703125" style="91"/>
    <col min="17" max="17" width="42.140625" style="91" customWidth="1"/>
    <col min="18" max="18" width="4.85546875" style="91" hidden="1" customWidth="1"/>
    <col min="19" max="19" width="0" style="91" hidden="1" customWidth="1"/>
    <col min="20" max="16384" width="11.5703125" style="91"/>
  </cols>
  <sheetData>
    <row r="1" spans="1:17" s="247" customFormat="1" ht="5.0999999999999996" customHeight="1" x14ac:dyDescent="0.2">
      <c r="B1" s="238"/>
      <c r="C1" s="238"/>
    </row>
    <row r="2" spans="1:17" s="247" customFormat="1" ht="45" customHeight="1" x14ac:dyDescent="0.2">
      <c r="B2" s="341"/>
      <c r="C2" s="238"/>
      <c r="D2" s="1064" t="s">
        <v>850</v>
      </c>
      <c r="E2" s="1064"/>
      <c r="F2" s="1064"/>
      <c r="G2" s="1064"/>
      <c r="H2" s="1064"/>
      <c r="I2" s="325"/>
      <c r="J2" s="325"/>
      <c r="K2" s="325"/>
      <c r="L2" s="325"/>
    </row>
    <row r="3" spans="1:17" s="238" customFormat="1" ht="21" customHeight="1" x14ac:dyDescent="0.2">
      <c r="B3" s="239"/>
      <c r="D3" s="324" t="s">
        <v>950</v>
      </c>
      <c r="F3" s="324"/>
      <c r="H3" s="240"/>
      <c r="I3" s="240"/>
      <c r="J3" s="240"/>
      <c r="K3" s="240"/>
      <c r="L3" s="240"/>
      <c r="M3" s="240"/>
      <c r="N3" s="240"/>
    </row>
    <row r="4" spans="1:17" s="247" customFormat="1" ht="6.75" customHeight="1" x14ac:dyDescent="0.2">
      <c r="A4" s="242"/>
      <c r="B4" s="243"/>
      <c r="C4" s="243"/>
      <c r="D4" s="243"/>
      <c r="E4" s="243"/>
      <c r="F4" s="244"/>
      <c r="G4" s="243"/>
      <c r="H4" s="245"/>
      <c r="I4" s="246"/>
      <c r="J4" s="245"/>
      <c r="K4" s="245"/>
      <c r="L4" s="245"/>
      <c r="M4" s="245"/>
      <c r="N4" s="240"/>
    </row>
    <row r="5" spans="1:17" s="247" customFormat="1" ht="6" customHeight="1" x14ac:dyDescent="0.2">
      <c r="A5" s="242"/>
      <c r="B5" s="243"/>
      <c r="C5" s="242"/>
      <c r="D5" s="242"/>
      <c r="E5" s="242"/>
      <c r="F5" s="324"/>
      <c r="G5" s="242"/>
      <c r="H5" s="248"/>
      <c r="I5" s="249"/>
      <c r="J5" s="248"/>
      <c r="K5" s="248"/>
      <c r="L5" s="248"/>
      <c r="M5" s="248"/>
      <c r="N5" s="242"/>
    </row>
    <row r="6" spans="1:17" s="247" customFormat="1" ht="5.0999999999999996" customHeight="1" x14ac:dyDescent="0.2">
      <c r="B6" s="243"/>
      <c r="D6" s="59"/>
      <c r="E6" s="321"/>
      <c r="F6" s="322"/>
      <c r="G6" s="323"/>
      <c r="H6" s="321"/>
      <c r="I6" s="321"/>
      <c r="J6" s="321"/>
      <c r="K6" s="321"/>
      <c r="L6" s="321"/>
      <c r="M6" s="60"/>
    </row>
    <row r="7" spans="1:17" s="247" customFormat="1" x14ac:dyDescent="0.2">
      <c r="B7" s="243"/>
      <c r="D7" s="61"/>
      <c r="E7" s="454" t="s">
        <v>771</v>
      </c>
      <c r="F7" s="461"/>
      <c r="G7" s="582"/>
      <c r="H7" s="461"/>
      <c r="I7" s="461"/>
      <c r="J7" s="461"/>
      <c r="K7" s="461"/>
      <c r="L7" s="461"/>
      <c r="M7" s="62"/>
    </row>
    <row r="8" spans="1:17" s="247" customFormat="1" ht="12.6" customHeight="1" x14ac:dyDescent="0.2">
      <c r="B8" s="243"/>
      <c r="C8" s="242"/>
      <c r="D8" s="61"/>
      <c r="E8" s="452"/>
      <c r="F8" s="452"/>
      <c r="G8" s="453"/>
      <c r="H8" s="452"/>
      <c r="I8" s="452"/>
      <c r="J8" s="452"/>
      <c r="K8" s="452"/>
      <c r="L8" s="452"/>
      <c r="M8" s="62"/>
      <c r="O8" s="1068" t="s">
        <v>1040</v>
      </c>
      <c r="P8" s="1069"/>
      <c r="Q8" s="711"/>
    </row>
    <row r="9" spans="1:17" s="247" customFormat="1" ht="12.6" customHeight="1" x14ac:dyDescent="0.2">
      <c r="B9" s="250"/>
      <c r="C9" s="238"/>
      <c r="D9" s="61"/>
      <c r="E9" s="452" t="s">
        <v>974</v>
      </c>
      <c r="F9" s="452"/>
      <c r="G9" s="583" t="str">
        <f>IF(MAAnrede&lt;&gt;"",MAAnrede,"")</f>
        <v/>
      </c>
      <c r="H9" s="452"/>
      <c r="I9" s="452"/>
      <c r="J9" s="452"/>
      <c r="K9" s="452"/>
      <c r="L9" s="452"/>
      <c r="M9" s="62"/>
      <c r="O9" s="1070"/>
      <c r="P9" s="1071"/>
      <c r="Q9" s="711"/>
    </row>
    <row r="10" spans="1:17" s="247" customFormat="1" x14ac:dyDescent="0.2">
      <c r="B10" s="243"/>
      <c r="C10" s="242"/>
      <c r="D10" s="61"/>
      <c r="E10" s="452"/>
      <c r="F10" s="452"/>
      <c r="G10" s="453"/>
      <c r="H10" s="452"/>
      <c r="I10" s="452"/>
      <c r="J10" s="452"/>
      <c r="K10" s="452"/>
      <c r="L10" s="452"/>
      <c r="M10" s="62"/>
    </row>
    <row r="11" spans="1:17" s="247" customFormat="1" x14ac:dyDescent="0.2">
      <c r="B11" s="250"/>
      <c r="C11" s="238"/>
      <c r="D11" s="61"/>
      <c r="E11" s="452" t="s">
        <v>757</v>
      </c>
      <c r="F11" s="452"/>
      <c r="G11" s="1065" t="str">
        <f>IF(MAName&lt;&gt;"",MAName,"")</f>
        <v/>
      </c>
      <c r="H11" s="1065"/>
      <c r="I11" s="452"/>
      <c r="J11" s="452" t="s">
        <v>758</v>
      </c>
      <c r="K11" s="1065" t="str">
        <f>IF(MAVorname&lt;&gt;"",MAVorname,"")</f>
        <v/>
      </c>
      <c r="L11" s="1065"/>
      <c r="M11" s="62"/>
    </row>
    <row r="12" spans="1:17" s="247" customFormat="1" x14ac:dyDescent="0.2">
      <c r="B12" s="250"/>
      <c r="C12" s="238"/>
      <c r="D12" s="61"/>
      <c r="E12" s="452"/>
      <c r="F12" s="452"/>
      <c r="G12" s="452"/>
      <c r="H12" s="452"/>
      <c r="I12" s="452"/>
      <c r="J12" s="452"/>
      <c r="K12" s="452"/>
      <c r="L12" s="452"/>
      <c r="M12" s="62"/>
    </row>
    <row r="13" spans="1:17" s="247" customFormat="1" x14ac:dyDescent="0.2">
      <c r="B13" s="250"/>
      <c r="C13" s="238"/>
      <c r="D13" s="61"/>
      <c r="E13" s="452" t="s">
        <v>763</v>
      </c>
      <c r="F13" s="452"/>
      <c r="G13" s="1066" t="str">
        <f>IF(MAPersID&lt;&gt;"",MAPersID,"")</f>
        <v/>
      </c>
      <c r="H13" s="1066"/>
      <c r="I13" s="460"/>
      <c r="J13" s="451"/>
      <c r="K13" s="451"/>
      <c r="L13" s="451"/>
      <c r="M13" s="62"/>
    </row>
    <row r="14" spans="1:17" s="247" customFormat="1" x14ac:dyDescent="0.2">
      <c r="B14" s="250"/>
      <c r="C14" s="238"/>
      <c r="D14" s="61"/>
      <c r="E14" s="452"/>
      <c r="F14" s="452"/>
      <c r="G14" s="453"/>
      <c r="H14" s="452"/>
      <c r="I14" s="452"/>
      <c r="J14" s="452"/>
      <c r="K14" s="452"/>
      <c r="L14" s="452"/>
      <c r="M14" s="62"/>
      <c r="O14" s="711"/>
      <c r="P14" s="711"/>
      <c r="Q14" s="711"/>
    </row>
    <row r="15" spans="1:17" s="247" customFormat="1" x14ac:dyDescent="0.2">
      <c r="B15" s="250"/>
      <c r="C15" s="238"/>
      <c r="D15" s="61"/>
      <c r="E15" s="452" t="s">
        <v>756</v>
      </c>
      <c r="F15" s="452"/>
      <c r="G15" s="1057"/>
      <c r="H15" s="1057"/>
      <c r="I15" s="1057"/>
      <c r="J15" s="1057"/>
      <c r="K15" s="1057"/>
      <c r="L15" s="1057"/>
      <c r="M15" s="62"/>
      <c r="O15" s="711"/>
      <c r="P15" s="711"/>
      <c r="Q15" s="711"/>
    </row>
    <row r="16" spans="1:17" s="247" customFormat="1" x14ac:dyDescent="0.2">
      <c r="B16" s="250"/>
      <c r="C16" s="238"/>
      <c r="D16" s="61"/>
      <c r="E16" s="452"/>
      <c r="F16" s="452"/>
      <c r="G16" s="453"/>
      <c r="H16" s="452"/>
      <c r="I16" s="452"/>
      <c r="J16" s="452"/>
      <c r="K16" s="452"/>
      <c r="L16" s="452"/>
      <c r="M16" s="62"/>
    </row>
    <row r="17" spans="2:16" s="247" customFormat="1" x14ac:dyDescent="0.2">
      <c r="B17" s="250"/>
      <c r="C17" s="238"/>
      <c r="D17" s="61"/>
      <c r="E17" s="452" t="s">
        <v>759</v>
      </c>
      <c r="F17" s="452"/>
      <c r="G17" s="584"/>
      <c r="H17" s="452"/>
      <c r="I17" s="452"/>
      <c r="J17" s="452" t="s">
        <v>760</v>
      </c>
      <c r="K17" s="1057"/>
      <c r="L17" s="1057"/>
      <c r="M17" s="62"/>
      <c r="O17" s="708"/>
      <c r="P17" s="92"/>
    </row>
    <row r="18" spans="2:16" s="247" customFormat="1" x14ac:dyDescent="0.2">
      <c r="B18" s="250"/>
      <c r="C18" s="238"/>
      <c r="D18" s="61"/>
      <c r="E18" s="452"/>
      <c r="F18" s="452"/>
      <c r="G18" s="453"/>
      <c r="H18" s="452"/>
      <c r="I18" s="452"/>
      <c r="J18" s="452"/>
      <c r="K18" s="452"/>
      <c r="L18" s="453"/>
      <c r="M18" s="62"/>
      <c r="O18" s="708"/>
      <c r="P18" s="92"/>
    </row>
    <row r="19" spans="2:16" s="247" customFormat="1" x14ac:dyDescent="0.2">
      <c r="B19" s="250"/>
      <c r="C19" s="238"/>
      <c r="D19" s="61"/>
      <c r="E19" s="452" t="s">
        <v>761</v>
      </c>
      <c r="F19" s="452"/>
      <c r="G19" s="585">
        <f>MAGeburtsdatum</f>
        <v>0</v>
      </c>
      <c r="H19" s="452"/>
      <c r="I19" s="452"/>
      <c r="J19" s="452"/>
      <c r="K19" s="453"/>
      <c r="L19" s="453"/>
      <c r="M19" s="62"/>
      <c r="O19" s="708"/>
      <c r="P19" s="92"/>
    </row>
    <row r="20" spans="2:16" s="247" customFormat="1" x14ac:dyDescent="0.2">
      <c r="B20" s="250"/>
      <c r="C20" s="238"/>
      <c r="D20" s="61"/>
      <c r="E20" s="452"/>
      <c r="F20" s="452"/>
      <c r="G20" s="452"/>
      <c r="H20" s="452"/>
      <c r="I20" s="452"/>
      <c r="J20" s="452"/>
      <c r="K20" s="452"/>
      <c r="L20" s="453"/>
      <c r="M20" s="62"/>
    </row>
    <row r="21" spans="2:16" s="247" customFormat="1" ht="13.15" customHeight="1" x14ac:dyDescent="0.2">
      <c r="B21" s="243"/>
      <c r="D21" s="61"/>
      <c r="E21" s="457" t="s">
        <v>826</v>
      </c>
      <c r="F21" s="1054" t="s">
        <v>1085</v>
      </c>
      <c r="G21" s="1054"/>
      <c r="H21" s="1054"/>
      <c r="I21" s="1054"/>
      <c r="J21" s="1054"/>
      <c r="K21" s="1054"/>
      <c r="L21" s="451"/>
      <c r="M21" s="62"/>
    </row>
    <row r="22" spans="2:16" s="247" customFormat="1" ht="13.15" customHeight="1" x14ac:dyDescent="0.2">
      <c r="B22" s="243"/>
      <c r="D22" s="61"/>
      <c r="E22" s="457"/>
      <c r="F22" s="1054" t="s">
        <v>1083</v>
      </c>
      <c r="G22" s="1054"/>
      <c r="H22" s="1054"/>
      <c r="I22" s="1054"/>
      <c r="J22" s="1054"/>
      <c r="K22" s="1054"/>
      <c r="L22" s="1054"/>
      <c r="M22" s="62"/>
    </row>
    <row r="23" spans="2:16" s="247" customFormat="1" ht="12.6" customHeight="1" x14ac:dyDescent="0.2">
      <c r="B23" s="243"/>
      <c r="D23" s="61"/>
      <c r="E23" s="457"/>
      <c r="F23" s="1054" t="s">
        <v>1084</v>
      </c>
      <c r="G23" s="1054"/>
      <c r="H23" s="1054"/>
      <c r="I23" s="1054"/>
      <c r="J23" s="1054"/>
      <c r="K23" s="586"/>
      <c r="L23" s="451"/>
      <c r="M23" s="62"/>
    </row>
    <row r="24" spans="2:16" s="247" customFormat="1" ht="12.6" customHeight="1" x14ac:dyDescent="0.2">
      <c r="B24" s="243"/>
      <c r="D24" s="61"/>
      <c r="E24" s="457"/>
      <c r="F24" s="1054" t="s">
        <v>1086</v>
      </c>
      <c r="G24" s="1054"/>
      <c r="H24" s="586"/>
      <c r="I24" s="586"/>
      <c r="J24" s="586"/>
      <c r="K24" s="586"/>
      <c r="L24" s="451"/>
      <c r="M24" s="62"/>
    </row>
    <row r="25" spans="2:16" s="247" customFormat="1" ht="8.1" customHeight="1" x14ac:dyDescent="0.2">
      <c r="B25" s="250"/>
      <c r="C25" s="238"/>
      <c r="D25" s="63"/>
      <c r="E25" s="64"/>
      <c r="F25" s="64"/>
      <c r="G25" s="65"/>
      <c r="H25" s="64"/>
      <c r="I25" s="64"/>
      <c r="J25" s="64"/>
      <c r="K25" s="64"/>
      <c r="L25" s="64"/>
      <c r="M25" s="66"/>
    </row>
    <row r="26" spans="2:16" s="247" customFormat="1" ht="6" customHeight="1" x14ac:dyDescent="0.2">
      <c r="B26" s="250"/>
      <c r="C26" s="238"/>
      <c r="D26" s="451"/>
      <c r="E26" s="452"/>
      <c r="F26" s="452"/>
      <c r="G26" s="453"/>
      <c r="H26" s="452"/>
      <c r="I26" s="452"/>
      <c r="J26" s="452"/>
      <c r="K26" s="452"/>
      <c r="L26" s="452"/>
      <c r="M26" s="451"/>
    </row>
    <row r="27" spans="2:16" s="247" customFormat="1" ht="5.0999999999999996" customHeight="1" x14ac:dyDescent="0.2">
      <c r="B27" s="250"/>
      <c r="C27" s="238"/>
      <c r="D27" s="59"/>
      <c r="E27" s="272"/>
      <c r="F27" s="272"/>
      <c r="G27" s="273"/>
      <c r="H27" s="272"/>
      <c r="I27" s="272"/>
      <c r="J27" s="272"/>
      <c r="K27" s="272"/>
      <c r="L27" s="272"/>
      <c r="M27" s="60"/>
    </row>
    <row r="28" spans="2:16" s="247" customFormat="1" x14ac:dyDescent="0.2">
      <c r="B28" s="250"/>
      <c r="C28" s="238"/>
      <c r="D28" s="61"/>
      <c r="E28" s="454" t="s">
        <v>936</v>
      </c>
      <c r="F28" s="452"/>
      <c r="G28" s="453"/>
      <c r="H28" s="452"/>
      <c r="I28" s="452"/>
      <c r="J28" s="452"/>
      <c r="K28" s="452"/>
      <c r="L28" s="452"/>
      <c r="M28" s="62"/>
    </row>
    <row r="29" spans="2:16" s="247" customFormat="1" x14ac:dyDescent="0.2">
      <c r="B29" s="250"/>
      <c r="C29" s="238"/>
      <c r="D29" s="61"/>
      <c r="E29" s="452"/>
      <c r="F29" s="452"/>
      <c r="G29" s="453"/>
      <c r="H29" s="452"/>
      <c r="I29" s="452"/>
      <c r="J29" s="452"/>
      <c r="K29" s="452"/>
      <c r="L29" s="452"/>
      <c r="M29" s="62"/>
    </row>
    <row r="30" spans="2:16" s="247" customFormat="1" x14ac:dyDescent="0.2">
      <c r="B30" s="250"/>
      <c r="C30" s="238"/>
      <c r="D30" s="61"/>
      <c r="E30" s="452" t="s">
        <v>822</v>
      </c>
      <c r="F30" s="452"/>
      <c r="G30" s="650"/>
      <c r="H30" s="1073" t="s">
        <v>827</v>
      </c>
      <c r="I30" s="1073"/>
      <c r="J30" s="1062"/>
      <c r="K30" s="1062"/>
      <c r="L30" s="1062"/>
      <c r="M30" s="62"/>
      <c r="O30" s="911">
        <f>YEAR(G30)</f>
        <v>1900</v>
      </c>
    </row>
    <row r="31" spans="2:16" s="247" customFormat="1" ht="16.5" x14ac:dyDescent="0.2">
      <c r="B31" s="250"/>
      <c r="C31" s="238"/>
      <c r="D31" s="61"/>
      <c r="E31" s="461"/>
      <c r="F31" s="462"/>
      <c r="G31" s="582"/>
      <c r="H31" s="461"/>
      <c r="I31" s="461"/>
      <c r="J31" s="452"/>
      <c r="K31" s="452"/>
      <c r="L31" s="452"/>
      <c r="M31" s="62"/>
    </row>
    <row r="32" spans="2:16" s="247" customFormat="1" ht="13.35" customHeight="1" x14ac:dyDescent="0.2">
      <c r="B32" s="250"/>
      <c r="C32" s="238"/>
      <c r="D32" s="61"/>
      <c r="E32" s="452" t="s">
        <v>995</v>
      </c>
      <c r="F32" s="462"/>
      <c r="G32" s="1058"/>
      <c r="H32" s="1058"/>
      <c r="I32" s="461"/>
      <c r="J32" s="1076" t="s">
        <v>1144</v>
      </c>
      <c r="K32" s="1076"/>
      <c r="L32" s="1076"/>
      <c r="M32" s="1077"/>
    </row>
    <row r="33" spans="2:13" s="247" customFormat="1" ht="16.5" x14ac:dyDescent="0.2">
      <c r="B33" s="250"/>
      <c r="C33" s="238"/>
      <c r="D33" s="61"/>
      <c r="E33" s="461"/>
      <c r="F33" s="462"/>
      <c r="G33" s="462"/>
      <c r="H33" s="461"/>
      <c r="I33" s="461"/>
      <c r="J33" s="452"/>
      <c r="K33" s="452"/>
      <c r="L33" s="452"/>
      <c r="M33" s="62"/>
    </row>
    <row r="34" spans="2:13" s="247" customFormat="1" x14ac:dyDescent="0.2">
      <c r="B34" s="250"/>
      <c r="C34" s="238"/>
      <c r="D34" s="61"/>
      <c r="E34" s="463" t="s">
        <v>997</v>
      </c>
      <c r="F34" s="453"/>
      <c r="G34" s="650"/>
      <c r="H34" s="1074" t="s">
        <v>996</v>
      </c>
      <c r="I34" s="1074"/>
      <c r="J34" s="1072"/>
      <c r="K34" s="1072"/>
      <c r="L34" s="1072"/>
      <c r="M34" s="62"/>
    </row>
    <row r="35" spans="2:13" s="247" customFormat="1" ht="16.5" x14ac:dyDescent="0.2">
      <c r="B35" s="250"/>
      <c r="C35" s="238"/>
      <c r="D35" s="61"/>
      <c r="E35" s="461"/>
      <c r="F35" s="462"/>
      <c r="G35" s="462"/>
      <c r="H35" s="461"/>
      <c r="I35" s="461"/>
      <c r="J35" s="575"/>
      <c r="K35" s="461"/>
      <c r="L35" s="461"/>
      <c r="M35" s="62"/>
    </row>
    <row r="36" spans="2:13" s="247" customFormat="1" ht="13.35" customHeight="1" x14ac:dyDescent="0.2">
      <c r="B36" s="250"/>
      <c r="C36" s="238"/>
      <c r="D36" s="61"/>
      <c r="E36" s="1075" t="s">
        <v>934</v>
      </c>
      <c r="F36" s="1075"/>
      <c r="G36" s="1057"/>
      <c r="H36" s="1057"/>
      <c r="I36" s="1075" t="s">
        <v>935</v>
      </c>
      <c r="J36" s="1075"/>
      <c r="K36" s="1057"/>
      <c r="L36" s="1057"/>
      <c r="M36" s="62"/>
    </row>
    <row r="37" spans="2:13" s="247" customFormat="1" x14ac:dyDescent="0.2">
      <c r="B37" s="243"/>
      <c r="C37" s="242"/>
      <c r="D37" s="61"/>
      <c r="E37" s="586"/>
      <c r="F37" s="452"/>
      <c r="G37" s="453"/>
      <c r="H37" s="452"/>
      <c r="I37" s="586"/>
      <c r="J37" s="586"/>
      <c r="K37" s="452"/>
      <c r="L37" s="452"/>
      <c r="M37" s="62"/>
    </row>
    <row r="38" spans="2:13" s="247" customFormat="1" x14ac:dyDescent="0.2">
      <c r="B38" s="250"/>
      <c r="C38" s="271"/>
      <c r="D38" s="61"/>
      <c r="E38" s="452" t="s">
        <v>852</v>
      </c>
      <c r="F38" s="587"/>
      <c r="G38" s="1057"/>
      <c r="H38" s="1057"/>
      <c r="I38" s="461"/>
      <c r="J38" s="452" t="s">
        <v>953</v>
      </c>
      <c r="K38" s="1057"/>
      <c r="L38" s="1057"/>
      <c r="M38" s="62"/>
    </row>
    <row r="39" spans="2:13" s="247" customFormat="1" x14ac:dyDescent="0.2">
      <c r="B39" s="243"/>
      <c r="C39" s="242"/>
      <c r="D39" s="61"/>
      <c r="E39" s="452"/>
      <c r="F39" s="452"/>
      <c r="G39" s="451"/>
      <c r="H39" s="588"/>
      <c r="I39" s="588"/>
      <c r="J39" s="451"/>
      <c r="K39" s="451"/>
      <c r="L39" s="451"/>
      <c r="M39" s="62"/>
    </row>
    <row r="40" spans="2:13" s="247" customFormat="1" x14ac:dyDescent="0.2">
      <c r="B40" s="243"/>
      <c r="C40" s="242"/>
      <c r="D40" s="61"/>
      <c r="E40" s="452" t="s">
        <v>912</v>
      </c>
      <c r="F40" s="452"/>
      <c r="G40" s="1057"/>
      <c r="H40" s="1057"/>
      <c r="I40" s="461"/>
      <c r="J40" s="451"/>
      <c r="K40" s="451"/>
      <c r="L40" s="451"/>
      <c r="M40" s="62"/>
    </row>
    <row r="41" spans="2:13" s="247" customFormat="1" x14ac:dyDescent="0.2">
      <c r="B41" s="243"/>
      <c r="C41" s="242"/>
      <c r="D41" s="61"/>
      <c r="E41" s="452"/>
      <c r="F41" s="452"/>
      <c r="G41" s="451"/>
      <c r="H41" s="588"/>
      <c r="I41" s="588"/>
      <c r="J41" s="451"/>
      <c r="K41" s="451"/>
      <c r="L41" s="451"/>
      <c r="M41" s="62"/>
    </row>
    <row r="42" spans="2:13" s="247" customFormat="1" x14ac:dyDescent="0.2">
      <c r="B42" s="243"/>
      <c r="C42" s="242"/>
      <c r="D42" s="61"/>
      <c r="E42" s="452" t="s">
        <v>851</v>
      </c>
      <c r="F42" s="452"/>
      <c r="G42" s="1058"/>
      <c r="H42" s="1058"/>
      <c r="I42" s="452"/>
      <c r="J42" s="452" t="s">
        <v>828</v>
      </c>
      <c r="K42" s="452"/>
      <c r="L42" s="803"/>
      <c r="M42" s="62"/>
    </row>
    <row r="43" spans="2:13" s="247" customFormat="1" x14ac:dyDescent="0.2">
      <c r="B43" s="243"/>
      <c r="C43" s="242"/>
      <c r="D43" s="61"/>
      <c r="E43" s="452"/>
      <c r="F43" s="452"/>
      <c r="G43" s="453"/>
      <c r="H43" s="452"/>
      <c r="I43" s="452"/>
      <c r="J43" s="452"/>
      <c r="K43" s="452"/>
      <c r="L43" s="452"/>
      <c r="M43" s="62"/>
    </row>
    <row r="44" spans="2:13" s="247" customFormat="1" x14ac:dyDescent="0.2">
      <c r="B44" s="243"/>
      <c r="C44" s="242"/>
      <c r="D44" s="61"/>
      <c r="E44" s="452"/>
      <c r="F44" s="589"/>
      <c r="G44" s="589" t="s">
        <v>829</v>
      </c>
      <c r="H44" s="599">
        <f>SUM(L42:L42)</f>
        <v>0</v>
      </c>
      <c r="I44" s="452"/>
      <c r="J44" s="452" t="s">
        <v>824</v>
      </c>
      <c r="K44" s="452"/>
      <c r="L44" s="452"/>
      <c r="M44" s="62"/>
    </row>
    <row r="45" spans="2:13" s="247" customFormat="1" x14ac:dyDescent="0.2">
      <c r="B45" s="243"/>
      <c r="C45" s="242"/>
      <c r="D45" s="61"/>
      <c r="E45" s="452"/>
      <c r="F45" s="452"/>
      <c r="G45" s="453"/>
      <c r="H45" s="452"/>
      <c r="I45" s="452"/>
      <c r="J45" s="452"/>
      <c r="K45" s="452"/>
      <c r="L45" s="452"/>
      <c r="M45" s="62"/>
    </row>
    <row r="46" spans="2:13" s="247" customFormat="1" x14ac:dyDescent="0.2">
      <c r="B46" s="243"/>
      <c r="C46" s="242"/>
      <c r="D46" s="61"/>
      <c r="E46" s="452"/>
      <c r="F46" s="589"/>
      <c r="G46" s="452" t="s">
        <v>823</v>
      </c>
      <c r="H46" s="590"/>
      <c r="I46" s="590"/>
      <c r="J46" s="804"/>
      <c r="K46" s="453" t="s">
        <v>7</v>
      </c>
      <c r="L46" s="805"/>
      <c r="M46" s="62"/>
    </row>
    <row r="47" spans="2:13" s="247" customFormat="1" x14ac:dyDescent="0.2">
      <c r="B47" s="243"/>
      <c r="C47" s="242"/>
      <c r="D47" s="61"/>
      <c r="E47" s="578"/>
      <c r="F47" s="578"/>
      <c r="G47" s="580" t="s">
        <v>825</v>
      </c>
      <c r="H47" s="581"/>
      <c r="I47" s="581"/>
      <c r="J47" s="581"/>
      <c r="K47" s="579"/>
      <c r="L47" s="581"/>
      <c r="M47" s="62"/>
    </row>
    <row r="48" spans="2:13" s="247" customFormat="1" x14ac:dyDescent="0.2">
      <c r="B48" s="243"/>
      <c r="C48" s="242"/>
      <c r="D48" s="61"/>
      <c r="E48" s="578"/>
      <c r="F48" s="578"/>
      <c r="G48" s="580"/>
      <c r="H48" s="581"/>
      <c r="I48" s="581"/>
      <c r="J48" s="581"/>
      <c r="K48" s="579"/>
      <c r="L48" s="581"/>
      <c r="M48" s="62"/>
    </row>
    <row r="49" spans="1:18" s="247" customFormat="1" x14ac:dyDescent="0.2">
      <c r="B49" s="243"/>
      <c r="C49" s="242"/>
      <c r="D49" s="61"/>
      <c r="E49" s="452" t="s">
        <v>866</v>
      </c>
      <c r="F49" s="452"/>
      <c r="G49" s="452"/>
      <c r="H49" s="452"/>
      <c r="I49" s="452"/>
      <c r="J49" s="451"/>
      <c r="K49" s="581"/>
      <c r="L49" s="794"/>
      <c r="M49" s="62"/>
    </row>
    <row r="50" spans="1:18" s="247" customFormat="1" x14ac:dyDescent="0.2">
      <c r="B50" s="243"/>
      <c r="C50" s="242"/>
      <c r="D50" s="61"/>
      <c r="E50" s="590" t="s">
        <v>867</v>
      </c>
      <c r="F50" s="452"/>
      <c r="G50" s="452"/>
      <c r="H50" s="452"/>
      <c r="I50" s="452"/>
      <c r="J50" s="452"/>
      <c r="K50" s="578"/>
      <c r="L50" s="578"/>
      <c r="M50" s="62"/>
    </row>
    <row r="51" spans="1:18" s="247" customFormat="1" x14ac:dyDescent="0.2">
      <c r="B51" s="243"/>
      <c r="C51" s="242"/>
      <c r="D51" s="61"/>
      <c r="E51" s="590"/>
      <c r="F51" s="452"/>
      <c r="G51" s="452"/>
      <c r="H51" s="452"/>
      <c r="I51" s="452"/>
      <c r="J51" s="452"/>
      <c r="K51" s="578"/>
      <c r="L51" s="578"/>
      <c r="M51" s="62"/>
    </row>
    <row r="52" spans="1:18" s="247" customFormat="1" x14ac:dyDescent="0.2">
      <c r="B52" s="243"/>
      <c r="C52" s="238"/>
      <c r="D52" s="61"/>
      <c r="E52" s="1059" t="s">
        <v>979</v>
      </c>
      <c r="F52" s="1059"/>
      <c r="G52" s="1059"/>
      <c r="H52" s="461"/>
      <c r="I52" s="461"/>
      <c r="J52" s="461"/>
      <c r="K52" s="461"/>
      <c r="L52" s="461"/>
      <c r="M52" s="62"/>
    </row>
    <row r="53" spans="1:18" s="247" customFormat="1" x14ac:dyDescent="0.2">
      <c r="B53" s="243"/>
      <c r="C53" s="238"/>
      <c r="D53" s="61"/>
      <c r="E53" s="452"/>
      <c r="F53" s="452"/>
      <c r="G53" s="453"/>
      <c r="H53" s="452"/>
      <c r="I53" s="452"/>
      <c r="J53" s="452"/>
      <c r="K53" s="452"/>
      <c r="L53" s="452"/>
      <c r="M53" s="62"/>
      <c r="R53" s="247" t="s">
        <v>980</v>
      </c>
    </row>
    <row r="54" spans="1:18" s="247" customFormat="1" x14ac:dyDescent="0.2">
      <c r="B54" s="243"/>
      <c r="C54" s="238"/>
      <c r="D54" s="61"/>
      <c r="E54" s="1067"/>
      <c r="F54" s="1067"/>
      <c r="G54" s="1067"/>
      <c r="H54" s="1067"/>
      <c r="I54" s="1067"/>
      <c r="J54" s="1067"/>
      <c r="K54" s="1067"/>
      <c r="L54" s="1067"/>
      <c r="M54" s="62"/>
      <c r="R54" s="358">
        <f>E54</f>
        <v>0</v>
      </c>
    </row>
    <row r="55" spans="1:18" s="247" customFormat="1" x14ac:dyDescent="0.2">
      <c r="B55" s="243"/>
      <c r="C55" s="238"/>
      <c r="D55" s="61"/>
      <c r="E55" s="1067"/>
      <c r="F55" s="1067"/>
      <c r="G55" s="1067"/>
      <c r="H55" s="1067"/>
      <c r="I55" s="1067"/>
      <c r="J55" s="1067"/>
      <c r="K55" s="1067"/>
      <c r="L55" s="1067"/>
      <c r="M55" s="62"/>
      <c r="R55" s="358"/>
    </row>
    <row r="56" spans="1:18" s="247" customFormat="1" x14ac:dyDescent="0.2">
      <c r="B56" s="243"/>
      <c r="C56" s="238"/>
      <c r="D56" s="61"/>
      <c r="E56" s="1067"/>
      <c r="F56" s="1067"/>
      <c r="G56" s="1067"/>
      <c r="H56" s="1067"/>
      <c r="I56" s="1067"/>
      <c r="J56" s="1067"/>
      <c r="K56" s="1067"/>
      <c r="L56" s="1067"/>
      <c r="M56" s="62"/>
      <c r="R56" s="358">
        <f>E56</f>
        <v>0</v>
      </c>
    </row>
    <row r="57" spans="1:18" s="247" customFormat="1" x14ac:dyDescent="0.2">
      <c r="B57" s="243"/>
      <c r="C57" s="242"/>
      <c r="D57" s="61"/>
      <c r="E57" s="590"/>
      <c r="F57" s="452"/>
      <c r="G57" s="452"/>
      <c r="H57" s="452"/>
      <c r="I57" s="452"/>
      <c r="J57" s="452"/>
      <c r="K57" s="578"/>
      <c r="L57" s="578"/>
      <c r="M57" s="62"/>
    </row>
    <row r="58" spans="1:18" s="247" customFormat="1" x14ac:dyDescent="0.2">
      <c r="B58" s="243"/>
      <c r="C58" s="238"/>
      <c r="D58" s="61"/>
      <c r="H58" s="1059" t="s">
        <v>1136</v>
      </c>
      <c r="I58" s="1059"/>
      <c r="J58" s="1059"/>
      <c r="K58" s="461"/>
      <c r="L58" s="650"/>
      <c r="M58" s="62"/>
    </row>
    <row r="59" spans="1:18" s="247" customFormat="1" ht="7.15" customHeight="1" x14ac:dyDescent="0.2">
      <c r="B59" s="243"/>
      <c r="C59" s="242"/>
      <c r="D59" s="63"/>
      <c r="E59" s="64"/>
      <c r="F59" s="64"/>
      <c r="G59" s="64"/>
      <c r="H59" s="64"/>
      <c r="I59" s="64"/>
      <c r="J59" s="64"/>
      <c r="K59" s="356"/>
      <c r="L59" s="357"/>
      <c r="M59" s="66"/>
    </row>
    <row r="60" spans="1:18" s="247" customFormat="1" x14ac:dyDescent="0.2">
      <c r="C60" s="242"/>
      <c r="E60" s="248"/>
      <c r="F60" s="248"/>
      <c r="G60" s="249"/>
      <c r="H60" s="248"/>
      <c r="I60" s="248"/>
      <c r="J60" s="248"/>
      <c r="K60" s="248"/>
      <c r="L60" s="248"/>
    </row>
    <row r="61" spans="1:18" s="247" customFormat="1" ht="10.5" customHeight="1" x14ac:dyDescent="0.2">
      <c r="C61" s="242"/>
      <c r="D61" s="324" t="s">
        <v>951</v>
      </c>
      <c r="F61" s="248"/>
      <c r="G61" s="249"/>
      <c r="H61" s="248"/>
      <c r="I61" s="248"/>
      <c r="J61" s="248"/>
      <c r="K61" s="248"/>
      <c r="L61" s="248"/>
      <c r="P61" s="893"/>
      <c r="Q61" s="893"/>
    </row>
    <row r="62" spans="1:18" s="247" customFormat="1" ht="5.25" customHeight="1" x14ac:dyDescent="0.2">
      <c r="C62" s="242"/>
      <c r="D62" s="324"/>
      <c r="F62" s="248"/>
      <c r="G62" s="249"/>
      <c r="H62" s="248"/>
      <c r="I62" s="248"/>
      <c r="J62" s="248"/>
      <c r="K62" s="248"/>
      <c r="L62" s="248"/>
      <c r="O62" s="893"/>
      <c r="P62" s="893"/>
      <c r="Q62" s="893"/>
    </row>
    <row r="63" spans="1:18" s="247" customFormat="1" ht="6.75" customHeight="1" x14ac:dyDescent="0.2">
      <c r="A63" s="242"/>
      <c r="B63" s="243"/>
      <c r="C63" s="243"/>
      <c r="D63" s="243"/>
      <c r="E63" s="243"/>
      <c r="F63" s="244"/>
      <c r="G63" s="243"/>
      <c r="H63" s="245"/>
      <c r="I63" s="246"/>
      <c r="J63" s="245"/>
      <c r="K63" s="245"/>
      <c r="L63" s="245"/>
      <c r="M63" s="245"/>
      <c r="N63" s="240"/>
      <c r="O63" s="1078" t="s">
        <v>2009</v>
      </c>
      <c r="P63" s="1078"/>
      <c r="Q63" s="1078"/>
    </row>
    <row r="64" spans="1:18" s="247" customFormat="1" ht="6" customHeight="1" x14ac:dyDescent="0.2">
      <c r="A64" s="242"/>
      <c r="B64" s="243"/>
      <c r="C64" s="242"/>
      <c r="D64" s="242"/>
      <c r="E64" s="242"/>
      <c r="F64" s="324"/>
      <c r="G64" s="242"/>
      <c r="H64" s="248"/>
      <c r="I64" s="249"/>
      <c r="J64" s="248"/>
      <c r="K64" s="248"/>
      <c r="L64" s="248"/>
      <c r="M64" s="248"/>
      <c r="N64" s="240"/>
      <c r="O64" s="1078"/>
      <c r="P64" s="1078"/>
      <c r="Q64" s="1078"/>
    </row>
    <row r="65" spans="2:17" s="247" customFormat="1" ht="5.0999999999999996" customHeight="1" x14ac:dyDescent="0.2">
      <c r="B65" s="243"/>
      <c r="C65" s="242"/>
      <c r="D65" s="59"/>
      <c r="E65" s="272"/>
      <c r="F65" s="272"/>
      <c r="G65" s="273"/>
      <c r="H65" s="272"/>
      <c r="I65" s="272"/>
      <c r="J65" s="272"/>
      <c r="K65" s="272"/>
      <c r="L65" s="272"/>
      <c r="M65" s="274"/>
      <c r="O65" s="1078"/>
      <c r="P65" s="1078"/>
      <c r="Q65" s="1078"/>
    </row>
    <row r="66" spans="2:17" s="247" customFormat="1" x14ac:dyDescent="0.2">
      <c r="B66" s="243"/>
      <c r="C66" s="242"/>
      <c r="D66" s="61"/>
      <c r="E66" s="275" t="s">
        <v>946</v>
      </c>
      <c r="F66" s="325"/>
      <c r="G66" s="326"/>
      <c r="H66" s="325"/>
      <c r="I66" s="325"/>
      <c r="J66" s="325"/>
      <c r="K66" s="325"/>
      <c r="L66" s="325"/>
      <c r="M66" s="62"/>
      <c r="O66" s="1078"/>
      <c r="P66" s="1078"/>
      <c r="Q66" s="1078"/>
    </row>
    <row r="67" spans="2:17" s="247" customFormat="1" x14ac:dyDescent="0.2">
      <c r="B67" s="243"/>
      <c r="C67" s="242"/>
      <c r="D67" s="61"/>
      <c r="E67" s="248"/>
      <c r="F67" s="248"/>
      <c r="G67" s="249"/>
      <c r="H67" s="248"/>
      <c r="I67" s="248"/>
      <c r="J67" s="248"/>
      <c r="K67" s="248"/>
      <c r="L67" s="248"/>
      <c r="M67" s="62"/>
      <c r="O67" s="1078"/>
      <c r="P67" s="1078"/>
      <c r="Q67" s="1078"/>
    </row>
    <row r="68" spans="2:17" s="247" customFormat="1" x14ac:dyDescent="0.2">
      <c r="B68" s="243"/>
      <c r="C68" s="242"/>
      <c r="D68" s="61"/>
      <c r="E68" s="248" t="s">
        <v>961</v>
      </c>
      <c r="F68" s="325"/>
      <c r="H68" s="792"/>
      <c r="I68" s="248"/>
      <c r="J68" s="248" t="s">
        <v>978</v>
      </c>
      <c r="K68" s="248"/>
      <c r="L68" s="791"/>
      <c r="M68" s="62"/>
      <c r="O68" s="1078"/>
      <c r="P68" s="1078"/>
      <c r="Q68" s="1078"/>
    </row>
    <row r="69" spans="2:17" s="247" customFormat="1" x14ac:dyDescent="0.2">
      <c r="B69" s="243"/>
      <c r="C69" s="242"/>
      <c r="D69" s="61"/>
      <c r="E69" s="353" t="s">
        <v>962</v>
      </c>
      <c r="F69" s="325"/>
      <c r="G69" s="355"/>
      <c r="H69" s="248"/>
      <c r="I69" s="248"/>
      <c r="K69" s="248"/>
      <c r="L69" s="249"/>
      <c r="M69" s="62"/>
      <c r="O69" s="1078"/>
      <c r="P69" s="1078"/>
      <c r="Q69" s="1078"/>
    </row>
    <row r="70" spans="2:17" s="247" customFormat="1" x14ac:dyDescent="0.2">
      <c r="B70" s="243"/>
      <c r="D70" s="61"/>
      <c r="E70" s="248"/>
      <c r="G70" s="249"/>
      <c r="H70" s="248"/>
      <c r="I70" s="248"/>
      <c r="J70" s="248"/>
      <c r="K70" s="249"/>
      <c r="L70" s="249"/>
      <c r="M70" s="62"/>
      <c r="O70" s="1078"/>
      <c r="P70" s="1078"/>
      <c r="Q70" s="1078"/>
    </row>
    <row r="71" spans="2:17" s="247" customFormat="1" x14ac:dyDescent="0.2">
      <c r="B71" s="243"/>
      <c r="C71" s="242"/>
      <c r="D71" s="61"/>
      <c r="E71" s="248" t="s">
        <v>1003</v>
      </c>
      <c r="F71" s="248"/>
      <c r="G71" s="795" t="str">
        <f>IF(MULohnberechnung&lt;&gt;"",MULohnberechnung,"")</f>
        <v/>
      </c>
      <c r="H71" s="769" t="s">
        <v>1005</v>
      </c>
      <c r="I71" s="248"/>
      <c r="J71" s="248" t="s">
        <v>1043</v>
      </c>
      <c r="K71" s="248"/>
      <c r="L71" s="793"/>
      <c r="M71" s="62"/>
      <c r="O71" s="1078"/>
      <c r="P71" s="1078"/>
      <c r="Q71" s="1078"/>
    </row>
    <row r="72" spans="2:17" s="247" customFormat="1" ht="14.1" customHeight="1" x14ac:dyDescent="0.2">
      <c r="B72" s="243"/>
      <c r="C72" s="238"/>
      <c r="D72" s="61"/>
      <c r="E72" s="248"/>
      <c r="F72" s="248"/>
      <c r="G72" s="249"/>
      <c r="H72" s="248"/>
      <c r="I72" s="248"/>
      <c r="J72" s="248"/>
      <c r="K72" s="248"/>
      <c r="L72" s="248"/>
      <c r="M72" s="62"/>
      <c r="O72" s="1078"/>
      <c r="P72" s="1078"/>
      <c r="Q72" s="1078"/>
    </row>
    <row r="73" spans="2:17" s="247" customFormat="1" ht="13.5" customHeight="1" x14ac:dyDescent="0.2">
      <c r="B73" s="243"/>
      <c r="C73" s="242"/>
      <c r="D73" s="61"/>
      <c r="E73" s="248" t="s">
        <v>973</v>
      </c>
      <c r="F73" s="248"/>
      <c r="G73" s="793"/>
      <c r="H73" s="1061" t="s">
        <v>1080</v>
      </c>
      <c r="I73" s="1061"/>
      <c r="J73" s="1060" t="str">
        <f>_xlfn.IFNA(VLOOKUP(G73,Stammdaten_DropDown!$B$14:$C$55,2,FALSE),"")</f>
        <v/>
      </c>
      <c r="K73" s="1060"/>
      <c r="L73" s="1060"/>
      <c r="M73" s="269"/>
      <c r="O73" s="1078"/>
      <c r="P73" s="1078"/>
      <c r="Q73" s="1078"/>
    </row>
    <row r="74" spans="2:17" s="247" customFormat="1" x14ac:dyDescent="0.2">
      <c r="B74" s="243"/>
      <c r="C74" s="242"/>
      <c r="D74" s="61"/>
      <c r="E74" s="248"/>
      <c r="F74" s="248"/>
      <c r="G74" s="425"/>
      <c r="H74" s="237"/>
      <c r="I74" s="237"/>
      <c r="J74" s="890"/>
      <c r="K74" s="890"/>
      <c r="L74" s="890"/>
      <c r="M74" s="269"/>
      <c r="O74" s="1078"/>
      <c r="P74" s="1078"/>
      <c r="Q74" s="1078"/>
    </row>
    <row r="75" spans="2:17" s="247" customFormat="1" x14ac:dyDescent="0.2">
      <c r="B75" s="243"/>
      <c r="C75" s="242"/>
      <c r="D75" s="61"/>
      <c r="E75" s="248" t="s">
        <v>2000</v>
      </c>
      <c r="F75" s="248"/>
      <c r="G75" s="425"/>
      <c r="H75" s="1055"/>
      <c r="I75" s="1055"/>
      <c r="J75" s="1055"/>
      <c r="K75" s="1055"/>
      <c r="L75" s="1055"/>
      <c r="M75" s="269"/>
      <c r="O75" s="1078"/>
      <c r="P75" s="1078"/>
      <c r="Q75" s="1078"/>
    </row>
    <row r="76" spans="2:17" s="247" customFormat="1" x14ac:dyDescent="0.2">
      <c r="B76" s="243"/>
      <c r="C76" s="242"/>
      <c r="D76" s="61"/>
      <c r="E76" s="891" t="s">
        <v>1964</v>
      </c>
      <c r="F76" s="248"/>
      <c r="G76" s="248"/>
      <c r="H76" s="248"/>
      <c r="I76" s="248"/>
      <c r="J76" s="248"/>
      <c r="K76" s="248"/>
      <c r="L76" s="248"/>
      <c r="M76" s="269"/>
      <c r="O76" s="1078"/>
      <c r="P76" s="1078"/>
      <c r="Q76" s="1078"/>
    </row>
    <row r="77" spans="2:17" s="247" customFormat="1" x14ac:dyDescent="0.2">
      <c r="B77" s="243"/>
      <c r="D77" s="61"/>
      <c r="E77" s="1081" t="s">
        <v>952</v>
      </c>
      <c r="F77" s="1081"/>
      <c r="G77" s="1055"/>
      <c r="H77" s="1055"/>
      <c r="I77" s="1055"/>
      <c r="J77" s="1055"/>
      <c r="K77" s="1055"/>
      <c r="L77" s="1055"/>
      <c r="M77" s="62"/>
      <c r="O77" s="1078"/>
      <c r="P77" s="1078"/>
      <c r="Q77" s="1078"/>
    </row>
    <row r="78" spans="2:17" s="247" customFormat="1" ht="8.1" customHeight="1" x14ac:dyDescent="0.2">
      <c r="B78" s="243"/>
      <c r="C78" s="242"/>
      <c r="D78" s="63"/>
      <c r="E78" s="270"/>
      <c r="F78" s="270"/>
      <c r="G78" s="270"/>
      <c r="H78" s="270"/>
      <c r="I78" s="270"/>
      <c r="J78" s="270"/>
      <c r="K78" s="270"/>
      <c r="L78" s="270"/>
      <c r="M78" s="66"/>
      <c r="O78" s="1078"/>
      <c r="P78" s="1078"/>
      <c r="Q78" s="1078"/>
    </row>
    <row r="79" spans="2:17" s="247" customFormat="1" ht="6" customHeight="1" x14ac:dyDescent="0.2">
      <c r="B79" s="243"/>
      <c r="C79" s="242"/>
      <c r="E79" s="271"/>
      <c r="F79" s="271"/>
      <c r="G79" s="271"/>
      <c r="H79" s="271"/>
      <c r="I79" s="271"/>
      <c r="J79" s="271"/>
      <c r="K79" s="271"/>
      <c r="L79" s="271"/>
      <c r="O79" s="1078"/>
      <c r="P79" s="1078"/>
      <c r="Q79" s="1078"/>
    </row>
    <row r="80" spans="2:17" s="247" customFormat="1" ht="5.0999999999999996" customHeight="1" x14ac:dyDescent="0.2">
      <c r="B80" s="243"/>
      <c r="C80" s="242"/>
      <c r="D80" s="59"/>
      <c r="E80" s="67"/>
      <c r="F80" s="67"/>
      <c r="G80" s="68"/>
      <c r="H80" s="67"/>
      <c r="I80" s="67"/>
      <c r="J80" s="67"/>
      <c r="K80" s="67"/>
      <c r="L80" s="67"/>
      <c r="M80" s="60"/>
      <c r="O80" s="1078"/>
      <c r="P80" s="1078"/>
      <c r="Q80" s="1078"/>
    </row>
    <row r="81" spans="2:18" s="247" customFormat="1" x14ac:dyDescent="0.2">
      <c r="B81" s="243"/>
      <c r="C81" s="242"/>
      <c r="D81" s="61"/>
      <c r="E81" s="1082" t="s">
        <v>985</v>
      </c>
      <c r="F81" s="1082"/>
      <c r="G81" s="1082"/>
      <c r="H81" s="1082"/>
      <c r="I81" s="1082"/>
      <c r="J81" s="1082"/>
      <c r="K81" s="1082"/>
      <c r="L81" s="325"/>
      <c r="M81" s="62"/>
      <c r="O81" s="1078"/>
      <c r="P81" s="1078"/>
      <c r="Q81" s="1078"/>
    </row>
    <row r="82" spans="2:18" s="247" customFormat="1" x14ac:dyDescent="0.2">
      <c r="B82" s="243"/>
      <c r="C82" s="242"/>
      <c r="D82" s="61"/>
      <c r="E82" s="248"/>
      <c r="F82" s="248"/>
      <c r="G82" s="249"/>
      <c r="H82" s="248"/>
      <c r="I82" s="248"/>
      <c r="J82" s="248"/>
      <c r="K82" s="248"/>
      <c r="L82" s="248"/>
      <c r="M82" s="62"/>
      <c r="O82" s="1078"/>
      <c r="P82" s="1078"/>
      <c r="Q82" s="1078"/>
    </row>
    <row r="83" spans="2:18" s="247" customFormat="1" x14ac:dyDescent="0.2">
      <c r="B83" s="243"/>
      <c r="C83" s="242"/>
      <c r="D83" s="61"/>
      <c r="E83" s="1056"/>
      <c r="F83" s="1056"/>
      <c r="G83" s="1056"/>
      <c r="H83" s="1056"/>
      <c r="I83" s="1056"/>
      <c r="J83" s="1056"/>
      <c r="K83" s="1056"/>
      <c r="L83" s="1056"/>
      <c r="M83" s="62"/>
      <c r="O83" s="1078"/>
      <c r="P83" s="1078"/>
      <c r="Q83" s="1078"/>
      <c r="R83" s="358">
        <f>E83</f>
        <v>0</v>
      </c>
    </row>
    <row r="84" spans="2:18" s="247" customFormat="1" x14ac:dyDescent="0.2">
      <c r="B84" s="243"/>
      <c r="C84" s="242"/>
      <c r="D84" s="61"/>
      <c r="E84" s="1056"/>
      <c r="F84" s="1056"/>
      <c r="G84" s="1056"/>
      <c r="H84" s="1056"/>
      <c r="I84" s="1056"/>
      <c r="J84" s="1056"/>
      <c r="K84" s="1056"/>
      <c r="L84" s="1056"/>
      <c r="M84" s="62"/>
      <c r="O84" s="1078"/>
      <c r="P84" s="1078"/>
      <c r="Q84" s="1078"/>
      <c r="R84" s="358">
        <f>E84</f>
        <v>0</v>
      </c>
    </row>
    <row r="85" spans="2:18" s="247" customFormat="1" x14ac:dyDescent="0.2">
      <c r="B85" s="243"/>
      <c r="C85" s="242"/>
      <c r="D85" s="61"/>
      <c r="E85" s="1056"/>
      <c r="F85" s="1056"/>
      <c r="G85" s="1056"/>
      <c r="H85" s="1056"/>
      <c r="I85" s="1056"/>
      <c r="J85" s="1056"/>
      <c r="K85" s="1056"/>
      <c r="L85" s="1056"/>
      <c r="M85" s="62"/>
      <c r="O85" s="1078"/>
      <c r="P85" s="1078"/>
      <c r="Q85" s="1078"/>
      <c r="R85" s="358">
        <f>E85</f>
        <v>0</v>
      </c>
    </row>
    <row r="86" spans="2:18" s="247" customFormat="1" ht="8.1" customHeight="1" x14ac:dyDescent="0.2">
      <c r="B86" s="243"/>
      <c r="C86" s="242"/>
      <c r="D86" s="63"/>
      <c r="E86" s="64"/>
      <c r="F86" s="64"/>
      <c r="G86" s="65"/>
      <c r="H86" s="64"/>
      <c r="I86" s="64"/>
      <c r="J86" s="64"/>
      <c r="K86" s="64"/>
      <c r="L86" s="64"/>
      <c r="M86" s="66"/>
      <c r="O86" s="1078"/>
      <c r="P86" s="1078"/>
      <c r="Q86" s="1078"/>
    </row>
    <row r="87" spans="2:18" s="247" customFormat="1" ht="6" customHeight="1" x14ac:dyDescent="0.2">
      <c r="B87" s="243"/>
      <c r="C87" s="238"/>
      <c r="E87" s="248"/>
      <c r="F87" s="248"/>
      <c r="G87" s="249"/>
      <c r="H87" s="248"/>
      <c r="I87" s="248"/>
      <c r="J87" s="248"/>
      <c r="K87" s="248"/>
      <c r="L87" s="248"/>
      <c r="O87" s="893"/>
      <c r="P87" s="893"/>
      <c r="Q87" s="893"/>
    </row>
    <row r="88" spans="2:18" s="247" customFormat="1" ht="5.0999999999999996" customHeight="1" x14ac:dyDescent="0.2">
      <c r="B88" s="243"/>
      <c r="C88" s="242"/>
      <c r="D88" s="59"/>
      <c r="E88" s="67"/>
      <c r="F88" s="67"/>
      <c r="G88" s="68"/>
      <c r="H88" s="67"/>
      <c r="I88" s="67"/>
      <c r="J88" s="67"/>
      <c r="K88" s="67"/>
      <c r="L88" s="67"/>
      <c r="M88" s="204"/>
      <c r="O88" s="893"/>
      <c r="P88" s="893"/>
      <c r="Q88" s="893"/>
    </row>
    <row r="89" spans="2:18" s="247" customFormat="1" x14ac:dyDescent="0.2">
      <c r="B89" s="243"/>
      <c r="C89" s="242"/>
      <c r="D89" s="61"/>
      <c r="E89" s="211" t="s">
        <v>933</v>
      </c>
      <c r="F89" s="211"/>
      <c r="G89" s="326"/>
      <c r="H89" s="325"/>
      <c r="I89" s="325"/>
      <c r="J89" s="325"/>
      <c r="K89" s="325"/>
      <c r="L89" s="325"/>
      <c r="M89" s="327"/>
      <c r="O89" s="1084" t="str">
        <f>Stammdaten_DropDown!A113</f>
        <v>Lohnentwicklung</v>
      </c>
      <c r="P89" s="1084"/>
      <c r="Q89" s="1084"/>
    </row>
    <row r="90" spans="2:18" s="247" customFormat="1" ht="6" customHeight="1" x14ac:dyDescent="0.2">
      <c r="B90" s="243"/>
      <c r="C90" s="242"/>
      <c r="D90" s="61"/>
      <c r="E90" s="248"/>
      <c r="F90" s="248"/>
      <c r="G90" s="249"/>
      <c r="H90" s="248"/>
      <c r="I90" s="248"/>
      <c r="J90" s="248"/>
      <c r="K90" s="248"/>
      <c r="L90" s="248"/>
      <c r="M90" s="269"/>
      <c r="O90" s="898"/>
      <c r="P90" s="898"/>
      <c r="Q90" s="898"/>
    </row>
    <row r="91" spans="2:18" s="247" customFormat="1" ht="14.25" customHeight="1" x14ac:dyDescent="0.2">
      <c r="B91" s="243"/>
      <c r="C91" s="242"/>
      <c r="D91" s="61"/>
      <c r="E91" s="248" t="s">
        <v>945</v>
      </c>
      <c r="F91" s="248"/>
      <c r="G91" s="249"/>
      <c r="H91" s="248"/>
      <c r="I91" s="248"/>
      <c r="J91" s="248"/>
      <c r="K91" s="1083"/>
      <c r="L91" s="1083"/>
      <c r="M91" s="269"/>
      <c r="O91" s="1085" t="str">
        <f>Stammdaten_DropDown!A114</f>
        <v>Bitte angeben, ob eine individuelle Lohnentwicklung gewährt werden soll.</v>
      </c>
      <c r="P91" s="1085"/>
      <c r="Q91" s="1085"/>
    </row>
    <row r="92" spans="2:18" s="247" customFormat="1" x14ac:dyDescent="0.2">
      <c r="B92" s="243"/>
      <c r="C92" s="242"/>
      <c r="D92" s="61"/>
      <c r="E92" s="248"/>
      <c r="F92" s="248"/>
      <c r="G92" s="249"/>
      <c r="H92" s="248"/>
      <c r="I92" s="248"/>
      <c r="J92" s="248"/>
      <c r="K92" s="248"/>
      <c r="L92" s="248"/>
      <c r="M92" s="269"/>
      <c r="O92" s="1085" t="str">
        <f>Stammdaten_DropDown!A115</f>
        <v>Bei einem Neueintritt nach dem 01.07.2024 ist keine individuelle Lohnentwicklung vorgesehen.</v>
      </c>
      <c r="P92" s="1085"/>
      <c r="Q92" s="1085"/>
    </row>
    <row r="93" spans="2:18" s="247" customFormat="1" x14ac:dyDescent="0.2">
      <c r="B93" s="243"/>
      <c r="C93" s="242"/>
      <c r="D93" s="61"/>
      <c r="E93" s="278" t="s">
        <v>765</v>
      </c>
      <c r="G93" s="342" t="str">
        <f>IF(ISBLANK($K$91),IF(BandLohnBer="",IF(BandLohnRechner="","",BandLohnRechner),IF(BandLohnRechner="",BandLohnBer,"FEHLER")),"-")</f>
        <v/>
      </c>
      <c r="H93" s="248"/>
      <c r="I93" s="278" t="s">
        <v>809</v>
      </c>
      <c r="L93" s="795" t="str">
        <f>IF(ISBLANK($K$91),IF(EWLohnBer="",IF(EWLohnRechner="","",EWLohnRechner),IF(EWLohnRechner="",EWLohnBer,"FEHLER")),"-")</f>
        <v/>
      </c>
      <c r="M93" s="269"/>
      <c r="O93" s="1085" t="str">
        <f>Stammdaten_DropDown!A116</f>
        <v>In dem Fall ist das Prädikat auf dem Wert «NA» (keine Beurteilung) zu belassen.</v>
      </c>
      <c r="P93" s="1085"/>
      <c r="Q93" s="1085"/>
    </row>
    <row r="94" spans="2:18" s="247" customFormat="1" x14ac:dyDescent="0.2">
      <c r="B94" s="243"/>
      <c r="C94" s="242"/>
      <c r="D94" s="61"/>
      <c r="E94" s="448" t="b">
        <f>AND(BandLohnBer&lt;&gt;"",BandLohnRechner&lt;&gt;"")</f>
        <v>0</v>
      </c>
      <c r="F94" s="248"/>
      <c r="G94" s="449" t="str">
        <f>IF(E94,"2 Lohnbänder gefunden","")</f>
        <v/>
      </c>
      <c r="H94" s="248"/>
      <c r="I94" s="448" t="b">
        <f>AND(EWLohnBer&lt;&gt;"",EWLohnRechner&lt;&gt;"")</f>
        <v>0</v>
      </c>
      <c r="J94" s="248"/>
      <c r="K94" s="566" t="str">
        <f>IF(I94,"2 Erfahrungswerte gefunden","")</f>
        <v/>
      </c>
      <c r="L94" s="566"/>
      <c r="M94" s="269"/>
      <c r="O94" s="899"/>
      <c r="P94" s="899"/>
      <c r="Q94" s="899"/>
    </row>
    <row r="95" spans="2:18" s="247" customFormat="1" x14ac:dyDescent="0.2">
      <c r="B95" s="243"/>
      <c r="C95" s="242"/>
      <c r="D95" s="61"/>
      <c r="E95" s="767"/>
      <c r="I95" s="278" t="s">
        <v>1113</v>
      </c>
      <c r="K95" s="1080" t="str">
        <f>IF(ISBLANK($K$91),IF(LohnLohnBer="",IF(LohnLohnRechner="","",LohnLohnRechner),IF(LohnLohnRechner="",LohnLohnBer,"FEHLER")),"-")</f>
        <v/>
      </c>
      <c r="L95" s="1080"/>
      <c r="M95" s="269"/>
      <c r="O95" s="1085" t="str">
        <f>Stammdaten_DropDown!A117</f>
        <v xml:space="preserve">Falls eine individuelle  Lohnentwicklung gewährt werden soll, ist das entsprechende Prädikat aus der relevanten MAG-Phase im Dropdown-Menu auszuwählen. </v>
      </c>
      <c r="P95" s="1085"/>
      <c r="Q95" s="1085"/>
    </row>
    <row r="96" spans="2:18" s="247" customFormat="1" ht="12.75" customHeight="1" x14ac:dyDescent="0.2">
      <c r="B96" s="243"/>
      <c r="C96" s="242"/>
      <c r="D96" s="61"/>
      <c r="E96" s="882"/>
      <c r="I96" s="448" t="b">
        <f>AND(LohnLohnBer&lt;&gt;"",LohnLohnRechner&lt;&gt;"")</f>
        <v>0</v>
      </c>
      <c r="K96" s="1079" t="str">
        <f>IF(I96,"2 Löhne gefunden","")</f>
        <v/>
      </c>
      <c r="L96" s="1079"/>
      <c r="M96" s="269"/>
      <c r="O96" s="1085"/>
      <c r="P96" s="1085"/>
      <c r="Q96" s="1085"/>
    </row>
    <row r="97" spans="2:17" s="247" customFormat="1" x14ac:dyDescent="0.2">
      <c r="B97" s="243"/>
      <c r="C97" s="242"/>
      <c r="D97" s="61"/>
      <c r="E97" s="883" t="str">
        <f>CONCATENATE("Lohnentwicklung per 01.01.",LohntabelleM!I1+1," gewähren?")</f>
        <v>Lohnentwicklung per 01.01.2025 gewähren?</v>
      </c>
      <c r="H97" s="881"/>
      <c r="I97" s="248"/>
      <c r="J97" s="242"/>
      <c r="K97" s="894" t="s">
        <v>1966</v>
      </c>
      <c r="L97" s="912" t="str">
        <f>M97</f>
        <v/>
      </c>
      <c r="M97" s="269" t="str">
        <f>IF(H97="Ja","A",IF(H97="Nein","NA",""))</f>
        <v/>
      </c>
      <c r="O97" s="1053" t="str">
        <f>Stammdaten_DropDown!A118</f>
        <v>Ist noch keine Beurteilung hinterlegt, so ist das Prädikat auf «A» zu belassen.</v>
      </c>
      <c r="P97" s="1053"/>
      <c r="Q97" s="1053"/>
    </row>
    <row r="98" spans="2:17" s="247" customFormat="1" ht="8.1" customHeight="1" x14ac:dyDescent="0.2">
      <c r="B98" s="243"/>
      <c r="C98" s="242"/>
      <c r="D98" s="63"/>
      <c r="E98" s="64"/>
      <c r="F98" s="64"/>
      <c r="G98" s="65"/>
      <c r="H98" s="64"/>
      <c r="I98" s="64"/>
      <c r="J98" s="64"/>
      <c r="K98" s="64"/>
      <c r="L98" s="64"/>
      <c r="M98" s="282"/>
      <c r="O98" s="893"/>
      <c r="P98" s="893"/>
      <c r="Q98" s="893"/>
    </row>
    <row r="99" spans="2:17" s="247" customFormat="1" ht="10.9" customHeight="1" x14ac:dyDescent="0.2">
      <c r="B99" s="243"/>
      <c r="C99" s="242"/>
      <c r="E99" s="242"/>
      <c r="F99" s="242"/>
      <c r="G99" s="283"/>
      <c r="H99" s="242"/>
      <c r="I99" s="242"/>
      <c r="J99" s="242"/>
      <c r="K99" s="242"/>
      <c r="L99" s="242"/>
      <c r="O99" s="893"/>
      <c r="P99" s="893"/>
      <c r="Q99" s="893"/>
    </row>
    <row r="100" spans="2:17" s="247" customFormat="1" ht="64.349999999999994" customHeight="1" x14ac:dyDescent="0.2">
      <c r="B100" s="243"/>
      <c r="C100" s="238"/>
      <c r="D100" s="1063" t="s">
        <v>966</v>
      </c>
      <c r="E100" s="1063"/>
      <c r="F100" s="1063"/>
      <c r="G100" s="1063"/>
      <c r="H100" s="1063"/>
      <c r="I100" s="1063"/>
      <c r="J100" s="1063"/>
      <c r="K100" s="1063"/>
      <c r="L100" s="1063"/>
      <c r="O100" s="893"/>
      <c r="P100" s="893"/>
      <c r="Q100" s="893"/>
    </row>
    <row r="101" spans="2:17" s="247" customFormat="1" ht="17.25" customHeight="1" x14ac:dyDescent="0.2">
      <c r="B101" s="243"/>
      <c r="C101" s="238"/>
      <c r="D101" s="1063"/>
      <c r="E101" s="1063"/>
      <c r="F101" s="1063"/>
      <c r="G101" s="1063"/>
      <c r="H101" s="1063"/>
      <c r="I101" s="1063"/>
      <c r="J101" s="1063"/>
      <c r="K101" s="1063"/>
      <c r="L101" s="1063"/>
    </row>
    <row r="102" spans="2:17" s="247" customFormat="1" x14ac:dyDescent="0.2">
      <c r="B102" s="91"/>
      <c r="C102" s="238"/>
    </row>
    <row r="103" spans="2:17" s="247" customFormat="1" x14ac:dyDescent="0.2">
      <c r="B103" s="91"/>
      <c r="C103" s="238"/>
    </row>
    <row r="104" spans="2:17" s="247" customFormat="1" x14ac:dyDescent="0.2">
      <c r="B104" s="91"/>
      <c r="C104" s="238"/>
    </row>
    <row r="105" spans="2:17" s="247" customFormat="1" x14ac:dyDescent="0.2">
      <c r="B105" s="91"/>
      <c r="C105" s="238"/>
    </row>
    <row r="106" spans="2:17" s="247" customFormat="1" x14ac:dyDescent="0.2">
      <c r="B106" s="91"/>
      <c r="C106" s="238"/>
    </row>
    <row r="107" spans="2:17" s="247" customFormat="1" x14ac:dyDescent="0.2">
      <c r="B107" s="91"/>
      <c r="C107" s="238"/>
    </row>
    <row r="108" spans="2:17" s="247" customFormat="1" x14ac:dyDescent="0.2">
      <c r="B108" s="91"/>
      <c r="C108" s="238"/>
    </row>
    <row r="109" spans="2:17" s="247" customFormat="1" x14ac:dyDescent="0.2">
      <c r="B109" s="91"/>
      <c r="C109" s="238"/>
      <c r="E109" s="242"/>
      <c r="F109" s="242"/>
      <c r="G109" s="283"/>
      <c r="H109" s="242"/>
      <c r="I109" s="242"/>
      <c r="J109" s="242"/>
      <c r="K109" s="242"/>
      <c r="L109" s="242"/>
    </row>
    <row r="110" spans="2:17" s="247" customFormat="1" x14ac:dyDescent="0.2">
      <c r="B110" s="91"/>
      <c r="C110" s="238"/>
      <c r="D110" s="91"/>
      <c r="E110" s="91"/>
      <c r="F110" s="91"/>
      <c r="G110" s="91"/>
      <c r="H110" s="91"/>
      <c r="I110" s="91"/>
      <c r="J110" s="91"/>
      <c r="K110" s="91"/>
      <c r="L110" s="91"/>
      <c r="M110" s="91"/>
    </row>
    <row r="111" spans="2:17" x14ac:dyDescent="0.2">
      <c r="B111" s="91"/>
    </row>
    <row r="112" spans="2:17" x14ac:dyDescent="0.2">
      <c r="B112" s="91"/>
    </row>
    <row r="113" spans="2:2" x14ac:dyDescent="0.2">
      <c r="B113" s="91"/>
    </row>
    <row r="114" spans="2:2" x14ac:dyDescent="0.2">
      <c r="B114" s="91"/>
    </row>
    <row r="115" spans="2:2" x14ac:dyDescent="0.2">
      <c r="B115" s="91"/>
    </row>
    <row r="116" spans="2:2" x14ac:dyDescent="0.2">
      <c r="B116" s="91"/>
    </row>
    <row r="117" spans="2:2" x14ac:dyDescent="0.2">
      <c r="B117" s="91"/>
    </row>
    <row r="118" spans="2:2" x14ac:dyDescent="0.2">
      <c r="B118" s="91"/>
    </row>
  </sheetData>
  <sheetProtection algorithmName="SHA-512" hashValue="FzwsRCJBhl4xbx9AuT6Ykl05RwPlrngZmmVm3OaWWW0m5OxoKdc+u/miptAF052E2Bv41vo6g9MGkWY56x8HSQ==" saltValue="33d7eFfEKFQWrBC+3okM7Q==" spinCount="100000" sheet="1" objects="1" scenarios="1"/>
  <mergeCells count="50">
    <mergeCell ref="O63:Q86"/>
    <mergeCell ref="K96:L96"/>
    <mergeCell ref="K95:L95"/>
    <mergeCell ref="E77:F77"/>
    <mergeCell ref="E81:K81"/>
    <mergeCell ref="E85:L85"/>
    <mergeCell ref="K91:L91"/>
    <mergeCell ref="O89:Q89"/>
    <mergeCell ref="O91:Q91"/>
    <mergeCell ref="O92:Q92"/>
    <mergeCell ref="O93:Q93"/>
    <mergeCell ref="O95:Q96"/>
    <mergeCell ref="O8:P9"/>
    <mergeCell ref="J34:L34"/>
    <mergeCell ref="G36:H36"/>
    <mergeCell ref="E52:G52"/>
    <mergeCell ref="H30:I30"/>
    <mergeCell ref="F22:L22"/>
    <mergeCell ref="H34:I34"/>
    <mergeCell ref="E36:F36"/>
    <mergeCell ref="I36:J36"/>
    <mergeCell ref="J32:M32"/>
    <mergeCell ref="D100:L101"/>
    <mergeCell ref="D2:H2"/>
    <mergeCell ref="G11:H11"/>
    <mergeCell ref="K11:L11"/>
    <mergeCell ref="G13:H13"/>
    <mergeCell ref="F21:K21"/>
    <mergeCell ref="G15:L15"/>
    <mergeCell ref="K17:L17"/>
    <mergeCell ref="E54:L54"/>
    <mergeCell ref="E55:L55"/>
    <mergeCell ref="E56:L56"/>
    <mergeCell ref="K36:L36"/>
    <mergeCell ref="O97:Q97"/>
    <mergeCell ref="F23:J23"/>
    <mergeCell ref="F24:G24"/>
    <mergeCell ref="G77:L77"/>
    <mergeCell ref="E83:L83"/>
    <mergeCell ref="E84:L84"/>
    <mergeCell ref="H75:L75"/>
    <mergeCell ref="K38:L38"/>
    <mergeCell ref="G38:H38"/>
    <mergeCell ref="G40:H40"/>
    <mergeCell ref="G42:H42"/>
    <mergeCell ref="H58:J58"/>
    <mergeCell ref="J73:L73"/>
    <mergeCell ref="H73:I73"/>
    <mergeCell ref="J30:L30"/>
    <mergeCell ref="G32:H32"/>
  </mergeCells>
  <conditionalFormatting sqref="G93">
    <cfRule type="expression" dxfId="186" priority="7">
      <formula>E94</formula>
    </cfRule>
  </conditionalFormatting>
  <conditionalFormatting sqref="L93">
    <cfRule type="expression" dxfId="185" priority="6">
      <formula>I94</formula>
    </cfRule>
  </conditionalFormatting>
  <conditionalFormatting sqref="K95:L95 K96">
    <cfRule type="expression" dxfId="184" priority="185">
      <formula>#REF!</formula>
    </cfRule>
  </conditionalFormatting>
  <conditionalFormatting sqref="E77:L95 E97:L97 E96:K96">
    <cfRule type="expression" dxfId="183" priority="3">
      <formula>$H$75=""</formula>
    </cfRule>
  </conditionalFormatting>
  <conditionalFormatting sqref="O89:Q97">
    <cfRule type="expression" dxfId="182" priority="2">
      <formula>$H$75=""</formula>
    </cfRule>
  </conditionalFormatting>
  <conditionalFormatting sqref="J97:L97 O93:Q97">
    <cfRule type="expression" dxfId="181" priority="1">
      <formula>$H$97=""</formula>
    </cfRule>
  </conditionalFormatting>
  <dataValidations count="12">
    <dataValidation type="list" allowBlank="1" showInputMessage="1" showErrorMessage="1" sqref="G32">
      <formula1>Anstellung</formula1>
    </dataValidation>
    <dataValidation type="list" operator="greaterThan" showInputMessage="1" showErrorMessage="1" errorTitle="Fehler" sqref="K38">
      <formula1>"1./2. Klasse, 3. Klasse, 4./5/.6. Klasse"</formula1>
    </dataValidation>
    <dataValidation operator="greaterThan" allowBlank="1" showInputMessage="1" showErrorMessage="1" errorTitle="Fehler" error="Pensum als Ganzzahl angeben" sqref="K95:K96"/>
    <dataValidation type="whole" operator="greaterThan" allowBlank="1" showInputMessage="1" showErrorMessage="1" errorTitle="Fehler" error="Ungültige Postleitzahl" sqref="G17">
      <formula1>0</formula1>
    </dataValidation>
    <dataValidation type="date" operator="greaterThan" allowBlank="1" showInputMessage="1" showErrorMessage="1" errorTitle="Fehler" error="Geben Sie ein gültiges Datum dd.mm.yyyy ein!" sqref="G30 G19:G20 H68 G69">
      <formula1>1</formula1>
    </dataValidation>
    <dataValidation operator="greaterThan" showInputMessage="1" showErrorMessage="1" errorTitle="Fehler" error="Geben Sie ein gültiges Datum dd.mm.yyyy ein!" sqref="L42 G42 L46:L49 H46:I48 H44"/>
    <dataValidation type="list" allowBlank="1" showInputMessage="1" sqref="J34">
      <formula1>BegründungFürBefristung</formula1>
    </dataValidation>
    <dataValidation type="list" allowBlank="1" showInputMessage="1" showErrorMessage="1" sqref="G38">
      <formula1>SchulKindergartenTyp</formula1>
    </dataValidation>
    <dataValidation type="list" allowBlank="1" showInputMessage="1" showErrorMessage="1" sqref="K36">
      <formula1>KompetenzDerSchulleitung</formula1>
    </dataValidation>
    <dataValidation type="list" allowBlank="1" showInputMessage="1" showErrorMessage="1" sqref="G40">
      <formula1>INDIRECT("UArt" &amp; $G$38)</formula1>
    </dataValidation>
    <dataValidation allowBlank="1" showInputMessage="1" sqref="J73:L74"/>
    <dataValidation operator="greaterThan" allowBlank="1" showInputMessage="1" showErrorMessage="1" errorTitle="Fehler" error="Geben Sie ein gültiges Datum dd.mm.yyyy ein!" sqref="L68"/>
  </dataValidations>
  <hyperlinks>
    <hyperlink ref="O8:P9" location="_A_Grunddaten" display="Zurück zu Grunddaten"/>
  </hyperlinks>
  <pageMargins left="0.70866141732283472" right="0.70866141732283472" top="0.78740157480314965" bottom="0.78740157480314965" header="0.31496062992125984" footer="0.31496062992125984"/>
  <pageSetup paperSize="9" scale="89" fitToHeight="0" orientation="portrait" r:id="rId1"/>
  <headerFooter>
    <oddFooter>Seite &amp;P von &amp;N</oddFooter>
  </headerFooter>
  <rowBreaks count="1" manualBreakCount="1">
    <brk id="59" max="16383" man="1"/>
  </rowBreaks>
  <ignoredErrors>
    <ignoredError sqref="L97"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77861" r:id="rId4" name="Check Box 5">
              <controlPr defaultSize="0" autoFill="0" autoLine="0" autoPict="0">
                <anchor>
                  <from>
                    <xdr:col>8</xdr:col>
                    <xdr:colOff>19050</xdr:colOff>
                    <xdr:row>30</xdr:row>
                    <xdr:rowOff>171450</xdr:rowOff>
                  </from>
                  <to>
                    <xdr:col>11</xdr:col>
                    <xdr:colOff>676275</xdr:colOff>
                    <xdr:row>32</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x14:formula1>
            <xm:f>Stammdaten_DropDown!$E$92:$E$99</xm:f>
          </x14:formula1>
          <xm:sqref>H75</xm:sqref>
        </x14:dataValidation>
        <x14:dataValidation type="list" allowBlank="1" showInputMessage="1" showErrorMessage="1">
          <x14:formula1>
            <xm:f>Stammdaten_DropDown!$E$102:$E$103</xm:f>
          </x14:formula1>
          <xm:sqref>H97</xm:sqref>
        </x14:dataValidation>
        <x14:dataValidation type="list" allowBlank="1" showInputMessage="1" showErrorMessage="1">
          <x14:formula1>
            <xm:f>Stammdaten_DropDown!$E$106:$E$109</xm:f>
          </x14:formula1>
          <xm:sqref>L97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9">
    <tabColor theme="6" tint="0.39997558519241921"/>
    <pageSetUpPr fitToPage="1"/>
  </sheetPr>
  <dimension ref="A1:R103"/>
  <sheetViews>
    <sheetView topLeftCell="B1" zoomScaleNormal="100" workbookViewId="0">
      <selection activeCell="G15" sqref="G15:K15"/>
    </sheetView>
  </sheetViews>
  <sheetFormatPr baseColWidth="10" defaultColWidth="11.5703125" defaultRowHeight="12.75" x14ac:dyDescent="0.2"/>
  <cols>
    <col min="1" max="1" width="2.5703125" style="91" customWidth="1"/>
    <col min="2" max="2" width="1.42578125" style="91" customWidth="1"/>
    <col min="3" max="3" width="1.5703125" style="91" customWidth="1"/>
    <col min="4" max="4" width="3.5703125" style="91" customWidth="1"/>
    <col min="5" max="5" width="11.5703125" style="91"/>
    <col min="6" max="6" width="13.5703125" style="91" customWidth="1"/>
    <col min="7" max="7" width="11.85546875" style="91" bestFit="1" customWidth="1"/>
    <col min="8" max="8" width="11" style="91" customWidth="1"/>
    <col min="9" max="9" width="17.42578125" style="91" customWidth="1"/>
    <col min="10" max="10" width="5.5703125" style="91" customWidth="1"/>
    <col min="11" max="11" width="12.5703125" style="91" customWidth="1"/>
    <col min="12" max="12" width="3.5703125" style="91" customWidth="1"/>
    <col min="13" max="13" width="1.85546875" style="91" customWidth="1"/>
    <col min="14" max="14" width="14.140625" style="91" customWidth="1"/>
    <col min="15" max="15" width="11.5703125" style="91"/>
    <col min="16" max="16" width="46.42578125" style="91" customWidth="1"/>
    <col min="17" max="17" width="11.5703125" style="91"/>
    <col min="18" max="18" width="69.42578125" style="91" hidden="1" customWidth="1"/>
    <col min="19" max="16384" width="11.5703125" style="91"/>
  </cols>
  <sheetData>
    <row r="1" spans="1:16" x14ac:dyDescent="0.2">
      <c r="C1" s="242"/>
      <c r="D1" s="242"/>
      <c r="E1" s="242"/>
      <c r="F1" s="242"/>
      <c r="G1" s="242"/>
      <c r="H1" s="242"/>
      <c r="I1" s="242"/>
      <c r="J1" s="242"/>
      <c r="K1" s="242"/>
      <c r="L1" s="242"/>
    </row>
    <row r="2" spans="1:16" ht="45" customHeight="1" x14ac:dyDescent="0.2">
      <c r="C2" s="242"/>
      <c r="D2" s="1086" t="s">
        <v>944</v>
      </c>
      <c r="E2" s="1086"/>
      <c r="F2" s="1086"/>
      <c r="G2" s="1086"/>
      <c r="H2" s="1086"/>
      <c r="I2" s="1086"/>
      <c r="J2" s="248"/>
      <c r="K2" s="248"/>
      <c r="L2" s="242"/>
    </row>
    <row r="3" spans="1:16" s="238" customFormat="1" ht="21" customHeight="1" x14ac:dyDescent="0.2">
      <c r="B3" s="239"/>
      <c r="D3" s="241" t="s">
        <v>950</v>
      </c>
      <c r="F3" s="241"/>
      <c r="H3" s="240"/>
      <c r="I3" s="240"/>
      <c r="J3" s="240"/>
      <c r="K3" s="240"/>
      <c r="L3" s="240"/>
      <c r="M3" s="240"/>
      <c r="N3" s="240"/>
    </row>
    <row r="4" spans="1:16" s="247" customFormat="1" ht="6.75" customHeight="1" x14ac:dyDescent="0.2">
      <c r="A4" s="242"/>
      <c r="B4" s="243"/>
      <c r="C4" s="243"/>
      <c r="D4" s="243"/>
      <c r="E4" s="243"/>
      <c r="F4" s="244"/>
      <c r="G4" s="243"/>
      <c r="H4" s="245"/>
      <c r="I4" s="246"/>
      <c r="J4" s="245"/>
      <c r="K4" s="245"/>
      <c r="L4" s="245"/>
      <c r="N4" s="240"/>
    </row>
    <row r="5" spans="1:16" s="247" customFormat="1" ht="6" customHeight="1" x14ac:dyDescent="0.2">
      <c r="A5" s="242"/>
      <c r="B5" s="243"/>
      <c r="C5" s="242"/>
      <c r="D5" s="242"/>
      <c r="E5" s="242"/>
      <c r="F5" s="324"/>
      <c r="G5" s="242"/>
      <c r="H5" s="248"/>
      <c r="I5" s="249"/>
      <c r="J5" s="248"/>
      <c r="K5" s="248"/>
      <c r="L5" s="248"/>
      <c r="M5" s="248"/>
      <c r="N5" s="242"/>
    </row>
    <row r="6" spans="1:16" s="247" customFormat="1" ht="5.0999999999999996" customHeight="1" x14ac:dyDescent="0.2">
      <c r="B6" s="243"/>
      <c r="C6" s="242"/>
      <c r="D6" s="203"/>
      <c r="E6" s="272"/>
      <c r="F6" s="379"/>
      <c r="G6" s="273"/>
      <c r="H6" s="272"/>
      <c r="I6" s="272"/>
      <c r="J6" s="272"/>
      <c r="K6" s="272"/>
      <c r="L6" s="204"/>
    </row>
    <row r="7" spans="1:16" s="247" customFormat="1" x14ac:dyDescent="0.2">
      <c r="B7" s="243"/>
      <c r="C7" s="242"/>
      <c r="D7" s="205"/>
      <c r="E7" s="454" t="s">
        <v>771</v>
      </c>
      <c r="F7" s="452"/>
      <c r="G7" s="453"/>
      <c r="H7" s="452"/>
      <c r="I7" s="452"/>
      <c r="J7" s="452"/>
      <c r="K7" s="452"/>
      <c r="L7" s="206"/>
    </row>
    <row r="8" spans="1:16" s="247" customFormat="1" x14ac:dyDescent="0.2">
      <c r="B8" s="243"/>
      <c r="C8" s="242"/>
      <c r="D8" s="205"/>
      <c r="E8" s="452"/>
      <c r="F8" s="452"/>
      <c r="G8" s="453"/>
      <c r="H8" s="452"/>
      <c r="I8" s="452"/>
      <c r="J8" s="452"/>
      <c r="K8" s="452"/>
      <c r="L8" s="206"/>
    </row>
    <row r="9" spans="1:16" s="247" customFormat="1" x14ac:dyDescent="0.2">
      <c r="B9" s="250"/>
      <c r="C9" s="238"/>
      <c r="D9" s="61"/>
      <c r="E9" s="452" t="s">
        <v>974</v>
      </c>
      <c r="F9" s="452"/>
      <c r="G9" s="455" t="str">
        <f>IF(MAAnrede&lt;&gt;"",MAAnrede,"")</f>
        <v/>
      </c>
      <c r="H9" s="452"/>
      <c r="I9" s="452"/>
      <c r="J9" s="452"/>
      <c r="K9" s="452"/>
      <c r="L9" s="62"/>
    </row>
    <row r="10" spans="1:16" s="247" customFormat="1" x14ac:dyDescent="0.2">
      <c r="B10" s="243"/>
      <c r="C10" s="242"/>
      <c r="D10" s="205"/>
      <c r="E10" s="452"/>
      <c r="F10" s="452"/>
      <c r="G10" s="453"/>
      <c r="H10" s="452"/>
      <c r="I10" s="452"/>
      <c r="J10" s="452"/>
      <c r="K10" s="452"/>
      <c r="L10" s="206"/>
    </row>
    <row r="11" spans="1:16" s="247" customFormat="1" ht="12.6" customHeight="1" x14ac:dyDescent="0.2">
      <c r="B11" s="250"/>
      <c r="C11" s="238"/>
      <c r="D11" s="61"/>
      <c r="E11" s="452" t="s">
        <v>757</v>
      </c>
      <c r="F11" s="452"/>
      <c r="G11" s="1065" t="str">
        <f>IF(MAName&lt;&gt;"",MAName,"")</f>
        <v/>
      </c>
      <c r="H11" s="1065"/>
      <c r="I11" s="452" t="s">
        <v>758</v>
      </c>
      <c r="J11" s="1065" t="str">
        <f>IF(MAVorname&lt;&gt;"",MAVorname,"")</f>
        <v/>
      </c>
      <c r="K11" s="1065"/>
      <c r="L11" s="62"/>
      <c r="N11" s="1068" t="s">
        <v>1040</v>
      </c>
      <c r="O11" s="1069"/>
      <c r="P11" s="711"/>
    </row>
    <row r="12" spans="1:16" s="247" customFormat="1" ht="12.6" customHeight="1" x14ac:dyDescent="0.2">
      <c r="B12" s="250"/>
      <c r="C12" s="238"/>
      <c r="D12" s="61"/>
      <c r="E12" s="452"/>
      <c r="F12" s="452"/>
      <c r="G12" s="452"/>
      <c r="H12" s="452"/>
      <c r="I12" s="452"/>
      <c r="J12" s="452"/>
      <c r="K12" s="452"/>
      <c r="L12" s="62"/>
      <c r="N12" s="1070"/>
      <c r="O12" s="1071"/>
      <c r="P12" s="711"/>
    </row>
    <row r="13" spans="1:16" s="247" customFormat="1" x14ac:dyDescent="0.2">
      <c r="B13" s="250"/>
      <c r="C13" s="238"/>
      <c r="D13" s="61"/>
      <c r="E13" s="452" t="s">
        <v>764</v>
      </c>
      <c r="F13" s="452"/>
      <c r="G13" s="1065" t="str">
        <f>IF(MAVertragsNr&lt;&gt;"",MAVertragsNr,"")</f>
        <v/>
      </c>
      <c r="H13" s="1065"/>
      <c r="I13" s="452" t="s">
        <v>763</v>
      </c>
      <c r="J13" s="1065" t="str">
        <f>IF(MAPersID&lt;&gt;"",MAPersID,"")</f>
        <v/>
      </c>
      <c r="K13" s="1065"/>
      <c r="L13" s="62"/>
    </row>
    <row r="14" spans="1:16" s="247" customFormat="1" x14ac:dyDescent="0.2">
      <c r="B14" s="250"/>
      <c r="C14" s="238"/>
      <c r="D14" s="61"/>
      <c r="E14" s="452"/>
      <c r="F14" s="452"/>
      <c r="G14" s="453"/>
      <c r="H14" s="452"/>
      <c r="I14" s="452"/>
      <c r="J14" s="452"/>
      <c r="K14" s="452"/>
      <c r="L14" s="269"/>
    </row>
    <row r="15" spans="1:16" s="247" customFormat="1" x14ac:dyDescent="0.2">
      <c r="B15" s="250"/>
      <c r="C15" s="238"/>
      <c r="D15" s="61"/>
      <c r="E15" s="452" t="s">
        <v>756</v>
      </c>
      <c r="F15" s="452"/>
      <c r="G15" s="1057"/>
      <c r="H15" s="1057"/>
      <c r="I15" s="1057"/>
      <c r="J15" s="1057"/>
      <c r="K15" s="1057"/>
      <c r="L15" s="62"/>
    </row>
    <row r="16" spans="1:16" s="247" customFormat="1" x14ac:dyDescent="0.2">
      <c r="B16" s="250"/>
      <c r="C16" s="238"/>
      <c r="D16" s="61"/>
      <c r="E16" s="452"/>
      <c r="F16" s="452"/>
      <c r="G16" s="453"/>
      <c r="H16" s="452"/>
      <c r="I16" s="452"/>
      <c r="J16" s="452"/>
      <c r="K16" s="452"/>
      <c r="L16" s="269"/>
    </row>
    <row r="17" spans="2:14" s="247" customFormat="1" x14ac:dyDescent="0.2">
      <c r="B17" s="250"/>
      <c r="C17" s="238"/>
      <c r="D17" s="61"/>
      <c r="E17" s="452" t="s">
        <v>759</v>
      </c>
      <c r="F17" s="452"/>
      <c r="G17" s="456"/>
      <c r="H17" s="452"/>
      <c r="I17" s="452" t="s">
        <v>760</v>
      </c>
      <c r="J17" s="1087"/>
      <c r="K17" s="1087"/>
      <c r="L17" s="62"/>
    </row>
    <row r="18" spans="2:14" s="247" customFormat="1" x14ac:dyDescent="0.2">
      <c r="B18" s="250"/>
      <c r="C18" s="238"/>
      <c r="D18" s="61"/>
      <c r="E18" s="452"/>
      <c r="F18" s="452"/>
      <c r="G18" s="453"/>
      <c r="H18" s="452"/>
      <c r="I18" s="452"/>
      <c r="J18" s="452"/>
      <c r="K18" s="453"/>
      <c r="L18" s="62"/>
    </row>
    <row r="19" spans="2:14" s="247" customFormat="1" x14ac:dyDescent="0.2">
      <c r="B19" s="250"/>
      <c r="C19" s="238"/>
      <c r="D19" s="61"/>
      <c r="E19" s="452" t="s">
        <v>761</v>
      </c>
      <c r="F19" s="452"/>
      <c r="G19" s="481">
        <f>MAGeburtsdatum</f>
        <v>0</v>
      </c>
      <c r="H19" s="452"/>
      <c r="I19" s="452"/>
      <c r="J19" s="452"/>
      <c r="K19" s="452"/>
      <c r="L19" s="62"/>
    </row>
    <row r="20" spans="2:14" s="247" customFormat="1" x14ac:dyDescent="0.2">
      <c r="B20" s="250"/>
      <c r="C20" s="238"/>
      <c r="D20" s="61"/>
      <c r="E20" s="452"/>
      <c r="F20" s="452"/>
      <c r="G20" s="452"/>
      <c r="H20" s="452"/>
      <c r="I20" s="452"/>
      <c r="J20" s="452"/>
      <c r="K20" s="453"/>
      <c r="L20" s="62"/>
    </row>
    <row r="21" spans="2:14" s="247" customFormat="1" ht="13.15" customHeight="1" x14ac:dyDescent="0.2">
      <c r="B21" s="243"/>
      <c r="D21" s="61"/>
      <c r="E21" s="457" t="s">
        <v>826</v>
      </c>
      <c r="F21" s="1054" t="s">
        <v>1085</v>
      </c>
      <c r="G21" s="1054"/>
      <c r="H21" s="1054"/>
      <c r="I21" s="1054"/>
      <c r="J21" s="1054"/>
      <c r="K21" s="586"/>
      <c r="L21" s="62"/>
    </row>
    <row r="22" spans="2:14" s="247" customFormat="1" ht="13.15" customHeight="1" x14ac:dyDescent="0.2">
      <c r="B22" s="243"/>
      <c r="D22" s="61"/>
      <c r="E22" s="457"/>
      <c r="F22" s="1054" t="s">
        <v>1083</v>
      </c>
      <c r="G22" s="1054"/>
      <c r="H22" s="1054"/>
      <c r="I22" s="1054"/>
      <c r="J22" s="1054"/>
      <c r="K22" s="1054"/>
      <c r="L22" s="876"/>
    </row>
    <row r="23" spans="2:14" s="247" customFormat="1" ht="13.15" customHeight="1" x14ac:dyDescent="0.2">
      <c r="B23" s="243"/>
      <c r="D23" s="61"/>
      <c r="E23" s="457"/>
      <c r="F23" s="1054" t="s">
        <v>1084</v>
      </c>
      <c r="G23" s="1054"/>
      <c r="H23" s="1054"/>
      <c r="I23" s="1054"/>
      <c r="J23" s="586"/>
      <c r="K23" s="586"/>
      <c r="L23" s="62"/>
    </row>
    <row r="24" spans="2:14" s="247" customFormat="1" ht="13.15" customHeight="1" x14ac:dyDescent="0.2">
      <c r="B24" s="243"/>
      <c r="D24" s="61"/>
      <c r="E24" s="457"/>
      <c r="F24" s="1054" t="s">
        <v>1086</v>
      </c>
      <c r="G24" s="1054"/>
      <c r="H24" s="586"/>
      <c r="I24" s="586"/>
      <c r="J24" s="586"/>
      <c r="K24" s="586"/>
      <c r="L24" s="62"/>
    </row>
    <row r="25" spans="2:14" s="247" customFormat="1" ht="8.1" customHeight="1" x14ac:dyDescent="0.2">
      <c r="B25" s="243"/>
      <c r="C25" s="242"/>
      <c r="D25" s="207"/>
      <c r="E25" s="64"/>
      <c r="F25" s="64"/>
      <c r="G25" s="65"/>
      <c r="H25" s="64"/>
      <c r="I25" s="64"/>
      <c r="J25" s="64"/>
      <c r="K25" s="64"/>
      <c r="L25" s="208"/>
    </row>
    <row r="26" spans="2:14" ht="6" customHeight="1" x14ac:dyDescent="0.2">
      <c r="B26" s="243"/>
      <c r="C26" s="242"/>
      <c r="D26" s="248"/>
      <c r="E26" s="352"/>
      <c r="F26" s="249"/>
      <c r="G26" s="248"/>
      <c r="H26" s="248"/>
      <c r="I26" s="248"/>
      <c r="J26" s="248"/>
      <c r="K26" s="242"/>
      <c r="L26" s="242"/>
    </row>
    <row r="27" spans="2:14" ht="5.0999999999999996" customHeight="1" x14ac:dyDescent="0.2">
      <c r="B27" s="243"/>
      <c r="C27" s="242"/>
      <c r="D27" s="380"/>
      <c r="E27" s="379"/>
      <c r="F27" s="273"/>
      <c r="G27" s="272"/>
      <c r="H27" s="272"/>
      <c r="I27" s="272"/>
      <c r="J27" s="272"/>
      <c r="K27" s="67"/>
      <c r="L27" s="204"/>
    </row>
    <row r="28" spans="2:14" x14ac:dyDescent="0.2">
      <c r="B28" s="243"/>
      <c r="C28" s="242"/>
      <c r="D28" s="205"/>
      <c r="E28" s="324" t="s">
        <v>982</v>
      </c>
      <c r="F28" s="352"/>
      <c r="G28" s="249"/>
      <c r="H28" s="248"/>
      <c r="I28" s="248"/>
      <c r="J28" s="248"/>
      <c r="K28" s="248"/>
      <c r="L28" s="206"/>
    </row>
    <row r="29" spans="2:14" ht="7.9" customHeight="1" x14ac:dyDescent="0.2">
      <c r="B29" s="243"/>
      <c r="C29" s="242"/>
      <c r="D29" s="205"/>
      <c r="E29" s="324"/>
      <c r="F29" s="352"/>
      <c r="G29" s="249"/>
      <c r="H29" s="248"/>
      <c r="I29" s="248"/>
      <c r="J29" s="248"/>
      <c r="K29" s="248"/>
      <c r="L29" s="206"/>
    </row>
    <row r="30" spans="2:14" s="247" customFormat="1" x14ac:dyDescent="0.2">
      <c r="B30" s="250"/>
      <c r="C30" s="435"/>
      <c r="D30" s="61"/>
      <c r="E30" s="248" t="s">
        <v>827</v>
      </c>
      <c r="G30" s="1088"/>
      <c r="H30" s="1088"/>
      <c r="I30" s="1088"/>
      <c r="J30" s="1088"/>
      <c r="K30" s="1088"/>
      <c r="L30" s="62"/>
    </row>
    <row r="31" spans="2:14" x14ac:dyDescent="0.2">
      <c r="B31" s="243"/>
      <c r="C31" s="242"/>
      <c r="D31" s="205"/>
      <c r="E31" s="352"/>
      <c r="F31" s="352"/>
      <c r="G31" s="249"/>
      <c r="H31" s="248"/>
      <c r="I31" s="248"/>
      <c r="J31" s="248"/>
      <c r="K31" s="248"/>
      <c r="L31" s="206"/>
    </row>
    <row r="32" spans="2:14" x14ac:dyDescent="0.2">
      <c r="B32" s="243"/>
      <c r="C32" s="242"/>
      <c r="D32" s="205"/>
      <c r="E32" s="248" t="s">
        <v>843</v>
      </c>
      <c r="F32" s="447"/>
      <c r="G32" s="249"/>
      <c r="H32" s="249" t="s">
        <v>943</v>
      </c>
      <c r="I32" s="235"/>
      <c r="J32" s="249" t="s">
        <v>7</v>
      </c>
      <c r="K32" s="235"/>
      <c r="L32" s="206"/>
      <c r="N32" s="903">
        <f>YEAR(I32)</f>
        <v>1900</v>
      </c>
    </row>
    <row r="33" spans="2:18" x14ac:dyDescent="0.2">
      <c r="B33" s="243"/>
      <c r="C33" s="242"/>
      <c r="D33" s="205"/>
      <c r="L33" s="206"/>
    </row>
    <row r="34" spans="2:18" x14ac:dyDescent="0.2">
      <c r="B34" s="243"/>
      <c r="C34" s="242"/>
      <c r="D34" s="205"/>
      <c r="E34" s="248" t="s">
        <v>833</v>
      </c>
      <c r="F34" s="248"/>
      <c r="G34" s="1088"/>
      <c r="H34" s="1088"/>
      <c r="I34" s="1088"/>
      <c r="J34" s="1088"/>
      <c r="K34" s="1088"/>
      <c r="L34" s="206"/>
    </row>
    <row r="35" spans="2:18" x14ac:dyDescent="0.2">
      <c r="B35" s="243"/>
      <c r="C35" s="242"/>
      <c r="D35" s="205"/>
      <c r="E35" s="248"/>
      <c r="F35" s="352"/>
      <c r="G35" s="249"/>
      <c r="H35" s="248"/>
      <c r="I35" s="248"/>
      <c r="J35" s="248"/>
      <c r="K35" s="248"/>
      <c r="L35" s="206"/>
    </row>
    <row r="36" spans="2:18" x14ac:dyDescent="0.2">
      <c r="B36" s="243"/>
      <c r="C36" s="242"/>
      <c r="D36" s="205"/>
      <c r="E36" s="248" t="s">
        <v>834</v>
      </c>
      <c r="F36" s="248"/>
      <c r="G36" s="1089"/>
      <c r="H36" s="1089"/>
      <c r="I36" s="1089"/>
      <c r="J36" s="1089"/>
      <c r="K36" s="1089"/>
      <c r="L36" s="206"/>
    </row>
    <row r="37" spans="2:18" x14ac:dyDescent="0.2">
      <c r="B37" s="243"/>
      <c r="C37" s="242"/>
      <c r="D37" s="205"/>
      <c r="E37" s="248"/>
      <c r="F37" s="352"/>
      <c r="G37" s="249"/>
      <c r="H37" s="248"/>
      <c r="I37" s="248"/>
      <c r="J37" s="248"/>
      <c r="K37" s="248"/>
      <c r="L37" s="206"/>
    </row>
    <row r="38" spans="2:18" x14ac:dyDescent="0.2">
      <c r="B38" s="243"/>
      <c r="C38" s="242"/>
      <c r="D38" s="205"/>
      <c r="E38" s="248" t="s">
        <v>963</v>
      </c>
      <c r="F38" s="248"/>
      <c r="G38" s="248"/>
      <c r="H38" s="1090"/>
      <c r="I38" s="1090"/>
      <c r="J38" s="1090"/>
      <c r="K38" s="1090"/>
      <c r="L38" s="206"/>
    </row>
    <row r="39" spans="2:18" x14ac:dyDescent="0.2">
      <c r="B39" s="243"/>
      <c r="C39" s="242"/>
      <c r="D39" s="205"/>
      <c r="E39" s="248"/>
      <c r="F39" s="248"/>
      <c r="G39" s="248"/>
      <c r="H39" s="248"/>
      <c r="J39" s="276" t="str">
        <f>IF(H38="Mentorat (401179) / Fachperson (401175)*", "* Stv.-Kosten zur Weiterverrechnung","")</f>
        <v/>
      </c>
      <c r="K39" s="355"/>
      <c r="L39" s="206"/>
    </row>
    <row r="40" spans="2:18" ht="12.6" customHeight="1" x14ac:dyDescent="0.2">
      <c r="B40" s="243"/>
      <c r="C40" s="242"/>
      <c r="D40" s="205"/>
      <c r="E40" s="1091" t="s">
        <v>1081</v>
      </c>
      <c r="F40" s="1091"/>
      <c r="G40" s="1091"/>
      <c r="H40" s="1091"/>
      <c r="I40" s="1091"/>
      <c r="J40" s="450" t="s">
        <v>1082</v>
      </c>
      <c r="K40" s="410"/>
      <c r="L40" s="206"/>
    </row>
    <row r="41" spans="2:18" s="247" customFormat="1" x14ac:dyDescent="0.2">
      <c r="B41" s="250"/>
      <c r="C41" s="238"/>
      <c r="D41" s="61"/>
      <c r="E41" s="248"/>
      <c r="F41" s="248"/>
      <c r="H41" s="351"/>
      <c r="I41" s="351"/>
      <c r="L41" s="62"/>
    </row>
    <row r="42" spans="2:18" s="247" customFormat="1" x14ac:dyDescent="0.2">
      <c r="B42" s="243"/>
      <c r="C42" s="242"/>
      <c r="D42" s="61"/>
      <c r="E42" s="248" t="s">
        <v>852</v>
      </c>
      <c r="F42" s="350"/>
      <c r="G42" s="1088"/>
      <c r="H42" s="1088"/>
      <c r="I42" s="248" t="s">
        <v>953</v>
      </c>
      <c r="J42" s="1088"/>
      <c r="K42" s="1088"/>
      <c r="L42" s="62"/>
    </row>
    <row r="43" spans="2:18" s="247" customFormat="1" x14ac:dyDescent="0.2">
      <c r="B43" s="243"/>
      <c r="C43" s="242"/>
      <c r="D43" s="61"/>
      <c r="E43" s="248"/>
      <c r="F43" s="248"/>
      <c r="H43" s="351"/>
      <c r="I43" s="351"/>
      <c r="L43" s="62"/>
    </row>
    <row r="44" spans="2:18" s="247" customFormat="1" x14ac:dyDescent="0.2">
      <c r="B44" s="243"/>
      <c r="C44" s="242"/>
      <c r="D44" s="61"/>
      <c r="E44" s="248" t="s">
        <v>912</v>
      </c>
      <c r="F44" s="248"/>
      <c r="G44" s="1088"/>
      <c r="H44" s="1088"/>
      <c r="I44" s="325"/>
      <c r="L44" s="62"/>
    </row>
    <row r="45" spans="2:18" s="247" customFormat="1" x14ac:dyDescent="0.2">
      <c r="B45" s="243"/>
      <c r="C45" s="242"/>
      <c r="D45" s="61"/>
      <c r="E45" s="248"/>
      <c r="F45" s="248"/>
      <c r="H45" s="351"/>
      <c r="I45" s="351"/>
      <c r="L45" s="62"/>
    </row>
    <row r="46" spans="2:18" s="247" customFormat="1" x14ac:dyDescent="0.2">
      <c r="B46" s="243"/>
      <c r="C46" s="238"/>
      <c r="D46" s="61"/>
      <c r="E46" s="1082" t="s">
        <v>979</v>
      </c>
      <c r="F46" s="1082"/>
      <c r="G46" s="1082"/>
      <c r="H46" s="325"/>
      <c r="I46" s="325"/>
      <c r="J46" s="325"/>
      <c r="K46" s="325"/>
      <c r="L46" s="327"/>
    </row>
    <row r="47" spans="2:18" s="247" customFormat="1" x14ac:dyDescent="0.2">
      <c r="B47" s="243"/>
      <c r="C47" s="238"/>
      <c r="D47" s="61"/>
      <c r="E47" s="248"/>
      <c r="F47" s="248"/>
      <c r="G47" s="249"/>
      <c r="H47" s="248"/>
      <c r="I47" s="248"/>
      <c r="J47" s="248"/>
      <c r="K47" s="248"/>
      <c r="L47" s="269"/>
      <c r="R47" s="247" t="s">
        <v>980</v>
      </c>
    </row>
    <row r="48" spans="2:18" s="247" customFormat="1" x14ac:dyDescent="0.2">
      <c r="B48" s="243"/>
      <c r="C48" s="238"/>
      <c r="D48" s="61"/>
      <c r="E48" s="1056"/>
      <c r="F48" s="1056"/>
      <c r="G48" s="1056"/>
      <c r="H48" s="1056"/>
      <c r="I48" s="1056"/>
      <c r="J48" s="1056"/>
      <c r="K48" s="1056"/>
      <c r="L48" s="62"/>
      <c r="R48" s="358">
        <f>E48</f>
        <v>0</v>
      </c>
    </row>
    <row r="49" spans="1:18" s="247" customFormat="1" x14ac:dyDescent="0.2">
      <c r="B49" s="243"/>
      <c r="C49" s="238"/>
      <c r="D49" s="61"/>
      <c r="E49" s="1056"/>
      <c r="F49" s="1056"/>
      <c r="G49" s="1056"/>
      <c r="H49" s="1056"/>
      <c r="I49" s="1056"/>
      <c r="J49" s="1056"/>
      <c r="K49" s="1056"/>
      <c r="L49" s="62"/>
      <c r="R49" s="358">
        <f>E49</f>
        <v>0</v>
      </c>
    </row>
    <row r="50" spans="1:18" s="247" customFormat="1" x14ac:dyDescent="0.2">
      <c r="B50" s="243"/>
      <c r="C50" s="238"/>
      <c r="D50" s="61"/>
      <c r="E50" s="1056"/>
      <c r="F50" s="1056"/>
      <c r="G50" s="1056"/>
      <c r="H50" s="1056"/>
      <c r="I50" s="1056"/>
      <c r="J50" s="1056"/>
      <c r="K50" s="1056"/>
      <c r="L50" s="62"/>
      <c r="M50" s="61"/>
      <c r="N50" s="451"/>
      <c r="R50" s="358">
        <f>E50</f>
        <v>0</v>
      </c>
    </row>
    <row r="51" spans="1:18" s="247" customFormat="1" x14ac:dyDescent="0.2">
      <c r="B51" s="243"/>
      <c r="C51" s="242"/>
      <c r="D51" s="61"/>
      <c r="E51" s="590"/>
      <c r="F51" s="452"/>
      <c r="G51" s="452"/>
      <c r="H51" s="452"/>
      <c r="I51" s="452"/>
      <c r="J51" s="452"/>
      <c r="K51" s="578"/>
      <c r="L51" s="206"/>
      <c r="M51" s="61"/>
      <c r="N51" s="451"/>
    </row>
    <row r="52" spans="1:18" s="247" customFormat="1" x14ac:dyDescent="0.2">
      <c r="B52" s="243"/>
      <c r="C52" s="238"/>
      <c r="D52" s="61"/>
      <c r="G52" s="603" t="s">
        <v>1136</v>
      </c>
      <c r="H52" s="603"/>
      <c r="I52" s="603"/>
      <c r="K52" s="464"/>
      <c r="L52" s="62"/>
      <c r="M52" s="61"/>
      <c r="N52" s="451"/>
    </row>
    <row r="53" spans="1:18" ht="8.1" customHeight="1" x14ac:dyDescent="0.2">
      <c r="B53" s="243"/>
      <c r="C53" s="242"/>
      <c r="D53" s="207"/>
      <c r="E53" s="357"/>
      <c r="F53" s="357"/>
      <c r="G53" s="357"/>
      <c r="H53" s="382"/>
      <c r="I53" s="382"/>
      <c r="J53" s="383"/>
      <c r="K53" s="382"/>
      <c r="L53" s="208"/>
    </row>
    <row r="54" spans="1:18" s="247" customFormat="1" ht="6" customHeight="1" x14ac:dyDescent="0.2">
      <c r="C54" s="242"/>
      <c r="D54" s="242"/>
      <c r="E54" s="248"/>
      <c r="F54" s="248"/>
      <c r="G54" s="249"/>
      <c r="H54" s="248"/>
      <c r="I54" s="248"/>
      <c r="J54" s="248"/>
      <c r="K54" s="248"/>
      <c r="L54" s="248"/>
    </row>
    <row r="55" spans="1:18" s="238" customFormat="1" ht="21" customHeight="1" x14ac:dyDescent="0.2">
      <c r="B55" s="239"/>
      <c r="D55" s="241" t="s">
        <v>951</v>
      </c>
      <c r="F55" s="241"/>
      <c r="H55" s="240"/>
      <c r="I55" s="240"/>
      <c r="J55" s="240"/>
      <c r="K55" s="240"/>
      <c r="L55" s="240"/>
      <c r="M55" s="240"/>
    </row>
    <row r="56" spans="1:18" s="247" customFormat="1" ht="6.75" customHeight="1" x14ac:dyDescent="0.2">
      <c r="A56" s="242"/>
      <c r="B56" s="243"/>
      <c r="C56" s="243"/>
      <c r="D56" s="243"/>
      <c r="E56" s="243"/>
      <c r="F56" s="244"/>
      <c r="G56" s="243"/>
      <c r="H56" s="245"/>
      <c r="I56" s="246"/>
      <c r="J56" s="245"/>
      <c r="K56" s="245"/>
      <c r="L56" s="245"/>
      <c r="N56" s="1078" t="s">
        <v>2009</v>
      </c>
      <c r="O56" s="1078"/>
      <c r="P56" s="1078"/>
    </row>
    <row r="57" spans="1:18" s="247" customFormat="1" ht="6" customHeight="1" x14ac:dyDescent="0.2">
      <c r="A57" s="242"/>
      <c r="B57" s="243"/>
      <c r="C57" s="242"/>
      <c r="D57" s="242"/>
      <c r="E57" s="242"/>
      <c r="F57" s="324"/>
      <c r="G57" s="242"/>
      <c r="H57" s="248"/>
      <c r="I57" s="249"/>
      <c r="J57" s="248"/>
      <c r="K57" s="248"/>
      <c r="L57" s="248"/>
      <c r="M57" s="248"/>
      <c r="N57" s="1078"/>
      <c r="O57" s="1078"/>
      <c r="P57" s="1078"/>
    </row>
    <row r="58" spans="1:18" s="247" customFormat="1" ht="5.0999999999999996" customHeight="1" x14ac:dyDescent="0.2">
      <c r="B58" s="243"/>
      <c r="C58" s="242"/>
      <c r="D58" s="203"/>
      <c r="E58" s="272"/>
      <c r="F58" s="272"/>
      <c r="G58" s="273"/>
      <c r="H58" s="272"/>
      <c r="I58" s="272"/>
      <c r="J58" s="272"/>
      <c r="K58" s="272"/>
      <c r="L58" s="274"/>
      <c r="N58" s="1078"/>
      <c r="O58" s="1078"/>
      <c r="P58" s="1078"/>
    </row>
    <row r="59" spans="1:18" s="247" customFormat="1" ht="12.75" customHeight="1" x14ac:dyDescent="0.2">
      <c r="B59" s="243"/>
      <c r="C59" s="242"/>
      <c r="D59" s="205"/>
      <c r="E59" s="275" t="s">
        <v>946</v>
      </c>
      <c r="F59" s="248"/>
      <c r="G59" s="249"/>
      <c r="H59" s="248"/>
      <c r="I59" s="248"/>
      <c r="J59" s="248"/>
      <c r="K59" s="248"/>
      <c r="L59" s="206"/>
      <c r="N59" s="1078"/>
      <c r="O59" s="1078"/>
      <c r="P59" s="1078"/>
    </row>
    <row r="60" spans="1:18" s="247" customFormat="1" x14ac:dyDescent="0.2">
      <c r="B60" s="243"/>
      <c r="C60" s="242"/>
      <c r="D60" s="205"/>
      <c r="L60" s="206"/>
      <c r="N60" s="1078"/>
      <c r="O60" s="1078"/>
      <c r="P60" s="1078"/>
    </row>
    <row r="61" spans="1:18" s="247" customFormat="1" x14ac:dyDescent="0.2">
      <c r="B61" s="243"/>
      <c r="C61" s="242"/>
      <c r="D61" s="205"/>
      <c r="E61" s="248" t="s">
        <v>978</v>
      </c>
      <c r="F61" s="1083"/>
      <c r="G61" s="1083"/>
      <c r="L61" s="206"/>
      <c r="N61" s="1078"/>
      <c r="O61" s="1078"/>
      <c r="P61" s="1078"/>
    </row>
    <row r="62" spans="1:18" s="247" customFormat="1" x14ac:dyDescent="0.2">
      <c r="B62" s="243"/>
      <c r="C62" s="242"/>
      <c r="D62" s="205"/>
      <c r="E62" s="248"/>
      <c r="F62" s="248"/>
      <c r="G62" s="355"/>
      <c r="H62" s="248"/>
      <c r="I62" s="248"/>
      <c r="J62" s="248"/>
      <c r="K62" s="249"/>
      <c r="L62" s="206"/>
      <c r="N62" s="1078"/>
      <c r="O62" s="1078"/>
      <c r="P62" s="1078"/>
    </row>
    <row r="63" spans="1:18" s="247" customFormat="1" x14ac:dyDescent="0.2">
      <c r="B63" s="243"/>
      <c r="C63" s="242"/>
      <c r="D63" s="205"/>
      <c r="E63" s="248" t="s">
        <v>1003</v>
      </c>
      <c r="F63" s="248"/>
      <c r="G63" s="280">
        <f>MULohnberechnung</f>
        <v>0</v>
      </c>
      <c r="H63" s="249" t="s">
        <v>1005</v>
      </c>
      <c r="I63" s="242" t="s">
        <v>1043</v>
      </c>
      <c r="K63" s="236"/>
      <c r="L63" s="206"/>
      <c r="N63" s="1078"/>
      <c r="O63" s="1078"/>
      <c r="P63" s="1078"/>
    </row>
    <row r="64" spans="1:18" s="247" customFormat="1" x14ac:dyDescent="0.2">
      <c r="B64" s="243"/>
      <c r="D64" s="61"/>
      <c r="L64" s="62"/>
      <c r="N64" s="1078"/>
      <c r="O64" s="1078"/>
      <c r="P64" s="1078"/>
    </row>
    <row r="65" spans="2:18" s="247" customFormat="1" x14ac:dyDescent="0.2">
      <c r="B65" s="243"/>
      <c r="C65" s="242"/>
      <c r="D65" s="205"/>
      <c r="E65" s="248" t="s">
        <v>973</v>
      </c>
      <c r="F65" s="248"/>
      <c r="G65" s="433"/>
      <c r="I65" s="248" t="s">
        <v>1080</v>
      </c>
      <c r="J65" s="1095" t="str">
        <f>_xlfn.IFNA(VLOOKUP(G65,Stammdaten_DropDown!$B$14:$C$55,2,FALSE),"")</f>
        <v/>
      </c>
      <c r="K65" s="1095"/>
      <c r="L65" s="269"/>
      <c r="N65" s="1078"/>
      <c r="O65" s="1078"/>
      <c r="P65" s="1078"/>
    </row>
    <row r="66" spans="2:18" s="247" customFormat="1" x14ac:dyDescent="0.2">
      <c r="B66" s="243"/>
      <c r="C66" s="242"/>
      <c r="D66" s="205"/>
      <c r="E66" s="248"/>
      <c r="F66" s="248"/>
      <c r="G66" s="237"/>
      <c r="H66" s="46"/>
      <c r="I66" s="97"/>
      <c r="J66" s="900"/>
      <c r="K66" s="900"/>
      <c r="L66" s="269"/>
      <c r="N66" s="1078"/>
      <c r="O66" s="1078"/>
      <c r="P66" s="1078"/>
    </row>
    <row r="67" spans="2:18" s="247" customFormat="1" x14ac:dyDescent="0.2">
      <c r="B67" s="243"/>
      <c r="C67" s="242"/>
      <c r="D67" s="205"/>
      <c r="E67" s="248" t="s">
        <v>2000</v>
      </c>
      <c r="F67" s="248"/>
      <c r="G67" s="237"/>
      <c r="H67" s="1088"/>
      <c r="I67" s="1088"/>
      <c r="J67" s="1088"/>
      <c r="K67" s="1088"/>
      <c r="L67" s="269"/>
      <c r="N67" s="1078"/>
      <c r="O67" s="1078"/>
      <c r="P67" s="1078"/>
    </row>
    <row r="68" spans="2:18" s="247" customFormat="1" x14ac:dyDescent="0.2">
      <c r="B68" s="243"/>
      <c r="C68" s="242"/>
      <c r="D68" s="205"/>
      <c r="E68" s="891" t="s">
        <v>1964</v>
      </c>
      <c r="L68" s="269"/>
      <c r="N68" s="1078"/>
      <c r="O68" s="1078"/>
      <c r="P68" s="1078"/>
    </row>
    <row r="69" spans="2:18" s="247" customFormat="1" x14ac:dyDescent="0.2">
      <c r="B69" s="243"/>
      <c r="C69" s="242"/>
      <c r="D69" s="205"/>
      <c r="E69" s="1081" t="s">
        <v>952</v>
      </c>
      <c r="F69" s="1081"/>
      <c r="G69" s="1094"/>
      <c r="H69" s="1094"/>
      <c r="I69" s="1094"/>
      <c r="J69" s="1094"/>
      <c r="K69" s="1094"/>
      <c r="L69" s="206"/>
      <c r="N69" s="1078"/>
      <c r="O69" s="1078"/>
      <c r="P69" s="1078"/>
    </row>
    <row r="70" spans="2:18" s="247" customFormat="1" ht="8.1" customHeight="1" x14ac:dyDescent="0.2">
      <c r="B70" s="243"/>
      <c r="C70" s="242"/>
      <c r="D70" s="207"/>
      <c r="E70" s="270"/>
      <c r="F70" s="270"/>
      <c r="G70" s="270"/>
      <c r="H70" s="270"/>
      <c r="I70" s="270"/>
      <c r="J70" s="270"/>
      <c r="K70" s="270"/>
      <c r="L70" s="208"/>
      <c r="N70" s="1078"/>
      <c r="O70" s="1078"/>
      <c r="P70" s="1078"/>
    </row>
    <row r="71" spans="2:18" s="247" customFormat="1" ht="6" customHeight="1" x14ac:dyDescent="0.2">
      <c r="B71" s="243"/>
      <c r="C71" s="242"/>
      <c r="D71" s="242"/>
      <c r="E71" s="271"/>
      <c r="F71" s="271"/>
      <c r="G71" s="271"/>
      <c r="H71" s="271"/>
      <c r="I71" s="271"/>
      <c r="J71" s="271"/>
      <c r="K71" s="271"/>
      <c r="L71" s="242"/>
      <c r="N71" s="1078"/>
      <c r="O71" s="1078"/>
      <c r="P71" s="1078"/>
    </row>
    <row r="72" spans="2:18" s="247" customFormat="1" ht="5.0999999999999996" customHeight="1" x14ac:dyDescent="0.2">
      <c r="B72" s="243"/>
      <c r="C72" s="242"/>
      <c r="D72" s="203"/>
      <c r="E72" s="67"/>
      <c r="F72" s="67"/>
      <c r="G72" s="68"/>
      <c r="H72" s="67"/>
      <c r="I72" s="67"/>
      <c r="J72" s="67"/>
      <c r="K72" s="67"/>
      <c r="L72" s="204"/>
      <c r="N72" s="1078"/>
      <c r="O72" s="1078"/>
      <c r="P72" s="1078"/>
    </row>
    <row r="73" spans="2:18" s="247" customFormat="1" x14ac:dyDescent="0.2">
      <c r="B73" s="243"/>
      <c r="C73" s="242"/>
      <c r="D73" s="205"/>
      <c r="E73" s="1082" t="s">
        <v>985</v>
      </c>
      <c r="F73" s="1082"/>
      <c r="G73" s="1082"/>
      <c r="H73" s="1082"/>
      <c r="I73" s="1082"/>
      <c r="J73" s="1082"/>
      <c r="K73" s="248"/>
      <c r="L73" s="206"/>
      <c r="N73" s="1078"/>
      <c r="O73" s="1078"/>
      <c r="P73" s="1078"/>
    </row>
    <row r="74" spans="2:18" s="247" customFormat="1" x14ac:dyDescent="0.2">
      <c r="B74" s="243"/>
      <c r="C74" s="242"/>
      <c r="D74" s="205"/>
      <c r="E74" s="248"/>
      <c r="F74" s="248"/>
      <c r="G74" s="249"/>
      <c r="H74" s="248"/>
      <c r="I74" s="248"/>
      <c r="J74" s="248"/>
      <c r="K74" s="248"/>
      <c r="L74" s="206"/>
      <c r="N74" s="1078"/>
      <c r="O74" s="1078"/>
      <c r="P74" s="1078"/>
      <c r="R74" s="247" t="s">
        <v>980</v>
      </c>
    </row>
    <row r="75" spans="2:18" s="247" customFormat="1" x14ac:dyDescent="0.2">
      <c r="B75" s="243"/>
      <c r="C75" s="242"/>
      <c r="D75" s="205"/>
      <c r="E75" s="1056"/>
      <c r="F75" s="1056"/>
      <c r="G75" s="1056"/>
      <c r="H75" s="1056"/>
      <c r="I75" s="1056"/>
      <c r="J75" s="1056"/>
      <c r="K75" s="1056"/>
      <c r="L75" s="206"/>
      <c r="N75" s="1078"/>
      <c r="O75" s="1078"/>
      <c r="P75" s="1078"/>
      <c r="R75" s="358">
        <f>E75</f>
        <v>0</v>
      </c>
    </row>
    <row r="76" spans="2:18" s="247" customFormat="1" x14ac:dyDescent="0.2">
      <c r="B76" s="243"/>
      <c r="C76" s="242"/>
      <c r="D76" s="205"/>
      <c r="E76" s="1056"/>
      <c r="F76" s="1056"/>
      <c r="G76" s="1056"/>
      <c r="H76" s="1056"/>
      <c r="I76" s="1056"/>
      <c r="J76" s="1056"/>
      <c r="K76" s="1056"/>
      <c r="L76" s="206"/>
      <c r="N76" s="1078"/>
      <c r="O76" s="1078"/>
      <c r="P76" s="1078"/>
      <c r="R76" s="358"/>
    </row>
    <row r="77" spans="2:18" s="247" customFormat="1" x14ac:dyDescent="0.2">
      <c r="B77" s="243"/>
      <c r="C77" s="242"/>
      <c r="D77" s="205"/>
      <c r="E77" s="1056"/>
      <c r="F77" s="1056"/>
      <c r="G77" s="1056"/>
      <c r="H77" s="1056"/>
      <c r="I77" s="1056"/>
      <c r="J77" s="1056"/>
      <c r="K77" s="1056"/>
      <c r="L77" s="206"/>
      <c r="N77" s="1078"/>
      <c r="O77" s="1078"/>
      <c r="P77" s="1078"/>
      <c r="R77" s="358">
        <f>E77</f>
        <v>0</v>
      </c>
    </row>
    <row r="78" spans="2:18" s="247" customFormat="1" ht="8.1" customHeight="1" x14ac:dyDescent="0.2">
      <c r="B78" s="243"/>
      <c r="C78" s="242"/>
      <c r="D78" s="207"/>
      <c r="E78" s="64"/>
      <c r="F78" s="64"/>
      <c r="G78" s="65"/>
      <c r="H78" s="64"/>
      <c r="I78" s="64"/>
      <c r="J78" s="64"/>
      <c r="K78" s="64"/>
      <c r="L78" s="208"/>
      <c r="N78" s="1078"/>
      <c r="O78" s="1078"/>
      <c r="P78" s="1078"/>
    </row>
    <row r="79" spans="2:18" s="247" customFormat="1" ht="6" customHeight="1" x14ac:dyDescent="0.2">
      <c r="B79" s="243"/>
      <c r="C79" s="242"/>
      <c r="D79" s="242"/>
      <c r="E79" s="248"/>
      <c r="F79" s="248"/>
      <c r="G79" s="249"/>
      <c r="H79" s="248"/>
      <c r="I79" s="248"/>
      <c r="J79" s="248"/>
      <c r="K79" s="248"/>
      <c r="L79" s="242"/>
      <c r="N79" s="1078"/>
      <c r="O79" s="1078"/>
      <c r="P79" s="1078"/>
    </row>
    <row r="80" spans="2:18" s="247" customFormat="1" ht="5.0999999999999996" customHeight="1" x14ac:dyDescent="0.2">
      <c r="B80" s="243"/>
      <c r="C80" s="242"/>
      <c r="D80" s="203"/>
      <c r="E80" s="67"/>
      <c r="F80" s="67"/>
      <c r="G80" s="68"/>
      <c r="H80" s="67"/>
      <c r="I80" s="67"/>
      <c r="J80" s="67"/>
      <c r="K80" s="67"/>
      <c r="L80" s="204"/>
    </row>
    <row r="81" spans="2:16" s="247" customFormat="1" x14ac:dyDescent="0.2">
      <c r="B81" s="243"/>
      <c r="C81" s="242"/>
      <c r="D81" s="205"/>
      <c r="E81" s="211" t="s">
        <v>933</v>
      </c>
      <c r="F81" s="211"/>
      <c r="G81" s="326"/>
      <c r="H81" s="325"/>
      <c r="I81" s="325"/>
      <c r="J81" s="325"/>
      <c r="K81" s="325"/>
      <c r="L81" s="269"/>
      <c r="N81" s="1098" t="str">
        <f>Stammdaten_DropDown!A113</f>
        <v>Lohnentwicklung</v>
      </c>
      <c r="O81" s="1098"/>
      <c r="P81" s="1098"/>
    </row>
    <row r="82" spans="2:16" s="247" customFormat="1" ht="6" customHeight="1" x14ac:dyDescent="0.2">
      <c r="B82" s="243"/>
      <c r="C82" s="242"/>
      <c r="D82" s="205"/>
      <c r="E82" s="248"/>
      <c r="F82" s="248"/>
      <c r="G82" s="249"/>
      <c r="H82" s="248"/>
      <c r="I82" s="248"/>
      <c r="J82" s="248"/>
      <c r="K82" s="248"/>
      <c r="L82" s="269"/>
      <c r="N82" s="242"/>
    </row>
    <row r="83" spans="2:16" s="247" customFormat="1" x14ac:dyDescent="0.2">
      <c r="B83" s="243"/>
      <c r="C83" s="242"/>
      <c r="D83" s="205"/>
      <c r="E83" s="248" t="s">
        <v>945</v>
      </c>
      <c r="F83" s="248"/>
      <c r="G83" s="249"/>
      <c r="H83" s="248"/>
      <c r="I83" s="248"/>
      <c r="J83" s="1083"/>
      <c r="K83" s="1083"/>
      <c r="L83" s="269"/>
      <c r="N83" s="1097" t="str">
        <f>Stammdaten_DropDown!A114</f>
        <v>Bitte angeben, ob eine individuelle Lohnentwicklung gewährt werden soll.</v>
      </c>
      <c r="O83" s="1097"/>
      <c r="P83" s="1097"/>
    </row>
    <row r="84" spans="2:16" s="247" customFormat="1" x14ac:dyDescent="0.2">
      <c r="B84" s="243"/>
      <c r="C84" s="242"/>
      <c r="D84" s="205"/>
      <c r="E84" s="248"/>
      <c r="F84" s="248"/>
      <c r="G84" s="249"/>
      <c r="H84" s="248"/>
      <c r="I84" s="248"/>
      <c r="J84" s="248"/>
      <c r="K84" s="248"/>
      <c r="L84" s="269"/>
      <c r="N84" s="1097" t="str">
        <f>Stammdaten_DropDown!A115</f>
        <v>Bei einem Neueintritt nach dem 01.07.2024 ist keine individuelle Lohnentwicklung vorgesehen.</v>
      </c>
      <c r="O84" s="1097"/>
      <c r="P84" s="1097"/>
    </row>
    <row r="85" spans="2:16" s="247" customFormat="1" x14ac:dyDescent="0.2">
      <c r="B85" s="243"/>
      <c r="C85" s="242"/>
      <c r="D85" s="205"/>
      <c r="E85" s="278" t="s">
        <v>765</v>
      </c>
      <c r="G85" s="279" t="str">
        <f>IF(ISBLANK($J$83),IF(BandLohnBer="",IF(BandLohnRechner="","",BandLohnRechner),IF(BandLohnRechner="",BandLohnBer,"FEHLER")),"-")</f>
        <v/>
      </c>
      <c r="H85" s="717" t="s">
        <v>809</v>
      </c>
      <c r="K85" s="280" t="str">
        <f>IF(ISBLANK($J$83),IF(EWLohnBer="",IF(EWLohnRechner="","",EWLohnRechner),IF(EWLohnRechner="",EWLohnBer,"FEHLER")),"-")</f>
        <v/>
      </c>
      <c r="L85" s="269"/>
      <c r="N85" s="899" t="str">
        <f>Stammdaten_DropDown!A116</f>
        <v>In dem Fall ist das Prädikat auf dem Wert «NA» (keine Beurteilung) zu belassen.</v>
      </c>
    </row>
    <row r="86" spans="2:16" s="247" customFormat="1" x14ac:dyDescent="0.2">
      <c r="B86" s="243"/>
      <c r="C86" s="242"/>
      <c r="D86" s="205"/>
      <c r="E86" s="448" t="b">
        <f>AND(BandLohnBer&lt;&gt;"",BandLohnRechner&lt;&gt;"")</f>
        <v>0</v>
      </c>
      <c r="F86" s="248"/>
      <c r="G86" s="449" t="str">
        <f>IF(E86,"2 Lohnbänder gefunden","")</f>
        <v/>
      </c>
      <c r="H86" s="248"/>
      <c r="I86" s="448" t="b">
        <f>AND(EWLohnBer&lt;&gt;"",EWLohnRechner&lt;&gt;"")</f>
        <v>0</v>
      </c>
      <c r="J86" s="566" t="str">
        <f>IF(I86,"2 Erfahrungswerte gefunden","")</f>
        <v/>
      </c>
      <c r="K86" s="566"/>
      <c r="L86" s="269"/>
      <c r="N86" s="899"/>
    </row>
    <row r="87" spans="2:16" s="247" customFormat="1" ht="13.35" customHeight="1" x14ac:dyDescent="0.2">
      <c r="B87" s="243"/>
      <c r="C87" s="242"/>
      <c r="D87" s="205"/>
      <c r="H87" s="717" t="s">
        <v>1113</v>
      </c>
      <c r="J87" s="1093" t="str">
        <f>IF(ISBLANK($J$83),IF(LohnLohnBer="",IF(LohnLohnRechner="","",LohnLohnRechner),IF(LohnLohnRechner="",LohnLohnBer,"FEHLER")),"-")</f>
        <v/>
      </c>
      <c r="K87" s="1093"/>
      <c r="L87" s="62"/>
      <c r="N87" s="1096" t="str">
        <f>Stammdaten_DropDown!A117</f>
        <v xml:space="preserve">Falls eine individuelle  Lohnentwicklung gewährt werden soll, ist das entsprechende Prädikat aus der relevanten MAG-Phase im Dropdown-Menu auszuwählen. </v>
      </c>
      <c r="O87" s="1096"/>
      <c r="P87" s="1096"/>
    </row>
    <row r="88" spans="2:16" s="247" customFormat="1" x14ac:dyDescent="0.2">
      <c r="B88" s="243"/>
      <c r="C88" s="242"/>
      <c r="D88" s="205"/>
      <c r="E88" s="248"/>
      <c r="F88" s="248"/>
      <c r="G88" s="248"/>
      <c r="H88" s="248"/>
      <c r="I88" s="448" t="b">
        <f>AND(LohnLohnBer&lt;&gt;"",LohnLohnRechner&lt;&gt;"")</f>
        <v>0</v>
      </c>
      <c r="J88" s="1092" t="str">
        <f>IF(I88,"2 Löhne gefunden","")</f>
        <v/>
      </c>
      <c r="K88" s="1092"/>
      <c r="L88" s="269"/>
      <c r="N88" s="1096"/>
      <c r="O88" s="1096"/>
      <c r="P88" s="1096"/>
    </row>
    <row r="89" spans="2:16" s="247" customFormat="1" x14ac:dyDescent="0.2">
      <c r="B89" s="243"/>
      <c r="C89" s="242"/>
      <c r="D89" s="205"/>
      <c r="E89" s="883" t="str">
        <f>CONCATENATE("Lohnentwicklung per 01.01.",LohntabelleM!I1+1," gewähren?")</f>
        <v>Lohnentwicklung per 01.01.2025 gewähren?</v>
      </c>
      <c r="F89" s="248"/>
      <c r="G89" s="248"/>
      <c r="H89" s="913"/>
      <c r="I89" s="248"/>
      <c r="J89" s="902" t="s">
        <v>1966</v>
      </c>
      <c r="K89" s="914" t="str">
        <f>L89</f>
        <v/>
      </c>
      <c r="L89" s="901" t="str">
        <f>IF(H89="Ja","A",IF(H89="Nein","NA",""))</f>
        <v/>
      </c>
      <c r="N89" s="899" t="str">
        <f>Stammdaten_DropDown!A118</f>
        <v>Ist noch keine Beurteilung hinterlegt, so ist das Prädikat auf «A» zu belassen.</v>
      </c>
    </row>
    <row r="90" spans="2:16" s="247" customFormat="1" ht="8.1" customHeight="1" x14ac:dyDescent="0.2">
      <c r="B90" s="243"/>
      <c r="C90" s="242"/>
      <c r="D90" s="207"/>
      <c r="E90" s="64"/>
      <c r="F90" s="64"/>
      <c r="G90" s="65"/>
      <c r="H90" s="64"/>
      <c r="I90" s="64"/>
      <c r="J90" s="64"/>
      <c r="K90" s="64"/>
      <c r="L90" s="282"/>
    </row>
    <row r="91" spans="2:16" s="247" customFormat="1" ht="10.9" customHeight="1" x14ac:dyDescent="0.2">
      <c r="B91" s="243"/>
      <c r="C91" s="242"/>
      <c r="D91" s="242"/>
      <c r="E91" s="248"/>
      <c r="F91" s="248"/>
      <c r="G91" s="249"/>
      <c r="H91" s="248"/>
      <c r="I91" s="248"/>
      <c r="J91" s="248"/>
      <c r="K91" s="248"/>
      <c r="L91" s="248"/>
    </row>
    <row r="92" spans="2:16" s="247" customFormat="1" ht="50.85" customHeight="1" x14ac:dyDescent="0.2">
      <c r="B92" s="243"/>
      <c r="C92" s="242"/>
      <c r="D92" s="1063" t="s">
        <v>966</v>
      </c>
      <c r="E92" s="1063"/>
      <c r="F92" s="1063"/>
      <c r="G92" s="1063"/>
      <c r="H92" s="1063"/>
      <c r="I92" s="1063"/>
      <c r="J92" s="1063"/>
      <c r="K92" s="1063"/>
      <c r="L92" s="1063"/>
    </row>
    <row r="93" spans="2:16" s="247" customFormat="1" ht="26.25" customHeight="1" x14ac:dyDescent="0.2">
      <c r="B93" s="243"/>
      <c r="C93" s="242"/>
      <c r="D93" s="1063"/>
      <c r="E93" s="1063"/>
      <c r="F93" s="1063"/>
      <c r="G93" s="1063"/>
      <c r="H93" s="1063"/>
      <c r="I93" s="1063"/>
      <c r="J93" s="1063"/>
      <c r="K93" s="1063"/>
      <c r="L93" s="1063"/>
    </row>
    <row r="94" spans="2:16" s="247" customFormat="1" x14ac:dyDescent="0.2">
      <c r="C94" s="242"/>
      <c r="L94" s="242"/>
    </row>
    <row r="95" spans="2:16" s="247" customFormat="1" x14ac:dyDescent="0.2">
      <c r="C95" s="242"/>
      <c r="L95" s="242"/>
    </row>
    <row r="96" spans="2:16" x14ac:dyDescent="0.2">
      <c r="D96" s="247"/>
      <c r="E96" s="247"/>
      <c r="F96" s="247"/>
      <c r="G96" s="247"/>
      <c r="H96" s="247"/>
      <c r="I96" s="247"/>
      <c r="J96" s="247"/>
      <c r="K96" s="247"/>
      <c r="L96" s="247"/>
    </row>
    <row r="97" spans="4:12" x14ac:dyDescent="0.2">
      <c r="D97" s="247"/>
      <c r="E97" s="247"/>
      <c r="F97" s="247"/>
      <c r="G97" s="247"/>
      <c r="H97" s="247"/>
      <c r="I97" s="247"/>
      <c r="J97" s="247"/>
      <c r="K97" s="247"/>
      <c r="L97" s="247"/>
    </row>
    <row r="98" spans="4:12" x14ac:dyDescent="0.2">
      <c r="D98" s="247"/>
      <c r="E98" s="247"/>
      <c r="F98" s="247"/>
      <c r="G98" s="247"/>
      <c r="H98" s="247"/>
      <c r="I98" s="247"/>
      <c r="J98" s="247"/>
      <c r="K98" s="247"/>
      <c r="L98" s="247"/>
    </row>
    <row r="99" spans="4:12" x14ac:dyDescent="0.2">
      <c r="D99" s="247"/>
      <c r="E99" s="247"/>
      <c r="F99" s="247"/>
      <c r="G99" s="247"/>
      <c r="H99" s="247"/>
      <c r="I99" s="247"/>
      <c r="J99" s="247"/>
      <c r="K99" s="247"/>
      <c r="L99" s="247"/>
    </row>
    <row r="100" spans="4:12" x14ac:dyDescent="0.2">
      <c r="D100" s="247"/>
      <c r="E100" s="247"/>
      <c r="F100" s="247"/>
      <c r="G100" s="247"/>
      <c r="H100" s="247"/>
      <c r="I100" s="247"/>
      <c r="J100" s="247"/>
      <c r="K100" s="247"/>
      <c r="L100" s="247"/>
    </row>
    <row r="101" spans="4:12" x14ac:dyDescent="0.2">
      <c r="D101" s="247"/>
      <c r="E101" s="247"/>
      <c r="F101" s="247"/>
      <c r="G101" s="247"/>
      <c r="H101" s="247"/>
      <c r="I101" s="247"/>
      <c r="J101" s="247"/>
      <c r="K101" s="247"/>
      <c r="L101" s="247"/>
    </row>
    <row r="102" spans="4:12" x14ac:dyDescent="0.2">
      <c r="D102" s="247"/>
      <c r="E102" s="247"/>
      <c r="F102" s="247"/>
      <c r="G102" s="247"/>
      <c r="H102" s="247"/>
      <c r="I102" s="247"/>
      <c r="J102" s="247"/>
      <c r="K102" s="247"/>
      <c r="L102" s="247"/>
    </row>
    <row r="103" spans="4:12" x14ac:dyDescent="0.2">
      <c r="D103" s="247"/>
      <c r="E103" s="247"/>
      <c r="F103" s="247"/>
      <c r="G103" s="247"/>
      <c r="H103" s="247"/>
      <c r="I103" s="247"/>
      <c r="J103" s="247"/>
      <c r="K103" s="247"/>
      <c r="L103" s="247"/>
    </row>
  </sheetData>
  <sheetProtection algorithmName="SHA-512" hashValue="BNAT0LB2xhCGdcaU36aWTzdJzqOjCpAkqngJ8sWKrsH2BAqmTmGlo9RwAdDosUn238Wa3m9FdMK0hTs1HQm6Fw==" saltValue="pORmOf1SldqFlcLS7oOQXA==" spinCount="100000" sheet="1" objects="1" scenarios="1"/>
  <mergeCells count="42">
    <mergeCell ref="N11:O12"/>
    <mergeCell ref="N87:P88"/>
    <mergeCell ref="N83:P83"/>
    <mergeCell ref="N84:P84"/>
    <mergeCell ref="N56:P79"/>
    <mergeCell ref="N81:P81"/>
    <mergeCell ref="D92:L93"/>
    <mergeCell ref="J88:K88"/>
    <mergeCell ref="J87:K87"/>
    <mergeCell ref="E48:K48"/>
    <mergeCell ref="E49:K49"/>
    <mergeCell ref="E50:K50"/>
    <mergeCell ref="E69:F69"/>
    <mergeCell ref="G69:K69"/>
    <mergeCell ref="F61:G61"/>
    <mergeCell ref="J65:K65"/>
    <mergeCell ref="J83:K83"/>
    <mergeCell ref="E73:J73"/>
    <mergeCell ref="E75:K75"/>
    <mergeCell ref="E76:K76"/>
    <mergeCell ref="E77:K77"/>
    <mergeCell ref="H67:K67"/>
    <mergeCell ref="G42:H42"/>
    <mergeCell ref="J42:K42"/>
    <mergeCell ref="G44:H44"/>
    <mergeCell ref="E46:G46"/>
    <mergeCell ref="G34:K34"/>
    <mergeCell ref="G36:K36"/>
    <mergeCell ref="H38:K38"/>
    <mergeCell ref="E40:I40"/>
    <mergeCell ref="G15:K15"/>
    <mergeCell ref="J17:K17"/>
    <mergeCell ref="G30:K30"/>
    <mergeCell ref="F21:J21"/>
    <mergeCell ref="F22:K22"/>
    <mergeCell ref="F23:I23"/>
    <mergeCell ref="F24:G24"/>
    <mergeCell ref="D2:I2"/>
    <mergeCell ref="G11:H11"/>
    <mergeCell ref="J11:K11"/>
    <mergeCell ref="G13:H13"/>
    <mergeCell ref="J13:K13"/>
  </mergeCells>
  <conditionalFormatting sqref="G85">
    <cfRule type="expression" dxfId="180" priority="8">
      <formula>E86</formula>
    </cfRule>
  </conditionalFormatting>
  <conditionalFormatting sqref="K85">
    <cfRule type="expression" dxfId="179" priority="7">
      <formula>$I$86</formula>
    </cfRule>
  </conditionalFormatting>
  <conditionalFormatting sqref="J87:K87">
    <cfRule type="expression" dxfId="178" priority="6">
      <formula>$I$88</formula>
    </cfRule>
  </conditionalFormatting>
  <conditionalFormatting sqref="J89:K89 N85:P89">
    <cfRule type="expression" dxfId="177" priority="3">
      <formula>$H$89=""</formula>
    </cfRule>
  </conditionalFormatting>
  <conditionalFormatting sqref="D69:K89 N81:P89">
    <cfRule type="expression" dxfId="176" priority="2">
      <formula>$H$67=""</formula>
    </cfRule>
  </conditionalFormatting>
  <dataValidations count="11">
    <dataValidation type="list" operator="greaterThan" showInputMessage="1" showErrorMessage="1" errorTitle="Fehler" sqref="J42:K42">
      <formula1>"1./2. Klasse, 3. Klasse, 4./5/.6. Klasse"</formula1>
    </dataValidation>
    <dataValidation type="date" operator="greaterThan" allowBlank="1" showInputMessage="1" showErrorMessage="1" sqref="I32">
      <formula1>1</formula1>
    </dataValidation>
    <dataValidation operator="greaterThan" allowBlank="1" showInputMessage="1" showErrorMessage="1" errorTitle="Fehler" error="Pensum als Ganzzahl angeben" sqref="J87"/>
    <dataValidation type="date" operator="greaterThan" allowBlank="1" showInputMessage="1" showErrorMessage="1" errorTitle="Fehler" error="Geben Sie ein gültiges Datum dd.mm.yyyy ein!" sqref="G62 G19:G20">
      <formula1>1</formula1>
    </dataValidation>
    <dataValidation type="whole" operator="greaterThan" allowBlank="1" showInputMessage="1" showErrorMessage="1" errorTitle="Fehler" error="Ungültige Postleitzahl" sqref="G17">
      <formula1>0</formula1>
    </dataValidation>
    <dataValidation operator="greaterThan" showInputMessage="1" showErrorMessage="1" errorTitle="Fehler" error="Geben Sie ein gültiges Datum dd.mm.yyyy ein!" sqref="G32 K53 H53"/>
    <dataValidation type="list" allowBlank="1" showInputMessage="1" showErrorMessage="1" sqref="G36:K36">
      <formula1>KompetenzDerSchulleitung</formula1>
    </dataValidation>
    <dataValidation type="list" allowBlank="1" showInputMessage="1" showErrorMessage="1" sqref="H38:K38">
      <formula1>EntscheidDesAmtesFürVolksschulen</formula1>
    </dataValidation>
    <dataValidation type="list" allowBlank="1" showInputMessage="1" showErrorMessage="1" sqref="G42:H42">
      <formula1>SchulKindergartenTyp</formula1>
    </dataValidation>
    <dataValidation allowBlank="1" showInputMessage="1" sqref="L65:L67 J65:J66"/>
    <dataValidation type="list" allowBlank="1" showInputMessage="1" showErrorMessage="1" sqref="G44:H44">
      <formula1>INDIRECT("UArt" &amp; $G$42)</formula1>
    </dataValidation>
  </dataValidations>
  <hyperlinks>
    <hyperlink ref="J40" r:id="rId1"/>
    <hyperlink ref="N11:O12" location="_A_Grunddaten" display="Zurück zu Grunddaten"/>
  </hyperlinks>
  <pageMargins left="0.70866141732283472" right="0.70866141732283472" top="0.78740157480314965" bottom="0.78740157480314965" header="0.31496062992125984" footer="0.31496062992125984"/>
  <pageSetup paperSize="9" scale="92" fitToHeight="0" orientation="portrait" r:id="rId2"/>
  <headerFooter>
    <oddFooter>Seite &amp;P von &amp;N</oddFooter>
  </headerFooter>
  <rowBreaks count="1" manualBreakCount="1">
    <brk id="53" max="16383" man="1"/>
  </rowBreaks>
  <ignoredErrors>
    <ignoredError sqref="K89" unlockedFormula="1"/>
  </ignoredErrors>
  <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Stammdaten_DropDown!$E$92:$E$99</xm:f>
          </x14:formula1>
          <xm:sqref>H67:K67</xm:sqref>
        </x14:dataValidation>
        <x14:dataValidation type="list" allowBlank="1" showInputMessage="1" showErrorMessage="1">
          <x14:formula1>
            <xm:f>Stammdaten_DropDown!$E$102:$E$103</xm:f>
          </x14:formula1>
          <xm:sqref>H89</xm:sqref>
        </x14:dataValidation>
        <x14:dataValidation type="list" allowBlank="1" showInputMessage="1" showErrorMessage="1">
          <x14:formula1>
            <xm:f>Stammdaten_DropDown!$E$106:$E$109</xm:f>
          </x14:formula1>
          <xm:sqref>K89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6">
    <tabColor theme="4" tint="0.39997558519241921"/>
    <pageSetUpPr fitToPage="1"/>
  </sheetPr>
  <dimension ref="A1:R107"/>
  <sheetViews>
    <sheetView topLeftCell="C1" zoomScaleNormal="100" workbookViewId="0">
      <selection activeCell="Q35" sqref="Q35"/>
    </sheetView>
  </sheetViews>
  <sheetFormatPr baseColWidth="10" defaultColWidth="11.5703125" defaultRowHeight="12.75" x14ac:dyDescent="0.2"/>
  <cols>
    <col min="1" max="1" width="1.5703125" style="247" customWidth="1"/>
    <col min="2" max="3" width="1.42578125" style="247" customWidth="1"/>
    <col min="4" max="4" width="3.5703125" style="247" customWidth="1"/>
    <col min="5" max="7" width="11.5703125" style="247"/>
    <col min="8" max="8" width="10.42578125" style="247" customWidth="1"/>
    <col min="9" max="9" width="6.5703125" style="247" customWidth="1"/>
    <col min="10" max="10" width="13.42578125" style="247" customWidth="1"/>
    <col min="11" max="11" width="6.5703125" style="247" customWidth="1"/>
    <col min="12" max="12" width="16" style="247" customWidth="1"/>
    <col min="13" max="13" width="2" style="247" customWidth="1"/>
    <col min="14" max="14" width="1.7109375" style="247" customWidth="1"/>
    <col min="15" max="16" width="11.5703125" style="247"/>
    <col min="17" max="17" width="46.140625" style="247" customWidth="1"/>
    <col min="18" max="18" width="78.42578125" style="247" hidden="1" customWidth="1"/>
    <col min="19" max="16384" width="11.5703125" style="247"/>
  </cols>
  <sheetData>
    <row r="1" spans="1:17" ht="5.0999999999999996" customHeight="1" x14ac:dyDescent="0.2"/>
    <row r="2" spans="1:17" ht="45" customHeight="1" x14ac:dyDescent="0.2">
      <c r="D2" s="399" t="s">
        <v>1045</v>
      </c>
      <c r="F2" s="399"/>
      <c r="G2" s="326"/>
      <c r="H2" s="325"/>
      <c r="I2" s="325"/>
      <c r="J2" s="325"/>
      <c r="K2" s="325"/>
      <c r="L2" s="325"/>
    </row>
    <row r="3" spans="1:17" s="238" customFormat="1" ht="21" customHeight="1" x14ac:dyDescent="0.2">
      <c r="B3" s="239"/>
      <c r="D3" s="241" t="s">
        <v>950</v>
      </c>
      <c r="F3" s="241"/>
      <c r="H3" s="240"/>
      <c r="I3" s="240"/>
      <c r="J3" s="240"/>
      <c r="K3" s="240"/>
      <c r="L3" s="240"/>
      <c r="M3" s="240"/>
      <c r="N3" s="240"/>
      <c r="O3" s="240"/>
    </row>
    <row r="4" spans="1:17" ht="6.75" customHeight="1" x14ac:dyDescent="0.2">
      <c r="A4" s="242"/>
      <c r="B4" s="243"/>
      <c r="C4" s="243"/>
      <c r="D4" s="243"/>
      <c r="E4" s="243"/>
      <c r="F4" s="244"/>
      <c r="G4" s="243"/>
      <c r="H4" s="245"/>
      <c r="I4" s="245"/>
      <c r="J4" s="246"/>
      <c r="K4" s="245"/>
      <c r="L4" s="245"/>
      <c r="M4" s="245"/>
      <c r="O4" s="240"/>
    </row>
    <row r="5" spans="1:17" ht="6" customHeight="1" x14ac:dyDescent="0.2">
      <c r="A5" s="242"/>
      <c r="B5" s="243"/>
      <c r="C5" s="242"/>
      <c r="D5" s="242"/>
      <c r="E5" s="242"/>
      <c r="F5" s="324"/>
      <c r="G5" s="242"/>
      <c r="H5" s="248"/>
      <c r="I5" s="248"/>
      <c r="J5" s="249"/>
      <c r="K5" s="248"/>
      <c r="L5" s="248"/>
      <c r="M5" s="248"/>
      <c r="N5" s="248"/>
      <c r="O5" s="242"/>
    </row>
    <row r="6" spans="1:17" ht="5.0999999999999996" customHeight="1" x14ac:dyDescent="0.2">
      <c r="B6" s="243"/>
      <c r="D6" s="59"/>
      <c r="E6" s="321"/>
      <c r="F6" s="322"/>
      <c r="G6" s="323"/>
      <c r="H6" s="321"/>
      <c r="I6" s="321"/>
      <c r="J6" s="321"/>
      <c r="K6" s="321"/>
      <c r="L6" s="321"/>
      <c r="M6" s="60"/>
    </row>
    <row r="7" spans="1:17" x14ac:dyDescent="0.2">
      <c r="B7" s="243"/>
      <c r="D7" s="61"/>
      <c r="E7" s="324" t="s">
        <v>771</v>
      </c>
      <c r="F7" s="325"/>
      <c r="G7" s="326"/>
      <c r="H7" s="325"/>
      <c r="I7" s="325"/>
      <c r="J7" s="325"/>
      <c r="K7" s="325"/>
      <c r="L7" s="325"/>
      <c r="M7" s="62"/>
    </row>
    <row r="8" spans="1:17" x14ac:dyDescent="0.2">
      <c r="B8" s="243"/>
      <c r="D8" s="61"/>
      <c r="E8" s="248"/>
      <c r="F8" s="248"/>
      <c r="G8" s="249"/>
      <c r="H8" s="248"/>
      <c r="I8" s="248"/>
      <c r="J8" s="248"/>
      <c r="K8" s="248"/>
      <c r="L8" s="248"/>
      <c r="M8" s="62"/>
    </row>
    <row r="9" spans="1:17" x14ac:dyDescent="0.2">
      <c r="B9" s="243"/>
      <c r="D9" s="61"/>
      <c r="E9" s="248" t="s">
        <v>974</v>
      </c>
      <c r="F9" s="248"/>
      <c r="G9" s="655" t="str">
        <f>IF(MAAnrede&lt;&gt;"",MAAnrede,"")</f>
        <v/>
      </c>
      <c r="H9" s="248"/>
      <c r="I9" s="258"/>
      <c r="J9" s="248"/>
      <c r="K9" s="248"/>
      <c r="L9" s="248"/>
      <c r="M9" s="62"/>
    </row>
    <row r="10" spans="1:17" x14ac:dyDescent="0.2">
      <c r="B10" s="243"/>
      <c r="D10" s="61"/>
      <c r="E10" s="248"/>
      <c r="F10" s="248"/>
      <c r="G10" s="249"/>
      <c r="H10" s="248"/>
      <c r="I10" s="248"/>
      <c r="J10" s="248"/>
      <c r="K10" s="248"/>
      <c r="L10" s="248"/>
      <c r="M10" s="62"/>
    </row>
    <row r="11" spans="1:17" ht="12.6" customHeight="1" x14ac:dyDescent="0.2">
      <c r="B11" s="243"/>
      <c r="D11" s="61"/>
      <c r="E11" s="248" t="s">
        <v>757</v>
      </c>
      <c r="F11" s="248"/>
      <c r="G11" s="1100" t="str">
        <f>IF(MAName&lt;&gt;"",MAName,"")</f>
        <v/>
      </c>
      <c r="H11" s="1100"/>
      <c r="I11" s="258"/>
      <c r="J11" s="248" t="s">
        <v>758</v>
      </c>
      <c r="K11" s="1100" t="str">
        <f>IF(MAVorname&lt;&gt;"",MAVorname,"")</f>
        <v/>
      </c>
      <c r="L11" s="1100"/>
      <c r="M11" s="62"/>
      <c r="O11" s="1068" t="s">
        <v>1040</v>
      </c>
      <c r="P11" s="1069"/>
      <c r="Q11" s="711"/>
    </row>
    <row r="12" spans="1:17" ht="12.6" customHeight="1" x14ac:dyDescent="0.2">
      <c r="B12" s="243"/>
      <c r="D12" s="61"/>
      <c r="M12" s="62"/>
      <c r="O12" s="1070"/>
      <c r="P12" s="1071"/>
      <c r="Q12" s="711"/>
    </row>
    <row r="13" spans="1:17" x14ac:dyDescent="0.2">
      <c r="B13" s="243"/>
      <c r="D13" s="61"/>
      <c r="E13" s="248" t="s">
        <v>971</v>
      </c>
      <c r="G13" s="1100" t="str">
        <f>IF(MAPersID&lt;&gt;"",MAPersID,"")</f>
        <v/>
      </c>
      <c r="H13" s="1100"/>
      <c r="I13" s="258"/>
      <c r="M13" s="62"/>
    </row>
    <row r="14" spans="1:17" x14ac:dyDescent="0.2">
      <c r="B14" s="243"/>
      <c r="D14" s="61"/>
      <c r="E14" s="248"/>
      <c r="F14" s="248"/>
      <c r="G14" s="249"/>
      <c r="H14" s="248"/>
      <c r="I14" s="248"/>
      <c r="J14" s="248"/>
      <c r="K14" s="248"/>
      <c r="L14" s="248"/>
      <c r="M14" s="62"/>
    </row>
    <row r="15" spans="1:17" x14ac:dyDescent="0.2">
      <c r="B15" s="243"/>
      <c r="D15" s="61"/>
      <c r="E15" s="248" t="s">
        <v>756</v>
      </c>
      <c r="F15" s="248"/>
      <c r="G15" s="1088"/>
      <c r="H15" s="1088"/>
      <c r="I15" s="1088"/>
      <c r="J15" s="1088"/>
      <c r="K15" s="1088"/>
      <c r="L15" s="1088"/>
      <c r="M15" s="62"/>
    </row>
    <row r="16" spans="1:17" x14ac:dyDescent="0.2">
      <c r="B16" s="243"/>
      <c r="D16" s="61"/>
      <c r="E16" s="248"/>
      <c r="F16" s="248"/>
      <c r="G16" s="249"/>
      <c r="H16" s="248"/>
      <c r="I16" s="248"/>
      <c r="J16" s="248"/>
      <c r="K16" s="248"/>
      <c r="L16" s="248"/>
      <c r="M16" s="62"/>
    </row>
    <row r="17" spans="2:13" x14ac:dyDescent="0.2">
      <c r="B17" s="243"/>
      <c r="D17" s="61"/>
      <c r="E17" s="248" t="s">
        <v>759</v>
      </c>
      <c r="F17" s="248"/>
      <c r="G17" s="216"/>
      <c r="H17" s="248"/>
      <c r="I17" s="248" t="s">
        <v>760</v>
      </c>
      <c r="J17" s="1088"/>
      <c r="K17" s="1088"/>
      <c r="L17" s="1088"/>
      <c r="M17" s="62"/>
    </row>
    <row r="18" spans="2:13" x14ac:dyDescent="0.2">
      <c r="B18" s="243"/>
      <c r="D18" s="61"/>
      <c r="E18" s="248"/>
      <c r="F18" s="248"/>
      <c r="G18" s="249"/>
      <c r="H18" s="248"/>
      <c r="I18" s="248"/>
      <c r="J18" s="248"/>
      <c r="K18" s="248"/>
      <c r="L18" s="249"/>
      <c r="M18" s="62"/>
    </row>
    <row r="19" spans="2:13" x14ac:dyDescent="0.2">
      <c r="B19" s="243"/>
      <c r="D19" s="61"/>
      <c r="E19" s="248" t="s">
        <v>761</v>
      </c>
      <c r="F19" s="248"/>
      <c r="G19" s="328">
        <f>MAGeburtsdatum</f>
        <v>0</v>
      </c>
      <c r="H19" s="248"/>
      <c r="I19" s="248"/>
      <c r="J19" s="248"/>
      <c r="K19" s="248"/>
      <c r="L19" s="248"/>
      <c r="M19" s="62"/>
    </row>
    <row r="20" spans="2:13" x14ac:dyDescent="0.2">
      <c r="B20" s="243"/>
      <c r="D20" s="61"/>
      <c r="E20" s="248"/>
      <c r="F20" s="248"/>
      <c r="G20" s="355"/>
      <c r="H20" s="248"/>
      <c r="I20" s="248"/>
      <c r="J20" s="248"/>
      <c r="K20" s="248"/>
      <c r="L20" s="248"/>
      <c r="M20" s="62"/>
    </row>
    <row r="21" spans="2:13" ht="12.6" customHeight="1" x14ac:dyDescent="0.2">
      <c r="B21" s="243"/>
      <c r="D21" s="61"/>
      <c r="E21" s="457" t="s">
        <v>826</v>
      </c>
      <c r="F21" s="1054" t="s">
        <v>1085</v>
      </c>
      <c r="G21" s="1054"/>
      <c r="H21" s="1054"/>
      <c r="I21" s="1054"/>
      <c r="J21" s="1054"/>
      <c r="K21" s="1054"/>
      <c r="L21" s="248"/>
      <c r="M21" s="62"/>
    </row>
    <row r="22" spans="2:13" ht="12.6" customHeight="1" x14ac:dyDescent="0.2">
      <c r="B22" s="243"/>
      <c r="D22" s="61"/>
      <c r="E22" s="457"/>
      <c r="F22" s="1054" t="s">
        <v>1083</v>
      </c>
      <c r="G22" s="1054"/>
      <c r="H22" s="1054"/>
      <c r="I22" s="1054"/>
      <c r="J22" s="1054"/>
      <c r="K22" s="1054"/>
      <c r="L22" s="1054"/>
      <c r="M22" s="62"/>
    </row>
    <row r="23" spans="2:13" ht="12.6" customHeight="1" x14ac:dyDescent="0.2">
      <c r="B23" s="243"/>
      <c r="D23" s="61"/>
      <c r="E23" s="457"/>
      <c r="F23" s="1054" t="s">
        <v>1084</v>
      </c>
      <c r="G23" s="1054"/>
      <c r="H23" s="1054"/>
      <c r="I23" s="1054"/>
      <c r="J23" s="1054"/>
      <c r="K23" s="586"/>
      <c r="L23" s="248"/>
      <c r="M23" s="62"/>
    </row>
    <row r="24" spans="2:13" ht="12.6" customHeight="1" x14ac:dyDescent="0.2">
      <c r="B24" s="243"/>
      <c r="D24" s="61"/>
      <c r="E24" s="457"/>
      <c r="F24" s="1054" t="s">
        <v>1086</v>
      </c>
      <c r="G24" s="1054"/>
      <c r="H24" s="586"/>
      <c r="I24" s="586"/>
      <c r="J24" s="586"/>
      <c r="K24" s="586"/>
      <c r="L24" s="248"/>
      <c r="M24" s="62"/>
    </row>
    <row r="25" spans="2:13" ht="6.95" customHeight="1" x14ac:dyDescent="0.2">
      <c r="B25" s="243"/>
      <c r="D25" s="63"/>
      <c r="E25" s="64"/>
      <c r="F25" s="64"/>
      <c r="G25" s="64"/>
      <c r="H25" s="64"/>
      <c r="I25" s="64"/>
      <c r="J25" s="64"/>
      <c r="K25" s="64"/>
      <c r="L25" s="400"/>
      <c r="M25" s="66"/>
    </row>
    <row r="26" spans="2:13" ht="6" customHeight="1" x14ac:dyDescent="0.2">
      <c r="B26" s="243"/>
      <c r="E26" s="248"/>
      <c r="F26" s="248"/>
      <c r="G26" s="249"/>
      <c r="H26" s="248"/>
      <c r="I26" s="248"/>
      <c r="J26" s="248"/>
      <c r="K26" s="248"/>
      <c r="L26" s="248"/>
    </row>
    <row r="27" spans="2:13" ht="5.0999999999999996" customHeight="1" x14ac:dyDescent="0.2">
      <c r="B27" s="243"/>
      <c r="D27" s="59"/>
      <c r="E27" s="272"/>
      <c r="F27" s="272"/>
      <c r="G27" s="273"/>
      <c r="H27" s="272"/>
      <c r="I27" s="272"/>
      <c r="J27" s="272"/>
      <c r="K27" s="272"/>
      <c r="L27" s="272"/>
      <c r="M27" s="60"/>
    </row>
    <row r="28" spans="2:13" ht="13.35" customHeight="1" x14ac:dyDescent="0.2">
      <c r="B28" s="243"/>
      <c r="D28" s="61"/>
      <c r="E28" s="324" t="s">
        <v>936</v>
      </c>
      <c r="F28" s="248"/>
      <c r="G28" s="249"/>
      <c r="H28" s="248"/>
      <c r="I28" s="248"/>
      <c r="J28" s="248"/>
      <c r="K28" s="248"/>
      <c r="L28" s="248"/>
      <c r="M28" s="62"/>
    </row>
    <row r="29" spans="2:13" ht="13.35" customHeight="1" x14ac:dyDescent="0.2">
      <c r="B29" s="243"/>
      <c r="D29" s="61"/>
      <c r="E29" s="248"/>
      <c r="F29" s="248"/>
      <c r="G29" s="249"/>
      <c r="H29" s="248"/>
      <c r="I29" s="248"/>
      <c r="J29" s="248"/>
      <c r="K29" s="248"/>
      <c r="L29" s="248"/>
      <c r="M29" s="62"/>
    </row>
    <row r="30" spans="2:13" ht="13.35" customHeight="1" x14ac:dyDescent="0.2">
      <c r="B30" s="243"/>
      <c r="D30" s="61"/>
      <c r="E30" s="248" t="s">
        <v>822</v>
      </c>
      <c r="F30" s="248"/>
      <c r="G30" s="220"/>
      <c r="H30" s="1106" t="s">
        <v>827</v>
      </c>
      <c r="I30" s="1106"/>
      <c r="J30" s="1055"/>
      <c r="K30" s="1055"/>
      <c r="L30" s="1055"/>
      <c r="M30" s="62"/>
    </row>
    <row r="31" spans="2:13" ht="13.35" customHeight="1" x14ac:dyDescent="0.2">
      <c r="B31" s="243"/>
      <c r="D31" s="61"/>
      <c r="E31" s="325"/>
      <c r="F31" s="345"/>
      <c r="G31" s="326"/>
      <c r="H31" s="325"/>
      <c r="I31" s="325"/>
      <c r="K31" s="325"/>
      <c r="L31" s="325"/>
      <c r="M31" s="62"/>
    </row>
    <row r="32" spans="2:13" ht="13.35" customHeight="1" x14ac:dyDescent="0.2">
      <c r="B32" s="243"/>
      <c r="D32" s="61"/>
      <c r="E32" s="248" t="s">
        <v>995</v>
      </c>
      <c r="F32" s="248"/>
      <c r="G32" s="1090"/>
      <c r="H32" s="1090"/>
      <c r="I32" s="248"/>
      <c r="J32" s="1103" t="s">
        <v>1144</v>
      </c>
      <c r="K32" s="1103"/>
      <c r="L32" s="1103"/>
      <c r="M32" s="62"/>
    </row>
    <row r="33" spans="2:13" ht="13.35" customHeight="1" x14ac:dyDescent="0.2">
      <c r="B33" s="243"/>
      <c r="D33" s="61"/>
      <c r="E33" s="325"/>
      <c r="F33" s="345"/>
      <c r="G33" s="326"/>
      <c r="H33" s="325"/>
      <c r="I33" s="325"/>
      <c r="J33" s="347"/>
      <c r="K33" s="325"/>
      <c r="L33" s="325"/>
      <c r="M33" s="62"/>
    </row>
    <row r="34" spans="2:13" ht="13.35" customHeight="1" x14ac:dyDescent="0.2">
      <c r="B34" s="243"/>
      <c r="D34" s="61"/>
      <c r="E34" s="343" t="s">
        <v>997</v>
      </c>
      <c r="F34" s="249"/>
      <c r="G34" s="235"/>
      <c r="H34" s="1101" t="s">
        <v>996</v>
      </c>
      <c r="I34" s="1101"/>
      <c r="J34" s="1102"/>
      <c r="K34" s="1102"/>
      <c r="L34" s="1102"/>
      <c r="M34" s="62"/>
    </row>
    <row r="35" spans="2:13" ht="13.35" customHeight="1" x14ac:dyDescent="0.2">
      <c r="B35" s="243"/>
      <c r="D35" s="61"/>
      <c r="E35" s="325"/>
      <c r="F35" s="325"/>
      <c r="G35" s="325"/>
      <c r="H35" s="325"/>
      <c r="I35" s="325"/>
      <c r="J35" s="401"/>
      <c r="K35" s="248"/>
      <c r="L35" s="248"/>
      <c r="M35" s="62"/>
    </row>
    <row r="36" spans="2:13" ht="13.35" customHeight="1" x14ac:dyDescent="0.2">
      <c r="B36" s="243"/>
      <c r="D36" s="61"/>
      <c r="E36" s="1099" t="s">
        <v>934</v>
      </c>
      <c r="F36" s="1099"/>
      <c r="G36" s="1088"/>
      <c r="H36" s="1088"/>
      <c r="I36" s="1104" t="s">
        <v>935</v>
      </c>
      <c r="J36" s="1104"/>
      <c r="K36" s="1088"/>
      <c r="L36" s="1088"/>
      <c r="M36" s="62"/>
    </row>
    <row r="37" spans="2:13" ht="13.35" customHeight="1" x14ac:dyDescent="0.2">
      <c r="B37" s="243"/>
      <c r="D37" s="61"/>
      <c r="E37" s="349"/>
      <c r="F37" s="248"/>
      <c r="G37" s="249"/>
      <c r="H37" s="248"/>
      <c r="I37" s="349"/>
      <c r="K37" s="248"/>
      <c r="L37" s="248"/>
      <c r="M37" s="62"/>
    </row>
    <row r="38" spans="2:13" ht="13.35" customHeight="1" x14ac:dyDescent="0.2">
      <c r="B38" s="243"/>
      <c r="D38" s="61"/>
      <c r="E38" s="248" t="s">
        <v>1046</v>
      </c>
      <c r="F38" s="248"/>
      <c r="G38" s="1088"/>
      <c r="H38" s="1088"/>
      <c r="I38" s="704" t="s">
        <v>828</v>
      </c>
      <c r="J38" s="704"/>
      <c r="L38" s="600"/>
      <c r="M38" s="62"/>
    </row>
    <row r="39" spans="2:13" ht="13.35" customHeight="1" x14ac:dyDescent="0.2">
      <c r="B39" s="243"/>
      <c r="D39" s="61"/>
      <c r="E39" s="248"/>
      <c r="F39" s="248"/>
      <c r="G39" s="249"/>
      <c r="H39" s="248"/>
      <c r="I39" s="248"/>
      <c r="J39" s="248"/>
      <c r="K39" s="248"/>
      <c r="L39" s="248"/>
      <c r="M39" s="62"/>
    </row>
    <row r="40" spans="2:13" ht="13.35" customHeight="1" x14ac:dyDescent="0.2">
      <c r="B40" s="243"/>
      <c r="D40" s="61"/>
      <c r="E40" s="248"/>
      <c r="F40" s="721" t="s">
        <v>829</v>
      </c>
      <c r="H40" s="483">
        <f>SUM(L38:L38)</f>
        <v>0</v>
      </c>
      <c r="I40" s="704" t="s">
        <v>824</v>
      </c>
      <c r="K40" s="248"/>
      <c r="L40" s="248"/>
      <c r="M40" s="62"/>
    </row>
    <row r="41" spans="2:13" ht="13.35" customHeight="1" x14ac:dyDescent="0.2">
      <c r="B41" s="243"/>
      <c r="D41" s="61"/>
      <c r="E41" s="248"/>
      <c r="F41" s="248"/>
      <c r="G41" s="249"/>
      <c r="H41" s="248"/>
      <c r="I41" s="248"/>
      <c r="J41" s="248"/>
      <c r="K41" s="248"/>
      <c r="L41" s="248"/>
      <c r="M41" s="62"/>
    </row>
    <row r="42" spans="2:13" ht="13.35" customHeight="1" x14ac:dyDescent="0.2">
      <c r="B42" s="243"/>
      <c r="D42" s="61"/>
      <c r="E42" s="248"/>
      <c r="F42" s="352"/>
      <c r="G42" s="248" t="s">
        <v>823</v>
      </c>
      <c r="H42" s="353"/>
      <c r="I42" s="353"/>
      <c r="J42" s="442"/>
      <c r="K42" s="249" t="s">
        <v>7</v>
      </c>
      <c r="L42" s="443"/>
      <c r="M42" s="62"/>
    </row>
    <row r="43" spans="2:13" ht="13.35" customHeight="1" x14ac:dyDescent="0.2">
      <c r="B43" s="243"/>
      <c r="D43" s="61"/>
      <c r="E43" s="242"/>
      <c r="F43" s="242"/>
      <c r="G43" s="354" t="s">
        <v>825</v>
      </c>
      <c r="H43" s="355"/>
      <c r="I43" s="355"/>
      <c r="J43" s="355"/>
      <c r="K43" s="283"/>
      <c r="L43" s="355"/>
      <c r="M43" s="62"/>
    </row>
    <row r="44" spans="2:13" ht="13.35" customHeight="1" x14ac:dyDescent="0.2">
      <c r="B44" s="243"/>
      <c r="D44" s="63"/>
      <c r="E44" s="357"/>
      <c r="F44" s="357"/>
      <c r="G44" s="383"/>
      <c r="H44" s="357"/>
      <c r="I44" s="357"/>
      <c r="J44" s="357"/>
      <c r="K44" s="357"/>
      <c r="L44" s="357"/>
      <c r="M44" s="66"/>
    </row>
    <row r="45" spans="2:13" ht="6" customHeight="1" x14ac:dyDescent="0.2">
      <c r="B45" s="243"/>
      <c r="E45" s="242"/>
      <c r="F45" s="242"/>
      <c r="G45" s="283"/>
      <c r="H45" s="242"/>
      <c r="I45" s="242"/>
      <c r="J45" s="242"/>
      <c r="K45" s="242"/>
      <c r="L45" s="242"/>
    </row>
    <row r="46" spans="2:13" ht="5.0999999999999996" customHeight="1" x14ac:dyDescent="0.2">
      <c r="B46" s="243"/>
      <c r="D46" s="59"/>
      <c r="E46" s="67"/>
      <c r="F46" s="67"/>
      <c r="G46" s="68"/>
      <c r="H46" s="67"/>
      <c r="I46" s="67"/>
      <c r="J46" s="67"/>
      <c r="K46" s="67"/>
      <c r="L46" s="67"/>
      <c r="M46" s="60"/>
    </row>
    <row r="47" spans="2:13" x14ac:dyDescent="0.2">
      <c r="B47" s="243"/>
      <c r="D47" s="61"/>
      <c r="E47" s="1082" t="s">
        <v>979</v>
      </c>
      <c r="F47" s="1082"/>
      <c r="G47" s="1082"/>
      <c r="H47" s="325"/>
      <c r="I47" s="325"/>
      <c r="J47" s="325"/>
      <c r="K47" s="325"/>
      <c r="L47" s="325"/>
      <c r="M47" s="62"/>
    </row>
    <row r="48" spans="2:13" x14ac:dyDescent="0.2">
      <c r="B48" s="243"/>
      <c r="D48" s="61"/>
      <c r="E48" s="248"/>
      <c r="F48" s="248"/>
      <c r="G48" s="249"/>
      <c r="H48" s="248"/>
      <c r="I48" s="248"/>
      <c r="J48" s="248"/>
      <c r="K48" s="248"/>
      <c r="L48" s="248"/>
      <c r="M48" s="62"/>
    </row>
    <row r="49" spans="2:18" x14ac:dyDescent="0.2">
      <c r="B49" s="243"/>
      <c r="D49" s="61"/>
      <c r="E49" s="1056"/>
      <c r="F49" s="1056"/>
      <c r="G49" s="1056"/>
      <c r="H49" s="1056"/>
      <c r="I49" s="1056"/>
      <c r="J49" s="1056"/>
      <c r="K49" s="1056"/>
      <c r="L49" s="1056"/>
      <c r="M49" s="62"/>
    </row>
    <row r="50" spans="2:18" x14ac:dyDescent="0.2">
      <c r="B50" s="243"/>
      <c r="D50" s="61"/>
      <c r="E50" s="1056"/>
      <c r="F50" s="1056"/>
      <c r="G50" s="1056"/>
      <c r="H50" s="1056"/>
      <c r="I50" s="1056"/>
      <c r="J50" s="1056"/>
      <c r="K50" s="1056"/>
      <c r="L50" s="1056"/>
      <c r="M50" s="62"/>
    </row>
    <row r="51" spans="2:18" x14ac:dyDescent="0.2">
      <c r="B51" s="243"/>
      <c r="D51" s="61"/>
      <c r="E51" s="1056"/>
      <c r="F51" s="1056"/>
      <c r="G51" s="1056"/>
      <c r="H51" s="1056"/>
      <c r="I51" s="1056"/>
      <c r="J51" s="1056"/>
      <c r="K51" s="1056"/>
      <c r="L51" s="1056"/>
      <c r="M51" s="62"/>
      <c r="R51" s="358">
        <f>E51</f>
        <v>0</v>
      </c>
    </row>
    <row r="52" spans="2:18" x14ac:dyDescent="0.2">
      <c r="B52" s="243"/>
      <c r="C52" s="242"/>
      <c r="D52" s="61"/>
      <c r="E52" s="590"/>
      <c r="F52" s="452"/>
      <c r="G52" s="452"/>
      <c r="H52" s="452"/>
      <c r="I52" s="452"/>
      <c r="J52" s="452"/>
      <c r="K52" s="578"/>
      <c r="L52" s="578"/>
      <c r="M52" s="62"/>
    </row>
    <row r="53" spans="2:18" x14ac:dyDescent="0.2">
      <c r="B53" s="243"/>
      <c r="C53" s="238"/>
      <c r="D53" s="61"/>
      <c r="H53" s="1059" t="s">
        <v>1136</v>
      </c>
      <c r="I53" s="1059"/>
      <c r="J53" s="1059"/>
      <c r="K53" s="1059"/>
      <c r="L53" s="464"/>
      <c r="M53" s="62"/>
    </row>
    <row r="54" spans="2:18" ht="7.15" customHeight="1" x14ac:dyDescent="0.2">
      <c r="B54" s="243"/>
      <c r="D54" s="63"/>
      <c r="E54" s="64"/>
      <c r="F54" s="64"/>
      <c r="G54" s="65"/>
      <c r="H54" s="64"/>
      <c r="I54" s="64"/>
      <c r="J54" s="64"/>
      <c r="K54" s="64"/>
      <c r="L54" s="64"/>
      <c r="M54" s="66"/>
    </row>
    <row r="55" spans="2:18" ht="6" customHeight="1" x14ac:dyDescent="0.2">
      <c r="E55" s="248"/>
      <c r="F55" s="248"/>
      <c r="G55" s="249"/>
      <c r="H55" s="248"/>
      <c r="I55" s="248"/>
      <c r="J55" s="248"/>
      <c r="K55" s="248"/>
      <c r="L55" s="248"/>
    </row>
    <row r="56" spans="2:18" x14ac:dyDescent="0.2">
      <c r="D56" s="324" t="s">
        <v>951</v>
      </c>
      <c r="F56" s="248"/>
      <c r="G56" s="249"/>
      <c r="H56" s="248"/>
      <c r="I56" s="248"/>
      <c r="J56" s="248"/>
      <c r="K56" s="248"/>
      <c r="L56" s="248"/>
    </row>
    <row r="57" spans="2:18" ht="3.75" customHeight="1" x14ac:dyDescent="0.2">
      <c r="D57" s="324"/>
      <c r="F57" s="248"/>
      <c r="G57" s="249"/>
      <c r="H57" s="248"/>
      <c r="I57" s="248"/>
      <c r="J57" s="248"/>
      <c r="K57" s="248"/>
      <c r="L57" s="248"/>
    </row>
    <row r="58" spans="2:18" ht="6.75" customHeight="1" x14ac:dyDescent="0.2">
      <c r="B58" s="243"/>
      <c r="C58" s="243"/>
      <c r="D58" s="243"/>
      <c r="E58" s="243"/>
      <c r="F58" s="243"/>
      <c r="G58" s="243"/>
      <c r="H58" s="243"/>
      <c r="I58" s="243"/>
      <c r="J58" s="243"/>
      <c r="K58" s="243"/>
      <c r="L58" s="243"/>
      <c r="M58" s="243"/>
      <c r="O58" s="1078" t="s">
        <v>2009</v>
      </c>
      <c r="P58" s="1078"/>
      <c r="Q58" s="1078"/>
    </row>
    <row r="59" spans="2:18" ht="6" customHeight="1" x14ac:dyDescent="0.2">
      <c r="B59" s="243"/>
      <c r="E59" s="248"/>
      <c r="F59" s="248"/>
      <c r="G59" s="249"/>
      <c r="H59" s="248"/>
      <c r="I59" s="248"/>
      <c r="J59" s="248"/>
      <c r="K59" s="248"/>
      <c r="L59" s="248"/>
      <c r="O59" s="1078"/>
      <c r="P59" s="1078"/>
      <c r="Q59" s="1078"/>
    </row>
    <row r="60" spans="2:18" ht="5.0999999999999996" customHeight="1" x14ac:dyDescent="0.2">
      <c r="B60" s="243"/>
      <c r="D60" s="59"/>
      <c r="E60" s="272"/>
      <c r="F60" s="272"/>
      <c r="G60" s="273"/>
      <c r="H60" s="272"/>
      <c r="I60" s="272"/>
      <c r="J60" s="272"/>
      <c r="K60" s="272"/>
      <c r="L60" s="272"/>
      <c r="M60" s="274"/>
      <c r="O60" s="1078"/>
      <c r="P60" s="1078"/>
      <c r="Q60" s="1078"/>
    </row>
    <row r="61" spans="2:18" x14ac:dyDescent="0.2">
      <c r="B61" s="243"/>
      <c r="D61" s="61"/>
      <c r="E61" s="275" t="s">
        <v>946</v>
      </c>
      <c r="F61" s="325"/>
      <c r="G61" s="326"/>
      <c r="H61" s="325"/>
      <c r="I61" s="325"/>
      <c r="J61" s="325"/>
      <c r="K61" s="325"/>
      <c r="L61" s="325"/>
      <c r="M61" s="62"/>
      <c r="O61" s="1078"/>
      <c r="P61" s="1078"/>
      <c r="Q61" s="1078"/>
    </row>
    <row r="62" spans="2:18" x14ac:dyDescent="0.2">
      <c r="B62" s="243"/>
      <c r="D62" s="61"/>
      <c r="E62" s="248"/>
      <c r="F62" s="248"/>
      <c r="G62" s="249"/>
      <c r="H62" s="248"/>
      <c r="I62" s="248"/>
      <c r="J62" s="248"/>
      <c r="K62" s="248"/>
      <c r="L62" s="248"/>
      <c r="M62" s="62"/>
      <c r="O62" s="1078"/>
      <c r="P62" s="1078"/>
      <c r="Q62" s="1078"/>
    </row>
    <row r="63" spans="2:18" x14ac:dyDescent="0.2">
      <c r="B63" s="243"/>
      <c r="D63" s="61"/>
      <c r="E63" s="248" t="s">
        <v>961</v>
      </c>
      <c r="F63" s="325"/>
      <c r="G63" s="220"/>
      <c r="H63" s="248"/>
      <c r="J63" s="248" t="s">
        <v>978</v>
      </c>
      <c r="K63" s="770"/>
      <c r="L63" s="770"/>
      <c r="M63" s="62"/>
      <c r="O63" s="1078"/>
      <c r="P63" s="1078"/>
      <c r="Q63" s="1078"/>
    </row>
    <row r="64" spans="2:18" x14ac:dyDescent="0.2">
      <c r="B64" s="243"/>
      <c r="D64" s="61"/>
      <c r="E64" s="353" t="s">
        <v>962</v>
      </c>
      <c r="F64" s="325"/>
      <c r="G64" s="325"/>
      <c r="H64" s="248"/>
      <c r="K64" s="248"/>
      <c r="L64" s="249"/>
      <c r="M64" s="62"/>
      <c r="O64" s="1078"/>
      <c r="P64" s="1078"/>
      <c r="Q64" s="1078"/>
    </row>
    <row r="65" spans="2:18" x14ac:dyDescent="0.2">
      <c r="B65" s="243"/>
      <c r="D65" s="61"/>
      <c r="H65" s="248"/>
      <c r="M65" s="62"/>
      <c r="O65" s="1078"/>
      <c r="P65" s="1078"/>
      <c r="Q65" s="1078"/>
    </row>
    <row r="66" spans="2:18" x14ac:dyDescent="0.2">
      <c r="B66" s="243"/>
      <c r="D66" s="61"/>
      <c r="E66" s="704" t="s">
        <v>1003</v>
      </c>
      <c r="G66" s="280" t="str">
        <f>IF(MULohnberechnung&lt;&gt;"",MULohnberechnung,"")</f>
        <v/>
      </c>
      <c r="H66" s="769" t="s">
        <v>1005</v>
      </c>
      <c r="I66" s="704" t="s">
        <v>1043</v>
      </c>
      <c r="K66" s="248"/>
      <c r="L66" s="236"/>
      <c r="M66" s="62"/>
      <c r="O66" s="1078"/>
      <c r="P66" s="1078"/>
      <c r="Q66" s="1078"/>
    </row>
    <row r="67" spans="2:18" x14ac:dyDescent="0.2">
      <c r="B67" s="243"/>
      <c r="D67" s="61"/>
      <c r="E67" s="248"/>
      <c r="F67" s="248"/>
      <c r="G67" s="249"/>
      <c r="H67" s="248"/>
      <c r="I67" s="248"/>
      <c r="J67" s="248"/>
      <c r="K67" s="248"/>
      <c r="L67" s="248"/>
      <c r="M67" s="62"/>
      <c r="O67" s="1078"/>
      <c r="P67" s="1078"/>
      <c r="Q67" s="1078"/>
    </row>
    <row r="68" spans="2:18" x14ac:dyDescent="0.2">
      <c r="B68" s="243"/>
      <c r="D68" s="61"/>
      <c r="E68" s="248" t="s">
        <v>973</v>
      </c>
      <c r="F68" s="248"/>
      <c r="G68" s="433"/>
      <c r="H68" s="1061" t="s">
        <v>1080</v>
      </c>
      <c r="I68" s="1061"/>
      <c r="J68" s="1095" t="str">
        <f>_xlfn.IFNA(VLOOKUP(G68,Stammdaten_DropDown!$B$14:$C$55,2,FALSE),"")</f>
        <v/>
      </c>
      <c r="K68" s="1095"/>
      <c r="L68" s="1095"/>
      <c r="M68" s="269"/>
      <c r="O68" s="1078"/>
      <c r="P68" s="1078"/>
      <c r="Q68" s="1078"/>
    </row>
    <row r="69" spans="2:18" x14ac:dyDescent="0.2">
      <c r="B69" s="243"/>
      <c r="D69" s="61"/>
      <c r="E69" s="248"/>
      <c r="F69" s="248"/>
      <c r="G69" s="237"/>
      <c r="H69" s="237"/>
      <c r="I69" s="237"/>
      <c r="J69" s="900"/>
      <c r="K69" s="900"/>
      <c r="L69" s="900"/>
      <c r="M69" s="269"/>
      <c r="O69" s="1078"/>
      <c r="P69" s="1078"/>
      <c r="Q69" s="1078"/>
    </row>
    <row r="70" spans="2:18" x14ac:dyDescent="0.2">
      <c r="B70" s="243"/>
      <c r="D70" s="61"/>
      <c r="E70" s="248" t="s">
        <v>2000</v>
      </c>
      <c r="F70" s="248"/>
      <c r="G70" s="237"/>
      <c r="H70" s="1088"/>
      <c r="I70" s="1088"/>
      <c r="J70" s="1088"/>
      <c r="K70" s="1088"/>
      <c r="L70" s="1088"/>
      <c r="M70" s="269"/>
      <c r="O70" s="1078"/>
      <c r="P70" s="1078"/>
      <c r="Q70" s="1078"/>
    </row>
    <row r="71" spans="2:18" x14ac:dyDescent="0.2">
      <c r="B71" s="243"/>
      <c r="D71" s="61"/>
      <c r="E71" s="891" t="s">
        <v>1964</v>
      </c>
      <c r="F71" s="248"/>
      <c r="H71" s="248"/>
      <c r="I71" s="248"/>
      <c r="J71" s="248"/>
      <c r="K71" s="281"/>
      <c r="L71" s="248"/>
      <c r="M71" s="269"/>
      <c r="O71" s="1078"/>
      <c r="P71" s="1078"/>
      <c r="Q71" s="1078"/>
    </row>
    <row r="72" spans="2:18" x14ac:dyDescent="0.2">
      <c r="B72" s="243"/>
      <c r="D72" s="61"/>
      <c r="E72" s="1081" t="s">
        <v>952</v>
      </c>
      <c r="F72" s="1081"/>
      <c r="G72" s="1094"/>
      <c r="H72" s="1094"/>
      <c r="I72" s="1094"/>
      <c r="J72" s="1094"/>
      <c r="K72" s="1094"/>
      <c r="L72" s="1094"/>
      <c r="M72" s="62"/>
      <c r="O72" s="1078"/>
      <c r="P72" s="1078"/>
      <c r="Q72" s="1078"/>
    </row>
    <row r="73" spans="2:18" x14ac:dyDescent="0.2">
      <c r="B73" s="243"/>
      <c r="D73" s="63"/>
      <c r="E73" s="270"/>
      <c r="F73" s="270"/>
      <c r="G73" s="270"/>
      <c r="H73" s="270"/>
      <c r="I73" s="270"/>
      <c r="J73" s="270"/>
      <c r="K73" s="270"/>
      <c r="L73" s="270"/>
      <c r="M73" s="66"/>
      <c r="O73" s="1078"/>
      <c r="P73" s="1078"/>
      <c r="Q73" s="1078"/>
    </row>
    <row r="74" spans="2:18" ht="6" customHeight="1" x14ac:dyDescent="0.2">
      <c r="B74" s="243"/>
      <c r="E74" s="271"/>
      <c r="F74" s="271"/>
      <c r="G74" s="271"/>
      <c r="H74" s="271"/>
      <c r="I74" s="271"/>
      <c r="J74" s="271"/>
      <c r="K74" s="271"/>
      <c r="L74" s="271"/>
      <c r="O74" s="1078"/>
      <c r="P74" s="1078"/>
      <c r="Q74" s="1078"/>
    </row>
    <row r="75" spans="2:18" ht="5.0999999999999996" customHeight="1" x14ac:dyDescent="0.2">
      <c r="B75" s="243"/>
      <c r="D75" s="59"/>
      <c r="E75" s="67"/>
      <c r="F75" s="67"/>
      <c r="G75" s="68"/>
      <c r="H75" s="67"/>
      <c r="I75" s="67"/>
      <c r="J75" s="67"/>
      <c r="K75" s="67"/>
      <c r="L75" s="67"/>
      <c r="M75" s="60"/>
      <c r="O75" s="1078"/>
      <c r="P75" s="1078"/>
      <c r="Q75" s="1078"/>
    </row>
    <row r="76" spans="2:18" x14ac:dyDescent="0.2">
      <c r="B76" s="243"/>
      <c r="D76" s="61"/>
      <c r="E76" s="1082" t="s">
        <v>985</v>
      </c>
      <c r="F76" s="1082"/>
      <c r="G76" s="1082"/>
      <c r="H76" s="1082"/>
      <c r="I76" s="1082"/>
      <c r="J76" s="1082"/>
      <c r="K76" s="1082"/>
      <c r="L76" s="325"/>
      <c r="M76" s="62"/>
      <c r="O76" s="1078"/>
      <c r="P76" s="1078"/>
      <c r="Q76" s="1078"/>
    </row>
    <row r="77" spans="2:18" x14ac:dyDescent="0.2">
      <c r="B77" s="243"/>
      <c r="D77" s="61"/>
      <c r="E77" s="248"/>
      <c r="F77" s="248"/>
      <c r="G77" s="249"/>
      <c r="H77" s="248"/>
      <c r="I77" s="248"/>
      <c r="J77" s="248"/>
      <c r="K77" s="248"/>
      <c r="L77" s="248"/>
      <c r="M77" s="62"/>
      <c r="O77" s="1078"/>
      <c r="P77" s="1078"/>
      <c r="Q77" s="1078"/>
      <c r="R77" s="247" t="s">
        <v>1047</v>
      </c>
    </row>
    <row r="78" spans="2:18" x14ac:dyDescent="0.2">
      <c r="B78" s="243"/>
      <c r="D78" s="61"/>
      <c r="E78" s="1056"/>
      <c r="F78" s="1056"/>
      <c r="G78" s="1056"/>
      <c r="H78" s="1056"/>
      <c r="I78" s="1056"/>
      <c r="J78" s="1056"/>
      <c r="K78" s="1056"/>
      <c r="L78" s="1056"/>
      <c r="M78" s="62"/>
      <c r="O78" s="1078"/>
      <c r="P78" s="1078"/>
      <c r="Q78" s="1078"/>
    </row>
    <row r="79" spans="2:18" x14ac:dyDescent="0.2">
      <c r="B79" s="243"/>
      <c r="D79" s="61"/>
      <c r="E79" s="1056"/>
      <c r="F79" s="1056"/>
      <c r="G79" s="1056"/>
      <c r="H79" s="1056"/>
      <c r="I79" s="1056"/>
      <c r="J79" s="1056"/>
      <c r="K79" s="1056"/>
      <c r="L79" s="1056"/>
      <c r="M79" s="62"/>
      <c r="O79" s="1078"/>
      <c r="P79" s="1078"/>
      <c r="Q79" s="1078"/>
    </row>
    <row r="80" spans="2:18" x14ac:dyDescent="0.2">
      <c r="B80" s="243"/>
      <c r="D80" s="61"/>
      <c r="E80" s="1056"/>
      <c r="F80" s="1056"/>
      <c r="G80" s="1056"/>
      <c r="H80" s="1056"/>
      <c r="I80" s="1056"/>
      <c r="J80" s="1056"/>
      <c r="K80" s="1056"/>
      <c r="L80" s="1056"/>
      <c r="M80" s="62"/>
      <c r="O80" s="1078"/>
      <c r="P80" s="1078"/>
      <c r="Q80" s="1078"/>
      <c r="R80" s="358">
        <f>E80</f>
        <v>0</v>
      </c>
    </row>
    <row r="81" spans="2:17" x14ac:dyDescent="0.2">
      <c r="B81" s="243"/>
      <c r="D81" s="63"/>
      <c r="E81" s="64"/>
      <c r="F81" s="64"/>
      <c r="G81" s="65"/>
      <c r="H81" s="64"/>
      <c r="I81" s="64"/>
      <c r="J81" s="64"/>
      <c r="K81" s="64"/>
      <c r="L81" s="64"/>
      <c r="M81" s="66"/>
      <c r="O81" s="1078"/>
      <c r="P81" s="1078"/>
      <c r="Q81" s="1078"/>
    </row>
    <row r="82" spans="2:17" ht="6" customHeight="1" x14ac:dyDescent="0.2">
      <c r="B82" s="243"/>
      <c r="E82" s="248"/>
      <c r="F82" s="248"/>
      <c r="G82" s="249"/>
      <c r="H82" s="248"/>
      <c r="I82" s="248"/>
      <c r="J82" s="248"/>
      <c r="K82" s="248"/>
      <c r="L82" s="248"/>
      <c r="O82" s="1078"/>
      <c r="P82" s="1078"/>
      <c r="Q82" s="1078"/>
    </row>
    <row r="83" spans="2:17" ht="5.0999999999999996" customHeight="1" x14ac:dyDescent="0.2">
      <c r="B83" s="243"/>
      <c r="D83" s="59"/>
      <c r="E83" s="67"/>
      <c r="F83" s="67"/>
      <c r="G83" s="68"/>
      <c r="H83" s="67"/>
      <c r="I83" s="67"/>
      <c r="J83" s="67"/>
      <c r="K83" s="67"/>
      <c r="L83" s="67"/>
      <c r="M83" s="204"/>
      <c r="O83" s="1078"/>
      <c r="P83" s="1078"/>
      <c r="Q83" s="1078"/>
    </row>
    <row r="84" spans="2:17" x14ac:dyDescent="0.2">
      <c r="B84" s="243"/>
      <c r="D84" s="61"/>
      <c r="E84" s="211" t="s">
        <v>933</v>
      </c>
      <c r="F84" s="211"/>
      <c r="G84" s="326"/>
      <c r="H84" s="325"/>
      <c r="I84" s="325"/>
      <c r="J84" s="325"/>
      <c r="K84" s="325"/>
      <c r="L84" s="325"/>
      <c r="M84" s="327"/>
      <c r="O84" s="1098" t="str">
        <f>Stammdaten_DropDown!A113</f>
        <v>Lohnentwicklung</v>
      </c>
      <c r="P84" s="1098"/>
      <c r="Q84" s="1098"/>
    </row>
    <row r="85" spans="2:17" ht="6" customHeight="1" x14ac:dyDescent="0.2">
      <c r="B85" s="243"/>
      <c r="D85" s="61"/>
      <c r="E85" s="248"/>
      <c r="F85" s="248"/>
      <c r="G85" s="249"/>
      <c r="H85" s="248"/>
      <c r="I85" s="248"/>
      <c r="J85" s="248"/>
      <c r="K85" s="248"/>
      <c r="L85" s="248"/>
      <c r="M85" s="269"/>
      <c r="O85" s="899"/>
    </row>
    <row r="86" spans="2:17" x14ac:dyDescent="0.2">
      <c r="B86" s="243"/>
      <c r="D86" s="61"/>
      <c r="E86" s="248" t="s">
        <v>945</v>
      </c>
      <c r="F86" s="248"/>
      <c r="G86" s="249"/>
      <c r="H86" s="248"/>
      <c r="I86" s="248"/>
      <c r="J86" s="248"/>
      <c r="K86" s="1083"/>
      <c r="L86" s="1083"/>
      <c r="M86" s="269"/>
      <c r="O86" s="1105" t="str">
        <f>Stammdaten_DropDown!A114</f>
        <v>Bitte angeben, ob eine individuelle Lohnentwicklung gewährt werden soll.</v>
      </c>
      <c r="P86" s="1105"/>
      <c r="Q86" s="1105"/>
    </row>
    <row r="87" spans="2:17" x14ac:dyDescent="0.2">
      <c r="B87" s="243"/>
      <c r="D87" s="61"/>
      <c r="E87" s="248"/>
      <c r="F87" s="248"/>
      <c r="G87" s="249"/>
      <c r="H87" s="248"/>
      <c r="I87" s="248"/>
      <c r="J87" s="248"/>
      <c r="K87" s="248"/>
      <c r="L87" s="248"/>
      <c r="M87" s="269"/>
      <c r="O87" s="1105" t="str">
        <f>Stammdaten_DropDown!A115</f>
        <v>Bei einem Neueintritt nach dem 01.07.2024 ist keine individuelle Lohnentwicklung vorgesehen.</v>
      </c>
      <c r="P87" s="1105"/>
      <c r="Q87" s="1105"/>
    </row>
    <row r="88" spans="2:17" x14ac:dyDescent="0.2">
      <c r="B88" s="243"/>
      <c r="D88" s="61"/>
      <c r="E88" s="278" t="s">
        <v>765</v>
      </c>
      <c r="G88" s="279" t="str">
        <f>IF(ISBLANK($K$86),IF(BandLohnBer="",IF(BandLohnRechner="","",BandLohnRechner),IF(BandLohnRechner="",BandLohnBer,"FEHLER")),"-")</f>
        <v/>
      </c>
      <c r="I88" s="774" t="s">
        <v>809</v>
      </c>
      <c r="K88" s="1100" t="str">
        <f>IF(ISBLANK($K$86),IF(EWLohnBer="",IF(EWLohnRechner="","",EWLohnRechner),IF(EWLohnRechner="",EWLohnBer,"FEHLER")),"-")</f>
        <v/>
      </c>
      <c r="L88" s="1100"/>
      <c r="M88" s="269"/>
      <c r="O88" s="1105" t="str">
        <f>Stammdaten_DropDown!A116</f>
        <v>In dem Fall ist das Prädikat auf dem Wert «NA» (keine Beurteilung) zu belassen.</v>
      </c>
      <c r="P88" s="1105"/>
      <c r="Q88" s="1105"/>
    </row>
    <row r="89" spans="2:17" x14ac:dyDescent="0.2">
      <c r="B89" s="243"/>
      <c r="D89" s="61"/>
      <c r="E89" s="448" t="b">
        <f>AND(BandLohnBer&lt;&gt;"",BandLohnRechner&lt;&gt;"")</f>
        <v>0</v>
      </c>
      <c r="F89" s="248"/>
      <c r="G89" s="449" t="str">
        <f>IF(E89,"2 Lohnbänder gefunden","")</f>
        <v/>
      </c>
      <c r="H89" s="719"/>
      <c r="I89" s="448" t="b">
        <f>AND(EWLohnBer&lt;&gt;"",EWLohnRechner&lt;&gt;"")</f>
        <v>0</v>
      </c>
      <c r="J89" s="248"/>
      <c r="K89" s="566" t="str">
        <f>IF(I89,"2 Erfahrungswerte gefunden","")</f>
        <v/>
      </c>
      <c r="L89" s="566"/>
      <c r="M89" s="269"/>
      <c r="O89" s="899"/>
    </row>
    <row r="90" spans="2:17" x14ac:dyDescent="0.2">
      <c r="B90" s="243"/>
      <c r="D90" s="61"/>
      <c r="E90" s="595"/>
      <c r="I90" s="774" t="s">
        <v>1113</v>
      </c>
      <c r="K90" s="1093" t="str">
        <f>IF(ISBLANK($K$86),IF(LohnLohnBer="",IF(LohnLohnRechner="","",LohnLohnRechner),IF(LohnLohnRechner="",LohnLohnBer,"FEHLER")),"-")</f>
        <v/>
      </c>
      <c r="L90" s="1093"/>
      <c r="M90" s="269"/>
      <c r="O90" s="1096" t="str">
        <f>Stammdaten_DropDown!A117</f>
        <v xml:space="preserve">Falls eine individuelle  Lohnentwicklung gewährt werden soll, ist das entsprechende Prädikat aus der relevanten MAG-Phase im Dropdown-Menu auszuwählen. </v>
      </c>
      <c r="P90" s="1096"/>
      <c r="Q90" s="1096"/>
    </row>
    <row r="91" spans="2:17" x14ac:dyDescent="0.2">
      <c r="B91" s="243"/>
      <c r="D91" s="61"/>
      <c r="E91" s="887"/>
      <c r="I91" s="889"/>
      <c r="K91" s="904"/>
      <c r="L91" s="904"/>
      <c r="M91" s="269"/>
      <c r="O91" s="1096"/>
      <c r="P91" s="1096"/>
      <c r="Q91" s="1096"/>
    </row>
    <row r="92" spans="2:17" x14ac:dyDescent="0.2">
      <c r="B92" s="243"/>
      <c r="D92" s="61"/>
      <c r="E92" s="889" t="str">
        <f>CONCATENATE("Lohnentwicklung per 01.01.",LohntabelleM!I1+1," gewähren?")</f>
        <v>Lohnentwicklung per 01.01.2025 gewähren?</v>
      </c>
      <c r="H92" s="915"/>
      <c r="I92" s="889"/>
      <c r="K92" s="905" t="s">
        <v>1966</v>
      </c>
      <c r="L92" s="916" t="str">
        <f>M92</f>
        <v/>
      </c>
      <c r="M92" s="901" t="str">
        <f>IF(H92="Ja","A",IF(H92="Nein","NA",""))</f>
        <v/>
      </c>
      <c r="O92" s="1105" t="str">
        <f>Stammdaten_DropDown!A118</f>
        <v>Ist noch keine Beurteilung hinterlegt, so ist das Prädikat auf «A» zu belassen.</v>
      </c>
      <c r="P92" s="1105"/>
      <c r="Q92" s="1105"/>
    </row>
    <row r="93" spans="2:17" ht="6" customHeight="1" x14ac:dyDescent="0.2">
      <c r="B93" s="243"/>
      <c r="D93" s="63"/>
      <c r="E93" s="64"/>
      <c r="F93" s="64"/>
      <c r="G93" s="65"/>
      <c r="H93" s="64"/>
      <c r="I93" s="64"/>
      <c r="J93" s="64"/>
      <c r="K93" s="64"/>
      <c r="L93" s="64"/>
      <c r="M93" s="282"/>
    </row>
    <row r="94" spans="2:17" ht="10.9" customHeight="1" x14ac:dyDescent="0.2">
      <c r="B94" s="243"/>
      <c r="D94" s="451"/>
      <c r="E94" s="452"/>
      <c r="F94" s="452"/>
      <c r="G94" s="453"/>
      <c r="H94" s="452"/>
      <c r="I94" s="452"/>
      <c r="J94" s="452"/>
      <c r="K94" s="452"/>
      <c r="L94" s="452"/>
      <c r="M94" s="452"/>
    </row>
    <row r="95" spans="2:17" ht="53.85" customHeight="1" x14ac:dyDescent="0.2">
      <c r="B95" s="243"/>
      <c r="D95" s="1063" t="s">
        <v>966</v>
      </c>
      <c r="E95" s="1063"/>
      <c r="F95" s="1063"/>
      <c r="G95" s="1063"/>
      <c r="H95" s="1063"/>
      <c r="I95" s="1063"/>
      <c r="J95" s="1063"/>
      <c r="K95" s="1063"/>
      <c r="L95" s="1063"/>
      <c r="M95" s="1063"/>
    </row>
    <row r="96" spans="2:17" ht="24" customHeight="1" x14ac:dyDescent="0.2">
      <c r="B96" s="243"/>
      <c r="D96" s="1063"/>
      <c r="E96" s="1063"/>
      <c r="F96" s="1063"/>
      <c r="G96" s="1063"/>
      <c r="H96" s="1063"/>
      <c r="I96" s="1063"/>
      <c r="J96" s="1063"/>
      <c r="K96" s="1063"/>
      <c r="L96" s="1063"/>
      <c r="M96" s="1063"/>
    </row>
    <row r="107" spans="5:12" x14ac:dyDescent="0.2">
      <c r="E107" s="242"/>
      <c r="F107" s="242"/>
      <c r="G107" s="283"/>
      <c r="H107" s="242"/>
      <c r="I107" s="242"/>
      <c r="J107" s="242"/>
      <c r="K107" s="242"/>
      <c r="L107" s="242"/>
    </row>
  </sheetData>
  <sheetProtection algorithmName="SHA-512" hashValue="abtgg0zFVChwWC/3puzmwhPb9vJRZM42e9KLp2SQCjeCAc7thBS/08O3xgozFfFlKvsrzH9tw3fzWHmMJQE2rw==" saltValue="WZ/Rrw+7x2fk/2IiOGMk5w==" spinCount="100000" sheet="1"/>
  <mergeCells count="46">
    <mergeCell ref="O92:Q92"/>
    <mergeCell ref="O84:Q84"/>
    <mergeCell ref="O11:P12"/>
    <mergeCell ref="H70:L70"/>
    <mergeCell ref="O58:Q83"/>
    <mergeCell ref="O86:Q86"/>
    <mergeCell ref="O87:Q87"/>
    <mergeCell ref="K90:L90"/>
    <mergeCell ref="E80:L80"/>
    <mergeCell ref="H68:I68"/>
    <mergeCell ref="J68:L68"/>
    <mergeCell ref="O88:Q88"/>
    <mergeCell ref="O90:Q91"/>
    <mergeCell ref="H30:I30"/>
    <mergeCell ref="G11:H11"/>
    <mergeCell ref="K11:L11"/>
    <mergeCell ref="G13:H13"/>
    <mergeCell ref="G15:L15"/>
    <mergeCell ref="F21:K21"/>
    <mergeCell ref="F22:L22"/>
    <mergeCell ref="F23:J23"/>
    <mergeCell ref="J17:L17"/>
    <mergeCell ref="F24:G24"/>
    <mergeCell ref="J30:L30"/>
    <mergeCell ref="D95:M96"/>
    <mergeCell ref="E72:F72"/>
    <mergeCell ref="G72:L72"/>
    <mergeCell ref="E76:K76"/>
    <mergeCell ref="E78:L78"/>
    <mergeCell ref="E79:L79"/>
    <mergeCell ref="K88:L88"/>
    <mergeCell ref="K86:L86"/>
    <mergeCell ref="G32:H32"/>
    <mergeCell ref="H34:I34"/>
    <mergeCell ref="J34:L34"/>
    <mergeCell ref="H53:K53"/>
    <mergeCell ref="J32:L32"/>
    <mergeCell ref="I36:J36"/>
    <mergeCell ref="E47:G47"/>
    <mergeCell ref="E49:L49"/>
    <mergeCell ref="E50:L50"/>
    <mergeCell ref="E51:L51"/>
    <mergeCell ref="E36:F36"/>
    <mergeCell ref="G36:H36"/>
    <mergeCell ref="K36:L36"/>
    <mergeCell ref="G38:H38"/>
  </mergeCells>
  <conditionalFormatting sqref="G88">
    <cfRule type="expression" dxfId="175" priority="5">
      <formula>E89</formula>
    </cfRule>
  </conditionalFormatting>
  <conditionalFormatting sqref="K88">
    <cfRule type="expression" dxfId="174" priority="4">
      <formula>I89</formula>
    </cfRule>
  </conditionalFormatting>
  <conditionalFormatting sqref="K90:L92">
    <cfRule type="expression" dxfId="173" priority="187">
      <formula>#REF!</formula>
    </cfRule>
  </conditionalFormatting>
  <conditionalFormatting sqref="E72:L92 O84:Q92">
    <cfRule type="expression" dxfId="172" priority="2">
      <formula>$H$70=""</formula>
    </cfRule>
  </conditionalFormatting>
  <conditionalFormatting sqref="K92:L92 O88:Q92">
    <cfRule type="expression" dxfId="171" priority="1">
      <formula>$H$92=""</formula>
    </cfRule>
  </conditionalFormatting>
  <dataValidations count="8">
    <dataValidation type="list" allowBlank="1" showInputMessage="1" showErrorMessage="1" sqref="G32">
      <formula1>Anstellung</formula1>
    </dataValidation>
    <dataValidation operator="greaterThan" allowBlank="1" showInputMessage="1" showErrorMessage="1" errorTitle="Fehler" error="Pensum als Ganzzahl angeben" sqref="K71 K90:K92"/>
    <dataValidation type="date" operator="greaterThan" allowBlank="1" showInputMessage="1" showErrorMessage="1" errorTitle="Fehler" error="Geben Sie ein gültiges Datum dd.mm.yyyy ein!" sqref="G30 G63:G64 L63 G19:G20 G25">
      <formula1>1</formula1>
    </dataValidation>
    <dataValidation type="whole" operator="greaterThan" allowBlank="1" showInputMessage="1" showErrorMessage="1" errorTitle="Fehler" error="Ungültige Postleitzahl" sqref="G17">
      <formula1>0</formula1>
    </dataValidation>
    <dataValidation operator="greaterThan" showInputMessage="1" showErrorMessage="1" errorTitle="Fehler" error="Geben Sie ein gültiges Datum dd.mm.yyyy ein!" sqref="L38 G38 H40:I40 L42:L43 H42:I43"/>
    <dataValidation type="list" allowBlank="1" showInputMessage="1" showErrorMessage="1" sqref="J34:L34">
      <formula1>BegründungFürBefristung</formula1>
    </dataValidation>
    <dataValidation type="list" allowBlank="1" showInputMessage="1" showErrorMessage="1" sqref="K36:L36">
      <formula1>KompetenzDerSchulleitung</formula1>
    </dataValidation>
    <dataValidation allowBlank="1" showInputMessage="1" sqref="J68:L69"/>
  </dataValidations>
  <hyperlinks>
    <hyperlink ref="O11:P12" location="_A_Grunddaten" display="Zurück zu Grunddaten"/>
  </hyperlinks>
  <pageMargins left="0.70866141732283472" right="0.70866141732283472" top="0.78740157480314965" bottom="0.78740157480314965" header="0.31496062992125984" footer="0.31496062992125984"/>
  <pageSetup paperSize="9" scale="92" fitToHeight="0" orientation="portrait" r:id="rId1"/>
  <headerFooter>
    <oddFooter>Seite &amp;P von &amp;N</oddFooter>
  </headerFooter>
  <rowBreaks count="1" manualBreakCount="1">
    <brk id="54" max="16383" man="1"/>
  </rowBreaks>
  <ignoredErrors>
    <ignoredError sqref="L92"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82983" r:id="rId4" name="Check Box 7">
              <controlPr defaultSize="0" autoFill="0" autoLine="0" autoPict="0">
                <anchor>
                  <from>
                    <xdr:col>8</xdr:col>
                    <xdr:colOff>342900</xdr:colOff>
                    <xdr:row>30</xdr:row>
                    <xdr:rowOff>133350</xdr:rowOff>
                  </from>
                  <to>
                    <xdr:col>11</xdr:col>
                    <xdr:colOff>809625</xdr:colOff>
                    <xdr:row>32</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Stammdaten_DropDown!$E$102:$E$103</xm:f>
          </x14:formula1>
          <xm:sqref>H92</xm:sqref>
        </x14:dataValidation>
        <x14:dataValidation type="list" allowBlank="1" showInputMessage="1" showErrorMessage="1">
          <x14:formula1>
            <xm:f>Stammdaten_DropDown!$E$106:$E$109</xm:f>
          </x14:formula1>
          <xm:sqref>L92</xm:sqref>
        </x14:dataValidation>
        <x14:dataValidation type="list" allowBlank="1" showInputMessage="1" showErrorMessage="1">
          <x14:formula1>
            <xm:f>Stammdaten_DropDown!$E$92:$E$99</xm:f>
          </x14:formula1>
          <xm:sqref>H70:L70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0">
    <tabColor theme="4" tint="0.39997558519241921"/>
    <pageSetUpPr fitToPage="1"/>
  </sheetPr>
  <dimension ref="A1:R97"/>
  <sheetViews>
    <sheetView topLeftCell="D1" zoomScaleNormal="100" workbookViewId="0">
      <selection activeCell="P26" sqref="P26"/>
    </sheetView>
  </sheetViews>
  <sheetFormatPr baseColWidth="10" defaultColWidth="11.5703125" defaultRowHeight="12.75" x14ac:dyDescent="0.2"/>
  <cols>
    <col min="1" max="1" width="2.28515625" style="91" customWidth="1"/>
    <col min="2" max="3" width="1.42578125" style="91" customWidth="1"/>
    <col min="4" max="4" width="2.5703125" style="91" customWidth="1"/>
    <col min="5" max="5" width="11.5703125" style="91"/>
    <col min="6" max="6" width="14.85546875" style="91" customWidth="1"/>
    <col min="7" max="7" width="11.5703125" style="91"/>
    <col min="8" max="8" width="9.42578125" style="91" customWidth="1"/>
    <col min="9" max="9" width="18.28515625" style="91" customWidth="1"/>
    <col min="10" max="10" width="6.7109375" style="91" customWidth="1"/>
    <col min="11" max="11" width="11.7109375" style="91" customWidth="1"/>
    <col min="12" max="12" width="2.28515625" style="91" customWidth="1"/>
    <col min="13" max="13" width="1.7109375" style="91" customWidth="1"/>
    <col min="14" max="15" width="11.5703125" style="91"/>
    <col min="16" max="16" width="48.140625" style="91" customWidth="1"/>
    <col min="17" max="17" width="11.5703125" style="91"/>
    <col min="18" max="18" width="74.42578125" style="91" hidden="1" customWidth="1"/>
    <col min="19" max="16384" width="11.5703125" style="91"/>
  </cols>
  <sheetData>
    <row r="1" spans="1:16" ht="5.0999999999999996" customHeight="1" x14ac:dyDescent="0.2"/>
    <row r="2" spans="1:16" ht="45" customHeight="1" x14ac:dyDescent="0.2">
      <c r="D2" s="403" t="s">
        <v>1048</v>
      </c>
      <c r="F2" s="403"/>
      <c r="G2" s="404"/>
      <c r="H2" s="405"/>
      <c r="I2" s="405"/>
      <c r="J2" s="405"/>
      <c r="K2" s="405"/>
    </row>
    <row r="3" spans="1:16" s="238" customFormat="1" ht="21" customHeight="1" x14ac:dyDescent="0.2">
      <c r="B3" s="239"/>
      <c r="D3" s="241" t="s">
        <v>950</v>
      </c>
      <c r="F3" s="241"/>
      <c r="H3" s="240"/>
      <c r="I3" s="240"/>
      <c r="J3" s="240"/>
      <c r="K3" s="240"/>
      <c r="L3" s="240"/>
      <c r="M3" s="240"/>
      <c r="N3" s="240"/>
    </row>
    <row r="4" spans="1:16" s="247" customFormat="1" ht="6.75" customHeight="1" x14ac:dyDescent="0.2">
      <c r="A4" s="242"/>
      <c r="B4" s="243"/>
      <c r="C4" s="243"/>
      <c r="D4" s="243"/>
      <c r="E4" s="243"/>
      <c r="F4" s="244"/>
      <c r="G4" s="243"/>
      <c r="H4" s="245"/>
      <c r="I4" s="246"/>
      <c r="J4" s="245"/>
      <c r="K4" s="245"/>
      <c r="L4" s="245"/>
      <c r="N4" s="240"/>
    </row>
    <row r="5" spans="1:16" s="247" customFormat="1" ht="6" customHeight="1" x14ac:dyDescent="0.2">
      <c r="A5" s="242"/>
      <c r="B5" s="243"/>
      <c r="C5" s="242"/>
      <c r="D5" s="242"/>
      <c r="E5" s="242"/>
      <c r="F5" s="324"/>
      <c r="G5" s="242"/>
      <c r="H5" s="248"/>
      <c r="I5" s="249"/>
      <c r="J5" s="248"/>
      <c r="K5" s="248"/>
      <c r="L5" s="248"/>
      <c r="M5" s="248"/>
      <c r="N5" s="242"/>
    </row>
    <row r="6" spans="1:16" s="247" customFormat="1" ht="5.0999999999999996" customHeight="1" x14ac:dyDescent="0.2">
      <c r="B6" s="243"/>
      <c r="D6" s="59"/>
      <c r="E6" s="321"/>
      <c r="F6" s="322"/>
      <c r="G6" s="323"/>
      <c r="H6" s="321"/>
      <c r="I6" s="321"/>
      <c r="J6" s="321"/>
      <c r="K6" s="321"/>
      <c r="L6" s="60"/>
    </row>
    <row r="7" spans="1:16" s="247" customFormat="1" x14ac:dyDescent="0.2">
      <c r="B7" s="243"/>
      <c r="D7" s="61"/>
      <c r="E7" s="324" t="s">
        <v>771</v>
      </c>
      <c r="F7" s="325"/>
      <c r="G7" s="326"/>
      <c r="H7" s="325"/>
      <c r="I7" s="325"/>
      <c r="J7" s="325"/>
      <c r="K7" s="325"/>
      <c r="L7" s="62"/>
    </row>
    <row r="8" spans="1:16" s="247" customFormat="1" x14ac:dyDescent="0.2">
      <c r="B8" s="243"/>
      <c r="D8" s="61"/>
      <c r="E8" s="248"/>
      <c r="F8" s="248"/>
      <c r="G8" s="249"/>
      <c r="H8" s="248"/>
      <c r="I8" s="248"/>
      <c r="J8" s="248"/>
      <c r="K8" s="248"/>
      <c r="L8" s="62"/>
    </row>
    <row r="9" spans="1:16" s="247" customFormat="1" ht="12.6" customHeight="1" x14ac:dyDescent="0.2">
      <c r="B9" s="243"/>
      <c r="D9" s="61"/>
      <c r="E9" s="248" t="s">
        <v>974</v>
      </c>
      <c r="F9" s="248"/>
      <c r="G9" s="655" t="str">
        <f>IF(MAAnrede&lt;&gt;"",MAAnrede,"")</f>
        <v/>
      </c>
      <c r="H9" s="248"/>
      <c r="I9" s="248" t="s">
        <v>761</v>
      </c>
      <c r="J9" s="248"/>
      <c r="K9" s="328">
        <f>MAGeburtsdatum</f>
        <v>0</v>
      </c>
      <c r="L9" s="62"/>
      <c r="N9" s="1068" t="s">
        <v>1040</v>
      </c>
      <c r="O9" s="1069"/>
      <c r="P9" s="906"/>
    </row>
    <row r="10" spans="1:16" s="247" customFormat="1" ht="12.6" customHeight="1" x14ac:dyDescent="0.2">
      <c r="B10" s="243"/>
      <c r="D10" s="61"/>
      <c r="E10" s="248"/>
      <c r="F10" s="248"/>
      <c r="G10" s="249"/>
      <c r="H10" s="248"/>
      <c r="I10" s="248"/>
      <c r="J10" s="248"/>
      <c r="K10" s="248"/>
      <c r="L10" s="62"/>
      <c r="N10" s="1070"/>
      <c r="O10" s="1071"/>
      <c r="P10" s="906"/>
    </row>
    <row r="11" spans="1:16" s="247" customFormat="1" x14ac:dyDescent="0.2">
      <c r="B11" s="243"/>
      <c r="D11" s="61"/>
      <c r="E11" s="248" t="s">
        <v>757</v>
      </c>
      <c r="F11" s="248"/>
      <c r="G11" s="1100" t="str">
        <f>IF(MAName&lt;&gt;"",MAName,"")</f>
        <v/>
      </c>
      <c r="H11" s="1100"/>
      <c r="I11" s="248" t="s">
        <v>758</v>
      </c>
      <c r="J11" s="1100" t="str">
        <f>IF(MAVorname&lt;&gt;"",MAVorname,"")</f>
        <v/>
      </c>
      <c r="K11" s="1100"/>
      <c r="L11" s="62"/>
    </row>
    <row r="12" spans="1:16" s="247" customFormat="1" x14ac:dyDescent="0.2">
      <c r="B12" s="243"/>
      <c r="D12" s="61"/>
      <c r="E12" s="248"/>
      <c r="F12" s="248"/>
      <c r="G12" s="249"/>
      <c r="H12" s="248"/>
      <c r="I12" s="248"/>
      <c r="J12" s="248"/>
      <c r="K12" s="248"/>
      <c r="L12" s="62"/>
    </row>
    <row r="13" spans="1:16" s="247" customFormat="1" x14ac:dyDescent="0.2">
      <c r="B13" s="243"/>
      <c r="D13" s="61"/>
      <c r="E13" s="452" t="s">
        <v>764</v>
      </c>
      <c r="F13" s="452"/>
      <c r="G13" s="1107" t="str">
        <f>IF(MAVertragsNr&lt;&gt;"",MAVertragsNr,"")</f>
        <v/>
      </c>
      <c r="H13" s="1107"/>
      <c r="I13" s="452" t="s">
        <v>763</v>
      </c>
      <c r="J13" s="1107" t="str">
        <f>IF(MAPersID&lt;&gt;"",MAPersID,"")</f>
        <v/>
      </c>
      <c r="K13" s="1107"/>
      <c r="L13" s="62"/>
    </row>
    <row r="14" spans="1:16" s="247" customFormat="1" x14ac:dyDescent="0.2">
      <c r="B14" s="243"/>
      <c r="D14" s="61"/>
      <c r="E14" s="248"/>
      <c r="F14" s="248"/>
      <c r="G14" s="469"/>
      <c r="H14" s="248"/>
      <c r="I14" s="248"/>
      <c r="J14" s="248"/>
      <c r="K14" s="248"/>
      <c r="L14" s="62"/>
    </row>
    <row r="15" spans="1:16" s="247" customFormat="1" x14ac:dyDescent="0.2">
      <c r="B15" s="243"/>
      <c r="D15" s="61"/>
      <c r="E15" s="248" t="s">
        <v>756</v>
      </c>
      <c r="F15" s="248"/>
      <c r="G15" s="1088"/>
      <c r="H15" s="1088"/>
      <c r="I15" s="1088"/>
      <c r="J15" s="1088"/>
      <c r="K15" s="1088"/>
      <c r="L15" s="62"/>
    </row>
    <row r="16" spans="1:16" s="247" customFormat="1" x14ac:dyDescent="0.2">
      <c r="B16" s="243"/>
      <c r="D16" s="61"/>
      <c r="E16" s="248"/>
      <c r="F16" s="248"/>
      <c r="G16" s="249"/>
      <c r="H16" s="248"/>
      <c r="I16" s="248"/>
      <c r="J16" s="248"/>
      <c r="K16" s="248"/>
      <c r="L16" s="62"/>
    </row>
    <row r="17" spans="2:13" s="247" customFormat="1" x14ac:dyDescent="0.2">
      <c r="B17" s="243"/>
      <c r="D17" s="61"/>
      <c r="E17" s="248" t="s">
        <v>759</v>
      </c>
      <c r="F17" s="248"/>
      <c r="G17" s="100"/>
      <c r="H17" s="701" t="s">
        <v>760</v>
      </c>
      <c r="I17" s="1088"/>
      <c r="J17" s="1088"/>
      <c r="K17" s="1088"/>
      <c r="L17" s="62"/>
    </row>
    <row r="18" spans="2:13" s="247" customFormat="1" x14ac:dyDescent="0.2">
      <c r="B18" s="243"/>
      <c r="D18" s="61"/>
      <c r="E18" s="248"/>
      <c r="F18" s="248"/>
      <c r="G18" s="877"/>
      <c r="H18" s="878"/>
      <c r="I18" s="425"/>
      <c r="J18" s="425"/>
      <c r="K18" s="425"/>
      <c r="L18" s="62"/>
    </row>
    <row r="19" spans="2:13" s="247" customFormat="1" ht="12.6" customHeight="1" x14ac:dyDescent="0.2">
      <c r="B19" s="243"/>
      <c r="D19" s="61"/>
      <c r="E19" s="457" t="s">
        <v>826</v>
      </c>
      <c r="F19" s="1054" t="s">
        <v>1085</v>
      </c>
      <c r="G19" s="1054"/>
      <c r="H19" s="1054"/>
      <c r="I19" s="1054"/>
      <c r="J19" s="1054"/>
      <c r="K19" s="586"/>
      <c r="L19" s="452"/>
      <c r="M19" s="879"/>
    </row>
    <row r="20" spans="2:13" s="247" customFormat="1" ht="12.6" customHeight="1" x14ac:dyDescent="0.2">
      <c r="B20" s="243"/>
      <c r="D20" s="61"/>
      <c r="E20" s="457"/>
      <c r="F20" s="1054" t="s">
        <v>1083</v>
      </c>
      <c r="G20" s="1054"/>
      <c r="H20" s="1054"/>
      <c r="I20" s="1054"/>
      <c r="J20" s="1054"/>
      <c r="K20" s="1054"/>
      <c r="L20" s="586"/>
      <c r="M20" s="879"/>
    </row>
    <row r="21" spans="2:13" s="247" customFormat="1" ht="12.6" customHeight="1" x14ac:dyDescent="0.2">
      <c r="B21" s="243"/>
      <c r="D21" s="61"/>
      <c r="E21" s="457"/>
      <c r="F21" s="1054" t="s">
        <v>1084</v>
      </c>
      <c r="G21" s="1054"/>
      <c r="H21" s="1054"/>
      <c r="I21" s="1054"/>
      <c r="J21" s="586"/>
      <c r="K21" s="586"/>
      <c r="L21" s="880"/>
    </row>
    <row r="22" spans="2:13" s="247" customFormat="1" x14ac:dyDescent="0.2">
      <c r="B22" s="243"/>
      <c r="D22" s="61"/>
      <c r="E22" s="457"/>
      <c r="F22" s="1054" t="s">
        <v>1086</v>
      </c>
      <c r="G22" s="1054"/>
      <c r="H22" s="586"/>
      <c r="I22" s="586"/>
      <c r="J22" s="586"/>
      <c r="K22" s="586"/>
      <c r="L22" s="880"/>
    </row>
    <row r="23" spans="2:13" s="247" customFormat="1" ht="8.1" customHeight="1" x14ac:dyDescent="0.2">
      <c r="B23" s="243"/>
      <c r="D23" s="63"/>
      <c r="E23" s="64"/>
      <c r="F23" s="64"/>
      <c r="G23" s="65"/>
      <c r="H23" s="64"/>
      <c r="I23" s="64"/>
      <c r="J23" s="64"/>
      <c r="K23" s="64"/>
      <c r="L23" s="66"/>
    </row>
    <row r="24" spans="2:13" s="247" customFormat="1" ht="6" customHeight="1" x14ac:dyDescent="0.2">
      <c r="B24" s="243"/>
      <c r="E24" s="248"/>
      <c r="F24" s="248"/>
      <c r="G24" s="249"/>
      <c r="H24" s="248"/>
      <c r="I24" s="248"/>
      <c r="J24" s="248"/>
      <c r="K24" s="248"/>
      <c r="L24" s="248"/>
    </row>
    <row r="25" spans="2:13" s="247" customFormat="1" ht="5.0999999999999996" customHeight="1" x14ac:dyDescent="0.2">
      <c r="B25" s="243"/>
      <c r="D25" s="59"/>
      <c r="E25" s="321"/>
      <c r="F25" s="406"/>
      <c r="G25" s="323"/>
      <c r="H25" s="321"/>
      <c r="I25" s="321"/>
      <c r="J25" s="321"/>
      <c r="K25" s="321"/>
      <c r="L25" s="60"/>
    </row>
    <row r="26" spans="2:13" s="247" customFormat="1" ht="15.75" x14ac:dyDescent="0.2">
      <c r="B26" s="243"/>
      <c r="D26" s="61"/>
      <c r="E26" s="324" t="s">
        <v>982</v>
      </c>
      <c r="F26" s="403"/>
      <c r="G26" s="326"/>
      <c r="H26" s="325"/>
      <c r="I26" s="325"/>
      <c r="J26" s="325"/>
      <c r="K26" s="325"/>
      <c r="L26" s="62"/>
    </row>
    <row r="27" spans="2:13" s="247" customFormat="1" ht="15.75" x14ac:dyDescent="0.2">
      <c r="B27" s="243"/>
      <c r="D27" s="61"/>
      <c r="E27" s="324"/>
      <c r="F27" s="403"/>
      <c r="G27" s="326"/>
      <c r="H27" s="325"/>
      <c r="I27" s="325"/>
      <c r="J27" s="325"/>
      <c r="K27" s="325"/>
      <c r="L27" s="62"/>
    </row>
    <row r="28" spans="2:13" s="247" customFormat="1" x14ac:dyDescent="0.2">
      <c r="B28" s="243"/>
      <c r="D28" s="61"/>
      <c r="E28" s="407" t="s">
        <v>827</v>
      </c>
      <c r="F28" s="325"/>
      <c r="G28" s="1088"/>
      <c r="H28" s="1088"/>
      <c r="I28" s="1088"/>
      <c r="J28" s="1088"/>
      <c r="K28" s="1088"/>
      <c r="L28" s="62"/>
    </row>
    <row r="29" spans="2:13" s="247" customFormat="1" x14ac:dyDescent="0.2">
      <c r="B29" s="243"/>
      <c r="D29" s="61"/>
      <c r="E29" s="248"/>
      <c r="F29" s="248"/>
      <c r="G29" s="249"/>
      <c r="H29" s="248"/>
      <c r="I29" s="248"/>
      <c r="J29" s="248"/>
      <c r="L29" s="62"/>
    </row>
    <row r="30" spans="2:13" s="247" customFormat="1" x14ac:dyDescent="0.2">
      <c r="B30" s="243"/>
      <c r="D30" s="61"/>
      <c r="E30" s="248" t="s">
        <v>843</v>
      </c>
      <c r="F30" s="445"/>
      <c r="G30" s="249"/>
      <c r="H30" s="249" t="s">
        <v>943</v>
      </c>
      <c r="I30" s="346"/>
      <c r="J30" s="249" t="s">
        <v>7</v>
      </c>
      <c r="K30" s="346"/>
      <c r="L30" s="62"/>
    </row>
    <row r="31" spans="2:13" s="247" customFormat="1" x14ac:dyDescent="0.2">
      <c r="B31" s="243"/>
      <c r="D31" s="61"/>
      <c r="E31" s="248"/>
      <c r="F31" s="248"/>
      <c r="G31" s="249"/>
      <c r="H31" s="248"/>
      <c r="I31" s="248"/>
      <c r="J31" s="248"/>
      <c r="K31" s="248"/>
      <c r="L31" s="62"/>
    </row>
    <row r="32" spans="2:13" s="247" customFormat="1" x14ac:dyDescent="0.2">
      <c r="B32" s="243"/>
      <c r="D32" s="731" t="s">
        <v>833</v>
      </c>
      <c r="F32" s="248"/>
      <c r="G32" s="1088"/>
      <c r="H32" s="1088"/>
      <c r="I32" s="1088"/>
      <c r="J32" s="1088"/>
      <c r="K32" s="1088"/>
      <c r="L32" s="62"/>
    </row>
    <row r="33" spans="2:18" s="247" customFormat="1" ht="16.5" x14ac:dyDescent="0.2">
      <c r="B33" s="243"/>
      <c r="D33" s="760"/>
      <c r="F33" s="408"/>
      <c r="G33" s="326"/>
      <c r="H33" s="325"/>
      <c r="I33" s="325"/>
      <c r="J33" s="325"/>
      <c r="K33" s="325"/>
      <c r="L33" s="62"/>
    </row>
    <row r="34" spans="2:18" s="247" customFormat="1" x14ac:dyDescent="0.2">
      <c r="B34" s="243"/>
      <c r="D34" s="731" t="s">
        <v>834</v>
      </c>
      <c r="F34" s="248"/>
      <c r="G34" s="1089"/>
      <c r="H34" s="1089"/>
      <c r="I34" s="1089"/>
      <c r="J34" s="1089"/>
      <c r="K34" s="1089"/>
      <c r="L34" s="62"/>
    </row>
    <row r="35" spans="2:18" s="247" customFormat="1" ht="16.5" x14ac:dyDescent="0.2">
      <c r="B35" s="243"/>
      <c r="D35" s="61"/>
      <c r="E35" s="325"/>
      <c r="F35" s="408"/>
      <c r="G35" s="326"/>
      <c r="H35" s="325"/>
      <c r="I35" s="325"/>
      <c r="J35" s="325"/>
      <c r="K35" s="325"/>
      <c r="L35" s="62"/>
    </row>
    <row r="36" spans="2:18" s="247" customFormat="1" x14ac:dyDescent="0.2">
      <c r="B36" s="243"/>
      <c r="D36" s="61"/>
      <c r="E36" s="248" t="s">
        <v>963</v>
      </c>
      <c r="F36" s="248"/>
      <c r="G36" s="248"/>
      <c r="H36" s="1108"/>
      <c r="I36" s="1108"/>
      <c r="J36" s="1108"/>
      <c r="K36" s="1108"/>
      <c r="L36" s="62"/>
    </row>
    <row r="37" spans="2:18" s="247" customFormat="1" x14ac:dyDescent="0.2">
      <c r="B37" s="243"/>
      <c r="D37" s="61"/>
      <c r="E37" s="248"/>
      <c r="F37" s="248"/>
      <c r="G37" s="248"/>
      <c r="H37" s="248"/>
      <c r="I37" s="355"/>
      <c r="J37" s="276" t="str">
        <f>IF(H36="Mentorat (401179) / Fachperson (401175)*", "* Stv.-Kosten zur Weiterverrechnung","")</f>
        <v/>
      </c>
      <c r="K37" s="355"/>
      <c r="L37" s="62"/>
    </row>
    <row r="38" spans="2:18" s="247" customFormat="1" ht="13.15" customHeight="1" x14ac:dyDescent="0.2">
      <c r="B38" s="243"/>
      <c r="D38" s="61"/>
      <c r="E38" s="1091" t="s">
        <v>1081</v>
      </c>
      <c r="F38" s="1091"/>
      <c r="G38" s="1091"/>
      <c r="H38" s="1091"/>
      <c r="I38" s="1091"/>
      <c r="J38" s="450" t="s">
        <v>1082</v>
      </c>
      <c r="K38" s="410"/>
      <c r="L38" s="62"/>
    </row>
    <row r="39" spans="2:18" s="247" customFormat="1" ht="8.1" customHeight="1" x14ac:dyDescent="0.2">
      <c r="B39" s="243"/>
      <c r="D39" s="63"/>
      <c r="E39" s="357"/>
      <c r="F39" s="357"/>
      <c r="G39" s="409"/>
      <c r="H39" s="382"/>
      <c r="I39" s="382"/>
      <c r="J39" s="383"/>
      <c r="K39" s="382"/>
      <c r="L39" s="66"/>
    </row>
    <row r="40" spans="2:18" s="247" customFormat="1" ht="6" customHeight="1" x14ac:dyDescent="0.2">
      <c r="B40" s="243"/>
      <c r="E40" s="242"/>
      <c r="F40" s="242"/>
      <c r="G40" s="283"/>
      <c r="H40" s="242"/>
      <c r="I40" s="242"/>
      <c r="J40" s="242"/>
      <c r="K40" s="242"/>
    </row>
    <row r="41" spans="2:18" s="247" customFormat="1" ht="5.0999999999999996" customHeight="1" x14ac:dyDescent="0.2">
      <c r="B41" s="243"/>
      <c r="D41" s="59"/>
      <c r="E41" s="67"/>
      <c r="F41" s="67"/>
      <c r="G41" s="68"/>
      <c r="H41" s="67"/>
      <c r="I41" s="67"/>
      <c r="J41" s="67"/>
      <c r="K41" s="67"/>
      <c r="L41" s="60"/>
    </row>
    <row r="42" spans="2:18" s="247" customFormat="1" x14ac:dyDescent="0.2">
      <c r="B42" s="243"/>
      <c r="D42" s="61"/>
      <c r="E42" s="1082" t="s">
        <v>979</v>
      </c>
      <c r="F42" s="1082"/>
      <c r="G42" s="1082"/>
      <c r="H42" s="325"/>
      <c r="I42" s="325"/>
      <c r="J42" s="325"/>
      <c r="K42" s="325"/>
      <c r="L42" s="62"/>
    </row>
    <row r="43" spans="2:18" s="247" customFormat="1" x14ac:dyDescent="0.2">
      <c r="B43" s="243"/>
      <c r="D43" s="61"/>
      <c r="E43" s="248"/>
      <c r="F43" s="248"/>
      <c r="G43" s="249"/>
      <c r="H43" s="248"/>
      <c r="I43" s="248"/>
      <c r="J43" s="248"/>
      <c r="K43" s="248"/>
      <c r="L43" s="62"/>
    </row>
    <row r="44" spans="2:18" s="247" customFormat="1" x14ac:dyDescent="0.2">
      <c r="B44" s="243"/>
      <c r="D44" s="61"/>
      <c r="E44" s="1056"/>
      <c r="F44" s="1056"/>
      <c r="G44" s="1056"/>
      <c r="H44" s="1056"/>
      <c r="I44" s="1056"/>
      <c r="J44" s="1056"/>
      <c r="K44" s="1056"/>
      <c r="L44" s="62"/>
    </row>
    <row r="45" spans="2:18" s="247" customFormat="1" x14ac:dyDescent="0.2">
      <c r="B45" s="243"/>
      <c r="D45" s="61"/>
      <c r="E45" s="1056"/>
      <c r="F45" s="1056"/>
      <c r="G45" s="1056"/>
      <c r="H45" s="1056"/>
      <c r="I45" s="1056"/>
      <c r="J45" s="1056"/>
      <c r="K45" s="1056"/>
      <c r="L45" s="62"/>
    </row>
    <row r="46" spans="2:18" s="247" customFormat="1" x14ac:dyDescent="0.2">
      <c r="B46" s="243"/>
      <c r="D46" s="61"/>
      <c r="E46" s="1056"/>
      <c r="F46" s="1056"/>
      <c r="G46" s="1056"/>
      <c r="H46" s="1056"/>
      <c r="I46" s="1056"/>
      <c r="J46" s="1056"/>
      <c r="K46" s="1056"/>
      <c r="L46" s="62"/>
      <c r="M46" s="61"/>
      <c r="R46" s="358">
        <f>E46</f>
        <v>0</v>
      </c>
    </row>
    <row r="47" spans="2:18" s="247" customFormat="1" x14ac:dyDescent="0.2">
      <c r="B47" s="243"/>
      <c r="C47" s="242"/>
      <c r="D47" s="61"/>
      <c r="E47" s="590"/>
      <c r="F47" s="452"/>
      <c r="G47" s="452"/>
      <c r="H47" s="452"/>
      <c r="I47" s="452"/>
      <c r="J47" s="452"/>
      <c r="K47" s="578"/>
      <c r="L47" s="206"/>
      <c r="M47" s="61"/>
    </row>
    <row r="48" spans="2:18" s="247" customFormat="1" x14ac:dyDescent="0.2">
      <c r="B48" s="243"/>
      <c r="C48" s="238"/>
      <c r="D48" s="61"/>
      <c r="H48" s="1059" t="s">
        <v>1136</v>
      </c>
      <c r="I48" s="1059"/>
      <c r="J48" s="1059"/>
      <c r="K48" s="464"/>
      <c r="L48" s="62"/>
      <c r="M48" s="61"/>
    </row>
    <row r="49" spans="1:16" s="247" customFormat="1" ht="8.1" customHeight="1" x14ac:dyDescent="0.2">
      <c r="B49" s="243"/>
      <c r="D49" s="63"/>
      <c r="E49" s="64"/>
      <c r="F49" s="64"/>
      <c r="G49" s="65"/>
      <c r="H49" s="64"/>
      <c r="I49" s="64"/>
      <c r="J49" s="64"/>
      <c r="K49" s="64"/>
      <c r="L49" s="66"/>
    </row>
    <row r="50" spans="1:16" s="247" customFormat="1" ht="7.9" customHeight="1" x14ac:dyDescent="0.2">
      <c r="B50" s="243"/>
      <c r="E50" s="242"/>
      <c r="F50" s="242"/>
      <c r="G50" s="354"/>
      <c r="H50" s="355"/>
      <c r="I50" s="355"/>
      <c r="J50" s="283"/>
      <c r="K50" s="355"/>
    </row>
    <row r="51" spans="1:16" s="238" customFormat="1" ht="21" customHeight="1" x14ac:dyDescent="0.2">
      <c r="B51" s="239"/>
      <c r="D51" s="241" t="s">
        <v>951</v>
      </c>
      <c r="F51" s="241"/>
      <c r="H51" s="240"/>
      <c r="I51" s="240"/>
      <c r="J51" s="240"/>
      <c r="K51" s="240"/>
      <c r="L51" s="240"/>
      <c r="M51" s="240"/>
    </row>
    <row r="52" spans="1:16" s="247" customFormat="1" ht="6.75" customHeight="1" x14ac:dyDescent="0.2">
      <c r="A52" s="242"/>
      <c r="B52" s="243"/>
      <c r="C52" s="243"/>
      <c r="D52" s="243"/>
      <c r="E52" s="243"/>
      <c r="F52" s="244"/>
      <c r="G52" s="243"/>
      <c r="H52" s="245"/>
      <c r="I52" s="246"/>
      <c r="J52" s="245"/>
      <c r="K52" s="245"/>
      <c r="L52" s="245"/>
      <c r="N52" s="1078" t="s">
        <v>2009</v>
      </c>
      <c r="O52" s="1078"/>
      <c r="P52" s="1078"/>
    </row>
    <row r="53" spans="1:16" s="247" customFormat="1" ht="6" customHeight="1" x14ac:dyDescent="0.2">
      <c r="A53" s="242"/>
      <c r="B53" s="243"/>
      <c r="C53" s="242"/>
      <c r="D53" s="242"/>
      <c r="E53" s="242"/>
      <c r="F53" s="324"/>
      <c r="G53" s="242"/>
      <c r="H53" s="248"/>
      <c r="I53" s="249"/>
      <c r="J53" s="248"/>
      <c r="K53" s="248"/>
      <c r="L53" s="248"/>
      <c r="M53" s="248"/>
      <c r="N53" s="1078"/>
      <c r="O53" s="1078"/>
      <c r="P53" s="1078"/>
    </row>
    <row r="54" spans="1:16" s="247" customFormat="1" ht="5.0999999999999996" customHeight="1" x14ac:dyDescent="0.2">
      <c r="B54" s="243"/>
      <c r="D54" s="59"/>
      <c r="E54" s="272"/>
      <c r="F54" s="272"/>
      <c r="G54" s="273"/>
      <c r="H54" s="272"/>
      <c r="I54" s="272"/>
      <c r="J54" s="272"/>
      <c r="K54" s="272"/>
      <c r="L54" s="274"/>
      <c r="N54" s="1078"/>
      <c r="O54" s="1078"/>
      <c r="P54" s="1078"/>
    </row>
    <row r="55" spans="1:16" s="247" customFormat="1" x14ac:dyDescent="0.2">
      <c r="B55" s="243"/>
      <c r="D55" s="61"/>
      <c r="E55" s="275" t="s">
        <v>946</v>
      </c>
      <c r="F55" s="325"/>
      <c r="G55" s="326"/>
      <c r="H55" s="325"/>
      <c r="I55" s="325"/>
      <c r="J55" s="325"/>
      <c r="K55" s="325"/>
      <c r="L55" s="62"/>
      <c r="N55" s="1078"/>
      <c r="O55" s="1078"/>
      <c r="P55" s="1078"/>
    </row>
    <row r="56" spans="1:16" s="247" customFormat="1" x14ac:dyDescent="0.2">
      <c r="B56" s="243"/>
      <c r="D56" s="61"/>
      <c r="L56" s="62"/>
      <c r="N56" s="1078"/>
      <c r="O56" s="1078"/>
      <c r="P56" s="1078"/>
    </row>
    <row r="57" spans="1:16" s="247" customFormat="1" x14ac:dyDescent="0.2">
      <c r="B57" s="243"/>
      <c r="D57" s="61"/>
      <c r="E57" s="248" t="s">
        <v>978</v>
      </c>
      <c r="F57" s="1083"/>
      <c r="G57" s="1083"/>
      <c r="L57" s="62"/>
      <c r="N57" s="1078"/>
      <c r="O57" s="1078"/>
      <c r="P57" s="1078"/>
    </row>
    <row r="58" spans="1:16" s="247" customFormat="1" x14ac:dyDescent="0.2">
      <c r="B58" s="243"/>
      <c r="D58" s="61"/>
      <c r="E58" s="248"/>
      <c r="F58" s="248"/>
      <c r="G58" s="249"/>
      <c r="H58" s="248"/>
      <c r="I58" s="248"/>
      <c r="J58" s="248"/>
      <c r="K58" s="248"/>
      <c r="L58" s="62"/>
      <c r="N58" s="1078"/>
      <c r="O58" s="1078"/>
      <c r="P58" s="1078"/>
    </row>
    <row r="59" spans="1:16" s="247" customFormat="1" ht="12.6" customHeight="1" x14ac:dyDescent="0.2">
      <c r="B59" s="243"/>
      <c r="D59" s="61"/>
      <c r="E59" s="248" t="s">
        <v>1003</v>
      </c>
      <c r="F59" s="248"/>
      <c r="G59" s="280" t="str">
        <f>IF(MULohnberechnung&lt;&gt;"",MULohnberechnung,"")</f>
        <v/>
      </c>
      <c r="H59" s="701" t="s">
        <v>1005</v>
      </c>
      <c r="I59" s="248" t="s">
        <v>1043</v>
      </c>
      <c r="J59" s="248"/>
      <c r="K59" s="236"/>
      <c r="L59" s="62"/>
      <c r="N59" s="1078"/>
      <c r="O59" s="1078"/>
      <c r="P59" s="1078"/>
    </row>
    <row r="60" spans="1:16" s="247" customFormat="1" x14ac:dyDescent="0.2">
      <c r="B60" s="243"/>
      <c r="D60" s="61"/>
      <c r="E60" s="248"/>
      <c r="F60" s="248"/>
      <c r="H60" s="248"/>
      <c r="I60" s="248"/>
      <c r="J60" s="281"/>
      <c r="K60" s="248"/>
      <c r="L60" s="269"/>
      <c r="N60" s="1078"/>
      <c r="O60" s="1078"/>
      <c r="P60" s="1078"/>
    </row>
    <row r="61" spans="1:16" s="247" customFormat="1" x14ac:dyDescent="0.2">
      <c r="B61" s="243"/>
      <c r="D61" s="61"/>
      <c r="E61" s="248" t="s">
        <v>973</v>
      </c>
      <c r="F61" s="248"/>
      <c r="G61" s="433"/>
      <c r="I61" s="248" t="s">
        <v>1080</v>
      </c>
      <c r="J61" s="1095" t="str">
        <f>_xlfn.IFNA(VLOOKUP(G61,Stammdaten_DropDown!$B$14:$C$55,2,FALSE),"")</f>
        <v/>
      </c>
      <c r="K61" s="1095"/>
      <c r="L61" s="269"/>
      <c r="N61" s="1078"/>
      <c r="O61" s="1078"/>
      <c r="P61" s="1078"/>
    </row>
    <row r="62" spans="1:16" s="247" customFormat="1" x14ac:dyDescent="0.2">
      <c r="B62" s="243"/>
      <c r="D62" s="61"/>
      <c r="E62" s="248"/>
      <c r="F62" s="248"/>
      <c r="G62" s="237"/>
      <c r="H62" s="46"/>
      <c r="I62" s="97"/>
      <c r="J62" s="900"/>
      <c r="K62" s="900"/>
      <c r="L62" s="269"/>
      <c r="N62" s="1078"/>
      <c r="O62" s="1078"/>
      <c r="P62" s="1078"/>
    </row>
    <row r="63" spans="1:16" s="247" customFormat="1" x14ac:dyDescent="0.2">
      <c r="B63" s="243"/>
      <c r="D63" s="61"/>
      <c r="E63" s="248" t="s">
        <v>2000</v>
      </c>
      <c r="F63" s="248"/>
      <c r="G63" s="237"/>
      <c r="H63" s="1109"/>
      <c r="I63" s="1109"/>
      <c r="J63" s="1109"/>
      <c r="K63" s="1109"/>
      <c r="L63" s="269"/>
      <c r="N63" s="1078"/>
      <c r="O63" s="1078"/>
      <c r="P63" s="1078"/>
    </row>
    <row r="64" spans="1:16" s="247" customFormat="1" x14ac:dyDescent="0.2">
      <c r="B64" s="243"/>
      <c r="D64" s="61"/>
      <c r="E64" s="891" t="s">
        <v>1964</v>
      </c>
      <c r="F64" s="248"/>
      <c r="G64" s="249"/>
      <c r="H64" s="248"/>
      <c r="I64" s="248"/>
      <c r="J64" s="248"/>
      <c r="K64" s="248"/>
      <c r="L64" s="62"/>
      <c r="N64" s="1078"/>
      <c r="O64" s="1078"/>
      <c r="P64" s="1078"/>
    </row>
    <row r="65" spans="2:18" s="247" customFormat="1" x14ac:dyDescent="0.2">
      <c r="B65" s="243"/>
      <c r="D65" s="61"/>
      <c r="E65" s="1081" t="s">
        <v>952</v>
      </c>
      <c r="F65" s="1081"/>
      <c r="G65" s="1094"/>
      <c r="H65" s="1094"/>
      <c r="I65" s="1094"/>
      <c r="J65" s="1094"/>
      <c r="K65" s="1094"/>
      <c r="L65" s="62"/>
      <c r="N65" s="1078"/>
      <c r="O65" s="1078"/>
      <c r="P65" s="1078"/>
    </row>
    <row r="66" spans="2:18" s="247" customFormat="1" ht="8.1" customHeight="1" x14ac:dyDescent="0.2">
      <c r="B66" s="243"/>
      <c r="D66" s="63"/>
      <c r="E66" s="270"/>
      <c r="F66" s="270"/>
      <c r="G66" s="270"/>
      <c r="H66" s="270"/>
      <c r="I66" s="270"/>
      <c r="J66" s="270"/>
      <c r="K66" s="270"/>
      <c r="L66" s="66"/>
      <c r="N66" s="1078"/>
      <c r="O66" s="1078"/>
      <c r="P66" s="1078"/>
    </row>
    <row r="67" spans="2:18" s="247" customFormat="1" ht="6" customHeight="1" x14ac:dyDescent="0.2">
      <c r="B67" s="243"/>
      <c r="E67" s="271"/>
      <c r="F67" s="271"/>
      <c r="G67" s="271"/>
      <c r="H67" s="271"/>
      <c r="I67" s="271"/>
      <c r="J67" s="271"/>
      <c r="K67" s="271"/>
      <c r="N67" s="1078"/>
      <c r="O67" s="1078"/>
      <c r="P67" s="1078"/>
    </row>
    <row r="68" spans="2:18" s="247" customFormat="1" ht="5.0999999999999996" customHeight="1" x14ac:dyDescent="0.2">
      <c r="B68" s="243"/>
      <c r="D68" s="59"/>
      <c r="E68" s="67"/>
      <c r="F68" s="67"/>
      <c r="G68" s="68"/>
      <c r="H68" s="67"/>
      <c r="I68" s="67"/>
      <c r="J68" s="67"/>
      <c r="K68" s="67"/>
      <c r="L68" s="60"/>
      <c r="N68" s="1078"/>
      <c r="O68" s="1078"/>
      <c r="P68" s="1078"/>
    </row>
    <row r="69" spans="2:18" s="247" customFormat="1" x14ac:dyDescent="0.2">
      <c r="B69" s="243"/>
      <c r="D69" s="61"/>
      <c r="E69" s="1082" t="s">
        <v>985</v>
      </c>
      <c r="F69" s="1082"/>
      <c r="G69" s="1082"/>
      <c r="H69" s="1082"/>
      <c r="I69" s="1082"/>
      <c r="J69" s="1082"/>
      <c r="K69" s="325"/>
      <c r="L69" s="62"/>
      <c r="N69" s="1078"/>
      <c r="O69" s="1078"/>
      <c r="P69" s="1078"/>
    </row>
    <row r="70" spans="2:18" s="247" customFormat="1" x14ac:dyDescent="0.2">
      <c r="B70" s="243"/>
      <c r="D70" s="61"/>
      <c r="E70" s="248"/>
      <c r="F70" s="248"/>
      <c r="G70" s="249"/>
      <c r="H70" s="248"/>
      <c r="I70" s="248"/>
      <c r="J70" s="248"/>
      <c r="K70" s="248"/>
      <c r="L70" s="62"/>
      <c r="N70" s="1078"/>
      <c r="O70" s="1078"/>
      <c r="P70" s="1078"/>
      <c r="R70" s="247" t="s">
        <v>1047</v>
      </c>
    </row>
    <row r="71" spans="2:18" s="247" customFormat="1" x14ac:dyDescent="0.2">
      <c r="B71" s="243"/>
      <c r="D71" s="61"/>
      <c r="E71" s="1056"/>
      <c r="F71" s="1056"/>
      <c r="G71" s="1056"/>
      <c r="H71" s="1056"/>
      <c r="I71" s="1056"/>
      <c r="J71" s="1056"/>
      <c r="K71" s="1056"/>
      <c r="L71" s="62"/>
      <c r="N71" s="1078"/>
      <c r="O71" s="1078"/>
      <c r="P71" s="1078"/>
    </row>
    <row r="72" spans="2:18" s="247" customFormat="1" x14ac:dyDescent="0.2">
      <c r="B72" s="243"/>
      <c r="D72" s="61"/>
      <c r="E72" s="1056"/>
      <c r="F72" s="1056"/>
      <c r="G72" s="1056"/>
      <c r="H72" s="1056"/>
      <c r="I72" s="1056"/>
      <c r="J72" s="1056"/>
      <c r="K72" s="1056"/>
      <c r="L72" s="62"/>
      <c r="N72" s="1078"/>
      <c r="O72" s="1078"/>
      <c r="P72" s="1078"/>
    </row>
    <row r="73" spans="2:18" s="247" customFormat="1" x14ac:dyDescent="0.2">
      <c r="B73" s="243"/>
      <c r="D73" s="61"/>
      <c r="E73" s="1056"/>
      <c r="F73" s="1056"/>
      <c r="G73" s="1056"/>
      <c r="H73" s="1056"/>
      <c r="I73" s="1056"/>
      <c r="J73" s="1056"/>
      <c r="K73" s="1056"/>
      <c r="L73" s="62"/>
      <c r="N73" s="1078"/>
      <c r="O73" s="1078"/>
      <c r="P73" s="1078"/>
      <c r="R73" s="358">
        <f>E73</f>
        <v>0</v>
      </c>
    </row>
    <row r="74" spans="2:18" s="247" customFormat="1" ht="8.1" customHeight="1" x14ac:dyDescent="0.2">
      <c r="B74" s="243"/>
      <c r="D74" s="63"/>
      <c r="E74" s="64"/>
      <c r="F74" s="64"/>
      <c r="G74" s="65"/>
      <c r="H74" s="64"/>
      <c r="I74" s="64"/>
      <c r="J74" s="64"/>
      <c r="K74" s="64"/>
      <c r="L74" s="66"/>
      <c r="N74" s="1078"/>
      <c r="O74" s="1078"/>
      <c r="P74" s="1078"/>
    </row>
    <row r="75" spans="2:18" s="247" customFormat="1" ht="6" customHeight="1" x14ac:dyDescent="0.2">
      <c r="B75" s="243"/>
      <c r="E75" s="248"/>
      <c r="F75" s="248"/>
      <c r="G75" s="249"/>
      <c r="H75" s="248"/>
      <c r="I75" s="248"/>
      <c r="J75" s="248"/>
      <c r="K75" s="248"/>
      <c r="N75" s="1078"/>
      <c r="O75" s="1078"/>
      <c r="P75" s="1078"/>
    </row>
    <row r="76" spans="2:18" s="247" customFormat="1" ht="5.0999999999999996" customHeight="1" x14ac:dyDescent="0.2">
      <c r="B76" s="243"/>
      <c r="D76" s="203"/>
      <c r="E76" s="67"/>
      <c r="F76" s="67"/>
      <c r="G76" s="68"/>
      <c r="H76" s="67"/>
      <c r="I76" s="67"/>
      <c r="J76" s="67"/>
      <c r="K76" s="67"/>
      <c r="L76" s="204"/>
      <c r="N76" s="1078"/>
      <c r="O76" s="1078"/>
      <c r="P76" s="1078"/>
    </row>
    <row r="77" spans="2:18" s="247" customFormat="1" x14ac:dyDescent="0.2">
      <c r="B77" s="243"/>
      <c r="D77" s="205"/>
      <c r="E77" s="211" t="s">
        <v>933</v>
      </c>
      <c r="F77" s="211"/>
      <c r="G77" s="326"/>
      <c r="H77" s="325"/>
      <c r="I77" s="325"/>
      <c r="J77" s="325"/>
      <c r="K77" s="325"/>
      <c r="L77" s="269"/>
      <c r="N77" s="1098" t="str">
        <f>Stammdaten_DropDown!A113</f>
        <v>Lohnentwicklung</v>
      </c>
      <c r="O77" s="1098"/>
      <c r="P77" s="1098"/>
    </row>
    <row r="78" spans="2:18" s="247" customFormat="1" ht="6" customHeight="1" x14ac:dyDescent="0.2">
      <c r="B78" s="243"/>
      <c r="D78" s="205"/>
      <c r="E78" s="248"/>
      <c r="F78" s="248"/>
      <c r="G78" s="562"/>
      <c r="H78" s="248"/>
      <c r="I78" s="248"/>
      <c r="J78" s="248"/>
      <c r="K78" s="248"/>
      <c r="L78" s="269"/>
      <c r="N78" s="242"/>
    </row>
    <row r="79" spans="2:18" s="247" customFormat="1" x14ac:dyDescent="0.2">
      <c r="B79" s="243"/>
      <c r="D79" s="205"/>
      <c r="E79" s="248" t="s">
        <v>945</v>
      </c>
      <c r="F79" s="248"/>
      <c r="G79" s="562"/>
      <c r="H79" s="248"/>
      <c r="I79" s="248"/>
      <c r="J79" s="1083"/>
      <c r="K79" s="1083"/>
      <c r="L79" s="269"/>
      <c r="N79" s="1105" t="str">
        <f>Stammdaten_DropDown!A114</f>
        <v>Bitte angeben, ob eine individuelle Lohnentwicklung gewährt werden soll.</v>
      </c>
      <c r="O79" s="1105"/>
      <c r="P79" s="1105"/>
    </row>
    <row r="80" spans="2:18" s="247" customFormat="1" x14ac:dyDescent="0.2">
      <c r="B80" s="243"/>
      <c r="D80" s="205"/>
      <c r="E80" s="248"/>
      <c r="F80" s="248"/>
      <c r="G80" s="562"/>
      <c r="H80" s="248"/>
      <c r="I80" s="248"/>
      <c r="J80" s="248"/>
      <c r="K80" s="248"/>
      <c r="L80" s="269"/>
      <c r="N80" s="1105" t="str">
        <f>Stammdaten_DropDown!A115</f>
        <v>Bei einem Neueintritt nach dem 01.07.2024 ist keine individuelle Lohnentwicklung vorgesehen.</v>
      </c>
      <c r="O80" s="1105"/>
      <c r="P80" s="1105"/>
    </row>
    <row r="81" spans="2:16" s="247" customFormat="1" x14ac:dyDescent="0.2">
      <c r="B81" s="243"/>
      <c r="D81" s="205"/>
      <c r="E81" s="278" t="s">
        <v>765</v>
      </c>
      <c r="G81" s="279" t="str">
        <f>IF(ISBLANK($J$79),IF(BandLohnBer="",IF(BandLohnRechner="","",BandLohnRechner),IF(BandLohnRechner="",BandLohnBer,"FEHLER")),"-")</f>
        <v/>
      </c>
      <c r="I81" s="774" t="s">
        <v>809</v>
      </c>
      <c r="K81" s="280" t="str">
        <f>IF(ISBLANK($J$79),IF(EWLohnBer="",IF(EWLohnRechner="","",EWLohnRechner),IF(EWLohnRechner="",EWLohnBer,"FEHLER")),"-")</f>
        <v/>
      </c>
      <c r="L81" s="269"/>
      <c r="N81" s="1105" t="str">
        <f>Stammdaten_DropDown!A116</f>
        <v>In dem Fall ist das Prädikat auf dem Wert «NA» (keine Beurteilung) zu belassen.</v>
      </c>
      <c r="O81" s="1105"/>
      <c r="P81" s="1105"/>
    </row>
    <row r="82" spans="2:16" s="247" customFormat="1" x14ac:dyDescent="0.2">
      <c r="B82" s="243"/>
      <c r="D82" s="205"/>
      <c r="E82" s="448" t="b">
        <f>AND(BandLohnBer&lt;&gt;"",BandLohnRechner&lt;&gt;"")</f>
        <v>0</v>
      </c>
      <c r="F82" s="248"/>
      <c r="G82" s="563" t="str">
        <f>IF(E82,"2 Lohnbänder gefunden","")</f>
        <v/>
      </c>
      <c r="H82" s="724" t="b">
        <f>AND(EWLohnBer&lt;&gt;"",EWLohnRechner&lt;&gt;"")</f>
        <v>0</v>
      </c>
      <c r="J82" s="566" t="str">
        <f>IF(H82,"2 Erfahrungswerte gefunden","")</f>
        <v/>
      </c>
      <c r="K82" s="566"/>
      <c r="L82" s="269"/>
      <c r="N82" s="242"/>
    </row>
    <row r="83" spans="2:16" s="247" customFormat="1" x14ac:dyDescent="0.2">
      <c r="B83" s="243"/>
      <c r="D83" s="205"/>
      <c r="E83" s="595"/>
      <c r="I83" s="774" t="s">
        <v>1113</v>
      </c>
      <c r="K83" s="778" t="str">
        <f>IF(ISBLANK($J$79),IF(LohnLohnBer="",IF(LohnLohnRechner="","",LohnLohnRechner),IF(LohnLohnRechner="",LohnLohnBer,"FEHLER")),"-")</f>
        <v/>
      </c>
      <c r="L83" s="62"/>
      <c r="N83" s="1096" t="str">
        <f>Stammdaten_DropDown!A117</f>
        <v xml:space="preserve">Falls eine individuelle  Lohnentwicklung gewährt werden soll, ist das entsprechende Prädikat aus der relevanten MAG-Phase im Dropdown-Menu auszuwählen. </v>
      </c>
      <c r="O83" s="1096"/>
      <c r="P83" s="1096"/>
    </row>
    <row r="84" spans="2:16" s="247" customFormat="1" x14ac:dyDescent="0.2">
      <c r="B84" s="243"/>
      <c r="D84" s="205"/>
      <c r="E84" s="248"/>
      <c r="F84" s="248"/>
      <c r="G84" s="248"/>
      <c r="H84" s="248"/>
      <c r="I84" s="448" t="b">
        <f>AND(LohnLohnBer&lt;&gt;"",LohnLohnRechner&lt;&gt;"")</f>
        <v>0</v>
      </c>
      <c r="J84" s="1092" t="str">
        <f>IF(I84,"2 Löhne gefunden","")</f>
        <v/>
      </c>
      <c r="K84" s="1092"/>
      <c r="L84" s="269"/>
      <c r="N84" s="1096"/>
      <c r="O84" s="1096"/>
      <c r="P84" s="1096"/>
    </row>
    <row r="85" spans="2:16" s="247" customFormat="1" x14ac:dyDescent="0.2">
      <c r="B85" s="243"/>
      <c r="D85" s="205"/>
      <c r="E85" s="248" t="str">
        <f>CONCATENATE("Lohnentwicklung per 01.01.",LohntabelleM!I1+1," gewähren?")</f>
        <v>Lohnentwicklung per 01.01.2025 gewähren?</v>
      </c>
      <c r="F85" s="248"/>
      <c r="G85" s="248"/>
      <c r="H85" s="886"/>
      <c r="I85" s="448"/>
      <c r="J85" s="905" t="s">
        <v>1966</v>
      </c>
      <c r="K85" s="914" t="str">
        <f>L85</f>
        <v/>
      </c>
      <c r="L85" s="901" t="str">
        <f>IF(H85="Ja","A",IF(H85="Nein","NA",""))</f>
        <v/>
      </c>
      <c r="N85" s="1105" t="str">
        <f>Stammdaten_DropDown!A118</f>
        <v>Ist noch keine Beurteilung hinterlegt, so ist das Prädikat auf «A» zu belassen.</v>
      </c>
      <c r="O85" s="1105"/>
      <c r="P85" s="1105"/>
    </row>
    <row r="86" spans="2:16" s="247" customFormat="1" ht="8.1" customHeight="1" x14ac:dyDescent="0.2">
      <c r="B86" s="243"/>
      <c r="D86" s="207"/>
      <c r="E86" s="64"/>
      <c r="F86" s="64"/>
      <c r="G86" s="65"/>
      <c r="H86" s="64"/>
      <c r="I86" s="64"/>
      <c r="J86" s="64"/>
      <c r="K86" s="64"/>
      <c r="L86" s="282"/>
    </row>
    <row r="87" spans="2:16" s="247" customFormat="1" ht="10.9" customHeight="1" x14ac:dyDescent="0.2">
      <c r="B87" s="243"/>
      <c r="E87" s="248"/>
      <c r="F87" s="248"/>
      <c r="G87" s="249"/>
      <c r="H87" s="248"/>
      <c r="I87" s="248"/>
      <c r="J87" s="248"/>
      <c r="K87" s="248"/>
      <c r="L87" s="248"/>
    </row>
    <row r="88" spans="2:16" s="247" customFormat="1" ht="62.1" customHeight="1" x14ac:dyDescent="0.2">
      <c r="B88" s="243"/>
      <c r="D88" s="1063" t="s">
        <v>966</v>
      </c>
      <c r="E88" s="1063"/>
      <c r="F88" s="1063"/>
      <c r="G88" s="1063"/>
      <c r="H88" s="1063"/>
      <c r="I88" s="1063"/>
      <c r="J88" s="1063"/>
      <c r="K88" s="1063"/>
      <c r="L88" s="1063"/>
    </row>
    <row r="89" spans="2:16" s="247" customFormat="1" ht="20.25" customHeight="1" x14ac:dyDescent="0.2">
      <c r="B89" s="243"/>
      <c r="D89" s="1063"/>
      <c r="E89" s="1063"/>
      <c r="F89" s="1063"/>
      <c r="G89" s="1063"/>
      <c r="H89" s="1063"/>
      <c r="I89" s="1063"/>
      <c r="J89" s="1063"/>
      <c r="K89" s="1063"/>
      <c r="L89" s="1063"/>
    </row>
    <row r="90" spans="2:16" s="247" customFormat="1" x14ac:dyDescent="0.2"/>
    <row r="91" spans="2:16" s="247" customFormat="1" x14ac:dyDescent="0.2"/>
    <row r="92" spans="2:16" s="247" customFormat="1" x14ac:dyDescent="0.2"/>
    <row r="93" spans="2:16" s="247" customFormat="1" x14ac:dyDescent="0.2"/>
    <row r="94" spans="2:16" s="247" customFormat="1" x14ac:dyDescent="0.2"/>
    <row r="95" spans="2:16" s="247" customFormat="1" x14ac:dyDescent="0.2"/>
    <row r="96" spans="2:16" s="247" customFormat="1" x14ac:dyDescent="0.2"/>
    <row r="97" s="247" customFormat="1" x14ac:dyDescent="0.2"/>
  </sheetData>
  <sheetProtection algorithmName="SHA-512" hashValue="c4sbkJjlGXy13aqHukRyvRkzeicWzAEUNTmn9bAnmhsOn9du4H7O27cji+GCTJx/X3dnLLUzwmMpNmDZc0sSGQ==" saltValue="+C0KFLpIePVtmMRQ/ZI4ew==" spinCount="100000" sheet="1"/>
  <mergeCells count="40">
    <mergeCell ref="N83:P84"/>
    <mergeCell ref="N85:P85"/>
    <mergeCell ref="N77:P77"/>
    <mergeCell ref="N9:O10"/>
    <mergeCell ref="N52:P76"/>
    <mergeCell ref="N79:P79"/>
    <mergeCell ref="N80:P80"/>
    <mergeCell ref="N81:P81"/>
    <mergeCell ref="D88:L89"/>
    <mergeCell ref="E72:K72"/>
    <mergeCell ref="E73:K73"/>
    <mergeCell ref="E42:G42"/>
    <mergeCell ref="E44:K44"/>
    <mergeCell ref="E45:K45"/>
    <mergeCell ref="E46:K46"/>
    <mergeCell ref="J79:K79"/>
    <mergeCell ref="J84:K84"/>
    <mergeCell ref="E65:F65"/>
    <mergeCell ref="G65:K65"/>
    <mergeCell ref="E69:J69"/>
    <mergeCell ref="E71:K71"/>
    <mergeCell ref="J61:K61"/>
    <mergeCell ref="H63:K63"/>
    <mergeCell ref="G32:K32"/>
    <mergeCell ref="G34:K34"/>
    <mergeCell ref="H36:K36"/>
    <mergeCell ref="F57:G57"/>
    <mergeCell ref="E38:I38"/>
    <mergeCell ref="H48:J48"/>
    <mergeCell ref="G11:H11"/>
    <mergeCell ref="G13:H13"/>
    <mergeCell ref="J13:K13"/>
    <mergeCell ref="J11:K11"/>
    <mergeCell ref="G28:K28"/>
    <mergeCell ref="F22:G22"/>
    <mergeCell ref="F19:J19"/>
    <mergeCell ref="F21:I21"/>
    <mergeCell ref="F20:K20"/>
    <mergeCell ref="I17:K17"/>
    <mergeCell ref="G15:K15"/>
  </mergeCells>
  <conditionalFormatting sqref="G81">
    <cfRule type="expression" dxfId="170" priority="6">
      <formula>E82</formula>
    </cfRule>
  </conditionalFormatting>
  <conditionalFormatting sqref="K83">
    <cfRule type="expression" dxfId="169" priority="4">
      <formula>$I$84</formula>
    </cfRule>
  </conditionalFormatting>
  <conditionalFormatting sqref="K81">
    <cfRule type="expression" dxfId="168" priority="170">
      <formula>$H$82</formula>
    </cfRule>
  </conditionalFormatting>
  <conditionalFormatting sqref="J85">
    <cfRule type="expression" dxfId="167" priority="3">
      <formula>#REF!</formula>
    </cfRule>
  </conditionalFormatting>
  <conditionalFormatting sqref="E65:K85 N77:P85">
    <cfRule type="expression" dxfId="166" priority="2">
      <formula>$H$63=""</formula>
    </cfRule>
  </conditionalFormatting>
  <conditionalFormatting sqref="J85:K85 N81:P85">
    <cfRule type="expression" dxfId="165" priority="1">
      <formula>$H$85=""</formula>
    </cfRule>
  </conditionalFormatting>
  <dataValidations count="7">
    <dataValidation operator="greaterThan" allowBlank="1" showInputMessage="1" showErrorMessage="1" errorTitle="Fehler" error="Pensum als Ganzzahl angeben" sqref="J60 K83 J85"/>
    <dataValidation allowBlank="1" showInputMessage="1" sqref="J28:K30 J61:J62"/>
    <dataValidation type="date" operator="greaterThan" allowBlank="1" showInputMessage="1" showErrorMessage="1" errorTitle="Fehler" error="Geben Sie ein gültiges Datum dd.mm.yyyy ein!" sqref="K9">
      <formula1>1</formula1>
    </dataValidation>
    <dataValidation type="whole" operator="greaterThan" allowBlank="1" showInputMessage="1" showErrorMessage="1" errorTitle="Fehler" error="Ungültige Postleitzahl" sqref="G17:G18">
      <formula1>0</formula1>
    </dataValidation>
    <dataValidation operator="greaterThan" showInputMessage="1" showErrorMessage="1" errorTitle="Fehler" error="Geben Sie ein gültiges Datum dd.mm.yyyy ein!" sqref="G28:G30 H49:H50 H39:H46 K39:K46 K49:K50"/>
    <dataValidation type="list" allowBlank="1" showInputMessage="1" showErrorMessage="1" sqref="G34:K34">
      <formula1>KompetenzDerSchulleitung</formula1>
    </dataValidation>
    <dataValidation type="list" allowBlank="1" showInputMessage="1" showErrorMessage="1" sqref="H36:K36">
      <formula1>EntscheidDesAmtesFürVolksschulen</formula1>
    </dataValidation>
  </dataValidations>
  <hyperlinks>
    <hyperlink ref="J38" r:id="rId1"/>
    <hyperlink ref="N9:O10" location="_A_Grunddaten" display="Zurück zu Grunddaten"/>
  </hyperlinks>
  <pageMargins left="0.70866141732283472" right="0.70866141732283472" top="0.78740157480314965" bottom="0.78740157480314965" header="0.31496062992125984" footer="0.31496062992125984"/>
  <pageSetup paperSize="9" scale="95" fitToHeight="0" orientation="portrait" r:id="rId2"/>
  <headerFooter>
    <oddFooter>Seite &amp;P von &amp;N</oddFooter>
  </headerFooter>
  <rowBreaks count="1" manualBreakCount="1">
    <brk id="50" max="16383" man="1"/>
  </rowBreaks>
  <ignoredErrors>
    <ignoredError sqref="K85" unlockedFormula="1"/>
  </ignoredErrors>
  <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Stammdaten_DropDown!$E$102:$E$103</xm:f>
          </x14:formula1>
          <xm:sqref>H85</xm:sqref>
        </x14:dataValidation>
        <x14:dataValidation type="list" allowBlank="1" showInputMessage="1" showErrorMessage="1">
          <x14:formula1>
            <xm:f>Stammdaten_DropDown!$E$106:$E$109</xm:f>
          </x14:formula1>
          <xm:sqref>K85</xm:sqref>
        </x14:dataValidation>
        <x14:dataValidation type="list" allowBlank="1" showInputMessage="1" showErrorMessage="1">
          <x14:formula1>
            <xm:f>Stammdaten_DropDown!$E$92:$E$99</xm:f>
          </x14:formula1>
          <xm:sqref>H63:K63</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2">
    <tabColor theme="0"/>
    <pageSetUpPr fitToPage="1"/>
  </sheetPr>
  <dimension ref="A1:R133"/>
  <sheetViews>
    <sheetView topLeftCell="A55" zoomScaleNormal="100" workbookViewId="0">
      <selection activeCell="S94" sqref="S94"/>
    </sheetView>
  </sheetViews>
  <sheetFormatPr baseColWidth="10" defaultColWidth="11.5703125" defaultRowHeight="12.75" x14ac:dyDescent="0.2"/>
  <cols>
    <col min="1" max="1" width="2.5703125" style="359" customWidth="1"/>
    <col min="2" max="2" width="1.42578125" style="359" customWidth="1"/>
    <col min="3" max="3" width="1.5703125" style="359" customWidth="1"/>
    <col min="4" max="4" width="3.5703125" style="359" customWidth="1"/>
    <col min="5" max="5" width="11.5703125" style="359"/>
    <col min="6" max="6" width="12.5703125" style="359" customWidth="1"/>
    <col min="7" max="7" width="16.5703125" style="359" customWidth="1"/>
    <col min="8" max="8" width="4.5703125" style="359" customWidth="1"/>
    <col min="9" max="9" width="16.28515625" style="359" customWidth="1"/>
    <col min="10" max="10" width="10.5703125" style="359" customWidth="1"/>
    <col min="11" max="11" width="17.42578125" style="359" customWidth="1"/>
    <col min="12" max="12" width="3.5703125" style="359" customWidth="1"/>
    <col min="13" max="13" width="2.42578125" style="359" customWidth="1"/>
    <col min="14" max="15" width="11.5703125" style="359"/>
    <col min="16" max="16" width="45.5703125" style="359" customWidth="1"/>
    <col min="17" max="17" width="11.5703125" style="359"/>
    <col min="18" max="18" width="70.42578125" style="359" hidden="1" customWidth="1"/>
    <col min="19" max="16384" width="11.5703125" style="359"/>
  </cols>
  <sheetData>
    <row r="1" spans="1:16" s="288" customFormat="1" ht="5.0999999999999996" customHeight="1" x14ac:dyDescent="0.2">
      <c r="F1" s="333"/>
      <c r="G1" s="289"/>
      <c r="H1" s="290"/>
      <c r="I1" s="290"/>
      <c r="J1" s="290"/>
      <c r="K1" s="290"/>
    </row>
    <row r="2" spans="1:16" s="288" customFormat="1" ht="37.9" customHeight="1" x14ac:dyDescent="0.2">
      <c r="D2" s="384" t="s">
        <v>947</v>
      </c>
      <c r="F2" s="333"/>
      <c r="G2" s="289"/>
      <c r="H2" s="290"/>
      <c r="I2" s="290"/>
      <c r="J2" s="290"/>
      <c r="K2" s="290"/>
    </row>
    <row r="3" spans="1:16" s="301" customFormat="1" ht="21" customHeight="1" x14ac:dyDescent="0.2">
      <c r="B3" s="360"/>
      <c r="D3" s="241" t="s">
        <v>950</v>
      </c>
      <c r="F3" s="241"/>
      <c r="H3" s="361"/>
      <c r="I3" s="361"/>
      <c r="J3" s="361"/>
      <c r="K3" s="361"/>
      <c r="L3" s="361"/>
      <c r="M3" s="361"/>
      <c r="N3" s="361"/>
    </row>
    <row r="4" spans="1:16" s="288" customFormat="1" ht="6.75" customHeight="1" x14ac:dyDescent="0.2">
      <c r="A4" s="306"/>
      <c r="B4" s="362"/>
      <c r="C4" s="362"/>
      <c r="D4" s="362"/>
      <c r="E4" s="362"/>
      <c r="F4" s="363"/>
      <c r="G4" s="362"/>
      <c r="H4" s="364"/>
      <c r="I4" s="365"/>
      <c r="J4" s="364"/>
      <c r="K4" s="364"/>
      <c r="L4" s="364"/>
      <c r="N4" s="361"/>
    </row>
    <row r="5" spans="1:16" s="288" customFormat="1" ht="6" customHeight="1" x14ac:dyDescent="0.2">
      <c r="A5" s="306"/>
      <c r="B5" s="362"/>
      <c r="C5" s="306"/>
      <c r="D5" s="306"/>
      <c r="E5" s="306"/>
      <c r="F5" s="332"/>
      <c r="G5" s="306"/>
      <c r="H5" s="311"/>
      <c r="I5" s="312"/>
      <c r="J5" s="311"/>
      <c r="K5" s="311"/>
      <c r="L5" s="311"/>
      <c r="M5" s="311"/>
      <c r="N5" s="306"/>
    </row>
    <row r="6" spans="1:16" s="288" customFormat="1" ht="5.0999999999999996" customHeight="1" x14ac:dyDescent="0.2">
      <c r="B6" s="362"/>
      <c r="D6" s="385"/>
      <c r="E6" s="331"/>
      <c r="F6" s="330"/>
      <c r="G6" s="293"/>
      <c r="H6" s="292"/>
      <c r="I6" s="292"/>
      <c r="J6" s="292"/>
      <c r="K6" s="292"/>
      <c r="L6" s="316"/>
    </row>
    <row r="7" spans="1:16" s="288" customFormat="1" ht="15.75" x14ac:dyDescent="0.2">
      <c r="B7" s="362"/>
      <c r="D7" s="386"/>
      <c r="E7" s="332" t="s">
        <v>771</v>
      </c>
      <c r="F7" s="333"/>
      <c r="G7" s="289"/>
      <c r="H7" s="290"/>
      <c r="I7" s="290"/>
      <c r="J7" s="290"/>
      <c r="K7" s="290"/>
      <c r="L7" s="298"/>
    </row>
    <row r="8" spans="1:16" s="288" customFormat="1" x14ac:dyDescent="0.2">
      <c r="B8" s="362"/>
      <c r="D8" s="294"/>
      <c r="E8" s="290"/>
      <c r="F8" s="290"/>
      <c r="G8" s="289"/>
      <c r="H8" s="290"/>
      <c r="I8" s="290"/>
      <c r="J8" s="290"/>
      <c r="K8" s="290"/>
      <c r="L8" s="298"/>
    </row>
    <row r="9" spans="1:16" s="288" customFormat="1" ht="46.9" customHeight="1" x14ac:dyDescent="0.2">
      <c r="B9" s="362"/>
      <c r="D9" s="294"/>
      <c r="E9" s="317" t="s">
        <v>1137</v>
      </c>
      <c r="F9" s="1110"/>
      <c r="G9" s="1110"/>
      <c r="H9" s="1110"/>
      <c r="I9" s="1110"/>
      <c r="J9" s="1110"/>
      <c r="K9" s="1110"/>
      <c r="L9" s="298"/>
    </row>
    <row r="10" spans="1:16" s="288" customFormat="1" ht="13.35" customHeight="1" x14ac:dyDescent="0.2">
      <c r="B10" s="362"/>
      <c r="D10" s="294"/>
      <c r="E10" s="290"/>
      <c r="F10" s="387"/>
      <c r="G10" s="289"/>
      <c r="H10" s="290"/>
      <c r="I10" s="290"/>
      <c r="J10" s="290"/>
      <c r="K10" s="290"/>
      <c r="L10" s="298"/>
    </row>
    <row r="11" spans="1:16" s="288" customFormat="1" x14ac:dyDescent="0.2">
      <c r="B11" s="362"/>
      <c r="D11" s="294"/>
      <c r="E11" s="311" t="s">
        <v>974</v>
      </c>
      <c r="F11" s="311"/>
      <c r="G11" s="798" t="str">
        <f>IF(MAAnrede&lt;&gt;"",MAAnrede,"")</f>
        <v/>
      </c>
      <c r="H11" s="311"/>
      <c r="I11" s="290"/>
      <c r="J11" s="290"/>
      <c r="K11" s="290"/>
      <c r="L11" s="298"/>
    </row>
    <row r="12" spans="1:16" s="288" customFormat="1" ht="13.35" customHeight="1" x14ac:dyDescent="0.2">
      <c r="B12" s="362"/>
      <c r="D12" s="294"/>
      <c r="E12" s="290"/>
      <c r="F12" s="387"/>
      <c r="G12" s="289"/>
      <c r="H12" s="290"/>
      <c r="I12" s="290"/>
      <c r="J12" s="290"/>
      <c r="K12" s="290"/>
      <c r="L12" s="298"/>
    </row>
    <row r="13" spans="1:16" s="288" customFormat="1" ht="12.6" customHeight="1" x14ac:dyDescent="0.2">
      <c r="B13" s="362"/>
      <c r="D13" s="294"/>
      <c r="E13" s="311" t="s">
        <v>757</v>
      </c>
      <c r="F13" s="311"/>
      <c r="G13" s="798" t="str">
        <f>IF(MAName&lt;&gt;"",MAName,"")</f>
        <v/>
      </c>
      <c r="H13" s="311"/>
      <c r="I13" s="1112" t="s">
        <v>758</v>
      </c>
      <c r="J13" s="1112"/>
      <c r="K13" s="798" t="str">
        <f>IF(MAVorname&lt;&gt;"",MAVorname,"")</f>
        <v/>
      </c>
      <c r="L13" s="298"/>
      <c r="N13" s="1068" t="s">
        <v>1040</v>
      </c>
      <c r="O13" s="1069"/>
      <c r="P13" s="906"/>
    </row>
    <row r="14" spans="1:16" s="288" customFormat="1" ht="12.6" customHeight="1" x14ac:dyDescent="0.2">
      <c r="B14" s="362"/>
      <c r="D14" s="294"/>
      <c r="G14" s="312"/>
      <c r="H14" s="311"/>
      <c r="I14" s="706"/>
      <c r="J14" s="706"/>
      <c r="K14" s="311"/>
      <c r="L14" s="298"/>
      <c r="N14" s="1070"/>
      <c r="O14" s="1071"/>
      <c r="P14" s="906"/>
    </row>
    <row r="15" spans="1:16" s="288" customFormat="1" x14ac:dyDescent="0.2">
      <c r="B15" s="362"/>
      <c r="D15" s="294"/>
      <c r="E15" s="1112" t="s">
        <v>764</v>
      </c>
      <c r="F15" s="1112"/>
      <c r="G15" s="798" t="str">
        <f>IF(MAVertragsNr&lt;&gt;"",MAVertragsNr,"")</f>
        <v/>
      </c>
      <c r="H15" s="311"/>
      <c r="I15" s="706" t="s">
        <v>763</v>
      </c>
      <c r="J15" s="301"/>
      <c r="K15" s="798" t="str">
        <f>IF(MAPersID&lt;&gt;"",MAPersID,"")</f>
        <v/>
      </c>
      <c r="L15" s="298"/>
    </row>
    <row r="16" spans="1:16" s="288" customFormat="1" ht="8.1" customHeight="1" x14ac:dyDescent="0.2">
      <c r="B16" s="362"/>
      <c r="D16" s="302"/>
      <c r="E16" s="303"/>
      <c r="F16" s="303"/>
      <c r="G16" s="304"/>
      <c r="H16" s="303"/>
      <c r="I16" s="303"/>
      <c r="J16" s="303"/>
      <c r="K16" s="303"/>
      <c r="L16" s="318"/>
    </row>
    <row r="17" spans="2:12" s="288" customFormat="1" ht="6" customHeight="1" x14ac:dyDescent="0.2">
      <c r="B17" s="362"/>
      <c r="E17" s="311"/>
      <c r="F17" s="311"/>
      <c r="G17" s="312"/>
      <c r="H17" s="311"/>
      <c r="I17" s="311"/>
      <c r="J17" s="311"/>
      <c r="K17" s="311"/>
    </row>
    <row r="18" spans="2:12" s="288" customFormat="1" ht="8.1" customHeight="1" x14ac:dyDescent="0.2">
      <c r="B18" s="362"/>
      <c r="D18" s="291"/>
      <c r="E18" s="308"/>
      <c r="F18" s="308"/>
      <c r="G18" s="309"/>
      <c r="H18" s="308"/>
      <c r="I18" s="308"/>
      <c r="J18" s="308"/>
      <c r="K18" s="308"/>
      <c r="L18" s="310"/>
    </row>
    <row r="19" spans="2:12" s="288" customFormat="1" ht="12" customHeight="1" x14ac:dyDescent="0.2">
      <c r="B19" s="362"/>
      <c r="D19" s="294"/>
      <c r="E19" s="295" t="s">
        <v>948</v>
      </c>
      <c r="F19" s="290"/>
      <c r="G19" s="289"/>
      <c r="H19" s="290"/>
      <c r="I19" s="290"/>
      <c r="J19" s="290"/>
      <c r="K19" s="290"/>
      <c r="L19" s="296"/>
    </row>
    <row r="20" spans="2:12" s="288" customFormat="1" ht="12.75" customHeight="1" x14ac:dyDescent="0.2">
      <c r="B20" s="362"/>
      <c r="D20" s="294"/>
      <c r="E20" s="311"/>
      <c r="F20" s="311"/>
      <c r="G20" s="312"/>
      <c r="H20" s="311"/>
      <c r="I20" s="311"/>
      <c r="J20" s="311"/>
      <c r="K20" s="311"/>
      <c r="L20" s="299"/>
    </row>
    <row r="21" spans="2:12" s="288" customFormat="1" ht="12.75" customHeight="1" x14ac:dyDescent="0.2">
      <c r="B21" s="362"/>
      <c r="D21" s="294"/>
      <c r="E21" s="311" t="s">
        <v>873</v>
      </c>
      <c r="F21" s="313"/>
      <c r="G21" s="811"/>
      <c r="H21" s="311"/>
      <c r="I21" s="311"/>
      <c r="J21" s="311"/>
      <c r="K21" s="312"/>
      <c r="L21" s="299"/>
    </row>
    <row r="22" spans="2:12" s="288" customFormat="1" ht="12.75" customHeight="1" x14ac:dyDescent="0.2">
      <c r="B22" s="362"/>
      <c r="D22" s="294"/>
      <c r="H22" s="311"/>
      <c r="I22" s="311"/>
      <c r="J22" s="1113"/>
      <c r="K22" s="1113"/>
      <c r="L22" s="300"/>
    </row>
    <row r="23" spans="2:12" s="288" customFormat="1" ht="12.75" customHeight="1" x14ac:dyDescent="0.2">
      <c r="B23" s="362"/>
      <c r="D23" s="294"/>
      <c r="E23" s="311" t="s">
        <v>875</v>
      </c>
      <c r="F23" s="314"/>
      <c r="G23" s="811"/>
      <c r="H23" s="311"/>
      <c r="I23" s="311" t="s">
        <v>874</v>
      </c>
      <c r="J23" s="1111"/>
      <c r="K23" s="1111"/>
      <c r="L23" s="300"/>
    </row>
    <row r="24" spans="2:12" s="288" customFormat="1" ht="12.75" customHeight="1" x14ac:dyDescent="0.2">
      <c r="B24" s="362"/>
      <c r="D24" s="294"/>
      <c r="E24" s="1116"/>
      <c r="F24" s="1116"/>
      <c r="G24" s="1117"/>
      <c r="H24" s="1117"/>
      <c r="I24" s="1117"/>
      <c r="J24" s="312"/>
      <c r="K24" s="312"/>
      <c r="L24" s="300"/>
    </row>
    <row r="25" spans="2:12" s="288" customFormat="1" ht="12.75" customHeight="1" x14ac:dyDescent="0.2">
      <c r="B25" s="362"/>
      <c r="D25" s="294"/>
      <c r="E25" s="311" t="s">
        <v>875</v>
      </c>
      <c r="F25" s="314"/>
      <c r="G25" s="811"/>
      <c r="H25" s="311"/>
      <c r="I25" s="311" t="s">
        <v>874</v>
      </c>
      <c r="J25" s="1111"/>
      <c r="K25" s="1111"/>
      <c r="L25" s="300"/>
    </row>
    <row r="26" spans="2:12" s="288" customFormat="1" ht="12.75" customHeight="1" x14ac:dyDescent="0.2">
      <c r="B26" s="362"/>
      <c r="D26" s="294"/>
      <c r="E26" s="311"/>
      <c r="F26" s="311"/>
      <c r="G26" s="312"/>
      <c r="H26" s="311"/>
      <c r="I26" s="311"/>
      <c r="J26" s="311"/>
      <c r="K26" s="311"/>
      <c r="L26" s="299"/>
    </row>
    <row r="27" spans="2:12" s="288" customFormat="1" ht="12.75" customHeight="1" x14ac:dyDescent="0.2">
      <c r="B27" s="362"/>
      <c r="D27" s="294"/>
      <c r="E27" s="311" t="s">
        <v>875</v>
      </c>
      <c r="F27" s="314"/>
      <c r="G27" s="811"/>
      <c r="H27" s="311"/>
      <c r="I27" s="311" t="s">
        <v>874</v>
      </c>
      <c r="J27" s="1111"/>
      <c r="K27" s="1111"/>
      <c r="L27" s="300"/>
    </row>
    <row r="28" spans="2:12" s="288" customFormat="1" ht="12.75" customHeight="1" x14ac:dyDescent="0.2">
      <c r="B28" s="362"/>
      <c r="D28" s="294"/>
      <c r="E28" s="311"/>
      <c r="F28" s="314"/>
      <c r="G28" s="311"/>
      <c r="H28" s="311"/>
      <c r="I28" s="311"/>
      <c r="J28" s="311"/>
      <c r="K28" s="312"/>
      <c r="L28" s="300"/>
    </row>
    <row r="29" spans="2:12" s="288" customFormat="1" ht="12.75" customHeight="1" x14ac:dyDescent="0.2">
      <c r="B29" s="362"/>
      <c r="D29" s="294"/>
      <c r="E29" s="311" t="s">
        <v>949</v>
      </c>
      <c r="F29" s="314"/>
      <c r="G29" s="796"/>
      <c r="H29" s="311"/>
      <c r="I29" s="311"/>
      <c r="J29" s="311" t="s">
        <v>819</v>
      </c>
      <c r="K29" s="312"/>
      <c r="L29" s="300"/>
    </row>
    <row r="30" spans="2:12" s="288" customFormat="1" ht="12.75" customHeight="1" x14ac:dyDescent="0.2">
      <c r="B30" s="362"/>
      <c r="D30" s="302"/>
      <c r="E30" s="303"/>
      <c r="F30" s="303"/>
      <c r="G30" s="304"/>
      <c r="H30" s="303"/>
      <c r="I30" s="303"/>
      <c r="J30" s="303"/>
      <c r="K30" s="303"/>
      <c r="L30" s="305"/>
    </row>
    <row r="31" spans="2:12" s="288" customFormat="1" ht="6" customHeight="1" x14ac:dyDescent="0.2">
      <c r="B31" s="362"/>
      <c r="E31" s="311"/>
      <c r="F31" s="311"/>
      <c r="G31" s="312"/>
      <c r="H31" s="311"/>
      <c r="I31" s="311"/>
      <c r="J31" s="311"/>
      <c r="K31" s="311"/>
      <c r="L31" s="311"/>
    </row>
    <row r="32" spans="2:12" s="288" customFormat="1" ht="5.0999999999999996" customHeight="1" x14ac:dyDescent="0.2">
      <c r="B32" s="362"/>
      <c r="D32" s="291"/>
      <c r="E32" s="308"/>
      <c r="F32" s="308"/>
      <c r="G32" s="309"/>
      <c r="H32" s="308"/>
      <c r="I32" s="308"/>
      <c r="J32" s="308"/>
      <c r="K32" s="308"/>
      <c r="L32" s="316"/>
    </row>
    <row r="33" spans="2:12" s="288" customFormat="1" x14ac:dyDescent="0.2">
      <c r="B33" s="362"/>
      <c r="D33" s="294"/>
      <c r="E33" s="332" t="s">
        <v>815</v>
      </c>
      <c r="F33" s="290"/>
      <c r="G33" s="289"/>
      <c r="H33" s="290"/>
      <c r="I33" s="290"/>
      <c r="J33" s="290"/>
      <c r="K33" s="290"/>
      <c r="L33" s="298"/>
    </row>
    <row r="34" spans="2:12" s="288" customFormat="1" x14ac:dyDescent="0.2">
      <c r="B34" s="362"/>
      <c r="D34" s="294"/>
      <c r="E34" s="311"/>
      <c r="F34" s="311"/>
      <c r="G34" s="312"/>
      <c r="H34" s="311"/>
      <c r="I34" s="311"/>
      <c r="J34" s="311"/>
      <c r="K34" s="311"/>
      <c r="L34" s="298"/>
    </row>
    <row r="35" spans="2:12" s="288" customFormat="1" x14ac:dyDescent="0.2">
      <c r="B35" s="362"/>
      <c r="D35" s="294"/>
      <c r="E35" s="306" t="s">
        <v>874</v>
      </c>
      <c r="G35" s="796"/>
      <c r="H35" s="311"/>
      <c r="I35" s="388"/>
      <c r="J35" s="311"/>
      <c r="L35" s="298"/>
    </row>
    <row r="36" spans="2:12" s="288" customFormat="1" x14ac:dyDescent="0.2">
      <c r="B36" s="362"/>
      <c r="D36" s="294"/>
      <c r="E36" s="311"/>
      <c r="F36" s="311"/>
      <c r="G36" s="312"/>
      <c r="H36" s="311"/>
      <c r="I36" s="311"/>
      <c r="J36" s="311"/>
      <c r="K36" s="311"/>
      <c r="L36" s="298"/>
    </row>
    <row r="37" spans="2:12" s="288" customFormat="1" x14ac:dyDescent="0.2">
      <c r="B37" s="362"/>
      <c r="D37" s="294"/>
      <c r="E37" s="374" t="s">
        <v>877</v>
      </c>
      <c r="F37" s="278"/>
      <c r="G37" s="812"/>
      <c r="H37" s="278"/>
      <c r="I37" s="311" t="s">
        <v>878</v>
      </c>
      <c r="J37" s="278"/>
      <c r="K37" s="812"/>
      <c r="L37" s="298"/>
    </row>
    <row r="38" spans="2:12" s="288" customFormat="1" ht="8.1" customHeight="1" x14ac:dyDescent="0.2">
      <c r="B38" s="362"/>
      <c r="D38" s="302"/>
      <c r="E38" s="376"/>
      <c r="F38" s="376"/>
      <c r="G38" s="315"/>
      <c r="H38" s="376"/>
      <c r="I38" s="376"/>
      <c r="J38" s="376"/>
      <c r="K38" s="376"/>
      <c r="L38" s="372"/>
    </row>
    <row r="39" spans="2:12" s="288" customFormat="1" ht="6" customHeight="1" x14ac:dyDescent="0.2">
      <c r="B39" s="362"/>
      <c r="E39" s="306"/>
      <c r="F39" s="306"/>
      <c r="G39" s="307"/>
      <c r="H39" s="306"/>
      <c r="I39" s="306"/>
      <c r="J39" s="306"/>
      <c r="K39" s="306"/>
    </row>
    <row r="40" spans="2:12" s="288" customFormat="1" ht="5.0999999999999996" customHeight="1" x14ac:dyDescent="0.2">
      <c r="B40" s="362"/>
      <c r="D40" s="291"/>
      <c r="E40" s="308"/>
      <c r="F40" s="308"/>
      <c r="G40" s="309"/>
      <c r="H40" s="308"/>
      <c r="I40" s="308"/>
      <c r="J40" s="308"/>
      <c r="K40" s="308"/>
      <c r="L40" s="316"/>
    </row>
    <row r="41" spans="2:12" s="288" customFormat="1" x14ac:dyDescent="0.2">
      <c r="B41" s="362"/>
      <c r="D41" s="294"/>
      <c r="E41" s="332" t="s">
        <v>964</v>
      </c>
      <c r="F41" s="290"/>
      <c r="G41" s="289"/>
      <c r="H41" s="290"/>
      <c r="I41" s="290"/>
      <c r="J41" s="290"/>
      <c r="K41" s="290"/>
      <c r="L41" s="298"/>
    </row>
    <row r="42" spans="2:12" s="288" customFormat="1" x14ac:dyDescent="0.2">
      <c r="B42" s="362"/>
      <c r="D42" s="294"/>
      <c r="E42" s="311"/>
      <c r="F42" s="311"/>
      <c r="G42" s="312"/>
      <c r="H42" s="311"/>
      <c r="I42" s="311"/>
      <c r="J42" s="311"/>
      <c r="K42" s="311"/>
      <c r="L42" s="298"/>
    </row>
    <row r="43" spans="2:12" s="288" customFormat="1" x14ac:dyDescent="0.2">
      <c r="B43" s="362"/>
      <c r="D43" s="727" t="s">
        <v>959</v>
      </c>
      <c r="E43" s="714"/>
      <c r="G43" s="796"/>
      <c r="H43" s="311"/>
      <c r="I43" s="388" t="s">
        <v>960</v>
      </c>
      <c r="J43" s="311"/>
      <c r="K43" s="796"/>
      <c r="L43" s="298"/>
    </row>
    <row r="44" spans="2:12" s="288" customFormat="1" x14ac:dyDescent="0.2">
      <c r="B44" s="362"/>
      <c r="D44" s="294"/>
      <c r="E44" s="311"/>
      <c r="F44" s="311"/>
      <c r="G44" s="312"/>
      <c r="H44" s="311"/>
      <c r="I44" s="311"/>
      <c r="J44" s="311"/>
      <c r="K44" s="311"/>
      <c r="L44" s="298"/>
    </row>
    <row r="45" spans="2:12" s="288" customFormat="1" x14ac:dyDescent="0.2">
      <c r="B45" s="362"/>
      <c r="D45" s="294"/>
      <c r="E45" s="311"/>
      <c r="F45" s="311" t="s">
        <v>1120</v>
      </c>
      <c r="G45" s="312"/>
      <c r="H45" s="311"/>
      <c r="I45" s="311"/>
      <c r="K45" s="311" t="s">
        <v>1121</v>
      </c>
      <c r="L45" s="298"/>
    </row>
    <row r="46" spans="2:12" s="288" customFormat="1" x14ac:dyDescent="0.2">
      <c r="B46" s="362"/>
      <c r="D46" s="294"/>
      <c r="E46" s="311"/>
      <c r="F46" s="311"/>
      <c r="G46" s="312"/>
      <c r="H46" s="311"/>
      <c r="I46" s="311"/>
      <c r="J46" s="311"/>
      <c r="K46" s="311"/>
      <c r="L46" s="298"/>
    </row>
    <row r="47" spans="2:12" s="288" customFormat="1" x14ac:dyDescent="0.2">
      <c r="B47" s="362"/>
      <c r="D47" s="294"/>
      <c r="E47" s="306" t="s">
        <v>994</v>
      </c>
      <c r="G47" s="797"/>
      <c r="H47" s="311"/>
      <c r="I47" s="311"/>
      <c r="J47" s="278"/>
      <c r="L47" s="298"/>
    </row>
    <row r="48" spans="2:12" s="288" customFormat="1" ht="8.1" customHeight="1" x14ac:dyDescent="0.2">
      <c r="B48" s="362"/>
      <c r="D48" s="302"/>
      <c r="E48" s="376"/>
      <c r="F48" s="376"/>
      <c r="G48" s="315"/>
      <c r="H48" s="376"/>
      <c r="I48" s="376"/>
      <c r="J48" s="376"/>
      <c r="K48" s="376"/>
      <c r="L48" s="372"/>
    </row>
    <row r="49" spans="2:12" s="288" customFormat="1" ht="6" customHeight="1" x14ac:dyDescent="0.2">
      <c r="B49" s="362"/>
      <c r="E49" s="306"/>
      <c r="F49" s="306"/>
      <c r="G49" s="307"/>
      <c r="H49" s="306"/>
      <c r="I49" s="306"/>
      <c r="J49" s="306"/>
      <c r="K49" s="306"/>
    </row>
    <row r="50" spans="2:12" s="288" customFormat="1" ht="5.0999999999999996" customHeight="1" x14ac:dyDescent="0.2">
      <c r="B50" s="362"/>
      <c r="D50" s="291"/>
      <c r="E50" s="308"/>
      <c r="F50" s="308"/>
      <c r="G50" s="309"/>
      <c r="H50" s="308"/>
      <c r="I50" s="308"/>
      <c r="J50" s="308"/>
      <c r="K50" s="308"/>
      <c r="L50" s="316"/>
    </row>
    <row r="51" spans="2:12" s="288" customFormat="1" x14ac:dyDescent="0.2">
      <c r="B51" s="362"/>
      <c r="D51" s="294"/>
      <c r="E51" s="332" t="s">
        <v>816</v>
      </c>
      <c r="F51" s="290"/>
      <c r="G51" s="289"/>
      <c r="H51" s="290"/>
      <c r="I51" s="290"/>
      <c r="J51" s="290"/>
      <c r="K51" s="290"/>
      <c r="L51" s="298"/>
    </row>
    <row r="52" spans="2:12" s="288" customFormat="1" x14ac:dyDescent="0.2">
      <c r="B52" s="362"/>
      <c r="D52" s="294"/>
      <c r="E52" s="311"/>
      <c r="F52" s="311"/>
      <c r="G52" s="312"/>
      <c r="H52" s="311"/>
      <c r="I52" s="311"/>
      <c r="J52" s="311"/>
      <c r="K52" s="311"/>
      <c r="L52" s="298"/>
    </row>
    <row r="53" spans="2:12" s="288" customFormat="1" x14ac:dyDescent="0.2">
      <c r="B53" s="362"/>
      <c r="D53" s="294"/>
      <c r="E53" s="306" t="s">
        <v>874</v>
      </c>
      <c r="F53" s="796"/>
      <c r="G53" s="373"/>
      <c r="H53" s="311"/>
      <c r="I53" s="388"/>
      <c r="J53" s="311"/>
      <c r="L53" s="298"/>
    </row>
    <row r="54" spans="2:12" s="288" customFormat="1" x14ac:dyDescent="0.2">
      <c r="B54" s="362"/>
      <c r="D54" s="294"/>
      <c r="E54" s="311"/>
      <c r="F54" s="311"/>
      <c r="G54" s="312"/>
      <c r="H54" s="311"/>
      <c r="I54" s="311"/>
      <c r="J54" s="311"/>
      <c r="K54" s="311"/>
      <c r="L54" s="298"/>
    </row>
    <row r="55" spans="2:12" s="288" customFormat="1" x14ac:dyDescent="0.2">
      <c r="B55" s="362"/>
      <c r="D55" s="294"/>
      <c r="E55" s="389" t="s">
        <v>1122</v>
      </c>
      <c r="F55" s="389"/>
      <c r="G55" s="311"/>
      <c r="H55" s="311"/>
      <c r="I55" s="388"/>
      <c r="J55" s="1113"/>
      <c r="K55" s="1113"/>
      <c r="L55" s="298"/>
    </row>
    <row r="56" spans="2:12" s="288" customFormat="1" x14ac:dyDescent="0.2">
      <c r="B56" s="362"/>
      <c r="D56" s="294"/>
      <c r="E56" s="389"/>
      <c r="F56" s="389"/>
      <c r="G56" s="311"/>
      <c r="H56" s="311"/>
      <c r="I56" s="388"/>
      <c r="J56" s="312"/>
      <c r="K56" s="312"/>
      <c r="L56" s="298"/>
    </row>
    <row r="57" spans="2:12" s="288" customFormat="1" x14ac:dyDescent="0.2">
      <c r="B57" s="362"/>
      <c r="D57" s="294"/>
      <c r="E57" s="389" t="s">
        <v>1123</v>
      </c>
      <c r="G57" s="1118"/>
      <c r="H57" s="1118"/>
      <c r="I57" s="1118"/>
      <c r="J57" s="1118"/>
      <c r="K57" s="1118"/>
      <c r="L57" s="298"/>
    </row>
    <row r="58" spans="2:12" s="288" customFormat="1" ht="8.1" customHeight="1" x14ac:dyDescent="0.2">
      <c r="B58" s="362"/>
      <c r="D58" s="302"/>
      <c r="E58" s="376"/>
      <c r="F58" s="376"/>
      <c r="G58" s="315"/>
      <c r="H58" s="376"/>
      <c r="I58" s="376"/>
      <c r="J58" s="376"/>
      <c r="K58" s="376"/>
      <c r="L58" s="372"/>
    </row>
    <row r="59" spans="2:12" s="288" customFormat="1" ht="6" customHeight="1" x14ac:dyDescent="0.2">
      <c r="B59" s="362"/>
      <c r="E59" s="306"/>
      <c r="F59" s="306"/>
      <c r="G59" s="307"/>
      <c r="H59" s="306"/>
      <c r="I59" s="306"/>
      <c r="J59" s="306"/>
      <c r="K59" s="306"/>
      <c r="L59" s="306"/>
    </row>
    <row r="60" spans="2:12" s="288" customFormat="1" ht="9" customHeight="1" x14ac:dyDescent="0.2">
      <c r="B60" s="362"/>
      <c r="D60" s="291"/>
      <c r="E60" s="308"/>
      <c r="F60" s="308"/>
      <c r="G60" s="309"/>
      <c r="H60" s="308"/>
      <c r="I60" s="308"/>
      <c r="J60" s="308"/>
      <c r="K60" s="308"/>
      <c r="L60" s="316"/>
    </row>
    <row r="61" spans="2:12" s="288" customFormat="1" ht="12.75" customHeight="1" x14ac:dyDescent="0.2">
      <c r="B61" s="362"/>
      <c r="D61" s="294"/>
      <c r="E61" s="332" t="s">
        <v>1058</v>
      </c>
      <c r="F61" s="332"/>
      <c r="G61" s="332"/>
      <c r="H61" s="332"/>
      <c r="I61" s="332"/>
      <c r="J61" s="290"/>
      <c r="K61" s="290"/>
      <c r="L61" s="298"/>
    </row>
    <row r="62" spans="2:12" s="288" customFormat="1" ht="12.75" customHeight="1" x14ac:dyDescent="0.2">
      <c r="B62" s="362"/>
      <c r="D62" s="294"/>
      <c r="E62" s="311"/>
      <c r="F62" s="311"/>
      <c r="G62" s="312"/>
      <c r="H62" s="311"/>
      <c r="I62" s="311"/>
      <c r="J62" s="311"/>
      <c r="K62" s="311"/>
      <c r="L62" s="298"/>
    </row>
    <row r="63" spans="2:12" s="288" customFormat="1" x14ac:dyDescent="0.2">
      <c r="B63" s="362"/>
      <c r="D63" s="728" t="s">
        <v>866</v>
      </c>
      <c r="F63" s="311"/>
      <c r="G63" s="656"/>
      <c r="H63" s="311"/>
      <c r="I63" s="807"/>
      <c r="J63" s="679" t="s">
        <v>1186</v>
      </c>
      <c r="K63" s="796"/>
      <c r="L63" s="298"/>
    </row>
    <row r="64" spans="2:12" s="288" customFormat="1" x14ac:dyDescent="0.2">
      <c r="B64" s="362"/>
      <c r="D64" s="294"/>
      <c r="E64" s="680" t="s">
        <v>1187</v>
      </c>
      <c r="G64" s="373"/>
      <c r="H64" s="311"/>
      <c r="I64" s="388"/>
      <c r="J64" s="311"/>
      <c r="L64" s="298"/>
    </row>
    <row r="65" spans="1:18" s="288" customFormat="1" x14ac:dyDescent="0.2">
      <c r="B65" s="362"/>
      <c r="D65" s="294"/>
      <c r="E65" s="306"/>
      <c r="G65" s="373"/>
      <c r="H65" s="311"/>
      <c r="I65" s="388"/>
      <c r="J65" s="311"/>
      <c r="L65" s="298"/>
    </row>
    <row r="66" spans="1:18" s="288" customFormat="1" x14ac:dyDescent="0.2">
      <c r="B66" s="362"/>
      <c r="D66" s="294"/>
      <c r="E66" s="657" t="s">
        <v>1185</v>
      </c>
      <c r="F66" s="389"/>
      <c r="G66" s="311"/>
      <c r="H66" s="311"/>
      <c r="I66" s="388"/>
      <c r="J66" s="1113"/>
      <c r="K66" s="1113"/>
      <c r="L66" s="298"/>
    </row>
    <row r="67" spans="1:18" s="288" customFormat="1" x14ac:dyDescent="0.2">
      <c r="B67" s="362"/>
      <c r="D67" s="294"/>
      <c r="E67" s="1114"/>
      <c r="F67" s="1114"/>
      <c r="G67" s="1114"/>
      <c r="H67" s="1114"/>
      <c r="I67" s="1114"/>
      <c r="J67" s="1114"/>
      <c r="K67" s="1114"/>
      <c r="L67" s="298"/>
      <c r="R67" s="375">
        <f>E67</f>
        <v>0</v>
      </c>
    </row>
    <row r="68" spans="1:18" s="288" customFormat="1" x14ac:dyDescent="0.2">
      <c r="B68" s="362"/>
      <c r="D68" s="294"/>
      <c r="E68" s="1114"/>
      <c r="F68" s="1114"/>
      <c r="G68" s="1114"/>
      <c r="H68" s="1114"/>
      <c r="I68" s="1114"/>
      <c r="J68" s="1114"/>
      <c r="K68" s="1114"/>
      <c r="L68" s="298"/>
      <c r="R68" s="375">
        <f>E68</f>
        <v>0</v>
      </c>
    </row>
    <row r="69" spans="1:18" s="288" customFormat="1" ht="11.85" customHeight="1" x14ac:dyDescent="0.2">
      <c r="B69" s="362"/>
      <c r="D69" s="302"/>
      <c r="E69" s="303"/>
      <c r="F69" s="303"/>
      <c r="G69" s="304"/>
      <c r="H69" s="303"/>
      <c r="I69" s="303"/>
      <c r="J69" s="303"/>
      <c r="K69" s="303"/>
      <c r="L69" s="318"/>
    </row>
    <row r="70" spans="1:18" s="288" customFormat="1" ht="6" customHeight="1" x14ac:dyDescent="0.2">
      <c r="B70" s="362"/>
      <c r="E70" s="306"/>
      <c r="F70" s="306"/>
      <c r="G70" s="307"/>
      <c r="H70" s="306"/>
      <c r="I70" s="306"/>
      <c r="J70" s="306"/>
      <c r="K70" s="306"/>
      <c r="L70" s="306"/>
    </row>
    <row r="71" spans="1:18" s="288" customFormat="1" ht="9" customHeight="1" x14ac:dyDescent="0.2">
      <c r="B71" s="362"/>
      <c r="D71" s="291"/>
      <c r="E71" s="308"/>
      <c r="F71" s="308"/>
      <c r="G71" s="309"/>
      <c r="H71" s="308"/>
      <c r="I71" s="308"/>
      <c r="J71" s="308"/>
      <c r="K71" s="308"/>
      <c r="L71" s="316"/>
    </row>
    <row r="72" spans="1:18" s="288" customFormat="1" ht="12.75" customHeight="1" x14ac:dyDescent="0.2">
      <c r="B72" s="362"/>
      <c r="D72" s="294"/>
      <c r="E72" s="332" t="s">
        <v>1136</v>
      </c>
      <c r="F72" s="332"/>
      <c r="G72" s="332"/>
      <c r="H72" s="332"/>
      <c r="I72" s="796"/>
      <c r="J72" s="290"/>
      <c r="K72" s="290"/>
      <c r="L72" s="298"/>
    </row>
    <row r="73" spans="1:18" s="288" customFormat="1" ht="7.15" customHeight="1" x14ac:dyDescent="0.2">
      <c r="B73" s="362"/>
      <c r="D73" s="302"/>
      <c r="E73" s="303"/>
      <c r="F73" s="303"/>
      <c r="G73" s="304"/>
      <c r="H73" s="303"/>
      <c r="I73" s="303"/>
      <c r="J73" s="303"/>
      <c r="K73" s="303"/>
      <c r="L73" s="318"/>
    </row>
    <row r="74" spans="1:18" s="288" customFormat="1" ht="6" customHeight="1" x14ac:dyDescent="0.2">
      <c r="B74" s="311"/>
      <c r="E74" s="311"/>
      <c r="F74" s="311"/>
      <c r="G74" s="312"/>
      <c r="H74" s="311"/>
      <c r="I74" s="311"/>
      <c r="J74" s="311"/>
      <c r="K74" s="311"/>
    </row>
    <row r="75" spans="1:18" s="301" customFormat="1" ht="21" customHeight="1" x14ac:dyDescent="0.2">
      <c r="B75" s="360"/>
      <c r="D75" s="241" t="s">
        <v>951</v>
      </c>
      <c r="F75" s="241"/>
      <c r="H75" s="361"/>
      <c r="I75" s="361"/>
      <c r="J75" s="361"/>
      <c r="K75" s="361"/>
      <c r="L75" s="361"/>
      <c r="M75" s="361"/>
    </row>
    <row r="76" spans="1:18" s="288" customFormat="1" ht="6.75" customHeight="1" x14ac:dyDescent="0.2">
      <c r="A76" s="306"/>
      <c r="B76" s="362"/>
      <c r="C76" s="362"/>
      <c r="D76" s="362"/>
      <c r="E76" s="362"/>
      <c r="F76" s="363"/>
      <c r="G76" s="362"/>
      <c r="H76" s="364"/>
      <c r="I76" s="365"/>
      <c r="J76" s="364"/>
      <c r="K76" s="364"/>
      <c r="L76" s="364"/>
      <c r="N76" s="1078" t="s">
        <v>2009</v>
      </c>
      <c r="O76" s="1078"/>
      <c r="P76" s="1078"/>
    </row>
    <row r="77" spans="1:18" s="288" customFormat="1" ht="6" customHeight="1" x14ac:dyDescent="0.2">
      <c r="A77" s="306"/>
      <c r="B77" s="362"/>
      <c r="C77" s="306"/>
      <c r="D77" s="306"/>
      <c r="E77" s="306"/>
      <c r="F77" s="332"/>
      <c r="G77" s="306"/>
      <c r="H77" s="311"/>
      <c r="I77" s="312"/>
      <c r="J77" s="311"/>
      <c r="K77" s="311"/>
      <c r="L77" s="311"/>
      <c r="M77" s="311"/>
      <c r="N77" s="1078"/>
      <c r="O77" s="1078"/>
      <c r="P77" s="1078"/>
    </row>
    <row r="78" spans="1:18" s="288" customFormat="1" ht="5.0999999999999996" customHeight="1" x14ac:dyDescent="0.2">
      <c r="B78" s="362"/>
      <c r="C78" s="306"/>
      <c r="D78" s="366"/>
      <c r="E78" s="367"/>
      <c r="F78" s="367"/>
      <c r="G78" s="368"/>
      <c r="H78" s="367"/>
      <c r="I78" s="367"/>
      <c r="J78" s="367"/>
      <c r="K78" s="367"/>
      <c r="L78" s="377"/>
      <c r="N78" s="1078"/>
      <c r="O78" s="1078"/>
      <c r="P78" s="1078"/>
    </row>
    <row r="79" spans="1:18" s="288" customFormat="1" x14ac:dyDescent="0.2">
      <c r="B79" s="362"/>
      <c r="C79" s="306"/>
      <c r="D79" s="369"/>
      <c r="E79" s="329" t="s">
        <v>946</v>
      </c>
      <c r="F79" s="311"/>
      <c r="G79" s="312"/>
      <c r="H79" s="311"/>
      <c r="I79" s="311"/>
      <c r="J79" s="311"/>
      <c r="K79" s="311"/>
      <c r="L79" s="370"/>
      <c r="N79" s="1078"/>
      <c r="O79" s="1078"/>
      <c r="P79" s="1078"/>
    </row>
    <row r="80" spans="1:18" s="288" customFormat="1" x14ac:dyDescent="0.2">
      <c r="B80" s="362"/>
      <c r="C80" s="306"/>
      <c r="D80" s="369"/>
      <c r="E80" s="311"/>
      <c r="F80" s="311"/>
      <c r="G80" s="312"/>
      <c r="H80" s="311"/>
      <c r="I80" s="311"/>
      <c r="J80" s="311"/>
      <c r="K80" s="311"/>
      <c r="L80" s="370"/>
      <c r="N80" s="1078"/>
      <c r="O80" s="1078"/>
      <c r="P80" s="1078"/>
    </row>
    <row r="81" spans="2:18" s="288" customFormat="1" x14ac:dyDescent="0.2">
      <c r="B81" s="362"/>
      <c r="C81" s="306"/>
      <c r="D81" s="369"/>
      <c r="E81" s="311" t="s">
        <v>961</v>
      </c>
      <c r="F81" s="311"/>
      <c r="G81" s="796"/>
      <c r="H81" s="311"/>
      <c r="I81" s="775" t="s">
        <v>876</v>
      </c>
      <c r="J81" s="311"/>
      <c r="K81" s="813"/>
      <c r="L81" s="370"/>
      <c r="N81" s="1078"/>
      <c r="O81" s="1078"/>
      <c r="P81" s="1078"/>
    </row>
    <row r="82" spans="2:18" s="288" customFormat="1" x14ac:dyDescent="0.2">
      <c r="B82" s="362"/>
      <c r="C82" s="306"/>
      <c r="D82" s="369"/>
      <c r="E82" s="319" t="s">
        <v>962</v>
      </c>
      <c r="F82" s="311"/>
      <c r="G82" s="311"/>
      <c r="H82" s="311"/>
      <c r="I82" s="311"/>
      <c r="J82" s="311"/>
      <c r="K82" s="311"/>
      <c r="L82" s="370"/>
      <c r="N82" s="1078"/>
      <c r="O82" s="1078"/>
      <c r="P82" s="1078"/>
    </row>
    <row r="83" spans="2:18" s="288" customFormat="1" x14ac:dyDescent="0.2">
      <c r="B83" s="362"/>
      <c r="C83" s="306"/>
      <c r="D83" s="369"/>
      <c r="F83" s="311"/>
      <c r="G83" s="373"/>
      <c r="H83" s="311"/>
      <c r="I83" s="311"/>
      <c r="J83" s="311"/>
      <c r="K83" s="312"/>
      <c r="L83" s="370"/>
      <c r="N83" s="1078"/>
      <c r="O83" s="1078"/>
      <c r="P83" s="1078"/>
    </row>
    <row r="84" spans="2:18" s="288" customFormat="1" x14ac:dyDescent="0.2">
      <c r="B84" s="362"/>
      <c r="C84" s="306"/>
      <c r="D84" s="369"/>
      <c r="E84" s="311" t="s">
        <v>1003</v>
      </c>
      <c r="F84" s="311"/>
      <c r="G84" s="798" t="str">
        <f>IF(MULohnberechnung&lt;&gt;"",MULohnberechnung,"")</f>
        <v/>
      </c>
      <c r="H84" s="311"/>
      <c r="I84" s="311" t="s">
        <v>1213</v>
      </c>
      <c r="J84" s="311"/>
      <c r="K84" s="797"/>
      <c r="L84" s="370"/>
      <c r="N84" s="1078"/>
      <c r="O84" s="1078"/>
      <c r="P84" s="1078"/>
    </row>
    <row r="85" spans="2:18" s="288" customFormat="1" x14ac:dyDescent="0.2">
      <c r="B85" s="362"/>
      <c r="C85" s="306"/>
      <c r="D85" s="369"/>
      <c r="E85" s="311"/>
      <c r="F85" s="311"/>
      <c r="G85" s="312"/>
      <c r="H85" s="311"/>
      <c r="I85" s="311"/>
      <c r="J85" s="311"/>
      <c r="K85" s="311"/>
      <c r="L85" s="370"/>
      <c r="N85" s="1078"/>
      <c r="O85" s="1078"/>
      <c r="P85" s="1078"/>
    </row>
    <row r="86" spans="2:18" s="288" customFormat="1" x14ac:dyDescent="0.2">
      <c r="B86" s="362"/>
      <c r="C86" s="306"/>
      <c r="D86" s="369"/>
      <c r="E86" s="248" t="s">
        <v>973</v>
      </c>
      <c r="F86" s="248"/>
      <c r="G86" s="793"/>
      <c r="H86" s="1061" t="s">
        <v>1080</v>
      </c>
      <c r="I86" s="1061"/>
      <c r="J86" s="1095" t="str">
        <f>_xlfn.IFNA(VLOOKUP(G86,Stammdaten_DropDown!$B$14:$C$55,2,FALSE),"")</f>
        <v/>
      </c>
      <c r="K86" s="1095"/>
      <c r="L86" s="370"/>
      <c r="N86" s="1078"/>
      <c r="O86" s="1078"/>
      <c r="P86" s="1078"/>
    </row>
    <row r="87" spans="2:18" s="288" customFormat="1" x14ac:dyDescent="0.2">
      <c r="B87" s="362"/>
      <c r="C87" s="306"/>
      <c r="D87" s="369"/>
      <c r="E87" s="311"/>
      <c r="F87" s="311"/>
      <c r="G87" s="312"/>
      <c r="H87" s="311"/>
      <c r="I87" s="311"/>
      <c r="J87" s="311"/>
      <c r="K87" s="311"/>
      <c r="L87" s="370"/>
      <c r="N87" s="1078"/>
      <c r="O87" s="1078"/>
      <c r="P87" s="1078"/>
    </row>
    <row r="88" spans="2:18" s="288" customFormat="1" x14ac:dyDescent="0.2">
      <c r="B88" s="362"/>
      <c r="C88" s="306"/>
      <c r="D88" s="369"/>
      <c r="E88" s="248" t="s">
        <v>2000</v>
      </c>
      <c r="F88" s="311"/>
      <c r="G88" s="888"/>
      <c r="H88" s="1123"/>
      <c r="I88" s="1123"/>
      <c r="J88" s="1123"/>
      <c r="K88" s="1123"/>
      <c r="L88" s="370"/>
      <c r="N88" s="1078"/>
      <c r="O88" s="1078"/>
      <c r="P88" s="1078"/>
    </row>
    <row r="89" spans="2:18" s="288" customFormat="1" x14ac:dyDescent="0.2">
      <c r="B89" s="362"/>
      <c r="C89" s="306"/>
      <c r="D89" s="369"/>
      <c r="E89" s="891" t="s">
        <v>1964</v>
      </c>
      <c r="F89" s="311"/>
      <c r="G89" s="888"/>
      <c r="H89" s="311"/>
      <c r="I89" s="311"/>
      <c r="J89" s="311"/>
      <c r="K89" s="311"/>
      <c r="L89" s="370"/>
      <c r="N89" s="1078"/>
      <c r="O89" s="1078"/>
      <c r="P89" s="1078"/>
    </row>
    <row r="90" spans="2:18" s="288" customFormat="1" x14ac:dyDescent="0.2">
      <c r="B90" s="362"/>
      <c r="C90" s="306"/>
      <c r="D90" s="369"/>
      <c r="E90" s="1119" t="s">
        <v>952</v>
      </c>
      <c r="F90" s="1119"/>
      <c r="G90" s="1120"/>
      <c r="H90" s="1120"/>
      <c r="I90" s="1120"/>
      <c r="J90" s="1120"/>
      <c r="K90" s="1120"/>
      <c r="L90" s="370"/>
      <c r="N90" s="1078"/>
      <c r="O90" s="1078"/>
      <c r="P90" s="1078"/>
    </row>
    <row r="91" spans="2:18" s="288" customFormat="1" ht="8.1" customHeight="1" x14ac:dyDescent="0.2">
      <c r="B91" s="362"/>
      <c r="C91" s="306"/>
      <c r="D91" s="371"/>
      <c r="E91" s="378"/>
      <c r="F91" s="378"/>
      <c r="G91" s="378"/>
      <c r="H91" s="378"/>
      <c r="I91" s="378"/>
      <c r="J91" s="378"/>
      <c r="K91" s="378"/>
      <c r="L91" s="372"/>
      <c r="N91" s="1078"/>
      <c r="O91" s="1078"/>
      <c r="P91" s="1078"/>
    </row>
    <row r="92" spans="2:18" s="288" customFormat="1" ht="6" customHeight="1" x14ac:dyDescent="0.2">
      <c r="B92" s="362"/>
      <c r="C92" s="306"/>
      <c r="D92" s="306"/>
      <c r="E92" s="311"/>
      <c r="F92" s="311"/>
      <c r="G92" s="312"/>
      <c r="H92" s="311"/>
      <c r="I92" s="311"/>
      <c r="J92" s="311"/>
      <c r="K92" s="311"/>
      <c r="L92" s="311"/>
      <c r="N92" s="1078"/>
      <c r="O92" s="1078"/>
      <c r="P92" s="1078"/>
    </row>
    <row r="93" spans="2:18" s="288" customFormat="1" ht="5.0999999999999996" customHeight="1" x14ac:dyDescent="0.2">
      <c r="B93" s="362"/>
      <c r="C93" s="306"/>
      <c r="D93" s="366"/>
      <c r="E93" s="308"/>
      <c r="F93" s="308"/>
      <c r="G93" s="309"/>
      <c r="H93" s="308"/>
      <c r="I93" s="308"/>
      <c r="J93" s="308"/>
      <c r="K93" s="308"/>
      <c r="L93" s="310"/>
      <c r="N93" s="1078"/>
      <c r="O93" s="1078"/>
      <c r="P93" s="1078"/>
    </row>
    <row r="94" spans="2:18" s="288" customFormat="1" x14ac:dyDescent="0.2">
      <c r="B94" s="362"/>
      <c r="C94" s="306"/>
      <c r="D94" s="369"/>
      <c r="E94" s="1115" t="s">
        <v>985</v>
      </c>
      <c r="F94" s="1115"/>
      <c r="G94" s="1115"/>
      <c r="H94" s="1115"/>
      <c r="I94" s="1115"/>
      <c r="J94" s="1115"/>
      <c r="K94" s="311"/>
      <c r="L94" s="370"/>
      <c r="N94" s="1078"/>
      <c r="O94" s="1078"/>
      <c r="P94" s="1078"/>
    </row>
    <row r="95" spans="2:18" s="288" customFormat="1" x14ac:dyDescent="0.2">
      <c r="B95" s="362"/>
      <c r="C95" s="306"/>
      <c r="D95" s="369"/>
      <c r="E95" s="311"/>
      <c r="F95" s="311"/>
      <c r="G95" s="312"/>
      <c r="H95" s="311"/>
      <c r="I95" s="311"/>
      <c r="J95" s="311"/>
      <c r="K95" s="311"/>
      <c r="L95" s="370"/>
      <c r="N95" s="1078"/>
      <c r="O95" s="1078"/>
      <c r="P95" s="1078"/>
      <c r="R95" s="288" t="s">
        <v>980</v>
      </c>
    </row>
    <row r="96" spans="2:18" s="288" customFormat="1" x14ac:dyDescent="0.2">
      <c r="B96" s="362"/>
      <c r="C96" s="306"/>
      <c r="D96" s="369"/>
      <c r="E96" s="1114"/>
      <c r="F96" s="1114"/>
      <c r="G96" s="1114"/>
      <c r="H96" s="1114"/>
      <c r="I96" s="1114"/>
      <c r="J96" s="1114"/>
      <c r="K96" s="1114"/>
      <c r="L96" s="370"/>
      <c r="N96" s="1078"/>
      <c r="O96" s="1078"/>
      <c r="P96" s="1078"/>
      <c r="R96" s="375"/>
    </row>
    <row r="97" spans="2:18" s="288" customFormat="1" x14ac:dyDescent="0.2">
      <c r="B97" s="362"/>
      <c r="C97" s="306"/>
      <c r="D97" s="369"/>
      <c r="E97" s="1114"/>
      <c r="F97" s="1114"/>
      <c r="G97" s="1114"/>
      <c r="H97" s="1114"/>
      <c r="I97" s="1114"/>
      <c r="J97" s="1114"/>
      <c r="K97" s="1114"/>
      <c r="L97" s="370"/>
      <c r="N97" s="1078"/>
      <c r="O97" s="1078"/>
      <c r="P97" s="1078"/>
      <c r="R97" s="375"/>
    </row>
    <row r="98" spans="2:18" s="288" customFormat="1" x14ac:dyDescent="0.2">
      <c r="B98" s="362"/>
      <c r="C98" s="306"/>
      <c r="D98" s="369"/>
      <c r="E98" s="1114"/>
      <c r="F98" s="1114"/>
      <c r="G98" s="1114"/>
      <c r="H98" s="1114"/>
      <c r="I98" s="1114"/>
      <c r="J98" s="1114"/>
      <c r="K98" s="1114"/>
      <c r="L98" s="370"/>
      <c r="N98" s="1078"/>
      <c r="O98" s="1078"/>
      <c r="P98" s="1078"/>
      <c r="R98" s="375">
        <f>E98</f>
        <v>0</v>
      </c>
    </row>
    <row r="99" spans="2:18" s="288" customFormat="1" ht="8.1" customHeight="1" x14ac:dyDescent="0.2">
      <c r="B99" s="362"/>
      <c r="C99" s="306"/>
      <c r="D99" s="371"/>
      <c r="E99" s="303"/>
      <c r="F99" s="303"/>
      <c r="G99" s="304"/>
      <c r="H99" s="303"/>
      <c r="I99" s="303"/>
      <c r="J99" s="303"/>
      <c r="K99" s="303"/>
      <c r="L99" s="372"/>
      <c r="N99" s="1078"/>
      <c r="O99" s="1078"/>
      <c r="P99" s="1078"/>
    </row>
    <row r="100" spans="2:18" s="288" customFormat="1" ht="6" customHeight="1" x14ac:dyDescent="0.2">
      <c r="B100" s="362"/>
      <c r="C100" s="306"/>
      <c r="D100" s="306"/>
      <c r="E100" s="306"/>
      <c r="F100" s="306"/>
      <c r="G100" s="307"/>
      <c r="H100" s="306"/>
      <c r="I100" s="306"/>
      <c r="J100" s="306"/>
      <c r="K100" s="306"/>
      <c r="L100" s="306"/>
      <c r="N100" s="1078"/>
      <c r="O100" s="1078"/>
      <c r="P100" s="1078"/>
    </row>
    <row r="101" spans="2:18" s="288" customFormat="1" ht="5.0999999999999996" customHeight="1" x14ac:dyDescent="0.2">
      <c r="B101" s="362"/>
      <c r="C101" s="306"/>
      <c r="D101" s="366"/>
      <c r="E101" s="308"/>
      <c r="F101" s="308"/>
      <c r="G101" s="309"/>
      <c r="H101" s="308"/>
      <c r="I101" s="308"/>
      <c r="J101" s="308"/>
      <c r="K101" s="308"/>
      <c r="L101" s="310"/>
      <c r="N101" s="1078"/>
      <c r="O101" s="1078"/>
      <c r="P101" s="1078"/>
    </row>
    <row r="102" spans="2:18" s="288" customFormat="1" x14ac:dyDescent="0.2">
      <c r="B102" s="362"/>
      <c r="C102" s="306"/>
      <c r="D102" s="369"/>
      <c r="E102" s="1115" t="s">
        <v>768</v>
      </c>
      <c r="F102" s="1115"/>
      <c r="G102" s="1115"/>
      <c r="H102" s="311"/>
      <c r="I102" s="311"/>
      <c r="J102" s="311"/>
      <c r="K102" s="311"/>
      <c r="L102" s="370"/>
      <c r="N102" s="1078"/>
      <c r="O102" s="1078"/>
      <c r="P102" s="1078"/>
    </row>
    <row r="103" spans="2:18" s="288" customFormat="1" x14ac:dyDescent="0.2">
      <c r="B103" s="362"/>
      <c r="C103" s="306"/>
      <c r="D103" s="369"/>
      <c r="E103" s="311"/>
      <c r="F103" s="311"/>
      <c r="G103" s="312"/>
      <c r="H103" s="311"/>
      <c r="I103" s="311"/>
      <c r="J103" s="311"/>
      <c r="K103" s="311"/>
      <c r="L103" s="370"/>
      <c r="N103" s="1078"/>
      <c r="O103" s="1078"/>
      <c r="P103" s="1078"/>
    </row>
    <row r="104" spans="2:18" s="288" customFormat="1" x14ac:dyDescent="0.2">
      <c r="B104" s="362"/>
      <c r="C104" s="306"/>
      <c r="D104" s="369"/>
      <c r="E104" s="1114"/>
      <c r="F104" s="1114"/>
      <c r="G104" s="1114"/>
      <c r="H104" s="1114"/>
      <c r="I104" s="1114"/>
      <c r="J104" s="1114"/>
      <c r="K104" s="1114"/>
      <c r="L104" s="370"/>
      <c r="N104" s="1078"/>
      <c r="O104" s="1078"/>
      <c r="P104" s="1078"/>
      <c r="R104" s="375">
        <f>E104</f>
        <v>0</v>
      </c>
    </row>
    <row r="105" spans="2:18" s="288" customFormat="1" x14ac:dyDescent="0.2">
      <c r="B105" s="362"/>
      <c r="C105" s="306"/>
      <c r="D105" s="369"/>
      <c r="E105" s="1114"/>
      <c r="F105" s="1114"/>
      <c r="G105" s="1114"/>
      <c r="H105" s="1114"/>
      <c r="I105" s="1114"/>
      <c r="J105" s="1114"/>
      <c r="K105" s="1114"/>
      <c r="L105" s="370"/>
      <c r="N105" s="1078"/>
      <c r="O105" s="1078"/>
      <c r="P105" s="1078"/>
      <c r="R105" s="375">
        <f>E105</f>
        <v>0</v>
      </c>
    </row>
    <row r="106" spans="2:18" s="288" customFormat="1" x14ac:dyDescent="0.2">
      <c r="B106" s="362"/>
      <c r="C106" s="306"/>
      <c r="D106" s="369"/>
      <c r="E106" s="1114"/>
      <c r="F106" s="1114"/>
      <c r="G106" s="1114"/>
      <c r="H106" s="1114"/>
      <c r="I106" s="1114"/>
      <c r="J106" s="1114"/>
      <c r="K106" s="1114"/>
      <c r="L106" s="370"/>
      <c r="N106" s="1078"/>
      <c r="O106" s="1078"/>
      <c r="P106" s="1078"/>
      <c r="R106" s="375">
        <f>E106</f>
        <v>0</v>
      </c>
    </row>
    <row r="107" spans="2:18" s="288" customFormat="1" ht="8.1" customHeight="1" x14ac:dyDescent="0.2">
      <c r="B107" s="362"/>
      <c r="C107" s="306"/>
      <c r="D107" s="371"/>
      <c r="E107" s="303"/>
      <c r="F107" s="303"/>
      <c r="G107" s="304"/>
      <c r="H107" s="303"/>
      <c r="I107" s="303"/>
      <c r="J107" s="303"/>
      <c r="K107" s="303"/>
      <c r="L107" s="372"/>
    </row>
    <row r="108" spans="2:18" s="288" customFormat="1" ht="6" customHeight="1" x14ac:dyDescent="0.2">
      <c r="B108" s="362"/>
      <c r="C108" s="306"/>
      <c r="D108" s="306"/>
      <c r="E108" s="311"/>
      <c r="F108" s="311"/>
      <c r="G108" s="312"/>
      <c r="H108" s="311"/>
      <c r="I108" s="311"/>
      <c r="J108" s="311"/>
      <c r="K108" s="311"/>
      <c r="L108" s="306"/>
    </row>
    <row r="109" spans="2:18" s="288" customFormat="1" ht="5.0999999999999996" customHeight="1" x14ac:dyDescent="0.2">
      <c r="B109" s="362"/>
      <c r="C109" s="306"/>
      <c r="D109" s="203"/>
      <c r="E109" s="67"/>
      <c r="F109" s="67"/>
      <c r="G109" s="68"/>
      <c r="H109" s="67"/>
      <c r="I109" s="67"/>
      <c r="J109" s="67"/>
      <c r="K109" s="67"/>
      <c r="L109" s="204"/>
    </row>
    <row r="110" spans="2:18" s="288" customFormat="1" x14ac:dyDescent="0.2">
      <c r="B110" s="362"/>
      <c r="C110" s="306"/>
      <c r="D110" s="205"/>
      <c r="E110" s="211" t="s">
        <v>933</v>
      </c>
      <c r="F110" s="211"/>
      <c r="G110" s="326"/>
      <c r="H110" s="325"/>
      <c r="I110" s="325"/>
      <c r="J110" s="325"/>
      <c r="K110" s="325"/>
      <c r="L110" s="269"/>
      <c r="N110" s="1124" t="str">
        <f>Stammdaten_DropDown!A113</f>
        <v>Lohnentwicklung</v>
      </c>
      <c r="O110" s="1124"/>
      <c r="P110" s="1124"/>
    </row>
    <row r="111" spans="2:18" s="288" customFormat="1" ht="6" customHeight="1" x14ac:dyDescent="0.2">
      <c r="B111" s="362"/>
      <c r="C111" s="306"/>
      <c r="D111" s="205"/>
      <c r="E111" s="248"/>
      <c r="F111" s="248"/>
      <c r="G111" s="562"/>
      <c r="H111" s="248"/>
      <c r="I111" s="248"/>
      <c r="J111" s="248"/>
      <c r="K111" s="248"/>
      <c r="L111" s="269"/>
      <c r="N111" s="306"/>
      <c r="O111" s="306"/>
      <c r="P111" s="306"/>
    </row>
    <row r="112" spans="2:18" s="288" customFormat="1" x14ac:dyDescent="0.2">
      <c r="B112" s="362"/>
      <c r="C112" s="306"/>
      <c r="D112" s="205"/>
      <c r="E112" s="248" t="s">
        <v>945</v>
      </c>
      <c r="F112" s="248"/>
      <c r="G112" s="562"/>
      <c r="H112" s="248"/>
      <c r="I112" s="248"/>
      <c r="J112" s="1083"/>
      <c r="K112" s="1083"/>
      <c r="L112" s="269"/>
      <c r="N112" s="1122" t="str">
        <f>Stammdaten_DropDown!A114</f>
        <v>Bitte angeben, ob eine individuelle Lohnentwicklung gewährt werden soll.</v>
      </c>
      <c r="O112" s="1122"/>
      <c r="P112" s="1122"/>
    </row>
    <row r="113" spans="2:16" s="288" customFormat="1" x14ac:dyDescent="0.2">
      <c r="B113" s="362"/>
      <c r="C113" s="306"/>
      <c r="D113" s="205"/>
      <c r="E113" s="248"/>
      <c r="F113" s="248"/>
      <c r="G113" s="562"/>
      <c r="H113" s="248"/>
      <c r="I113" s="248"/>
      <c r="J113" s="248"/>
      <c r="K113" s="248"/>
      <c r="L113" s="269"/>
      <c r="N113" s="910" t="str">
        <f>Stammdaten_DropDown!A115</f>
        <v>Bei einem Neueintritt nach dem 01.07.2024 ist keine individuelle Lohnentwicklung vorgesehen.</v>
      </c>
      <c r="O113" s="910"/>
      <c r="P113" s="910"/>
    </row>
    <row r="114" spans="2:16" s="288" customFormat="1" x14ac:dyDescent="0.2">
      <c r="B114" s="362"/>
      <c r="C114" s="306"/>
      <c r="D114" s="205"/>
      <c r="E114" s="278" t="s">
        <v>765</v>
      </c>
      <c r="F114" s="247"/>
      <c r="G114" s="342" t="str">
        <f>IF(ISBLANK($J$112),IF(BandLohnBer="",IF(BandLohnRechner="","",BandLohnRechner),IF(BandLohnRechner="",BandLohnBer,"FEHLER")),"-")</f>
        <v/>
      </c>
      <c r="H114" s="248"/>
      <c r="I114" s="278" t="s">
        <v>809</v>
      </c>
      <c r="J114" s="247"/>
      <c r="K114" s="795" t="str">
        <f>IF(ISBLANK($J$112),IF(EWLohnBer="",IF(EWLohnRechner="","",EWLohnRechner),IF(EWLohnRechner="",EWLohnBer,"FEHLER")),"-")</f>
        <v/>
      </c>
      <c r="L114" s="269"/>
      <c r="N114" s="1122" t="str">
        <f>Stammdaten_DropDown!A116</f>
        <v>In dem Fall ist das Prädikat auf dem Wert «NA» (keine Beurteilung) zu belassen.</v>
      </c>
      <c r="O114" s="1122"/>
      <c r="P114" s="1122"/>
    </row>
    <row r="115" spans="2:16" s="288" customFormat="1" x14ac:dyDescent="0.2">
      <c r="B115" s="362"/>
      <c r="C115" s="306"/>
      <c r="D115" s="205"/>
      <c r="E115" s="448" t="b">
        <f>AND(BandLohnBer&lt;&gt;"",BandLohnRechner&lt;&gt;"")</f>
        <v>0</v>
      </c>
      <c r="F115" s="248"/>
      <c r="G115" s="563" t="str">
        <f>IF(E115,"2 Lohnbänder gefunden","")</f>
        <v/>
      </c>
      <c r="H115" s="248"/>
      <c r="I115" s="448" t="b">
        <f>AND(EWLohnBer&lt;&gt;"",EWLohnRechner&lt;&gt;"")</f>
        <v>0</v>
      </c>
      <c r="J115" s="1092" t="str">
        <f>IF(I115,"2 Erfahrungswerte gefunden","")</f>
        <v/>
      </c>
      <c r="K115" s="1092"/>
      <c r="L115" s="269"/>
      <c r="N115" s="306"/>
      <c r="O115" s="306"/>
      <c r="P115" s="306"/>
    </row>
    <row r="116" spans="2:16" s="288" customFormat="1" x14ac:dyDescent="0.2">
      <c r="B116" s="362"/>
      <c r="C116" s="306"/>
      <c r="D116" s="205"/>
      <c r="E116" s="248"/>
      <c r="F116" s="248"/>
      <c r="G116" s="248"/>
      <c r="H116" s="248" t="s">
        <v>1113</v>
      </c>
      <c r="J116" s="1080" t="str">
        <f>IF(ISBLANK($J$112),IF(LohnLohnBer="",IF(LohnLohnRechner="","",LohnLohnRechner),IF(LohnLohnRechner="",LohnLohnBer,"FEHLER")),"-")</f>
        <v/>
      </c>
      <c r="K116" s="1080"/>
      <c r="L116" s="62"/>
      <c r="N116" s="1121" t="str">
        <f>Stammdaten_DropDown!A117</f>
        <v xml:space="preserve">Falls eine individuelle  Lohnentwicklung gewährt werden soll, ist das entsprechende Prädikat aus der relevanten MAG-Phase im Dropdown-Menu auszuwählen. </v>
      </c>
      <c r="O116" s="1121"/>
      <c r="P116" s="1121"/>
    </row>
    <row r="117" spans="2:16" s="288" customFormat="1" x14ac:dyDescent="0.2">
      <c r="B117" s="362"/>
      <c r="C117" s="306"/>
      <c r="D117" s="205"/>
      <c r="E117" s="248"/>
      <c r="F117" s="248"/>
      <c r="G117" s="248"/>
      <c r="H117" s="248"/>
      <c r="I117" s="448" t="b">
        <f>AND(LohnLohnBer&lt;&gt;"",LohnLohnRechner&lt;&gt;"")</f>
        <v>0</v>
      </c>
      <c r="J117" s="1092" t="str">
        <f>IF(I117,"2 Löhne gefunden","")</f>
        <v/>
      </c>
      <c r="K117" s="1092"/>
      <c r="L117" s="269"/>
      <c r="N117" s="1121"/>
      <c r="O117" s="1121"/>
      <c r="P117" s="1121"/>
    </row>
    <row r="118" spans="2:16" s="288" customFormat="1" x14ac:dyDescent="0.2">
      <c r="B118" s="362"/>
      <c r="C118" s="306"/>
      <c r="D118" s="205"/>
      <c r="E118" s="248" t="str">
        <f>CONCATENATE("Lohnentwicklung per 01.01.",LohntabelleM!I1+1," gewähren?")</f>
        <v>Lohnentwicklung per 01.01.2025 gewähren?</v>
      </c>
      <c r="F118" s="248"/>
      <c r="G118" s="248"/>
      <c r="H118" s="886"/>
      <c r="I118" s="448"/>
      <c r="J118" s="905" t="s">
        <v>1966</v>
      </c>
      <c r="K118" s="914" t="str">
        <f>L118</f>
        <v/>
      </c>
      <c r="L118" s="901" t="str">
        <f>IF(H118="Ja","A",IF(H118="Nein","NA",""))</f>
        <v/>
      </c>
      <c r="N118" s="1122" t="str">
        <f>Stammdaten_DropDown!A118</f>
        <v>Ist noch keine Beurteilung hinterlegt, so ist das Prädikat auf «A» zu belassen.</v>
      </c>
      <c r="O118" s="1122"/>
      <c r="P118" s="1122"/>
    </row>
    <row r="119" spans="2:16" s="288" customFormat="1" ht="8.1" customHeight="1" x14ac:dyDescent="0.2">
      <c r="B119" s="362"/>
      <c r="C119" s="306"/>
      <c r="D119" s="207"/>
      <c r="E119" s="64"/>
      <c r="F119" s="64"/>
      <c r="G119" s="65"/>
      <c r="H119" s="64"/>
      <c r="I119" s="64"/>
      <c r="J119" s="64"/>
      <c r="K119" s="64"/>
      <c r="L119" s="282"/>
      <c r="N119" s="306"/>
      <c r="O119" s="306"/>
      <c r="P119" s="306"/>
    </row>
    <row r="120" spans="2:16" s="288" customFormat="1" ht="10.9" customHeight="1" x14ac:dyDescent="0.2">
      <c r="B120" s="362"/>
      <c r="C120" s="306"/>
      <c r="L120" s="306"/>
    </row>
    <row r="121" spans="2:16" s="288" customFormat="1" ht="66.599999999999994" customHeight="1" x14ac:dyDescent="0.2">
      <c r="B121" s="362"/>
      <c r="C121" s="306"/>
      <c r="D121" s="1063" t="s">
        <v>966</v>
      </c>
      <c r="E121" s="1063"/>
      <c r="F121" s="1063"/>
      <c r="G121" s="1063"/>
      <c r="H121" s="1063"/>
      <c r="I121" s="1063"/>
      <c r="J121" s="1063"/>
      <c r="K121" s="1063"/>
      <c r="L121" s="306"/>
    </row>
    <row r="122" spans="2:16" s="288" customFormat="1" ht="16.5" customHeight="1" x14ac:dyDescent="0.2">
      <c r="B122" s="362"/>
      <c r="C122" s="306"/>
      <c r="D122" s="1063"/>
      <c r="E122" s="1063"/>
      <c r="F122" s="1063"/>
      <c r="G122" s="1063"/>
      <c r="H122" s="1063"/>
      <c r="I122" s="1063"/>
      <c r="J122" s="1063"/>
      <c r="K122" s="1063"/>
      <c r="L122" s="306"/>
    </row>
    <row r="123" spans="2:16" s="288" customFormat="1" x14ac:dyDescent="0.2">
      <c r="C123" s="306"/>
      <c r="L123" s="306"/>
    </row>
    <row r="124" spans="2:16" s="288" customFormat="1" x14ac:dyDescent="0.2">
      <c r="C124" s="306"/>
      <c r="L124" s="306"/>
    </row>
    <row r="125" spans="2:16" s="288" customFormat="1" x14ac:dyDescent="0.2"/>
    <row r="126" spans="2:16" s="288" customFormat="1" x14ac:dyDescent="0.2"/>
    <row r="127" spans="2:16" s="288" customFormat="1" x14ac:dyDescent="0.2"/>
    <row r="128" spans="2:16" s="288" customFormat="1" x14ac:dyDescent="0.2"/>
    <row r="129" s="288" customFormat="1" x14ac:dyDescent="0.2"/>
    <row r="130" s="288" customFormat="1" x14ac:dyDescent="0.2"/>
    <row r="131" s="288" customFormat="1" x14ac:dyDescent="0.2"/>
    <row r="132" s="288" customFormat="1" x14ac:dyDescent="0.2"/>
    <row r="133" s="288" customFormat="1" x14ac:dyDescent="0.2"/>
  </sheetData>
  <sheetProtection algorithmName="SHA-512" hashValue="nLVp3YOEnk+O4pR+tH/xwhbN8VaJpef8GJpbR5jrxX3lHfr8+NFyhdWDFXTPbwqhcCdePc1FxDNqKVDLJmpSzg==" saltValue="OT8tNGYMI2zHYL66ZRm+fA==" spinCount="100000" sheet="1" objects="1" scenarios="1"/>
  <mergeCells count="39">
    <mergeCell ref="N116:P117"/>
    <mergeCell ref="N118:P118"/>
    <mergeCell ref="H88:K88"/>
    <mergeCell ref="N76:P106"/>
    <mergeCell ref="N110:P110"/>
    <mergeCell ref="N112:P112"/>
    <mergeCell ref="N114:P114"/>
    <mergeCell ref="E67:K67"/>
    <mergeCell ref="E97:K97"/>
    <mergeCell ref="E96:K96"/>
    <mergeCell ref="E94:J94"/>
    <mergeCell ref="J55:K55"/>
    <mergeCell ref="G57:K57"/>
    <mergeCell ref="E68:K68"/>
    <mergeCell ref="E90:F90"/>
    <mergeCell ref="G90:K90"/>
    <mergeCell ref="N13:O14"/>
    <mergeCell ref="E98:K98"/>
    <mergeCell ref="E102:G102"/>
    <mergeCell ref="E104:K104"/>
    <mergeCell ref="D121:K122"/>
    <mergeCell ref="J112:K112"/>
    <mergeCell ref="J115:K115"/>
    <mergeCell ref="J116:K116"/>
    <mergeCell ref="J117:K117"/>
    <mergeCell ref="E105:K105"/>
    <mergeCell ref="E106:K106"/>
    <mergeCell ref="E24:F24"/>
    <mergeCell ref="G24:I24"/>
    <mergeCell ref="H86:I86"/>
    <mergeCell ref="J66:K66"/>
    <mergeCell ref="J86:K86"/>
    <mergeCell ref="F9:K9"/>
    <mergeCell ref="J27:K27"/>
    <mergeCell ref="I13:J13"/>
    <mergeCell ref="E15:F15"/>
    <mergeCell ref="J22:K22"/>
    <mergeCell ref="J23:K23"/>
    <mergeCell ref="J25:K25"/>
  </mergeCells>
  <conditionalFormatting sqref="G114">
    <cfRule type="expression" dxfId="164" priority="6">
      <formula>E115</formula>
    </cfRule>
  </conditionalFormatting>
  <conditionalFormatting sqref="K114">
    <cfRule type="expression" dxfId="163" priority="5">
      <formula>I115</formula>
    </cfRule>
  </conditionalFormatting>
  <conditionalFormatting sqref="J116:K116">
    <cfRule type="expression" dxfId="162" priority="4">
      <formula>I117</formula>
    </cfRule>
  </conditionalFormatting>
  <conditionalFormatting sqref="J118">
    <cfRule type="expression" dxfId="161" priority="3">
      <formula>#REF!</formula>
    </cfRule>
  </conditionalFormatting>
  <conditionalFormatting sqref="E90:K118 N110:P118">
    <cfRule type="expression" dxfId="160" priority="2">
      <formula>$H$88=""</formula>
    </cfRule>
  </conditionalFormatting>
  <conditionalFormatting sqref="J118:K118 N114:P118">
    <cfRule type="expression" dxfId="159" priority="1">
      <formula>$H$118=""</formula>
    </cfRule>
  </conditionalFormatting>
  <dataValidations count="5">
    <dataValidation operator="greaterThan" allowBlank="1" showInputMessage="1" showErrorMessage="1" errorTitle="Fehler" error="Pensum als Ganzzahl angeben" sqref="J116 J118"/>
    <dataValidation type="decimal" operator="greaterThan" allowBlank="1" showInputMessage="1" showErrorMessage="1" errorTitle="Fehler" error="Pensum als Ganzzahl angeben" sqref="F23 F27:F29 F25 F21">
      <formula1>0</formula1>
    </dataValidation>
    <dataValidation type="date" operator="greaterThan" allowBlank="1" showInputMessage="1" showErrorMessage="1" errorTitle="Fehler" error="Geben Sie ein gültiges Datum dd.mm.yyyy ein!" sqref="G53 G64:G65 G81:G83">
      <formula1>1</formula1>
    </dataValidation>
    <dataValidation allowBlank="1" showInputMessage="1" sqref="J86"/>
    <dataValidation operator="greaterThan" allowBlank="1" showInputMessage="1" showErrorMessage="1" errorTitle="Fehler" error="Geben Sie ein gültiges Datum dd.mm.yyyy ein!" sqref="K81"/>
  </dataValidations>
  <hyperlinks>
    <hyperlink ref="N13:O14" location="_A_Grunddaten" display="Zurück zu Grunddaten"/>
  </hyperlinks>
  <pageMargins left="0.70866141732283472" right="0.70866141732283472" top="0.78740157480314965" bottom="0.78740157480314965" header="0.31496062992125984" footer="0.31496062992125984"/>
  <pageSetup paperSize="9" scale="88" fitToHeight="0" orientation="portrait" r:id="rId1"/>
  <headerFooter>
    <oddFooter>Seite &amp;P von &amp;N</oddFooter>
  </headerFooter>
  <rowBreaks count="1" manualBreakCount="1">
    <brk id="59" max="11" man="1"/>
  </rowBreaks>
  <ignoredErrors>
    <ignoredError sqref="K118"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81954" r:id="rId4" name="Check Box 2">
              <controlPr defaultSize="0" autoFill="0" autoLine="0" autoPict="0">
                <anchor moveWithCells="1">
                  <from>
                    <xdr:col>3</xdr:col>
                    <xdr:colOff>200025</xdr:colOff>
                    <xdr:row>55</xdr:row>
                    <xdr:rowOff>133350</xdr:rowOff>
                  </from>
                  <to>
                    <xdr:col>5</xdr:col>
                    <xdr:colOff>571500</xdr:colOff>
                    <xdr:row>57</xdr:row>
                    <xdr:rowOff>47625</xdr:rowOff>
                  </to>
                </anchor>
              </controlPr>
            </control>
          </mc:Choice>
        </mc:AlternateContent>
        <mc:AlternateContent xmlns:mc="http://schemas.openxmlformats.org/markup-compatibility/2006">
          <mc:Choice Requires="x14">
            <control shapeId="381958" r:id="rId5" name="Check Box 6">
              <controlPr defaultSize="0" autoFill="0" autoLine="0" autoPict="0">
                <anchor moveWithCells="1">
                  <from>
                    <xdr:col>8</xdr:col>
                    <xdr:colOff>847725</xdr:colOff>
                    <xdr:row>28</xdr:row>
                    <xdr:rowOff>0</xdr:rowOff>
                  </from>
                  <to>
                    <xdr:col>9</xdr:col>
                    <xdr:colOff>704850</xdr:colOff>
                    <xdr:row>29</xdr:row>
                    <xdr:rowOff>19050</xdr:rowOff>
                  </to>
                </anchor>
              </controlPr>
            </control>
          </mc:Choice>
        </mc:AlternateContent>
        <mc:AlternateContent xmlns:mc="http://schemas.openxmlformats.org/markup-compatibility/2006">
          <mc:Choice Requires="x14">
            <control shapeId="381961" r:id="rId6" name="Check Box 9">
              <controlPr defaultSize="0" autoFill="0" autoLine="0" autoPict="0">
                <anchor moveWithCells="1">
                  <from>
                    <xdr:col>3</xdr:col>
                    <xdr:colOff>57150</xdr:colOff>
                    <xdr:row>31</xdr:row>
                    <xdr:rowOff>57150</xdr:rowOff>
                  </from>
                  <to>
                    <xdr:col>6</xdr:col>
                    <xdr:colOff>104775</xdr:colOff>
                    <xdr:row>33</xdr:row>
                    <xdr:rowOff>19050</xdr:rowOff>
                  </to>
                </anchor>
              </controlPr>
            </control>
          </mc:Choice>
        </mc:AlternateContent>
        <mc:AlternateContent xmlns:mc="http://schemas.openxmlformats.org/markup-compatibility/2006">
          <mc:Choice Requires="x14">
            <control shapeId="381962" r:id="rId7" name="Check Box 10">
              <controlPr defaultSize="0" autoFill="0" autoLine="0" autoPict="0">
                <anchor moveWithCells="1">
                  <from>
                    <xdr:col>3</xdr:col>
                    <xdr:colOff>57150</xdr:colOff>
                    <xdr:row>39</xdr:row>
                    <xdr:rowOff>19050</xdr:rowOff>
                  </from>
                  <to>
                    <xdr:col>8</xdr:col>
                    <xdr:colOff>1114425</xdr:colOff>
                    <xdr:row>41</xdr:row>
                    <xdr:rowOff>57150</xdr:rowOff>
                  </to>
                </anchor>
              </controlPr>
            </control>
          </mc:Choice>
        </mc:AlternateContent>
        <mc:AlternateContent xmlns:mc="http://schemas.openxmlformats.org/markup-compatibility/2006">
          <mc:Choice Requires="x14">
            <control shapeId="381963" r:id="rId8" name="Check Box 11">
              <controlPr defaultSize="0" autoFill="0" autoLine="0" autoPict="0">
                <anchor moveWithCells="1">
                  <from>
                    <xdr:col>9</xdr:col>
                    <xdr:colOff>466725</xdr:colOff>
                    <xdr:row>43</xdr:row>
                    <xdr:rowOff>142875</xdr:rowOff>
                  </from>
                  <to>
                    <xdr:col>10</xdr:col>
                    <xdr:colOff>1190625</xdr:colOff>
                    <xdr:row>45</xdr:row>
                    <xdr:rowOff>19050</xdr:rowOff>
                  </to>
                </anchor>
              </controlPr>
            </control>
          </mc:Choice>
        </mc:AlternateContent>
        <mc:AlternateContent xmlns:mc="http://schemas.openxmlformats.org/markup-compatibility/2006">
          <mc:Choice Requires="x14">
            <control shapeId="381964" r:id="rId9" name="Check Box 12">
              <controlPr defaultSize="0" autoFill="0" autoLine="0" autoPict="0">
                <anchor moveWithCells="1">
                  <from>
                    <xdr:col>4</xdr:col>
                    <xdr:colOff>590550</xdr:colOff>
                    <xdr:row>43</xdr:row>
                    <xdr:rowOff>133350</xdr:rowOff>
                  </from>
                  <to>
                    <xdr:col>7</xdr:col>
                    <xdr:colOff>38100</xdr:colOff>
                    <xdr:row>45</xdr:row>
                    <xdr:rowOff>19050</xdr:rowOff>
                  </to>
                </anchor>
              </controlPr>
            </control>
          </mc:Choice>
        </mc:AlternateContent>
        <mc:AlternateContent xmlns:mc="http://schemas.openxmlformats.org/markup-compatibility/2006">
          <mc:Choice Requires="x14">
            <control shapeId="381966" r:id="rId10" name="Check Box 14">
              <controlPr defaultSize="0" autoFill="0" autoLine="0" autoPict="0">
                <anchor moveWithCells="1">
                  <from>
                    <xdr:col>3</xdr:col>
                    <xdr:colOff>57150</xdr:colOff>
                    <xdr:row>17</xdr:row>
                    <xdr:rowOff>76200</xdr:rowOff>
                  </from>
                  <to>
                    <xdr:col>6</xdr:col>
                    <xdr:colOff>771525</xdr:colOff>
                    <xdr:row>19</xdr:row>
                    <xdr:rowOff>28575</xdr:rowOff>
                  </to>
                </anchor>
              </controlPr>
            </control>
          </mc:Choice>
        </mc:AlternateContent>
        <mc:AlternateContent xmlns:mc="http://schemas.openxmlformats.org/markup-compatibility/2006">
          <mc:Choice Requires="x14">
            <control shapeId="381960" r:id="rId11" name="Check Box 8">
              <controlPr defaultSize="0" autoFill="0" autoLine="0" autoPict="0">
                <anchor moveWithCells="1">
                  <from>
                    <xdr:col>3</xdr:col>
                    <xdr:colOff>57150</xdr:colOff>
                    <xdr:row>59</xdr:row>
                    <xdr:rowOff>85725</xdr:rowOff>
                  </from>
                  <to>
                    <xdr:col>7</xdr:col>
                    <xdr:colOff>171450</xdr:colOff>
                    <xdr:row>61</xdr:row>
                    <xdr:rowOff>28575</xdr:rowOff>
                  </to>
                </anchor>
              </controlPr>
            </control>
          </mc:Choice>
        </mc:AlternateContent>
        <mc:AlternateContent xmlns:mc="http://schemas.openxmlformats.org/markup-compatibility/2006">
          <mc:Choice Requires="x14">
            <control shapeId="381953" r:id="rId12" name="Check Box 1">
              <controlPr defaultSize="0" autoFill="0" autoLine="0" autoPict="0">
                <anchor moveWithCells="1">
                  <from>
                    <xdr:col>3</xdr:col>
                    <xdr:colOff>200025</xdr:colOff>
                    <xdr:row>53</xdr:row>
                    <xdr:rowOff>133350</xdr:rowOff>
                  </from>
                  <to>
                    <xdr:col>6</xdr:col>
                    <xdr:colOff>933450</xdr:colOff>
                    <xdr:row>55</xdr:row>
                    <xdr:rowOff>47625</xdr:rowOff>
                  </to>
                </anchor>
              </controlPr>
            </control>
          </mc:Choice>
        </mc:AlternateContent>
        <mc:AlternateContent xmlns:mc="http://schemas.openxmlformats.org/markup-compatibility/2006">
          <mc:Choice Requires="x14">
            <control shapeId="381959" r:id="rId13" name="Check Box 7">
              <controlPr defaultSize="0" autoFill="0" autoLine="0" autoPict="0">
                <anchor moveWithCells="1">
                  <from>
                    <xdr:col>3</xdr:col>
                    <xdr:colOff>57150</xdr:colOff>
                    <xdr:row>49</xdr:row>
                    <xdr:rowOff>9525</xdr:rowOff>
                  </from>
                  <to>
                    <xdr:col>6</xdr:col>
                    <xdr:colOff>1085850</xdr:colOff>
                    <xdr:row>51</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Stammdaten_DropDown!$E$102:$E$103</xm:f>
          </x14:formula1>
          <xm:sqref>H118</xm:sqref>
        </x14:dataValidation>
        <x14:dataValidation type="list" allowBlank="1" showInputMessage="1" showErrorMessage="1">
          <x14:formula1>
            <xm:f>Stammdaten_DropDown!$E$106:$E$109</xm:f>
          </x14:formula1>
          <xm:sqref>K118</xm:sqref>
        </x14:dataValidation>
        <x14:dataValidation type="list" allowBlank="1" showInputMessage="1" showErrorMessage="1">
          <x14:formula1>
            <xm:f>Stammdaten_DropDown!$E$92:$E$99</xm:f>
          </x14:formula1>
          <xm:sqref>H88:K88</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7">
    <tabColor theme="7" tint="0.39997558519241921"/>
    <pageSetUpPr fitToPage="1"/>
  </sheetPr>
  <dimension ref="A1:R113"/>
  <sheetViews>
    <sheetView zoomScaleNormal="100" workbookViewId="0">
      <selection activeCell="Q47" sqref="Q47"/>
    </sheetView>
  </sheetViews>
  <sheetFormatPr baseColWidth="10" defaultColWidth="11.5703125" defaultRowHeight="12.75" x14ac:dyDescent="0.2"/>
  <cols>
    <col min="1" max="1" width="2.42578125" style="91" customWidth="1"/>
    <col min="2" max="2" width="1.42578125" style="238" customWidth="1"/>
    <col min="3" max="3" width="0.5703125" style="238" customWidth="1"/>
    <col min="4" max="4" width="3.5703125" style="91" customWidth="1"/>
    <col min="5" max="5" width="11.5703125" style="91"/>
    <col min="6" max="6" width="10.5703125" style="91" customWidth="1"/>
    <col min="7" max="7" width="11.85546875" style="91" bestFit="1" customWidth="1"/>
    <col min="8" max="8" width="11.42578125" style="91" customWidth="1"/>
    <col min="9" max="9" width="4.5703125" style="91" customWidth="1"/>
    <col min="10" max="10" width="12.42578125" style="91" customWidth="1"/>
    <col min="11" max="11" width="8.5703125" style="91" customWidth="1"/>
    <col min="12" max="12" width="12.42578125" style="91" customWidth="1"/>
    <col min="13" max="13" width="3.5703125" style="91" customWidth="1"/>
    <col min="14" max="14" width="2" style="91" customWidth="1"/>
    <col min="15" max="16" width="11.5703125" style="91"/>
    <col min="17" max="17" width="47.5703125" style="91" customWidth="1"/>
    <col min="18" max="18" width="72.5703125" style="91" hidden="1" customWidth="1"/>
    <col min="19" max="16384" width="11.5703125" style="91"/>
  </cols>
  <sheetData>
    <row r="1" spans="1:17" s="247" customFormat="1" ht="5.0999999999999996" customHeight="1" x14ac:dyDescent="0.2">
      <c r="B1" s="238"/>
      <c r="C1" s="238"/>
    </row>
    <row r="2" spans="1:17" s="247" customFormat="1" ht="45" customHeight="1" x14ac:dyDescent="0.2">
      <c r="B2" s="341"/>
      <c r="C2" s="238"/>
      <c r="D2" s="1064" t="s">
        <v>1960</v>
      </c>
      <c r="E2" s="1064"/>
      <c r="F2" s="1064"/>
      <c r="G2" s="1064"/>
      <c r="H2" s="1064"/>
      <c r="I2" s="325"/>
      <c r="J2" s="325"/>
      <c r="K2" s="325"/>
      <c r="L2" s="325"/>
    </row>
    <row r="3" spans="1:17" s="238" customFormat="1" ht="21" customHeight="1" x14ac:dyDescent="0.2">
      <c r="B3" s="239"/>
      <c r="D3" s="324" t="s">
        <v>950</v>
      </c>
      <c r="F3" s="324"/>
      <c r="H3" s="240"/>
      <c r="I3" s="240"/>
      <c r="J3" s="240"/>
      <c r="K3" s="240"/>
      <c r="L3" s="240"/>
      <c r="M3" s="240"/>
      <c r="N3" s="240"/>
    </row>
    <row r="4" spans="1:17" s="247" customFormat="1" ht="6.75" customHeight="1" x14ac:dyDescent="0.2">
      <c r="A4" s="242"/>
      <c r="B4" s="243"/>
      <c r="C4" s="243"/>
      <c r="D4" s="243"/>
      <c r="E4" s="243"/>
      <c r="F4" s="244"/>
      <c r="G4" s="243"/>
      <c r="H4" s="245"/>
      <c r="I4" s="246"/>
      <c r="J4" s="245"/>
      <c r="K4" s="245"/>
      <c r="L4" s="245"/>
      <c r="M4" s="245"/>
      <c r="N4" s="240"/>
    </row>
    <row r="5" spans="1:17" s="247" customFormat="1" ht="6" customHeight="1" x14ac:dyDescent="0.2">
      <c r="A5" s="242"/>
      <c r="B5" s="243"/>
      <c r="C5" s="242"/>
      <c r="D5" s="242"/>
      <c r="E5" s="242"/>
      <c r="F5" s="324"/>
      <c r="G5" s="242"/>
      <c r="H5" s="248"/>
      <c r="I5" s="249"/>
      <c r="J5" s="248"/>
      <c r="K5" s="248"/>
      <c r="L5" s="248"/>
      <c r="M5" s="248"/>
      <c r="N5" s="242"/>
    </row>
    <row r="6" spans="1:17" s="247" customFormat="1" ht="5.0999999999999996" customHeight="1" x14ac:dyDescent="0.2">
      <c r="B6" s="243"/>
      <c r="D6" s="59"/>
      <c r="E6" s="321"/>
      <c r="F6" s="322"/>
      <c r="G6" s="323"/>
      <c r="H6" s="321"/>
      <c r="I6" s="321"/>
      <c r="J6" s="321"/>
      <c r="K6" s="321"/>
      <c r="L6" s="321"/>
      <c r="M6" s="60"/>
    </row>
    <row r="7" spans="1:17" s="247" customFormat="1" x14ac:dyDescent="0.2">
      <c r="B7" s="243"/>
      <c r="D7" s="61"/>
      <c r="E7" s="324" t="s">
        <v>771</v>
      </c>
      <c r="F7" s="325"/>
      <c r="G7" s="326"/>
      <c r="H7" s="325"/>
      <c r="I7" s="325"/>
      <c r="J7" s="325"/>
      <c r="K7" s="325"/>
      <c r="L7" s="325"/>
      <c r="M7" s="62"/>
    </row>
    <row r="8" spans="1:17" s="247" customFormat="1" x14ac:dyDescent="0.2">
      <c r="B8" s="243"/>
      <c r="C8" s="242"/>
      <c r="D8" s="61"/>
      <c r="E8" s="248"/>
      <c r="F8" s="248"/>
      <c r="G8" s="249"/>
      <c r="H8" s="248"/>
      <c r="I8" s="248"/>
      <c r="J8" s="248"/>
      <c r="K8" s="248"/>
      <c r="L8" s="248"/>
      <c r="M8" s="62"/>
    </row>
    <row r="9" spans="1:17" s="247" customFormat="1" x14ac:dyDescent="0.2">
      <c r="B9" s="250"/>
      <c r="C9" s="238"/>
      <c r="D9" s="61"/>
      <c r="E9" s="248" t="s">
        <v>974</v>
      </c>
      <c r="F9" s="248"/>
      <c r="G9" s="342" t="str">
        <f>IF(MAAnrede&lt;&gt;"",MAAnrede,"")</f>
        <v/>
      </c>
      <c r="H9" s="248"/>
      <c r="I9" s="248"/>
      <c r="J9" s="248"/>
      <c r="K9" s="248"/>
      <c r="L9" s="248"/>
      <c r="M9" s="62"/>
    </row>
    <row r="10" spans="1:17" s="247" customFormat="1" x14ac:dyDescent="0.2">
      <c r="B10" s="243"/>
      <c r="C10" s="242"/>
      <c r="D10" s="61"/>
      <c r="E10" s="248"/>
      <c r="F10" s="248"/>
      <c r="G10" s="249"/>
      <c r="H10" s="248"/>
      <c r="I10" s="248"/>
      <c r="J10" s="248"/>
      <c r="K10" s="248"/>
      <c r="L10" s="248"/>
      <c r="M10" s="62"/>
    </row>
    <row r="11" spans="1:17" s="247" customFormat="1" ht="12.6" customHeight="1" x14ac:dyDescent="0.2">
      <c r="B11" s="250"/>
      <c r="C11" s="238"/>
      <c r="D11" s="61"/>
      <c r="E11" s="248" t="s">
        <v>757</v>
      </c>
      <c r="F11" s="248"/>
      <c r="G11" s="1100" t="str">
        <f>IF(MAName&lt;&gt;"",MAName,"")</f>
        <v/>
      </c>
      <c r="H11" s="1100"/>
      <c r="I11" s="248"/>
      <c r="J11" s="248" t="s">
        <v>758</v>
      </c>
      <c r="K11" s="1100" t="str">
        <f>IF(MAVorname&lt;&gt;"",MAVorname,"")</f>
        <v/>
      </c>
      <c r="L11" s="1100"/>
      <c r="M11" s="62"/>
      <c r="O11" s="1068" t="s">
        <v>1040</v>
      </c>
      <c r="P11" s="1069"/>
      <c r="Q11" s="711"/>
    </row>
    <row r="12" spans="1:17" s="247" customFormat="1" ht="12.6" customHeight="1" x14ac:dyDescent="0.2">
      <c r="B12" s="250"/>
      <c r="C12" s="238"/>
      <c r="D12" s="61"/>
      <c r="E12" s="248"/>
      <c r="F12" s="248"/>
      <c r="G12" s="248"/>
      <c r="H12" s="248"/>
      <c r="I12" s="248"/>
      <c r="J12" s="248"/>
      <c r="K12" s="248"/>
      <c r="L12" s="248"/>
      <c r="M12" s="62"/>
      <c r="O12" s="1070"/>
      <c r="P12" s="1071"/>
      <c r="Q12" s="711"/>
    </row>
    <row r="13" spans="1:17" s="247" customFormat="1" x14ac:dyDescent="0.2">
      <c r="B13" s="250"/>
      <c r="C13" s="238"/>
      <c r="D13" s="61"/>
      <c r="E13" s="248" t="s">
        <v>763</v>
      </c>
      <c r="F13" s="248"/>
      <c r="G13" s="1100" t="str">
        <f>IF(MAPersID&lt;&gt;"",MAPersID,"")</f>
        <v/>
      </c>
      <c r="H13" s="1100"/>
      <c r="I13" s="258"/>
      <c r="M13" s="62"/>
    </row>
    <row r="14" spans="1:17" s="247" customFormat="1" x14ac:dyDescent="0.2">
      <c r="B14" s="250"/>
      <c r="C14" s="238"/>
      <c r="D14" s="61"/>
      <c r="E14" s="248"/>
      <c r="F14" s="248"/>
      <c r="G14" s="249"/>
      <c r="H14" s="248"/>
      <c r="I14" s="248"/>
      <c r="J14" s="248"/>
      <c r="K14" s="248"/>
      <c r="L14" s="248"/>
      <c r="M14" s="62"/>
    </row>
    <row r="15" spans="1:17" s="247" customFormat="1" x14ac:dyDescent="0.2">
      <c r="B15" s="250"/>
      <c r="C15" s="238"/>
      <c r="D15" s="61"/>
      <c r="E15" s="248" t="s">
        <v>756</v>
      </c>
      <c r="F15" s="248"/>
      <c r="G15" s="1088"/>
      <c r="H15" s="1088"/>
      <c r="I15" s="1088"/>
      <c r="J15" s="1088"/>
      <c r="K15" s="1088"/>
      <c r="L15" s="1088"/>
      <c r="M15" s="62"/>
    </row>
    <row r="16" spans="1:17" s="247" customFormat="1" x14ac:dyDescent="0.2">
      <c r="B16" s="250"/>
      <c r="C16" s="238"/>
      <c r="D16" s="61"/>
      <c r="E16" s="248"/>
      <c r="F16" s="248"/>
      <c r="G16" s="249"/>
      <c r="H16" s="248"/>
      <c r="I16" s="248"/>
      <c r="J16" s="248"/>
      <c r="K16" s="248"/>
      <c r="L16" s="248"/>
      <c r="M16" s="62"/>
    </row>
    <row r="17" spans="2:13" s="247" customFormat="1" x14ac:dyDescent="0.2">
      <c r="B17" s="250"/>
      <c r="C17" s="238"/>
      <c r="D17" s="61"/>
      <c r="E17" s="248" t="s">
        <v>759</v>
      </c>
      <c r="F17" s="248"/>
      <c r="G17" s="216"/>
      <c r="H17" s="596" t="s">
        <v>760</v>
      </c>
      <c r="I17" s="1127"/>
      <c r="J17" s="1127"/>
      <c r="K17" s="1127"/>
      <c r="L17" s="1127"/>
      <c r="M17" s="62"/>
    </row>
    <row r="18" spans="2:13" s="247" customFormat="1" x14ac:dyDescent="0.2">
      <c r="B18" s="250"/>
      <c r="C18" s="238"/>
      <c r="D18" s="61"/>
      <c r="E18" s="248"/>
      <c r="F18" s="248"/>
      <c r="G18" s="249"/>
      <c r="H18" s="248"/>
      <c r="I18" s="248"/>
      <c r="J18" s="248"/>
      <c r="K18" s="248"/>
      <c r="L18" s="249"/>
      <c r="M18" s="62"/>
    </row>
    <row r="19" spans="2:13" s="247" customFormat="1" x14ac:dyDescent="0.2">
      <c r="B19" s="250"/>
      <c r="C19" s="238"/>
      <c r="D19" s="61"/>
      <c r="E19" s="248" t="s">
        <v>761</v>
      </c>
      <c r="F19" s="248"/>
      <c r="G19" s="482">
        <f>MAGeburtsdatum</f>
        <v>0</v>
      </c>
      <c r="H19" s="248"/>
      <c r="I19" s="248"/>
      <c r="J19" s="248"/>
      <c r="K19" s="248"/>
      <c r="L19" s="248"/>
      <c r="M19" s="62"/>
    </row>
    <row r="20" spans="2:13" s="247" customFormat="1" x14ac:dyDescent="0.2">
      <c r="B20" s="250"/>
      <c r="C20" s="238"/>
      <c r="D20" s="61"/>
      <c r="E20" s="248"/>
      <c r="F20" s="248"/>
      <c r="G20" s="248"/>
      <c r="H20" s="248"/>
      <c r="I20" s="248"/>
      <c r="J20" s="248"/>
      <c r="K20" s="248"/>
      <c r="L20" s="249"/>
      <c r="M20" s="62"/>
    </row>
    <row r="21" spans="2:13" s="247" customFormat="1" ht="13.15" customHeight="1" x14ac:dyDescent="0.2">
      <c r="B21" s="243"/>
      <c r="D21" s="61"/>
      <c r="E21" s="344" t="s">
        <v>826</v>
      </c>
      <c r="F21" s="1099" t="s">
        <v>1085</v>
      </c>
      <c r="G21" s="1099"/>
      <c r="H21" s="1099"/>
      <c r="I21" s="1099"/>
      <c r="J21" s="1099"/>
      <c r="K21" s="1099"/>
      <c r="L21" s="451"/>
      <c r="M21" s="62"/>
    </row>
    <row r="22" spans="2:13" s="247" customFormat="1" ht="13.15" customHeight="1" x14ac:dyDescent="0.2">
      <c r="B22" s="243"/>
      <c r="D22" s="61"/>
      <c r="E22" s="344"/>
      <c r="F22" s="1125" t="s">
        <v>1083</v>
      </c>
      <c r="G22" s="1125"/>
      <c r="H22" s="1125"/>
      <c r="I22" s="1125"/>
      <c r="J22" s="1125"/>
      <c r="K22" s="1125"/>
      <c r="L22" s="1125"/>
      <c r="M22" s="62"/>
    </row>
    <row r="23" spans="2:13" s="247" customFormat="1" ht="12.6" customHeight="1" x14ac:dyDescent="0.2">
      <c r="B23" s="243"/>
      <c r="D23" s="61"/>
      <c r="E23" s="344"/>
      <c r="F23" s="1125" t="s">
        <v>1084</v>
      </c>
      <c r="G23" s="1125"/>
      <c r="H23" s="1125"/>
      <c r="I23" s="1125"/>
      <c r="J23" s="1125"/>
      <c r="K23" s="349"/>
      <c r="L23" s="451"/>
      <c r="M23" s="62"/>
    </row>
    <row r="24" spans="2:13" s="247" customFormat="1" ht="12.6" customHeight="1" x14ac:dyDescent="0.2">
      <c r="B24" s="243"/>
      <c r="D24" s="61"/>
      <c r="E24" s="344"/>
      <c r="F24" s="1125" t="s">
        <v>1086</v>
      </c>
      <c r="G24" s="1125"/>
      <c r="H24" s="349"/>
      <c r="I24" s="349"/>
      <c r="J24" s="349"/>
      <c r="K24" s="349"/>
      <c r="L24" s="451"/>
      <c r="M24" s="62"/>
    </row>
    <row r="25" spans="2:13" s="247" customFormat="1" ht="8.1" customHeight="1" x14ac:dyDescent="0.2">
      <c r="B25" s="250"/>
      <c r="C25" s="238"/>
      <c r="D25" s="63"/>
      <c r="E25" s="64"/>
      <c r="F25" s="64"/>
      <c r="G25" s="65"/>
      <c r="H25" s="64"/>
      <c r="I25" s="64"/>
      <c r="J25" s="64"/>
      <c r="K25" s="64"/>
      <c r="L25" s="64"/>
      <c r="M25" s="66"/>
    </row>
    <row r="26" spans="2:13" s="247" customFormat="1" ht="6" customHeight="1" x14ac:dyDescent="0.2">
      <c r="B26" s="250"/>
      <c r="C26" s="238"/>
      <c r="E26" s="248"/>
      <c r="F26" s="248"/>
      <c r="G26" s="249"/>
      <c r="H26" s="248"/>
      <c r="I26" s="248"/>
      <c r="J26" s="248"/>
      <c r="K26" s="248"/>
      <c r="L26" s="248"/>
    </row>
    <row r="27" spans="2:13" s="247" customFormat="1" ht="5.0999999999999996" customHeight="1" x14ac:dyDescent="0.2">
      <c r="B27" s="250"/>
      <c r="C27" s="238"/>
      <c r="D27" s="59"/>
      <c r="E27" s="272"/>
      <c r="F27" s="272"/>
      <c r="G27" s="273"/>
      <c r="H27" s="272"/>
      <c r="I27" s="272"/>
      <c r="J27" s="272"/>
      <c r="K27" s="272"/>
      <c r="L27" s="272"/>
      <c r="M27" s="60"/>
    </row>
    <row r="28" spans="2:13" s="247" customFormat="1" x14ac:dyDescent="0.2">
      <c r="B28" s="250"/>
      <c r="C28" s="238"/>
      <c r="D28" s="61"/>
      <c r="E28" s="324" t="s">
        <v>936</v>
      </c>
      <c r="F28" s="248"/>
      <c r="G28" s="249"/>
      <c r="H28" s="248"/>
      <c r="I28" s="248"/>
      <c r="J28" s="248"/>
      <c r="K28" s="248"/>
      <c r="L28" s="248"/>
      <c r="M28" s="62"/>
    </row>
    <row r="29" spans="2:13" s="247" customFormat="1" x14ac:dyDescent="0.2">
      <c r="B29" s="250"/>
      <c r="C29" s="238"/>
      <c r="D29" s="61"/>
      <c r="E29" s="248"/>
      <c r="F29" s="248"/>
      <c r="G29" s="249"/>
      <c r="H29" s="248"/>
      <c r="I29" s="248"/>
      <c r="J29" s="248"/>
      <c r="K29" s="248"/>
      <c r="L29" s="248"/>
      <c r="M29" s="62"/>
    </row>
    <row r="30" spans="2:13" s="247" customFormat="1" x14ac:dyDescent="0.2">
      <c r="B30" s="250"/>
      <c r="C30" s="271"/>
      <c r="D30" s="61"/>
      <c r="E30" s="248" t="s">
        <v>1049</v>
      </c>
      <c r="F30" s="350"/>
      <c r="G30" s="1088"/>
      <c r="H30" s="1088"/>
      <c r="I30" s="1088"/>
      <c r="J30" s="1088"/>
      <c r="K30" s="1088"/>
      <c r="L30" s="1088"/>
      <c r="M30" s="62"/>
    </row>
    <row r="31" spans="2:13" s="247" customFormat="1" x14ac:dyDescent="0.2">
      <c r="B31" s="243"/>
      <c r="C31" s="242"/>
      <c r="D31" s="61"/>
      <c r="E31" s="248"/>
      <c r="F31" s="248"/>
      <c r="H31" s="351"/>
      <c r="I31" s="351"/>
      <c r="M31" s="62"/>
    </row>
    <row r="32" spans="2:13" s="247" customFormat="1" ht="12.6" customHeight="1" x14ac:dyDescent="0.2">
      <c r="B32" s="250"/>
      <c r="C32" s="238"/>
      <c r="D32" s="61"/>
      <c r="E32" s="248" t="s">
        <v>822</v>
      </c>
      <c r="F32" s="248"/>
      <c r="G32" s="220"/>
      <c r="I32" s="248" t="s">
        <v>995</v>
      </c>
      <c r="K32" s="1108"/>
      <c r="L32" s="1108"/>
      <c r="M32" s="62"/>
    </row>
    <row r="33" spans="2:18" s="247" customFormat="1" ht="13.15" customHeight="1" x14ac:dyDescent="0.2">
      <c r="B33" s="250"/>
      <c r="C33" s="238"/>
      <c r="D33" s="61"/>
      <c r="E33" s="325"/>
      <c r="F33" s="345"/>
      <c r="G33" s="345"/>
      <c r="H33" s="325"/>
      <c r="I33" s="325"/>
      <c r="J33" s="248"/>
      <c r="K33" s="248"/>
      <c r="L33" s="248"/>
      <c r="M33" s="62"/>
    </row>
    <row r="34" spans="2:18" s="247" customFormat="1" ht="13.15" customHeight="1" x14ac:dyDescent="0.2">
      <c r="B34" s="250"/>
      <c r="C34" s="238"/>
      <c r="D34" s="61"/>
      <c r="E34" s="325"/>
      <c r="F34" s="345"/>
      <c r="G34" s="345"/>
      <c r="H34" s="325"/>
      <c r="I34" s="325"/>
      <c r="J34" s="1103" t="s">
        <v>1144</v>
      </c>
      <c r="K34" s="1103"/>
      <c r="L34" s="1103"/>
      <c r="M34" s="62"/>
    </row>
    <row r="35" spans="2:18" s="247" customFormat="1" ht="13.15" customHeight="1" x14ac:dyDescent="0.2">
      <c r="B35" s="250"/>
      <c r="C35" s="238"/>
      <c r="D35" s="61"/>
      <c r="E35" s="325"/>
      <c r="F35" s="345"/>
      <c r="G35" s="345"/>
      <c r="H35" s="325"/>
      <c r="I35" s="325"/>
      <c r="J35" s="248"/>
      <c r="K35" s="248"/>
      <c r="L35" s="248"/>
      <c r="M35" s="62"/>
    </row>
    <row r="36" spans="2:18" s="247" customFormat="1" x14ac:dyDescent="0.2">
      <c r="B36" s="250"/>
      <c r="C36" s="238"/>
      <c r="D36" s="61"/>
      <c r="E36" s="343" t="s">
        <v>997</v>
      </c>
      <c r="F36" s="249"/>
      <c r="G36" s="346"/>
      <c r="H36" s="1101" t="s">
        <v>996</v>
      </c>
      <c r="I36" s="1101"/>
      <c r="J36" s="1102"/>
      <c r="K36" s="1102"/>
      <c r="L36" s="1102"/>
      <c r="M36" s="62"/>
    </row>
    <row r="37" spans="2:18" s="247" customFormat="1" ht="16.5" x14ac:dyDescent="0.2">
      <c r="B37" s="250"/>
      <c r="C37" s="238"/>
      <c r="D37" s="61"/>
      <c r="E37" s="325"/>
      <c r="F37" s="345"/>
      <c r="G37" s="345"/>
      <c r="H37" s="325"/>
      <c r="I37" s="325"/>
      <c r="J37" s="347"/>
      <c r="K37" s="325"/>
      <c r="L37" s="325"/>
      <c r="M37" s="62"/>
    </row>
    <row r="38" spans="2:18" s="247" customFormat="1" ht="13.35" customHeight="1" x14ac:dyDescent="0.2">
      <c r="B38" s="250"/>
      <c r="C38" s="238"/>
      <c r="D38" s="61"/>
      <c r="E38" s="1099" t="s">
        <v>934</v>
      </c>
      <c r="F38" s="1099"/>
      <c r="G38" s="1088"/>
      <c r="H38" s="1088"/>
      <c r="I38" s="1099" t="s">
        <v>935</v>
      </c>
      <c r="J38" s="1099"/>
      <c r="K38" s="1088"/>
      <c r="L38" s="1088"/>
      <c r="M38" s="62"/>
    </row>
    <row r="39" spans="2:18" s="247" customFormat="1" x14ac:dyDescent="0.2">
      <c r="B39" s="243"/>
      <c r="C39" s="242"/>
      <c r="D39" s="61"/>
      <c r="E39" s="349"/>
      <c r="F39" s="248"/>
      <c r="G39" s="249"/>
      <c r="H39" s="248"/>
      <c r="I39" s="349"/>
      <c r="J39" s="349"/>
      <c r="K39" s="248"/>
      <c r="L39" s="248"/>
      <c r="M39" s="62"/>
    </row>
    <row r="40" spans="2:18" s="247" customFormat="1" x14ac:dyDescent="0.2">
      <c r="B40" s="243"/>
      <c r="C40" s="242"/>
      <c r="D40" s="61"/>
      <c r="E40" s="248" t="s">
        <v>828</v>
      </c>
      <c r="F40" s="248"/>
      <c r="G40" s="1129"/>
      <c r="H40" s="1129"/>
      <c r="I40" s="248"/>
      <c r="K40" s="248"/>
      <c r="L40" s="248"/>
      <c r="M40" s="62"/>
    </row>
    <row r="41" spans="2:18" s="247" customFormat="1" x14ac:dyDescent="0.2">
      <c r="B41" s="243"/>
      <c r="C41" s="242"/>
      <c r="D41" s="61"/>
      <c r="E41" s="248"/>
      <c r="F41" s="248"/>
      <c r="G41" s="249"/>
      <c r="H41" s="248"/>
      <c r="I41" s="248"/>
      <c r="J41" s="248"/>
      <c r="K41" s="248"/>
      <c r="L41" s="248"/>
      <c r="M41" s="62"/>
    </row>
    <row r="42" spans="2:18" s="247" customFormat="1" x14ac:dyDescent="0.2">
      <c r="B42" s="243"/>
      <c r="C42" s="242"/>
      <c r="D42" s="61"/>
      <c r="E42" s="248"/>
      <c r="F42" s="720" t="s">
        <v>829</v>
      </c>
      <c r="H42" s="483">
        <f>SUM(G40)</f>
        <v>0</v>
      </c>
      <c r="I42" s="248"/>
      <c r="J42" s="248" t="s">
        <v>824</v>
      </c>
      <c r="K42" s="248"/>
      <c r="L42" s="248"/>
      <c r="M42" s="62"/>
    </row>
    <row r="43" spans="2:18" s="247" customFormat="1" x14ac:dyDescent="0.2">
      <c r="B43" s="243"/>
      <c r="C43" s="242"/>
      <c r="D43" s="61"/>
      <c r="E43" s="248"/>
      <c r="F43" s="248"/>
      <c r="G43" s="249"/>
      <c r="H43" s="248"/>
      <c r="I43" s="248"/>
      <c r="J43" s="248"/>
      <c r="K43" s="248"/>
      <c r="L43" s="248"/>
      <c r="M43" s="62"/>
    </row>
    <row r="44" spans="2:18" s="247" customFormat="1" x14ac:dyDescent="0.2">
      <c r="B44" s="243"/>
      <c r="C44" s="242"/>
      <c r="D44" s="61"/>
      <c r="E44" s="248"/>
      <c r="F44" s="352"/>
      <c r="G44" s="248" t="s">
        <v>823</v>
      </c>
      <c r="H44" s="353"/>
      <c r="I44" s="353"/>
      <c r="J44" s="445"/>
      <c r="K44" s="249" t="s">
        <v>7</v>
      </c>
      <c r="L44" s="443"/>
      <c r="M44" s="62"/>
    </row>
    <row r="45" spans="2:18" s="247" customFormat="1" x14ac:dyDescent="0.2">
      <c r="B45" s="243"/>
      <c r="C45" s="242"/>
      <c r="D45" s="61"/>
      <c r="E45" s="242"/>
      <c r="F45" s="242"/>
      <c r="G45" s="354" t="s">
        <v>825</v>
      </c>
      <c r="H45" s="355"/>
      <c r="I45" s="355"/>
      <c r="J45" s="355"/>
      <c r="K45" s="283"/>
      <c r="L45" s="355"/>
      <c r="M45" s="62"/>
    </row>
    <row r="46" spans="2:18" s="247" customFormat="1" x14ac:dyDescent="0.2">
      <c r="B46" s="243"/>
      <c r="C46" s="242"/>
      <c r="D46" s="61"/>
      <c r="E46" s="242"/>
      <c r="F46" s="242"/>
      <c r="G46" s="354"/>
      <c r="H46" s="355"/>
      <c r="I46" s="355"/>
      <c r="J46" s="355"/>
      <c r="K46" s="283"/>
      <c r="L46" s="355"/>
      <c r="M46" s="62"/>
    </row>
    <row r="47" spans="2:18" s="247" customFormat="1" x14ac:dyDescent="0.2">
      <c r="B47" s="243"/>
      <c r="C47" s="238"/>
      <c r="D47" s="61"/>
      <c r="E47" s="1082" t="s">
        <v>979</v>
      </c>
      <c r="F47" s="1082"/>
      <c r="G47" s="1082"/>
      <c r="H47" s="325"/>
      <c r="I47" s="325"/>
      <c r="J47" s="325"/>
      <c r="K47" s="325"/>
      <c r="L47" s="325"/>
      <c r="M47" s="62"/>
    </row>
    <row r="48" spans="2:18" s="247" customFormat="1" x14ac:dyDescent="0.2">
      <c r="B48" s="243"/>
      <c r="C48" s="238"/>
      <c r="D48" s="61"/>
      <c r="E48" s="248"/>
      <c r="F48" s="248"/>
      <c r="G48" s="249"/>
      <c r="H48" s="248"/>
      <c r="I48" s="248"/>
      <c r="J48" s="248"/>
      <c r="K48" s="248"/>
      <c r="L48" s="248"/>
      <c r="M48" s="62"/>
      <c r="R48" s="247" t="s">
        <v>980</v>
      </c>
    </row>
    <row r="49" spans="1:18" s="247" customFormat="1" x14ac:dyDescent="0.2">
      <c r="B49" s="243"/>
      <c r="C49" s="238"/>
      <c r="D49" s="61"/>
      <c r="E49" s="1056"/>
      <c r="F49" s="1056"/>
      <c r="G49" s="1056"/>
      <c r="H49" s="1056"/>
      <c r="I49" s="1056"/>
      <c r="J49" s="1056"/>
      <c r="K49" s="1056"/>
      <c r="L49" s="1056"/>
      <c r="M49" s="62"/>
      <c r="R49" s="358">
        <f>E49</f>
        <v>0</v>
      </c>
    </row>
    <row r="50" spans="1:18" s="247" customFormat="1" x14ac:dyDescent="0.2">
      <c r="B50" s="243"/>
      <c r="C50" s="238"/>
      <c r="D50" s="61"/>
      <c r="E50" s="1056"/>
      <c r="F50" s="1056"/>
      <c r="G50" s="1056"/>
      <c r="H50" s="1056"/>
      <c r="I50" s="1056"/>
      <c r="J50" s="1056"/>
      <c r="K50" s="1056"/>
      <c r="L50" s="1056"/>
      <c r="M50" s="62"/>
      <c r="R50" s="358"/>
    </row>
    <row r="51" spans="1:18" s="247" customFormat="1" x14ac:dyDescent="0.2">
      <c r="B51" s="243"/>
      <c r="C51" s="238"/>
      <c r="D51" s="61"/>
      <c r="E51" s="1056"/>
      <c r="F51" s="1056"/>
      <c r="G51" s="1056"/>
      <c r="H51" s="1056"/>
      <c r="I51" s="1056"/>
      <c r="J51" s="1056"/>
      <c r="K51" s="1056"/>
      <c r="L51" s="1056"/>
      <c r="M51" s="62"/>
      <c r="R51" s="358">
        <f>E51</f>
        <v>0</v>
      </c>
    </row>
    <row r="52" spans="1:18" s="247" customFormat="1" x14ac:dyDescent="0.2">
      <c r="B52" s="243"/>
      <c r="C52" s="242"/>
      <c r="D52" s="61"/>
      <c r="E52" s="590"/>
      <c r="F52" s="452"/>
      <c r="G52" s="452"/>
      <c r="H52" s="452"/>
      <c r="I52" s="452"/>
      <c r="J52" s="452"/>
      <c r="K52" s="578"/>
      <c r="L52" s="578"/>
      <c r="M52" s="62"/>
    </row>
    <row r="53" spans="1:18" s="247" customFormat="1" x14ac:dyDescent="0.2">
      <c r="B53" s="243"/>
      <c r="C53" s="238"/>
      <c r="D53" s="61"/>
      <c r="H53" s="1059" t="s">
        <v>1136</v>
      </c>
      <c r="I53" s="1059"/>
      <c r="J53" s="1059"/>
      <c r="K53" s="1059"/>
      <c r="L53" s="464"/>
      <c r="M53" s="62"/>
    </row>
    <row r="54" spans="1:18" s="247" customFormat="1" ht="8.1" customHeight="1" x14ac:dyDescent="0.2">
      <c r="B54" s="243"/>
      <c r="C54" s="242"/>
      <c r="D54" s="63"/>
      <c r="E54" s="64"/>
      <c r="F54" s="64"/>
      <c r="G54" s="64"/>
      <c r="H54" s="64"/>
      <c r="I54" s="64"/>
      <c r="J54" s="64"/>
      <c r="K54" s="356"/>
      <c r="L54" s="357"/>
      <c r="M54" s="66"/>
    </row>
    <row r="55" spans="1:18" s="247" customFormat="1" ht="6" customHeight="1" x14ac:dyDescent="0.2">
      <c r="C55" s="242"/>
      <c r="E55" s="248"/>
      <c r="F55" s="248"/>
      <c r="G55" s="249"/>
      <c r="H55" s="248"/>
      <c r="I55" s="248"/>
      <c r="J55" s="248"/>
      <c r="K55" s="248"/>
      <c r="L55" s="248"/>
    </row>
    <row r="56" spans="1:18" s="247" customFormat="1" x14ac:dyDescent="0.2">
      <c r="C56" s="242"/>
      <c r="D56" s="324" t="s">
        <v>951</v>
      </c>
      <c r="F56" s="248"/>
      <c r="G56" s="249"/>
      <c r="H56" s="248"/>
      <c r="I56" s="248"/>
      <c r="J56" s="248"/>
      <c r="K56" s="248"/>
      <c r="L56" s="248"/>
    </row>
    <row r="57" spans="1:18" s="247" customFormat="1" ht="5.25" customHeight="1" x14ac:dyDescent="0.2">
      <c r="C57" s="242"/>
      <c r="D57" s="324"/>
      <c r="F57" s="248"/>
      <c r="G57" s="249"/>
      <c r="H57" s="248"/>
      <c r="I57" s="248"/>
      <c r="J57" s="248"/>
      <c r="K57" s="248"/>
      <c r="L57" s="248"/>
    </row>
    <row r="58" spans="1:18" s="247" customFormat="1" ht="6.75" customHeight="1" x14ac:dyDescent="0.2">
      <c r="A58" s="242"/>
      <c r="B58" s="243"/>
      <c r="C58" s="243"/>
      <c r="D58" s="243"/>
      <c r="E58" s="243"/>
      <c r="F58" s="244"/>
      <c r="G58" s="243"/>
      <c r="H58" s="245"/>
      <c r="I58" s="246"/>
      <c r="J58" s="245"/>
      <c r="K58" s="245"/>
      <c r="L58" s="245"/>
      <c r="M58" s="245"/>
      <c r="N58" s="240"/>
      <c r="O58" s="1078" t="s">
        <v>2009</v>
      </c>
      <c r="P58" s="1078"/>
      <c r="Q58" s="1078"/>
    </row>
    <row r="59" spans="1:18" s="247" customFormat="1" ht="6" customHeight="1" x14ac:dyDescent="0.2">
      <c r="A59" s="242"/>
      <c r="B59" s="243"/>
      <c r="C59" s="242"/>
      <c r="D59" s="242"/>
      <c r="E59" s="242"/>
      <c r="F59" s="324"/>
      <c r="G59" s="242"/>
      <c r="H59" s="248"/>
      <c r="I59" s="249"/>
      <c r="J59" s="248"/>
      <c r="K59" s="248"/>
      <c r="L59" s="248"/>
      <c r="M59" s="248"/>
      <c r="N59" s="240"/>
      <c r="O59" s="1078"/>
      <c r="P59" s="1078"/>
      <c r="Q59" s="1078"/>
    </row>
    <row r="60" spans="1:18" s="247" customFormat="1" ht="5.0999999999999996" customHeight="1" x14ac:dyDescent="0.2">
      <c r="B60" s="243"/>
      <c r="C60" s="242"/>
      <c r="D60" s="59"/>
      <c r="E60" s="272"/>
      <c r="F60" s="272"/>
      <c r="G60" s="273"/>
      <c r="H60" s="272"/>
      <c r="I60" s="272"/>
      <c r="J60" s="272"/>
      <c r="K60" s="272"/>
      <c r="L60" s="272"/>
      <c r="M60" s="274"/>
      <c r="O60" s="1078"/>
      <c r="P60" s="1078"/>
      <c r="Q60" s="1078"/>
    </row>
    <row r="61" spans="1:18" s="247" customFormat="1" x14ac:dyDescent="0.2">
      <c r="B61" s="243"/>
      <c r="C61" s="242"/>
      <c r="D61" s="61"/>
      <c r="E61" s="275" t="s">
        <v>946</v>
      </c>
      <c r="F61" s="325"/>
      <c r="G61" s="326"/>
      <c r="H61" s="325"/>
      <c r="I61" s="325"/>
      <c r="J61" s="325"/>
      <c r="K61" s="325"/>
      <c r="L61" s="325"/>
      <c r="M61" s="62"/>
      <c r="O61" s="1078"/>
      <c r="P61" s="1078"/>
      <c r="Q61" s="1078"/>
    </row>
    <row r="62" spans="1:18" s="247" customFormat="1" x14ac:dyDescent="0.2">
      <c r="B62" s="243"/>
      <c r="C62" s="242"/>
      <c r="D62" s="61"/>
      <c r="E62" s="248"/>
      <c r="F62" s="248"/>
      <c r="G62" s="249"/>
      <c r="H62" s="248"/>
      <c r="I62" s="248"/>
      <c r="J62" s="248"/>
      <c r="K62" s="248"/>
      <c r="L62" s="248"/>
      <c r="M62" s="62"/>
      <c r="O62" s="1078"/>
      <c r="P62" s="1078"/>
      <c r="Q62" s="1078"/>
    </row>
    <row r="63" spans="1:18" s="247" customFormat="1" x14ac:dyDescent="0.2">
      <c r="B63" s="243"/>
      <c r="C63" s="242"/>
      <c r="D63" s="61"/>
      <c r="E63" s="705" t="s">
        <v>961</v>
      </c>
      <c r="F63" s="325"/>
      <c r="H63" s="220"/>
      <c r="I63" s="248"/>
      <c r="J63" s="248" t="s">
        <v>978</v>
      </c>
      <c r="K63" s="1128"/>
      <c r="L63" s="1128"/>
      <c r="M63" s="62"/>
      <c r="O63" s="1078"/>
      <c r="P63" s="1078"/>
      <c r="Q63" s="1078"/>
    </row>
    <row r="64" spans="1:18" s="247" customFormat="1" x14ac:dyDescent="0.2">
      <c r="B64" s="243"/>
      <c r="C64" s="242"/>
      <c r="D64" s="61"/>
      <c r="E64" s="712" t="s">
        <v>962</v>
      </c>
      <c r="F64" s="325"/>
      <c r="G64" s="355"/>
      <c r="H64" s="248"/>
      <c r="I64" s="248"/>
      <c r="K64" s="248"/>
      <c r="L64" s="249"/>
      <c r="M64" s="62"/>
      <c r="O64" s="1078"/>
      <c r="P64" s="1078"/>
      <c r="Q64" s="1078"/>
    </row>
    <row r="65" spans="2:18" s="247" customFormat="1" x14ac:dyDescent="0.2">
      <c r="B65" s="243"/>
      <c r="C65" s="242"/>
      <c r="D65" s="61"/>
      <c r="I65" s="248"/>
      <c r="M65" s="62"/>
      <c r="O65" s="1078"/>
      <c r="P65" s="1078"/>
      <c r="Q65" s="1078"/>
    </row>
    <row r="66" spans="2:18" s="247" customFormat="1" x14ac:dyDescent="0.2">
      <c r="B66" s="243"/>
      <c r="C66" s="242"/>
      <c r="D66" s="61"/>
      <c r="E66" s="248" t="s">
        <v>1003</v>
      </c>
      <c r="F66" s="248"/>
      <c r="G66" s="280" t="str">
        <f>IF(MULohnberechnung&lt;&gt;"",MULohnberechnung,"")</f>
        <v/>
      </c>
      <c r="H66" s="776" t="s">
        <v>1005</v>
      </c>
      <c r="I66" s="248"/>
      <c r="J66" s="248" t="s">
        <v>1043</v>
      </c>
      <c r="K66" s="248"/>
      <c r="L66" s="236"/>
      <c r="M66" s="62"/>
      <c r="O66" s="1078"/>
      <c r="P66" s="1078"/>
      <c r="Q66" s="1078"/>
    </row>
    <row r="67" spans="2:18" s="247" customFormat="1" ht="14.1" customHeight="1" x14ac:dyDescent="0.2">
      <c r="B67" s="243"/>
      <c r="C67" s="238"/>
      <c r="D67" s="61"/>
      <c r="E67" s="248"/>
      <c r="F67" s="248"/>
      <c r="G67" s="249"/>
      <c r="H67" s="248"/>
      <c r="I67" s="248"/>
      <c r="J67" s="248"/>
      <c r="K67" s="248"/>
      <c r="L67" s="248"/>
      <c r="M67" s="62"/>
      <c r="O67" s="1078"/>
      <c r="P67" s="1078"/>
      <c r="Q67" s="1078"/>
    </row>
    <row r="68" spans="2:18" s="247" customFormat="1" x14ac:dyDescent="0.2">
      <c r="B68" s="243"/>
      <c r="C68" s="242"/>
      <c r="D68" s="61"/>
      <c r="E68" s="248" t="s">
        <v>973</v>
      </c>
      <c r="F68" s="248"/>
      <c r="G68" s="433"/>
      <c r="H68" s="1061" t="s">
        <v>1080</v>
      </c>
      <c r="I68" s="1061"/>
      <c r="J68" s="1095" t="str">
        <f>_xlfn.IFNA(VLOOKUP(G68,Stammdaten_DropDown!$B$14:$C$55,2,FALSE),"")</f>
        <v/>
      </c>
      <c r="K68" s="1095"/>
      <c r="L68" s="1095"/>
      <c r="M68" s="269"/>
      <c r="O68" s="1078"/>
      <c r="P68" s="1078"/>
      <c r="Q68" s="1078"/>
    </row>
    <row r="69" spans="2:18" s="247" customFormat="1" x14ac:dyDescent="0.2">
      <c r="B69" s="243"/>
      <c r="C69" s="242"/>
      <c r="D69" s="61"/>
      <c r="E69" s="248"/>
      <c r="F69" s="248"/>
      <c r="G69" s="248"/>
      <c r="H69" s="248"/>
      <c r="I69" s="248"/>
      <c r="J69" s="248"/>
      <c r="K69" s="248"/>
      <c r="L69" s="248"/>
      <c r="M69" s="269"/>
      <c r="O69" s="1078"/>
      <c r="P69" s="1078"/>
      <c r="Q69" s="1078"/>
    </row>
    <row r="70" spans="2:18" s="247" customFormat="1" x14ac:dyDescent="0.2">
      <c r="B70" s="243"/>
      <c r="C70" s="242"/>
      <c r="D70" s="61"/>
      <c r="E70" s="248" t="s">
        <v>2000</v>
      </c>
      <c r="F70" s="248"/>
      <c r="G70" s="248"/>
      <c r="H70" s="1088"/>
      <c r="I70" s="1088"/>
      <c r="J70" s="1088"/>
      <c r="K70" s="1088"/>
      <c r="L70" s="1088"/>
      <c r="M70" s="269"/>
      <c r="O70" s="1078"/>
      <c r="P70" s="1078"/>
      <c r="Q70" s="1078"/>
    </row>
    <row r="71" spans="2:18" s="247" customFormat="1" x14ac:dyDescent="0.2">
      <c r="B71" s="243"/>
      <c r="C71" s="242"/>
      <c r="D71" s="61"/>
      <c r="E71" s="891" t="s">
        <v>1964</v>
      </c>
      <c r="F71" s="248"/>
      <c r="G71" s="248"/>
      <c r="H71" s="248"/>
      <c r="I71" s="248"/>
      <c r="J71" s="248"/>
      <c r="K71" s="248"/>
      <c r="L71" s="248"/>
      <c r="M71" s="269"/>
      <c r="O71" s="1078"/>
      <c r="P71" s="1078"/>
      <c r="Q71" s="1078"/>
    </row>
    <row r="72" spans="2:18" s="247" customFormat="1" x14ac:dyDescent="0.2">
      <c r="B72" s="243"/>
      <c r="D72" s="61"/>
      <c r="E72" s="1081" t="s">
        <v>952</v>
      </c>
      <c r="F72" s="1081"/>
      <c r="G72" s="1055"/>
      <c r="H72" s="1055"/>
      <c r="I72" s="1055"/>
      <c r="J72" s="1055"/>
      <c r="K72" s="1055"/>
      <c r="L72" s="1055"/>
      <c r="M72" s="62"/>
      <c r="O72" s="1078"/>
      <c r="P72" s="1078"/>
      <c r="Q72" s="1078"/>
    </row>
    <row r="73" spans="2:18" s="247" customFormat="1" ht="8.1" customHeight="1" x14ac:dyDescent="0.2">
      <c r="B73" s="243"/>
      <c r="C73" s="242"/>
      <c r="D73" s="63"/>
      <c r="E73" s="270"/>
      <c r="F73" s="270"/>
      <c r="G73" s="270"/>
      <c r="H73" s="270"/>
      <c r="I73" s="270"/>
      <c r="J73" s="270"/>
      <c r="K73" s="270"/>
      <c r="L73" s="270"/>
      <c r="M73" s="66"/>
      <c r="O73" s="1078"/>
      <c r="P73" s="1078"/>
      <c r="Q73" s="1078"/>
    </row>
    <row r="74" spans="2:18" s="247" customFormat="1" ht="6" customHeight="1" x14ac:dyDescent="0.2">
      <c r="B74" s="243"/>
      <c r="C74" s="242"/>
      <c r="E74" s="271"/>
      <c r="F74" s="271"/>
      <c r="G74" s="271"/>
      <c r="H74" s="271"/>
      <c r="I74" s="271"/>
      <c r="J74" s="271"/>
      <c r="K74" s="271"/>
      <c r="L74" s="271"/>
      <c r="O74" s="1078"/>
      <c r="P74" s="1078"/>
      <c r="Q74" s="1078"/>
    </row>
    <row r="75" spans="2:18" s="247" customFormat="1" ht="5.0999999999999996" customHeight="1" x14ac:dyDescent="0.2">
      <c r="B75" s="243"/>
      <c r="C75" s="242"/>
      <c r="D75" s="59"/>
      <c r="E75" s="67"/>
      <c r="F75" s="67"/>
      <c r="G75" s="68"/>
      <c r="H75" s="67"/>
      <c r="I75" s="67"/>
      <c r="J75" s="67"/>
      <c r="K75" s="67"/>
      <c r="L75" s="67"/>
      <c r="M75" s="60"/>
      <c r="O75" s="1078"/>
      <c r="P75" s="1078"/>
      <c r="Q75" s="1078"/>
    </row>
    <row r="76" spans="2:18" s="247" customFormat="1" x14ac:dyDescent="0.2">
      <c r="B76" s="243"/>
      <c r="C76" s="242"/>
      <c r="D76" s="61"/>
      <c r="E76" s="1082" t="s">
        <v>985</v>
      </c>
      <c r="F76" s="1082"/>
      <c r="G76" s="1082"/>
      <c r="H76" s="1082"/>
      <c r="I76" s="1082"/>
      <c r="J76" s="1082"/>
      <c r="K76" s="1082"/>
      <c r="L76" s="325"/>
      <c r="M76" s="62"/>
      <c r="O76" s="1078"/>
      <c r="P76" s="1078"/>
      <c r="Q76" s="1078"/>
    </row>
    <row r="77" spans="2:18" s="247" customFormat="1" x14ac:dyDescent="0.2">
      <c r="B77" s="243"/>
      <c r="C77" s="242"/>
      <c r="D77" s="61"/>
      <c r="E77" s="248"/>
      <c r="F77" s="248"/>
      <c r="G77" s="249"/>
      <c r="H77" s="248"/>
      <c r="I77" s="248"/>
      <c r="J77" s="248"/>
      <c r="K77" s="248"/>
      <c r="L77" s="248"/>
      <c r="M77" s="62"/>
      <c r="O77" s="1078"/>
      <c r="P77" s="1078"/>
      <c r="Q77" s="1078"/>
    </row>
    <row r="78" spans="2:18" s="247" customFormat="1" x14ac:dyDescent="0.2">
      <c r="B78" s="243"/>
      <c r="C78" s="242"/>
      <c r="D78" s="61"/>
      <c r="E78" s="1056"/>
      <c r="F78" s="1056"/>
      <c r="G78" s="1056"/>
      <c r="H78" s="1056"/>
      <c r="I78" s="1056"/>
      <c r="J78" s="1056"/>
      <c r="K78" s="1056"/>
      <c r="L78" s="1056"/>
      <c r="M78" s="62"/>
      <c r="O78" s="1078"/>
      <c r="P78" s="1078"/>
      <c r="Q78" s="1078"/>
      <c r="R78" s="358">
        <f>E78</f>
        <v>0</v>
      </c>
    </row>
    <row r="79" spans="2:18" s="247" customFormat="1" x14ac:dyDescent="0.2">
      <c r="B79" s="243"/>
      <c r="C79" s="242"/>
      <c r="D79" s="61"/>
      <c r="E79" s="1056"/>
      <c r="F79" s="1056"/>
      <c r="G79" s="1056"/>
      <c r="H79" s="1056"/>
      <c r="I79" s="1056"/>
      <c r="J79" s="1056"/>
      <c r="K79" s="1056"/>
      <c r="L79" s="1056"/>
      <c r="M79" s="62"/>
      <c r="O79" s="1078"/>
      <c r="P79" s="1078"/>
      <c r="Q79" s="1078"/>
      <c r="R79" s="358">
        <f>E79</f>
        <v>0</v>
      </c>
    </row>
    <row r="80" spans="2:18" s="247" customFormat="1" x14ac:dyDescent="0.2">
      <c r="B80" s="243"/>
      <c r="C80" s="242"/>
      <c r="D80" s="61"/>
      <c r="E80" s="1056"/>
      <c r="F80" s="1056"/>
      <c r="G80" s="1056"/>
      <c r="H80" s="1056"/>
      <c r="I80" s="1056"/>
      <c r="J80" s="1056"/>
      <c r="K80" s="1056"/>
      <c r="L80" s="1056"/>
      <c r="M80" s="62"/>
      <c r="O80" s="1078"/>
      <c r="P80" s="1078"/>
      <c r="Q80" s="1078"/>
      <c r="R80" s="358">
        <f>E80</f>
        <v>0</v>
      </c>
    </row>
    <row r="81" spans="2:17" s="247" customFormat="1" ht="8.1" customHeight="1" x14ac:dyDescent="0.2">
      <c r="B81" s="243"/>
      <c r="C81" s="242"/>
      <c r="D81" s="63"/>
      <c r="E81" s="64"/>
      <c r="F81" s="64"/>
      <c r="G81" s="65"/>
      <c r="H81" s="64"/>
      <c r="I81" s="64"/>
      <c r="J81" s="64"/>
      <c r="K81" s="64"/>
      <c r="L81" s="64"/>
      <c r="M81" s="66"/>
      <c r="O81" s="1078"/>
      <c r="P81" s="1078"/>
      <c r="Q81" s="1078"/>
    </row>
    <row r="82" spans="2:17" s="247" customFormat="1" ht="6" customHeight="1" x14ac:dyDescent="0.2">
      <c r="B82" s="243"/>
      <c r="C82" s="238"/>
      <c r="E82" s="248"/>
      <c r="F82" s="248"/>
      <c r="G82" s="249"/>
      <c r="H82" s="248"/>
      <c r="I82" s="248"/>
      <c r="J82" s="248"/>
      <c r="K82" s="248"/>
      <c r="L82" s="248"/>
    </row>
    <row r="83" spans="2:17" s="247" customFormat="1" ht="5.0999999999999996" customHeight="1" x14ac:dyDescent="0.2">
      <c r="B83" s="243"/>
      <c r="C83" s="242"/>
      <c r="D83" s="59"/>
      <c r="E83" s="67"/>
      <c r="F83" s="67"/>
      <c r="G83" s="68"/>
      <c r="H83" s="67"/>
      <c r="I83" s="67"/>
      <c r="J83" s="67"/>
      <c r="K83" s="67"/>
      <c r="L83" s="67"/>
      <c r="M83" s="204"/>
    </row>
    <row r="84" spans="2:17" s="247" customFormat="1" x14ac:dyDescent="0.2">
      <c r="B84" s="243"/>
      <c r="C84" s="242"/>
      <c r="D84" s="61"/>
      <c r="E84" s="211" t="s">
        <v>933</v>
      </c>
      <c r="F84" s="211"/>
      <c r="G84" s="326"/>
      <c r="H84" s="325"/>
      <c r="I84" s="325"/>
      <c r="J84" s="325"/>
      <c r="K84" s="325"/>
      <c r="L84" s="325"/>
      <c r="M84" s="327"/>
      <c r="O84" s="1098" t="str">
        <f>Stammdaten_DropDown!A113</f>
        <v>Lohnentwicklung</v>
      </c>
      <c r="P84" s="1098"/>
      <c r="Q84" s="1098"/>
    </row>
    <row r="85" spans="2:17" s="247" customFormat="1" ht="6" customHeight="1" x14ac:dyDescent="0.2">
      <c r="B85" s="243"/>
      <c r="C85" s="242"/>
      <c r="D85" s="61"/>
      <c r="E85" s="248"/>
      <c r="F85" s="248"/>
      <c r="G85" s="562"/>
      <c r="H85" s="248"/>
      <c r="I85" s="248"/>
      <c r="J85" s="248"/>
      <c r="K85" s="248"/>
      <c r="L85" s="248"/>
      <c r="M85" s="269"/>
      <c r="O85" s="242"/>
    </row>
    <row r="86" spans="2:17" s="247" customFormat="1" x14ac:dyDescent="0.2">
      <c r="B86" s="243"/>
      <c r="C86" s="242"/>
      <c r="D86" s="61"/>
      <c r="E86" s="248" t="s">
        <v>945</v>
      </c>
      <c r="F86" s="248"/>
      <c r="G86" s="562"/>
      <c r="H86" s="248"/>
      <c r="I86" s="248"/>
      <c r="J86" s="248"/>
      <c r="K86" s="1126"/>
      <c r="L86" s="1126"/>
      <c r="M86" s="269"/>
      <c r="O86" s="1105" t="str">
        <f>Stammdaten_DropDown!A114</f>
        <v>Bitte angeben, ob eine individuelle Lohnentwicklung gewährt werden soll.</v>
      </c>
      <c r="P86" s="1105"/>
      <c r="Q86" s="1105"/>
    </row>
    <row r="87" spans="2:17" s="247" customFormat="1" x14ac:dyDescent="0.2">
      <c r="B87" s="243"/>
      <c r="C87" s="242"/>
      <c r="D87" s="61"/>
      <c r="E87" s="248"/>
      <c r="F87" s="248"/>
      <c r="G87" s="562"/>
      <c r="H87" s="248"/>
      <c r="I87" s="248"/>
      <c r="J87" s="248"/>
      <c r="K87" s="248"/>
      <c r="L87" s="248"/>
      <c r="M87" s="269"/>
      <c r="O87" s="1105" t="str">
        <f>Stammdaten_DropDown!A115</f>
        <v>Bei einem Neueintritt nach dem 01.07.2024 ist keine individuelle Lohnentwicklung vorgesehen.</v>
      </c>
      <c r="P87" s="1105"/>
      <c r="Q87" s="1105"/>
    </row>
    <row r="88" spans="2:17" s="247" customFormat="1" x14ac:dyDescent="0.2">
      <c r="B88" s="243"/>
      <c r="C88" s="242"/>
      <c r="D88" s="61"/>
      <c r="E88" s="278" t="s">
        <v>765</v>
      </c>
      <c r="G88" s="279" t="str">
        <f>IF(ISBLANK($K$86),IF(BandLohnBer="",IF(BandLohnRechner="","",BandLohnRechner),IF(BandLohnRechner="",BandLohnBer,"FEHLER")),"-")</f>
        <v/>
      </c>
      <c r="I88" s="774" t="s">
        <v>809</v>
      </c>
      <c r="L88" s="280" t="str">
        <f>IF(ISBLANK($K$86),IF(EWLohnBer="",IF(EWLohnRechner="","",EWLohnRechner),IF(EWLohnRechner="",EWLohnBer,"FEHLER")),"-")</f>
        <v/>
      </c>
      <c r="M88" s="269"/>
      <c r="O88" s="1105" t="str">
        <f>Stammdaten_DropDown!A116</f>
        <v>In dem Fall ist das Prädikat auf dem Wert «NA» (keine Beurteilung) zu belassen.</v>
      </c>
      <c r="P88" s="1105"/>
      <c r="Q88" s="1105"/>
    </row>
    <row r="89" spans="2:17" s="247" customFormat="1" x14ac:dyDescent="0.2">
      <c r="B89" s="243"/>
      <c r="C89" s="242"/>
      <c r="D89" s="61"/>
      <c r="E89" s="448" t="b">
        <f>AND(BandLohnBer&lt;&gt;"",BandLohnRechner&lt;&gt;"")</f>
        <v>0</v>
      </c>
      <c r="F89" s="248"/>
      <c r="G89" s="563" t="str">
        <f>IF(E89,"2 Lohnbänder gefunden","")</f>
        <v/>
      </c>
      <c r="H89" s="777" t="b">
        <f>AND(EWLohnBer&lt;&gt;"",EWLohnRechner&lt;&gt;"")</f>
        <v>0</v>
      </c>
      <c r="J89" s="248"/>
      <c r="K89" s="1092" t="str">
        <f>IF(H89,"2 Erfahrungswerte gefunden","")</f>
        <v/>
      </c>
      <c r="L89" s="1092"/>
      <c r="M89" s="269"/>
      <c r="O89" s="242"/>
    </row>
    <row r="90" spans="2:17" s="247" customFormat="1" x14ac:dyDescent="0.2">
      <c r="B90" s="243"/>
      <c r="C90" s="242"/>
      <c r="D90" s="61"/>
      <c r="E90" s="595"/>
      <c r="I90" s="774" t="s">
        <v>1113</v>
      </c>
      <c r="L90" s="778" t="str">
        <f>IF(ISBLANK($K$86),IF(LohnLohnBer="",IF(LohnLohnRechner="","",LohnLohnRechner),IF(LohnLohnRechner="",LohnLohnBer,"FEHLER")),"-")</f>
        <v/>
      </c>
      <c r="M90" s="269"/>
      <c r="O90" s="1096" t="str">
        <f>Stammdaten_DropDown!A117</f>
        <v xml:space="preserve">Falls eine individuelle  Lohnentwicklung gewährt werden soll, ist das entsprechende Prädikat aus der relevanten MAG-Phase im Dropdown-Menu auszuwählen. </v>
      </c>
      <c r="P90" s="1096"/>
      <c r="Q90" s="1096"/>
    </row>
    <row r="91" spans="2:17" s="247" customFormat="1" x14ac:dyDescent="0.2">
      <c r="B91" s="243"/>
      <c r="C91" s="242"/>
      <c r="D91" s="61"/>
      <c r="E91" s="248"/>
      <c r="F91" s="248"/>
      <c r="G91" s="248"/>
      <c r="H91" s="248"/>
      <c r="I91" s="448" t="b">
        <f>AND(LohnLohnBer&lt;&gt;"",LohnLohnRechner&lt;&gt;"")</f>
        <v>0</v>
      </c>
      <c r="J91" s="248"/>
      <c r="K91" s="1092" t="str">
        <f>IF(I91,"2 Löhne gefunden","")</f>
        <v/>
      </c>
      <c r="L91" s="1092"/>
      <c r="M91" s="269"/>
      <c r="O91" s="1096"/>
      <c r="P91" s="1096"/>
      <c r="Q91" s="1096"/>
    </row>
    <row r="92" spans="2:17" s="247" customFormat="1" x14ac:dyDescent="0.2">
      <c r="B92" s="243"/>
      <c r="C92" s="242"/>
      <c r="D92" s="61"/>
      <c r="E92" s="248" t="str">
        <f>CONCATENATE("Lohnentwicklung per 01.01.",LohntabelleM!I1+1," gewähren?")</f>
        <v>Lohnentwicklung per 01.01.2025 gewähren?</v>
      </c>
      <c r="F92" s="248"/>
      <c r="G92" s="248"/>
      <c r="H92" s="913"/>
      <c r="I92" s="448"/>
      <c r="J92" s="248"/>
      <c r="K92" s="905" t="s">
        <v>1966</v>
      </c>
      <c r="L92" s="914" t="str">
        <f>M92</f>
        <v/>
      </c>
      <c r="M92" s="901" t="str">
        <f>IF(H92="Ja","A",IF(H92="Nein","NA",""))</f>
        <v/>
      </c>
      <c r="O92" s="1105" t="str">
        <f>Stammdaten_DropDown!A118</f>
        <v>Ist noch keine Beurteilung hinterlegt, so ist das Prädikat auf «A» zu belassen.</v>
      </c>
      <c r="P92" s="1105"/>
      <c r="Q92" s="1105"/>
    </row>
    <row r="93" spans="2:17" s="247" customFormat="1" ht="8.1" customHeight="1" x14ac:dyDescent="0.2">
      <c r="B93" s="243"/>
      <c r="C93" s="242"/>
      <c r="D93" s="63"/>
      <c r="E93" s="64"/>
      <c r="F93" s="64"/>
      <c r="G93" s="65"/>
      <c r="H93" s="64"/>
      <c r="I93" s="64"/>
      <c r="J93" s="64"/>
      <c r="K93" s="64"/>
      <c r="L93" s="64"/>
      <c r="M93" s="282"/>
    </row>
    <row r="94" spans="2:17" s="247" customFormat="1" ht="10.9" customHeight="1" x14ac:dyDescent="0.2">
      <c r="B94" s="243"/>
      <c r="C94" s="242"/>
      <c r="E94" s="242"/>
      <c r="F94" s="242"/>
      <c r="G94" s="283"/>
      <c r="H94" s="242"/>
      <c r="I94" s="242"/>
      <c r="J94" s="242"/>
      <c r="K94" s="242"/>
      <c r="L94" s="242"/>
    </row>
    <row r="95" spans="2:17" s="247" customFormat="1" ht="64.349999999999994" customHeight="1" x14ac:dyDescent="0.2">
      <c r="B95" s="243"/>
      <c r="C95" s="238"/>
      <c r="D95" s="1063" t="s">
        <v>966</v>
      </c>
      <c r="E95" s="1063"/>
      <c r="F95" s="1063"/>
      <c r="G95" s="1063"/>
      <c r="H95" s="1063"/>
      <c r="I95" s="1063"/>
      <c r="J95" s="1063"/>
      <c r="K95" s="1063"/>
      <c r="L95" s="1063"/>
    </row>
    <row r="96" spans="2:17" s="247" customFormat="1" ht="17.25" customHeight="1" x14ac:dyDescent="0.2">
      <c r="B96" s="243"/>
      <c r="C96" s="238"/>
      <c r="D96" s="1063"/>
      <c r="E96" s="1063"/>
      <c r="F96" s="1063"/>
      <c r="G96" s="1063"/>
      <c r="H96" s="1063"/>
      <c r="I96" s="1063"/>
      <c r="J96" s="1063"/>
      <c r="K96" s="1063"/>
      <c r="L96" s="1063"/>
    </row>
    <row r="97" spans="1:18" s="247" customFormat="1" x14ac:dyDescent="0.2">
      <c r="B97" s="91"/>
      <c r="C97" s="238"/>
    </row>
    <row r="98" spans="1:18" s="247" customFormat="1" x14ac:dyDescent="0.2">
      <c r="B98" s="91"/>
      <c r="C98" s="238"/>
    </row>
    <row r="99" spans="1:18" s="247" customFormat="1" x14ac:dyDescent="0.2">
      <c r="B99" s="91"/>
      <c r="C99" s="238"/>
    </row>
    <row r="100" spans="1:18" s="247" customFormat="1" x14ac:dyDescent="0.2">
      <c r="B100" s="91"/>
      <c r="C100" s="238"/>
    </row>
    <row r="101" spans="1:18" s="247" customFormat="1" x14ac:dyDescent="0.2">
      <c r="B101" s="91"/>
      <c r="C101" s="238"/>
    </row>
    <row r="102" spans="1:18" s="247" customFormat="1" x14ac:dyDescent="0.2">
      <c r="B102" s="91"/>
      <c r="C102" s="238"/>
    </row>
    <row r="103" spans="1:18" s="247" customFormat="1" x14ac:dyDescent="0.2">
      <c r="B103" s="91"/>
      <c r="C103" s="238"/>
    </row>
    <row r="104" spans="1:18" s="247" customFormat="1" x14ac:dyDescent="0.2">
      <c r="B104" s="91"/>
      <c r="C104" s="238"/>
      <c r="E104" s="242"/>
      <c r="F104" s="242"/>
      <c r="G104" s="283"/>
      <c r="H104" s="242"/>
      <c r="I104" s="242"/>
      <c r="J104" s="242"/>
      <c r="K104" s="242"/>
      <c r="L104" s="242"/>
    </row>
    <row r="105" spans="1:18" s="247" customFormat="1" x14ac:dyDescent="0.2">
      <c r="B105" s="91"/>
      <c r="C105" s="238"/>
      <c r="D105" s="91"/>
      <c r="E105" s="91"/>
      <c r="F105" s="91"/>
      <c r="G105" s="91"/>
      <c r="H105" s="91"/>
      <c r="I105" s="91"/>
      <c r="J105" s="91"/>
      <c r="K105" s="91"/>
      <c r="L105" s="91"/>
      <c r="M105" s="91"/>
    </row>
    <row r="106" spans="1:18" s="238" customFormat="1" x14ac:dyDescent="0.2">
      <c r="A106" s="91"/>
      <c r="B106" s="91"/>
      <c r="D106" s="91"/>
      <c r="E106" s="91"/>
      <c r="F106" s="91"/>
      <c r="G106" s="91"/>
      <c r="H106" s="91"/>
      <c r="I106" s="91"/>
      <c r="J106" s="91"/>
      <c r="K106" s="91"/>
      <c r="L106" s="91"/>
      <c r="M106" s="91"/>
      <c r="N106" s="91"/>
      <c r="O106" s="91"/>
      <c r="P106" s="91"/>
      <c r="Q106" s="91"/>
      <c r="R106" s="91"/>
    </row>
    <row r="107" spans="1:18" s="238" customFormat="1" x14ac:dyDescent="0.2">
      <c r="A107" s="91"/>
      <c r="B107" s="91"/>
      <c r="D107" s="91"/>
      <c r="E107" s="91"/>
      <c r="F107" s="91"/>
      <c r="G107" s="91"/>
      <c r="H107" s="91"/>
      <c r="I107" s="91"/>
      <c r="J107" s="91"/>
      <c r="K107" s="91"/>
      <c r="L107" s="91"/>
      <c r="M107" s="91"/>
      <c r="N107" s="91"/>
      <c r="O107" s="91"/>
      <c r="P107" s="91"/>
      <c r="Q107" s="91"/>
      <c r="R107" s="91"/>
    </row>
    <row r="108" spans="1:18" s="238" customFormat="1" x14ac:dyDescent="0.2">
      <c r="A108" s="91"/>
      <c r="B108" s="91"/>
      <c r="D108" s="91"/>
      <c r="E108" s="91"/>
      <c r="F108" s="91"/>
      <c r="G108" s="91"/>
      <c r="H108" s="91"/>
      <c r="I108" s="91"/>
      <c r="J108" s="91"/>
      <c r="K108" s="91"/>
      <c r="L108" s="91"/>
      <c r="M108" s="91"/>
      <c r="N108" s="91"/>
      <c r="O108" s="91"/>
      <c r="P108" s="91"/>
      <c r="Q108" s="91"/>
      <c r="R108" s="91"/>
    </row>
    <row r="109" spans="1:18" s="238" customFormat="1" x14ac:dyDescent="0.2">
      <c r="A109" s="91"/>
      <c r="B109" s="91"/>
      <c r="D109" s="91"/>
      <c r="E109" s="91"/>
      <c r="F109" s="91"/>
      <c r="G109" s="91"/>
      <c r="H109" s="91"/>
      <c r="I109" s="91"/>
      <c r="J109" s="91"/>
      <c r="K109" s="91"/>
      <c r="L109" s="91"/>
      <c r="M109" s="91"/>
      <c r="N109" s="91"/>
      <c r="O109" s="91"/>
      <c r="P109" s="91"/>
      <c r="Q109" s="91"/>
      <c r="R109" s="91"/>
    </row>
    <row r="110" spans="1:18" s="238" customFormat="1" x14ac:dyDescent="0.2">
      <c r="A110" s="91"/>
      <c r="B110" s="91"/>
      <c r="D110" s="91"/>
      <c r="E110" s="91"/>
      <c r="F110" s="91"/>
      <c r="G110" s="91"/>
      <c r="H110" s="91"/>
      <c r="I110" s="91"/>
      <c r="J110" s="91"/>
      <c r="K110" s="91"/>
      <c r="L110" s="91"/>
      <c r="M110" s="91"/>
      <c r="N110" s="91"/>
      <c r="O110" s="91"/>
      <c r="P110" s="91"/>
      <c r="Q110" s="91"/>
      <c r="R110" s="91"/>
    </row>
    <row r="111" spans="1:18" s="238" customFormat="1" x14ac:dyDescent="0.2">
      <c r="A111" s="91"/>
      <c r="B111" s="91"/>
      <c r="D111" s="91"/>
      <c r="E111" s="91"/>
      <c r="F111" s="91"/>
      <c r="G111" s="91"/>
      <c r="H111" s="91"/>
      <c r="I111" s="91"/>
      <c r="J111" s="91"/>
      <c r="K111" s="91"/>
      <c r="L111" s="91"/>
      <c r="M111" s="91"/>
      <c r="N111" s="91"/>
      <c r="O111" s="91"/>
      <c r="P111" s="91"/>
      <c r="Q111" s="91"/>
      <c r="R111" s="91"/>
    </row>
    <row r="112" spans="1:18" s="238" customFormat="1" x14ac:dyDescent="0.2">
      <c r="A112" s="91"/>
      <c r="B112" s="91"/>
      <c r="D112" s="91"/>
      <c r="E112" s="91"/>
      <c r="F112" s="91"/>
      <c r="G112" s="91"/>
      <c r="H112" s="91"/>
      <c r="I112" s="91"/>
      <c r="J112" s="91"/>
      <c r="K112" s="91"/>
      <c r="L112" s="91"/>
      <c r="M112" s="91"/>
      <c r="N112" s="91"/>
      <c r="O112" s="91"/>
      <c r="P112" s="91"/>
      <c r="Q112" s="91"/>
      <c r="R112" s="91"/>
    </row>
    <row r="113" spans="1:18" s="238" customFormat="1" x14ac:dyDescent="0.2">
      <c r="A113" s="91"/>
      <c r="B113" s="91"/>
      <c r="D113" s="91"/>
      <c r="E113" s="91"/>
      <c r="F113" s="91"/>
      <c r="G113" s="91"/>
      <c r="H113" s="91"/>
      <c r="I113" s="91"/>
      <c r="J113" s="91"/>
      <c r="K113" s="91"/>
      <c r="L113" s="91"/>
      <c r="M113" s="91"/>
      <c r="N113" s="91"/>
      <c r="O113" s="91"/>
      <c r="P113" s="91"/>
      <c r="Q113" s="91"/>
      <c r="R113" s="91"/>
    </row>
  </sheetData>
  <sheetProtection algorithmName="SHA-512" hashValue="DCWnpvzLIN5X/KiitB/XMz55BVNQ9KcoPlVKlOrO0++jsa5Ls+CblXnVaWGsOjj0QuWTw48VGIV/9SDNzq2AVg==" saltValue="jSDP0NNhkkHGDfrRw7fzMg==" spinCount="100000" sheet="1"/>
  <mergeCells count="47">
    <mergeCell ref="O11:P12"/>
    <mergeCell ref="O58:Q81"/>
    <mergeCell ref="O84:Q84"/>
    <mergeCell ref="O86:Q86"/>
    <mergeCell ref="O87:Q87"/>
    <mergeCell ref="H68:I68"/>
    <mergeCell ref="J68:L68"/>
    <mergeCell ref="D95:L96"/>
    <mergeCell ref="E79:L79"/>
    <mergeCell ref="K91:L91"/>
    <mergeCell ref="E72:F72"/>
    <mergeCell ref="G72:L72"/>
    <mergeCell ref="E76:K76"/>
    <mergeCell ref="E78:L78"/>
    <mergeCell ref="H70:L70"/>
    <mergeCell ref="O88:Q88"/>
    <mergeCell ref="O90:Q91"/>
    <mergeCell ref="O92:Q92"/>
    <mergeCell ref="I17:L17"/>
    <mergeCell ref="G15:L15"/>
    <mergeCell ref="K63:L63"/>
    <mergeCell ref="J34:L34"/>
    <mergeCell ref="F23:J23"/>
    <mergeCell ref="F24:G24"/>
    <mergeCell ref="G30:L30"/>
    <mergeCell ref="G40:H40"/>
    <mergeCell ref="E47:G47"/>
    <mergeCell ref="E49:L49"/>
    <mergeCell ref="E50:L50"/>
    <mergeCell ref="E51:L51"/>
    <mergeCell ref="K32:L32"/>
    <mergeCell ref="D2:H2"/>
    <mergeCell ref="G11:H11"/>
    <mergeCell ref="K11:L11"/>
    <mergeCell ref="G13:H13"/>
    <mergeCell ref="K89:L89"/>
    <mergeCell ref="F21:K21"/>
    <mergeCell ref="F22:L22"/>
    <mergeCell ref="K86:L86"/>
    <mergeCell ref="J36:L36"/>
    <mergeCell ref="E38:F38"/>
    <mergeCell ref="G38:H38"/>
    <mergeCell ref="I38:J38"/>
    <mergeCell ref="K38:L38"/>
    <mergeCell ref="E80:L80"/>
    <mergeCell ref="H53:K53"/>
    <mergeCell ref="H36:I36"/>
  </mergeCells>
  <conditionalFormatting sqref="G88">
    <cfRule type="expression" dxfId="158" priority="7">
      <formula>E89</formula>
    </cfRule>
  </conditionalFormatting>
  <conditionalFormatting sqref="L88">
    <cfRule type="expression" dxfId="157" priority="172">
      <formula>H89</formula>
    </cfRule>
  </conditionalFormatting>
  <conditionalFormatting sqref="L90">
    <cfRule type="expression" dxfId="156" priority="177">
      <formula>I91</formula>
    </cfRule>
  </conditionalFormatting>
  <conditionalFormatting sqref="F21:K21">
    <cfRule type="containsText" dxfId="155" priority="4" operator="containsText" text="&gt; chronologischer Lebenslauf (vollständige und auf Monate genaue Angaben)&#10;">
      <formula>NOT(ISERROR(SEARCH("&gt; chronologischer Lebenslauf (vollständige und auf Monate genaue Angaben)
",F21)))</formula>
    </cfRule>
  </conditionalFormatting>
  <conditionalFormatting sqref="K92">
    <cfRule type="expression" dxfId="154" priority="3">
      <formula>#REF!</formula>
    </cfRule>
  </conditionalFormatting>
  <conditionalFormatting sqref="K92:L92 O88:Q92">
    <cfRule type="expression" dxfId="153" priority="2">
      <formula>$H$92=""</formula>
    </cfRule>
  </conditionalFormatting>
  <conditionalFormatting sqref="E72:L92 O84:Q92">
    <cfRule type="expression" dxfId="152" priority="1">
      <formula>$H$70=""</formula>
    </cfRule>
  </conditionalFormatting>
  <dataValidations count="9">
    <dataValidation type="list" operator="greaterThan" showInputMessage="1" showErrorMessage="1" errorTitle="Fehler" sqref="G30">
      <formula1>TSMAnst</formula1>
    </dataValidation>
    <dataValidation operator="greaterThan" showInputMessage="1" showErrorMessage="1" errorTitle="Fehler" error="Geben Sie ein gültiges Datum dd.mm.yyyy ein!" sqref="L40 G40 L44:L46 H44:I46 H42"/>
    <dataValidation type="date" operator="greaterThan" allowBlank="1" showInputMessage="1" showErrorMessage="1" errorTitle="Fehler" error="Geben Sie ein gültiges Datum dd.mm.yyyy ein!" sqref="G32 G19:G20 H63 G64">
      <formula1>1</formula1>
    </dataValidation>
    <dataValidation type="whole" operator="greaterThan" allowBlank="1" showInputMessage="1" showErrorMessage="1" errorTitle="Fehler" error="Ungültige Postleitzahl" sqref="G17">
      <formula1>0</formula1>
    </dataValidation>
    <dataValidation operator="greaterThan" allowBlank="1" showInputMessage="1" showErrorMessage="1" errorTitle="Fehler" error="Pensum als Ganzzahl angeben" sqref="L90 K92"/>
    <dataValidation type="list" allowBlank="1" showInputMessage="1" showErrorMessage="1" sqref="K32">
      <formula1>Anstellung</formula1>
    </dataValidation>
    <dataValidation type="list" allowBlank="1" showInputMessage="1" showErrorMessage="1" sqref="J36:L36">
      <formula1>BegründungFürBefristung</formula1>
    </dataValidation>
    <dataValidation type="list" allowBlank="1" showInputMessage="1" showErrorMessage="1" sqref="K38:L38">
      <formula1>KompetenzDerSchulleitung</formula1>
    </dataValidation>
    <dataValidation allowBlank="1" showInputMessage="1" sqref="J68:L68"/>
  </dataValidations>
  <hyperlinks>
    <hyperlink ref="O11:P12" location="_A_Grunddaten" display="Zurück zu Grunddaten"/>
  </hyperlinks>
  <pageMargins left="0.70866141732283472" right="0.70866141732283472" top="0.78740157480314965" bottom="0.78740157480314965" header="0.31496062992125984" footer="0.31496062992125984"/>
  <pageSetup paperSize="9" scale="94" fitToHeight="0" orientation="portrait" r:id="rId1"/>
  <headerFooter>
    <oddFooter>Seite &amp;P von &amp;N</oddFooter>
  </headerFooter>
  <rowBreaks count="1" manualBreakCount="1">
    <brk id="54" max="16383" man="1"/>
  </rowBreaks>
  <ignoredErrors>
    <ignoredError sqref="L92"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85028" r:id="rId4" name="Check Box 4">
              <controlPr defaultSize="0" autoFill="0" autoLine="0" autoPict="0">
                <anchor>
                  <from>
                    <xdr:col>7</xdr:col>
                    <xdr:colOff>742950</xdr:colOff>
                    <xdr:row>32</xdr:row>
                    <xdr:rowOff>133350</xdr:rowOff>
                  </from>
                  <to>
                    <xdr:col>11</xdr:col>
                    <xdr:colOff>581025</xdr:colOff>
                    <xdr:row>34</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Stammdaten_DropDown!$E$92:$E$99</xm:f>
          </x14:formula1>
          <xm:sqref>H70:L70</xm:sqref>
        </x14:dataValidation>
        <x14:dataValidation type="list" allowBlank="1" showInputMessage="1" showErrorMessage="1">
          <x14:formula1>
            <xm:f>Stammdaten_DropDown!$E$102:$E$103</xm:f>
          </x14:formula1>
          <xm:sqref>H92</xm:sqref>
        </x14:dataValidation>
        <x14:dataValidation type="list" allowBlank="1" showInputMessage="1" showErrorMessage="1">
          <x14:formula1>
            <xm:f>Stammdaten_DropDown!$E$106:$E$109</xm:f>
          </x14:formula1>
          <xm:sqref>L92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1">
    <tabColor theme="7" tint="0.39997558519241921"/>
    <pageSetUpPr fitToPage="1"/>
  </sheetPr>
  <dimension ref="A1:R99"/>
  <sheetViews>
    <sheetView zoomScaleNormal="100" workbookViewId="0">
      <selection activeCell="N79" sqref="N79:P79"/>
    </sheetView>
  </sheetViews>
  <sheetFormatPr baseColWidth="10" defaultColWidth="11.5703125" defaultRowHeight="12.75" x14ac:dyDescent="0.2"/>
  <cols>
    <col min="1" max="1" width="2.5703125" style="91" customWidth="1"/>
    <col min="2" max="2" width="1.42578125" style="91" customWidth="1"/>
    <col min="3" max="3" width="1.5703125" style="91" customWidth="1"/>
    <col min="4" max="4" width="3.5703125" style="91" customWidth="1"/>
    <col min="5" max="5" width="11.5703125" style="91"/>
    <col min="6" max="6" width="13.5703125" style="91" customWidth="1"/>
    <col min="7" max="7" width="11.85546875" style="91" bestFit="1" customWidth="1"/>
    <col min="8" max="8" width="11" style="91" customWidth="1"/>
    <col min="9" max="9" width="16.85546875" style="91" customWidth="1"/>
    <col min="10" max="10" width="4.7109375" style="91" customWidth="1"/>
    <col min="11" max="11" width="12.5703125" style="91" customWidth="1"/>
    <col min="12" max="12" width="2.42578125" style="91" customWidth="1"/>
    <col min="13" max="13" width="2.5703125" style="91" customWidth="1"/>
    <col min="14" max="15" width="11.5703125" style="91"/>
    <col min="16" max="16" width="48.140625" style="91" customWidth="1"/>
    <col min="17" max="17" width="11.5703125" style="91"/>
    <col min="18" max="18" width="69.42578125" style="91" hidden="1" customWidth="1"/>
    <col min="19" max="16384" width="11.5703125" style="91"/>
  </cols>
  <sheetData>
    <row r="1" spans="1:16" ht="6.6" customHeight="1" x14ac:dyDescent="0.2">
      <c r="C1" s="242"/>
      <c r="D1" s="242"/>
      <c r="E1" s="242"/>
      <c r="F1" s="242"/>
      <c r="G1" s="242"/>
      <c r="H1" s="242"/>
      <c r="I1" s="242"/>
      <c r="J1" s="242"/>
      <c r="K1" s="242"/>
      <c r="L1" s="242"/>
    </row>
    <row r="2" spans="1:16" ht="45" customHeight="1" x14ac:dyDescent="0.2">
      <c r="C2" s="242"/>
      <c r="D2" s="1086" t="s">
        <v>1961</v>
      </c>
      <c r="E2" s="1086"/>
      <c r="F2" s="1086"/>
      <c r="G2" s="1086"/>
      <c r="H2" s="1086"/>
      <c r="I2" s="1086"/>
      <c r="J2" s="248"/>
      <c r="K2" s="248"/>
      <c r="L2" s="242"/>
    </row>
    <row r="3" spans="1:16" s="238" customFormat="1" ht="21" customHeight="1" x14ac:dyDescent="0.2">
      <c r="B3" s="239"/>
      <c r="D3" s="324" t="s">
        <v>950</v>
      </c>
      <c r="F3" s="324"/>
      <c r="H3" s="240"/>
      <c r="I3" s="240"/>
      <c r="J3" s="240"/>
      <c r="K3" s="240"/>
      <c r="L3" s="240"/>
      <c r="M3" s="240"/>
      <c r="N3" s="240"/>
    </row>
    <row r="4" spans="1:16" s="247" customFormat="1" ht="6.75" customHeight="1" x14ac:dyDescent="0.2">
      <c r="A4" s="242"/>
      <c r="B4" s="243"/>
      <c r="C4" s="243"/>
      <c r="D4" s="243"/>
      <c r="E4" s="243"/>
      <c r="F4" s="244"/>
      <c r="G4" s="243"/>
      <c r="H4" s="245"/>
      <c r="I4" s="246"/>
      <c r="J4" s="245"/>
      <c r="K4" s="245"/>
      <c r="L4" s="245"/>
      <c r="N4" s="240"/>
    </row>
    <row r="5" spans="1:16" s="247" customFormat="1" ht="6" customHeight="1" x14ac:dyDescent="0.2">
      <c r="A5" s="242"/>
      <c r="B5" s="243"/>
      <c r="C5" s="242"/>
      <c r="D5" s="242"/>
      <c r="E5" s="242"/>
      <c r="F5" s="324"/>
      <c r="G5" s="242"/>
      <c r="H5" s="248"/>
      <c r="I5" s="249"/>
      <c r="J5" s="248"/>
      <c r="K5" s="248"/>
      <c r="L5" s="248"/>
      <c r="M5" s="248"/>
      <c r="N5" s="242"/>
    </row>
    <row r="6" spans="1:16" s="247" customFormat="1" ht="5.0999999999999996" customHeight="1" x14ac:dyDescent="0.2">
      <c r="B6" s="243"/>
      <c r="C6" s="242"/>
      <c r="D6" s="203"/>
      <c r="E6" s="272"/>
      <c r="F6" s="379"/>
      <c r="G6" s="273"/>
      <c r="H6" s="272"/>
      <c r="I6" s="272"/>
      <c r="J6" s="272"/>
      <c r="K6" s="272"/>
      <c r="L6" s="204"/>
    </row>
    <row r="7" spans="1:16" s="247" customFormat="1" x14ac:dyDescent="0.2">
      <c r="B7" s="243"/>
      <c r="C7" s="242"/>
      <c r="D7" s="205"/>
      <c r="E7" s="324" t="s">
        <v>771</v>
      </c>
      <c r="F7" s="248"/>
      <c r="G7" s="249"/>
      <c r="H7" s="248"/>
      <c r="I7" s="248"/>
      <c r="J7" s="248"/>
      <c r="K7" s="248"/>
      <c r="L7" s="206"/>
    </row>
    <row r="8" spans="1:16" s="247" customFormat="1" x14ac:dyDescent="0.2">
      <c r="B8" s="243"/>
      <c r="C8" s="242"/>
      <c r="D8" s="205"/>
      <c r="E8" s="248"/>
      <c r="F8" s="248"/>
      <c r="G8" s="249"/>
      <c r="H8" s="248"/>
      <c r="I8" s="248"/>
      <c r="J8" s="248"/>
      <c r="K8" s="248"/>
      <c r="L8" s="206"/>
    </row>
    <row r="9" spans="1:16" s="247" customFormat="1" x14ac:dyDescent="0.2">
      <c r="B9" s="250"/>
      <c r="C9" s="238"/>
      <c r="D9" s="61"/>
      <c r="E9" s="248" t="s">
        <v>974</v>
      </c>
      <c r="F9" s="248"/>
      <c r="G9" s="655" t="str">
        <f>IF(MAAnrede&lt;&gt;"",MAAnrede,"")</f>
        <v/>
      </c>
      <c r="H9" s="248"/>
      <c r="I9" s="248"/>
      <c r="J9" s="248"/>
      <c r="K9" s="248"/>
      <c r="L9" s="62"/>
    </row>
    <row r="10" spans="1:16" s="247" customFormat="1" x14ac:dyDescent="0.2">
      <c r="B10" s="243"/>
      <c r="C10" s="242"/>
      <c r="D10" s="205"/>
      <c r="E10" s="248"/>
      <c r="F10" s="248"/>
      <c r="G10" s="653"/>
      <c r="H10" s="248"/>
      <c r="I10" s="248"/>
      <c r="J10" s="248"/>
      <c r="K10" s="248"/>
      <c r="L10" s="206"/>
    </row>
    <row r="11" spans="1:16" s="247" customFormat="1" ht="12.6" customHeight="1" x14ac:dyDescent="0.2">
      <c r="B11" s="250"/>
      <c r="C11" s="238"/>
      <c r="D11" s="61"/>
      <c r="E11" s="248" t="s">
        <v>757</v>
      </c>
      <c r="F11" s="248"/>
      <c r="G11" s="1130" t="str">
        <f>IF(MAName&lt;&gt;"",MAName,"")</f>
        <v/>
      </c>
      <c r="H11" s="1130"/>
      <c r="I11" s="248" t="s">
        <v>758</v>
      </c>
      <c r="J11" s="1130" t="str">
        <f>IF(MAVorname&lt;&gt;"",MAVorname,"")</f>
        <v/>
      </c>
      <c r="K11" s="1130"/>
      <c r="L11" s="62"/>
      <c r="N11" s="1068" t="s">
        <v>1040</v>
      </c>
      <c r="O11" s="1069"/>
      <c r="P11" s="711"/>
    </row>
    <row r="12" spans="1:16" s="247" customFormat="1" ht="12.6" customHeight="1" x14ac:dyDescent="0.2">
      <c r="B12" s="250"/>
      <c r="C12" s="238"/>
      <c r="D12" s="61"/>
      <c r="E12" s="248"/>
      <c r="F12" s="248"/>
      <c r="G12" s="248"/>
      <c r="H12" s="248"/>
      <c r="I12" s="248"/>
      <c r="J12" s="248"/>
      <c r="K12" s="248"/>
      <c r="L12" s="62"/>
      <c r="N12" s="1070"/>
      <c r="O12" s="1071"/>
      <c r="P12" s="711"/>
    </row>
    <row r="13" spans="1:16" s="247" customFormat="1" x14ac:dyDescent="0.2">
      <c r="B13" s="250"/>
      <c r="C13" s="238"/>
      <c r="D13" s="61"/>
      <c r="E13" s="248" t="s">
        <v>764</v>
      </c>
      <c r="F13" s="248"/>
      <c r="G13" s="1130" t="str">
        <f>IF(MAVertragsNr&lt;&gt;"",MAVertragsNr,"")</f>
        <v/>
      </c>
      <c r="H13" s="1130"/>
      <c r="I13" s="248" t="s">
        <v>763</v>
      </c>
      <c r="J13" s="1130" t="str">
        <f>IF(MAPersID&lt;&gt;"",MAPersID,"")</f>
        <v/>
      </c>
      <c r="K13" s="1130"/>
      <c r="L13" s="62"/>
    </row>
    <row r="14" spans="1:16" s="247" customFormat="1" x14ac:dyDescent="0.2">
      <c r="B14" s="250"/>
      <c r="C14" s="238"/>
      <c r="D14" s="61"/>
      <c r="E14" s="248"/>
      <c r="F14" s="248"/>
      <c r="G14" s="249"/>
      <c r="H14" s="248"/>
      <c r="I14" s="248"/>
      <c r="J14" s="248"/>
      <c r="K14" s="248"/>
      <c r="L14" s="269"/>
    </row>
    <row r="15" spans="1:16" s="247" customFormat="1" x14ac:dyDescent="0.2">
      <c r="B15" s="250"/>
      <c r="C15" s="238"/>
      <c r="D15" s="61"/>
      <c r="E15" s="248" t="s">
        <v>756</v>
      </c>
      <c r="F15" s="248"/>
      <c r="G15" s="1088"/>
      <c r="H15" s="1088"/>
      <c r="I15" s="1088"/>
      <c r="J15" s="1088"/>
      <c r="K15" s="1088"/>
      <c r="L15" s="62"/>
    </row>
    <row r="16" spans="1:16" s="247" customFormat="1" x14ac:dyDescent="0.2">
      <c r="B16" s="250"/>
      <c r="C16" s="238"/>
      <c r="D16" s="61"/>
      <c r="E16" s="248"/>
      <c r="F16" s="248"/>
      <c r="G16" s="249"/>
      <c r="H16" s="248"/>
      <c r="I16" s="248"/>
      <c r="J16" s="248"/>
      <c r="K16" s="248"/>
      <c r="L16" s="269"/>
    </row>
    <row r="17" spans="2:12" s="247" customFormat="1" x14ac:dyDescent="0.2">
      <c r="B17" s="250"/>
      <c r="C17" s="238"/>
      <c r="D17" s="61"/>
      <c r="E17" s="248" t="s">
        <v>759</v>
      </c>
      <c r="F17" s="248"/>
      <c r="G17" s="100"/>
      <c r="H17" s="596" t="s">
        <v>760</v>
      </c>
      <c r="I17" s="1088"/>
      <c r="J17" s="1088"/>
      <c r="K17" s="1088"/>
      <c r="L17" s="62"/>
    </row>
    <row r="18" spans="2:12" s="247" customFormat="1" x14ac:dyDescent="0.2">
      <c r="B18" s="250"/>
      <c r="C18" s="238"/>
      <c r="D18" s="61"/>
      <c r="E18" s="248"/>
      <c r="F18" s="248"/>
      <c r="G18" s="249"/>
      <c r="H18" s="248"/>
      <c r="I18" s="248"/>
      <c r="J18" s="248"/>
      <c r="K18" s="249"/>
      <c r="L18" s="62"/>
    </row>
    <row r="19" spans="2:12" s="247" customFormat="1" x14ac:dyDescent="0.2">
      <c r="B19" s="250"/>
      <c r="C19" s="238"/>
      <c r="D19" s="61"/>
      <c r="E19" s="248" t="s">
        <v>761</v>
      </c>
      <c r="F19" s="248"/>
      <c r="G19" s="480">
        <f>MAGeburtsdatum</f>
        <v>0</v>
      </c>
      <c r="H19" s="248"/>
      <c r="I19" s="248"/>
      <c r="J19" s="248"/>
      <c r="K19" s="248"/>
      <c r="L19" s="62"/>
    </row>
    <row r="20" spans="2:12" s="247" customFormat="1" x14ac:dyDescent="0.2">
      <c r="B20" s="250"/>
      <c r="C20" s="238"/>
      <c r="D20" s="61"/>
      <c r="E20" s="248"/>
      <c r="F20" s="248"/>
      <c r="G20" s="248"/>
      <c r="H20" s="248"/>
      <c r="I20" s="248"/>
      <c r="J20" s="248"/>
      <c r="K20" s="249"/>
      <c r="L20" s="62"/>
    </row>
    <row r="21" spans="2:12" s="247" customFormat="1" ht="13.15" customHeight="1" x14ac:dyDescent="0.2">
      <c r="B21" s="243"/>
      <c r="D21" s="61"/>
      <c r="E21" s="457" t="s">
        <v>826</v>
      </c>
      <c r="F21" s="1054" t="s">
        <v>1085</v>
      </c>
      <c r="G21" s="1054"/>
      <c r="H21" s="1054"/>
      <c r="I21" s="1054"/>
      <c r="J21" s="1054"/>
      <c r="K21" s="586"/>
      <c r="L21" s="206"/>
    </row>
    <row r="22" spans="2:12" s="247" customFormat="1" ht="13.15" customHeight="1" x14ac:dyDescent="0.2">
      <c r="B22" s="243"/>
      <c r="D22" s="61"/>
      <c r="E22" s="457"/>
      <c r="F22" s="1054" t="s">
        <v>1083</v>
      </c>
      <c r="G22" s="1054"/>
      <c r="H22" s="1054"/>
      <c r="I22" s="1054"/>
      <c r="J22" s="1054"/>
      <c r="K22" s="1054"/>
      <c r="L22" s="876"/>
    </row>
    <row r="23" spans="2:12" s="247" customFormat="1" ht="13.15" customHeight="1" x14ac:dyDescent="0.2">
      <c r="B23" s="243"/>
      <c r="D23" s="61"/>
      <c r="E23" s="457"/>
      <c r="F23" s="1054" t="s">
        <v>1084</v>
      </c>
      <c r="G23" s="1054"/>
      <c r="H23" s="1054"/>
      <c r="I23" s="1054"/>
      <c r="J23" s="586"/>
      <c r="K23" s="586"/>
      <c r="L23" s="206"/>
    </row>
    <row r="24" spans="2:12" s="247" customFormat="1" ht="13.15" customHeight="1" x14ac:dyDescent="0.2">
      <c r="B24" s="243"/>
      <c r="D24" s="61"/>
      <c r="E24" s="457"/>
      <c r="F24" s="1054" t="s">
        <v>1086</v>
      </c>
      <c r="G24" s="1054"/>
      <c r="H24" s="586"/>
      <c r="I24" s="586"/>
      <c r="J24" s="586"/>
      <c r="K24" s="586"/>
      <c r="L24" s="206"/>
    </row>
    <row r="25" spans="2:12" s="247" customFormat="1" ht="8.1" customHeight="1" x14ac:dyDescent="0.2">
      <c r="B25" s="243"/>
      <c r="C25" s="242"/>
      <c r="D25" s="207"/>
      <c r="E25" s="64"/>
      <c r="F25" s="64"/>
      <c r="G25" s="65"/>
      <c r="H25" s="64"/>
      <c r="I25" s="64"/>
      <c r="J25" s="64"/>
      <c r="K25" s="64"/>
      <c r="L25" s="208"/>
    </row>
    <row r="26" spans="2:12" ht="6" customHeight="1" x14ac:dyDescent="0.2">
      <c r="B26" s="243"/>
      <c r="C26" s="242"/>
      <c r="D26" s="248"/>
      <c r="E26" s="352"/>
      <c r="F26" s="249"/>
      <c r="G26" s="248"/>
      <c r="H26" s="248"/>
      <c r="I26" s="248"/>
      <c r="J26" s="248"/>
      <c r="K26" s="242"/>
      <c r="L26" s="242"/>
    </row>
    <row r="27" spans="2:12" ht="5.0999999999999996" customHeight="1" x14ac:dyDescent="0.2">
      <c r="B27" s="243"/>
      <c r="C27" s="242"/>
      <c r="D27" s="380"/>
      <c r="E27" s="379"/>
      <c r="F27" s="273"/>
      <c r="G27" s="272"/>
      <c r="H27" s="272"/>
      <c r="I27" s="272"/>
      <c r="J27" s="272"/>
      <c r="K27" s="67"/>
      <c r="L27" s="204"/>
    </row>
    <row r="28" spans="2:12" x14ac:dyDescent="0.2">
      <c r="B28" s="243"/>
      <c r="C28" s="242"/>
      <c r="D28" s="205"/>
      <c r="E28" s="324" t="s">
        <v>982</v>
      </c>
      <c r="F28" s="352"/>
      <c r="G28" s="249"/>
      <c r="H28" s="248"/>
      <c r="I28" s="248"/>
      <c r="J28" s="248"/>
      <c r="K28" s="248"/>
      <c r="L28" s="206"/>
    </row>
    <row r="29" spans="2:12" x14ac:dyDescent="0.2">
      <c r="B29" s="243"/>
      <c r="C29" s="242"/>
      <c r="D29" s="205"/>
      <c r="E29" s="352"/>
      <c r="F29" s="352"/>
      <c r="G29" s="249"/>
      <c r="H29" s="248"/>
      <c r="I29" s="248"/>
      <c r="J29" s="248"/>
      <c r="K29" s="248"/>
      <c r="L29" s="206"/>
    </row>
    <row r="30" spans="2:12" s="247" customFormat="1" x14ac:dyDescent="0.2">
      <c r="B30" s="243"/>
      <c r="C30" s="242"/>
      <c r="D30" s="61"/>
      <c r="E30" s="248" t="s">
        <v>1049</v>
      </c>
      <c r="F30" s="350"/>
      <c r="G30" s="1127"/>
      <c r="H30" s="1127"/>
      <c r="I30" s="1127"/>
      <c r="J30" s="1127"/>
      <c r="K30" s="1127"/>
      <c r="L30" s="62"/>
    </row>
    <row r="31" spans="2:12" s="247" customFormat="1" x14ac:dyDescent="0.2">
      <c r="B31" s="243"/>
      <c r="C31" s="242"/>
      <c r="D31" s="61"/>
      <c r="E31" s="248"/>
      <c r="F31" s="248"/>
      <c r="H31" s="351"/>
      <c r="I31" s="351"/>
      <c r="L31" s="62"/>
    </row>
    <row r="32" spans="2:12" x14ac:dyDescent="0.2">
      <c r="B32" s="243"/>
      <c r="C32" s="242"/>
      <c r="D32" s="205"/>
      <c r="E32" s="248" t="s">
        <v>843</v>
      </c>
      <c r="F32" s="447"/>
      <c r="G32" s="249"/>
      <c r="H32" s="249" t="s">
        <v>6</v>
      </c>
      <c r="I32" s="235"/>
      <c r="J32" s="249" t="s">
        <v>7</v>
      </c>
      <c r="K32" s="235"/>
      <c r="L32" s="206"/>
    </row>
    <row r="33" spans="2:18" x14ac:dyDescent="0.2">
      <c r="B33" s="243"/>
      <c r="C33" s="242"/>
      <c r="D33" s="205"/>
      <c r="L33" s="206"/>
    </row>
    <row r="34" spans="2:18" x14ac:dyDescent="0.2">
      <c r="B34" s="243"/>
      <c r="C34" s="242"/>
      <c r="D34" s="205"/>
      <c r="E34" s="248" t="s">
        <v>833</v>
      </c>
      <c r="F34" s="248"/>
      <c r="G34" s="1088"/>
      <c r="H34" s="1088"/>
      <c r="I34" s="1088"/>
      <c r="J34" s="1088"/>
      <c r="K34" s="1088"/>
      <c r="L34" s="206"/>
    </row>
    <row r="35" spans="2:18" x14ac:dyDescent="0.2">
      <c r="B35" s="243"/>
      <c r="C35" s="242"/>
      <c r="D35" s="205"/>
      <c r="E35" s="248"/>
      <c r="F35" s="352"/>
      <c r="G35" s="249"/>
      <c r="H35" s="248"/>
      <c r="I35" s="248"/>
      <c r="J35" s="248"/>
      <c r="K35" s="248"/>
      <c r="L35" s="206"/>
    </row>
    <row r="36" spans="2:18" x14ac:dyDescent="0.2">
      <c r="B36" s="243"/>
      <c r="C36" s="242"/>
      <c r="D36" s="205"/>
      <c r="E36" s="248" t="s">
        <v>834</v>
      </c>
      <c r="F36" s="248"/>
      <c r="G36" s="1089"/>
      <c r="H36" s="1089"/>
      <c r="I36" s="1089"/>
      <c r="J36" s="1089"/>
      <c r="K36" s="1089"/>
      <c r="L36" s="206"/>
    </row>
    <row r="37" spans="2:18" x14ac:dyDescent="0.2">
      <c r="B37" s="243"/>
      <c r="C37" s="242"/>
      <c r="D37" s="205"/>
      <c r="E37" s="248"/>
      <c r="F37" s="352"/>
      <c r="G37" s="249"/>
      <c r="H37" s="248"/>
      <c r="I37" s="248"/>
      <c r="J37" s="248"/>
      <c r="K37" s="248"/>
      <c r="L37" s="206"/>
    </row>
    <row r="38" spans="2:18" x14ac:dyDescent="0.2">
      <c r="B38" s="243"/>
      <c r="C38" s="242"/>
      <c r="D38" s="205"/>
      <c r="E38" s="248" t="s">
        <v>963</v>
      </c>
      <c r="F38" s="248"/>
      <c r="G38" s="248"/>
      <c r="H38" s="1090"/>
      <c r="I38" s="1090"/>
      <c r="J38" s="1090"/>
      <c r="K38" s="1090"/>
      <c r="L38" s="206"/>
    </row>
    <row r="39" spans="2:18" x14ac:dyDescent="0.2">
      <c r="B39" s="243"/>
      <c r="C39" s="242"/>
      <c r="D39" s="205"/>
      <c r="E39" s="248"/>
      <c r="F39" s="248"/>
      <c r="G39" s="248"/>
      <c r="H39" s="248"/>
      <c r="J39" s="276" t="str">
        <f>IF(H38="Mentorat (401179) / Fachperson (401175)*", "* Stv.-Kosten zur Weiterverrechnung","")</f>
        <v/>
      </c>
      <c r="K39" s="355"/>
      <c r="L39" s="206"/>
    </row>
    <row r="40" spans="2:18" x14ac:dyDescent="0.2">
      <c r="B40" s="243"/>
      <c r="C40" s="242"/>
      <c r="D40" s="205"/>
      <c r="E40" s="1091" t="s">
        <v>1081</v>
      </c>
      <c r="F40" s="1091"/>
      <c r="G40" s="1091"/>
      <c r="H40" s="1091"/>
      <c r="I40" s="1091"/>
      <c r="J40" s="450" t="s">
        <v>1082</v>
      </c>
      <c r="K40" s="410"/>
      <c r="L40" s="206"/>
    </row>
    <row r="41" spans="2:18" x14ac:dyDescent="0.2">
      <c r="B41" s="243"/>
      <c r="C41" s="242"/>
      <c r="D41" s="381"/>
      <c r="E41" s="248"/>
      <c r="F41" s="248"/>
      <c r="G41" s="248"/>
      <c r="H41" s="248"/>
      <c r="I41" s="248"/>
      <c r="J41" s="248"/>
      <c r="K41" s="248"/>
      <c r="L41" s="269"/>
    </row>
    <row r="42" spans="2:18" s="247" customFormat="1" x14ac:dyDescent="0.2">
      <c r="B42" s="243"/>
      <c r="C42" s="238"/>
      <c r="D42" s="61"/>
      <c r="E42" s="1082" t="s">
        <v>979</v>
      </c>
      <c r="F42" s="1082"/>
      <c r="G42" s="1082"/>
      <c r="H42" s="325"/>
      <c r="I42" s="325"/>
      <c r="J42" s="325"/>
      <c r="K42" s="325"/>
      <c r="L42" s="327"/>
    </row>
    <row r="43" spans="2:18" s="247" customFormat="1" x14ac:dyDescent="0.2">
      <c r="B43" s="243"/>
      <c r="C43" s="238"/>
      <c r="D43" s="61"/>
      <c r="E43" s="248"/>
      <c r="F43" s="248"/>
      <c r="G43" s="249"/>
      <c r="H43" s="248"/>
      <c r="I43" s="248"/>
      <c r="J43" s="248"/>
      <c r="K43" s="248"/>
      <c r="L43" s="269"/>
      <c r="R43" s="247" t="s">
        <v>980</v>
      </c>
    </row>
    <row r="44" spans="2:18" s="247" customFormat="1" x14ac:dyDescent="0.2">
      <c r="B44" s="243"/>
      <c r="C44" s="238"/>
      <c r="D44" s="61"/>
      <c r="E44" s="1056"/>
      <c r="F44" s="1056"/>
      <c r="G44" s="1056"/>
      <c r="H44" s="1056"/>
      <c r="I44" s="1056"/>
      <c r="J44" s="1056"/>
      <c r="K44" s="1056"/>
      <c r="L44" s="62"/>
      <c r="R44" s="358">
        <f>E44</f>
        <v>0</v>
      </c>
    </row>
    <row r="45" spans="2:18" s="247" customFormat="1" x14ac:dyDescent="0.2">
      <c r="B45" s="243"/>
      <c r="C45" s="238"/>
      <c r="D45" s="61"/>
      <c r="E45" s="1056"/>
      <c r="F45" s="1056"/>
      <c r="G45" s="1056"/>
      <c r="H45" s="1056"/>
      <c r="I45" s="1056"/>
      <c r="J45" s="1056"/>
      <c r="K45" s="1056"/>
      <c r="L45" s="62"/>
      <c r="R45" s="358">
        <f>E45</f>
        <v>0</v>
      </c>
    </row>
    <row r="46" spans="2:18" s="247" customFormat="1" x14ac:dyDescent="0.2">
      <c r="B46" s="243"/>
      <c r="C46" s="238"/>
      <c r="D46" s="61"/>
      <c r="E46" s="1056"/>
      <c r="F46" s="1056"/>
      <c r="G46" s="1056"/>
      <c r="H46" s="1056"/>
      <c r="I46" s="1056"/>
      <c r="J46" s="1056"/>
      <c r="K46" s="1056"/>
      <c r="L46" s="62"/>
      <c r="M46" s="61"/>
      <c r="N46" s="451"/>
      <c r="R46" s="358">
        <f>E46</f>
        <v>0</v>
      </c>
    </row>
    <row r="47" spans="2:18" s="247" customFormat="1" x14ac:dyDescent="0.2">
      <c r="B47" s="243"/>
      <c r="C47" s="242"/>
      <c r="D47" s="61"/>
      <c r="E47" s="590"/>
      <c r="F47" s="452"/>
      <c r="G47" s="452"/>
      <c r="H47" s="452"/>
      <c r="I47" s="452"/>
      <c r="J47" s="452"/>
      <c r="K47" s="578"/>
      <c r="L47" s="206"/>
      <c r="M47" s="61"/>
      <c r="N47" s="451"/>
    </row>
    <row r="48" spans="2:18" s="247" customFormat="1" x14ac:dyDescent="0.2">
      <c r="B48" s="243"/>
      <c r="C48" s="238"/>
      <c r="D48" s="61"/>
      <c r="H48" s="1059" t="s">
        <v>1136</v>
      </c>
      <c r="I48" s="1059"/>
      <c r="J48" s="1059"/>
      <c r="K48" s="464"/>
      <c r="L48" s="62"/>
      <c r="M48" s="61"/>
      <c r="N48" s="451"/>
    </row>
    <row r="49" spans="1:16" ht="8.1" customHeight="1" x14ac:dyDescent="0.2">
      <c r="B49" s="243"/>
      <c r="C49" s="242"/>
      <c r="D49" s="207"/>
      <c r="E49" s="357"/>
      <c r="F49" s="357"/>
      <c r="G49" s="357"/>
      <c r="H49" s="382"/>
      <c r="I49" s="382"/>
      <c r="J49" s="383"/>
      <c r="K49" s="382"/>
      <c r="L49" s="208"/>
    </row>
    <row r="50" spans="1:16" s="247" customFormat="1" ht="6" customHeight="1" x14ac:dyDescent="0.2">
      <c r="C50" s="242"/>
      <c r="D50" s="242"/>
      <c r="E50" s="248"/>
      <c r="F50" s="248"/>
      <c r="G50" s="249"/>
      <c r="H50" s="248"/>
      <c r="I50" s="248"/>
      <c r="J50" s="248"/>
      <c r="K50" s="248"/>
      <c r="L50" s="248"/>
    </row>
    <row r="51" spans="1:16" s="238" customFormat="1" ht="21" customHeight="1" x14ac:dyDescent="0.2">
      <c r="B51" s="239"/>
      <c r="D51" s="241" t="s">
        <v>951</v>
      </c>
      <c r="F51" s="241"/>
      <c r="H51" s="240"/>
      <c r="I51" s="240"/>
      <c r="J51" s="240"/>
      <c r="K51" s="240"/>
      <c r="L51" s="240"/>
      <c r="M51" s="240"/>
    </row>
    <row r="52" spans="1:16" s="247" customFormat="1" ht="6.75" customHeight="1" x14ac:dyDescent="0.2">
      <c r="A52" s="242"/>
      <c r="B52" s="243"/>
      <c r="C52" s="243"/>
      <c r="D52" s="243"/>
      <c r="E52" s="243"/>
      <c r="F52" s="244"/>
      <c r="G52" s="243"/>
      <c r="H52" s="245"/>
      <c r="I52" s="246"/>
      <c r="J52" s="245"/>
      <c r="K52" s="245"/>
      <c r="L52" s="245"/>
      <c r="N52" s="1078" t="s">
        <v>2009</v>
      </c>
      <c r="O52" s="1078"/>
      <c r="P52" s="1078"/>
    </row>
    <row r="53" spans="1:16" s="247" customFormat="1" ht="6" customHeight="1" x14ac:dyDescent="0.2">
      <c r="A53" s="242"/>
      <c r="B53" s="243"/>
      <c r="C53" s="242"/>
      <c r="D53" s="242"/>
      <c r="E53" s="242"/>
      <c r="F53" s="324"/>
      <c r="G53" s="242"/>
      <c r="H53" s="248"/>
      <c r="I53" s="249"/>
      <c r="J53" s="248"/>
      <c r="K53" s="248"/>
      <c r="L53" s="248"/>
      <c r="M53" s="248"/>
      <c r="N53" s="1078"/>
      <c r="O53" s="1078"/>
      <c r="P53" s="1078"/>
    </row>
    <row r="54" spans="1:16" s="247" customFormat="1" ht="5.0999999999999996" customHeight="1" x14ac:dyDescent="0.2">
      <c r="B54" s="243"/>
      <c r="C54" s="242"/>
      <c r="D54" s="203"/>
      <c r="E54" s="272"/>
      <c r="F54" s="272"/>
      <c r="G54" s="273"/>
      <c r="H54" s="272"/>
      <c r="I54" s="272"/>
      <c r="J54" s="272"/>
      <c r="K54" s="272"/>
      <c r="L54" s="274"/>
      <c r="N54" s="1078"/>
      <c r="O54" s="1078"/>
      <c r="P54" s="1078"/>
    </row>
    <row r="55" spans="1:16" s="247" customFormat="1" x14ac:dyDescent="0.2">
      <c r="B55" s="243"/>
      <c r="C55" s="242"/>
      <c r="D55" s="205"/>
      <c r="E55" s="275" t="s">
        <v>946</v>
      </c>
      <c r="F55" s="248"/>
      <c r="G55" s="249"/>
      <c r="H55" s="248"/>
      <c r="I55" s="248"/>
      <c r="J55" s="248"/>
      <c r="K55" s="248"/>
      <c r="L55" s="206"/>
      <c r="N55" s="1078"/>
      <c r="O55" s="1078"/>
      <c r="P55" s="1078"/>
    </row>
    <row r="56" spans="1:16" s="247" customFormat="1" x14ac:dyDescent="0.2">
      <c r="B56" s="243"/>
      <c r="C56" s="242"/>
      <c r="D56" s="205"/>
      <c r="H56" s="248"/>
      <c r="I56" s="248"/>
      <c r="J56" s="248"/>
      <c r="K56" s="248"/>
      <c r="L56" s="206"/>
      <c r="N56" s="1078"/>
      <c r="O56" s="1078"/>
      <c r="P56" s="1078"/>
    </row>
    <row r="57" spans="1:16" s="247" customFormat="1" x14ac:dyDescent="0.2">
      <c r="B57" s="243"/>
      <c r="C57" s="242"/>
      <c r="D57" s="205"/>
      <c r="E57" s="248" t="s">
        <v>978</v>
      </c>
      <c r="F57" s="1083"/>
      <c r="G57" s="1083"/>
      <c r="L57" s="206"/>
      <c r="N57" s="1078"/>
      <c r="O57" s="1078"/>
      <c r="P57" s="1078"/>
    </row>
    <row r="58" spans="1:16" s="247" customFormat="1" x14ac:dyDescent="0.2">
      <c r="B58" s="243"/>
      <c r="C58" s="242"/>
      <c r="D58" s="205"/>
      <c r="E58" s="248"/>
      <c r="F58" s="248"/>
      <c r="G58" s="355"/>
      <c r="H58" s="248"/>
      <c r="I58" s="248"/>
      <c r="J58" s="248"/>
      <c r="K58" s="249"/>
      <c r="L58" s="206"/>
      <c r="N58" s="1078"/>
      <c r="O58" s="1078"/>
      <c r="P58" s="1078"/>
    </row>
    <row r="59" spans="1:16" s="247" customFormat="1" x14ac:dyDescent="0.2">
      <c r="B59" s="243"/>
      <c r="C59" s="242"/>
      <c r="D59" s="205"/>
      <c r="E59" s="248" t="s">
        <v>1003</v>
      </c>
      <c r="F59" s="248"/>
      <c r="G59" s="280" t="str">
        <f>IF(MULohnberechnung&lt;&gt;"",MULohnberechnung,"")</f>
        <v/>
      </c>
      <c r="H59" s="702" t="s">
        <v>1005</v>
      </c>
      <c r="I59" s="242" t="s">
        <v>1043</v>
      </c>
      <c r="K59" s="236"/>
      <c r="L59" s="206"/>
      <c r="N59" s="1078"/>
      <c r="O59" s="1078"/>
      <c r="P59" s="1078"/>
    </row>
    <row r="60" spans="1:16" s="247" customFormat="1" x14ac:dyDescent="0.2">
      <c r="B60" s="243"/>
      <c r="D60" s="61"/>
      <c r="L60" s="62"/>
      <c r="N60" s="1078"/>
      <c r="O60" s="1078"/>
      <c r="P60" s="1078"/>
    </row>
    <row r="61" spans="1:16" s="247" customFormat="1" x14ac:dyDescent="0.2">
      <c r="B61" s="243"/>
      <c r="C61" s="242"/>
      <c r="D61" s="205"/>
      <c r="E61" s="248" t="s">
        <v>973</v>
      </c>
      <c r="F61" s="248"/>
      <c r="G61" s="433"/>
      <c r="I61" s="248" t="s">
        <v>1080</v>
      </c>
      <c r="J61" s="1095" t="str">
        <f>_xlfn.IFNA(VLOOKUP(G61,Stammdaten_DropDown!$B$14:$C$55,2,FALSE),"")</f>
        <v/>
      </c>
      <c r="K61" s="1095"/>
      <c r="L61" s="269"/>
      <c r="N61" s="1078"/>
      <c r="O61" s="1078"/>
      <c r="P61" s="1078"/>
    </row>
    <row r="62" spans="1:16" s="247" customFormat="1" x14ac:dyDescent="0.2">
      <c r="B62" s="243"/>
      <c r="C62" s="242"/>
      <c r="D62" s="205"/>
      <c r="L62" s="269"/>
      <c r="N62" s="1078"/>
      <c r="O62" s="1078"/>
      <c r="P62" s="1078"/>
    </row>
    <row r="63" spans="1:16" s="247" customFormat="1" x14ac:dyDescent="0.2">
      <c r="B63" s="243"/>
      <c r="C63" s="242"/>
      <c r="D63" s="205"/>
      <c r="E63" s="248" t="s">
        <v>2000</v>
      </c>
      <c r="H63" s="1109"/>
      <c r="I63" s="1109"/>
      <c r="J63" s="1109"/>
      <c r="K63" s="1109"/>
      <c r="L63" s="269"/>
      <c r="N63" s="1078"/>
      <c r="O63" s="1078"/>
      <c r="P63" s="1078"/>
    </row>
    <row r="64" spans="1:16" s="247" customFormat="1" x14ac:dyDescent="0.2">
      <c r="B64" s="243"/>
      <c r="C64" s="242"/>
      <c r="D64" s="205"/>
      <c r="E64" s="891" t="s">
        <v>1964</v>
      </c>
      <c r="L64" s="269"/>
      <c r="N64" s="1078"/>
      <c r="O64" s="1078"/>
      <c r="P64" s="1078"/>
    </row>
    <row r="65" spans="2:18" s="247" customFormat="1" x14ac:dyDescent="0.2">
      <c r="B65" s="243"/>
      <c r="C65" s="242"/>
      <c r="D65" s="205"/>
      <c r="E65" s="1081" t="s">
        <v>952</v>
      </c>
      <c r="F65" s="1081"/>
      <c r="G65" s="1094"/>
      <c r="H65" s="1094"/>
      <c r="I65" s="1094"/>
      <c r="J65" s="1094"/>
      <c r="K65" s="1094"/>
      <c r="L65" s="206"/>
      <c r="N65" s="1078"/>
      <c r="O65" s="1078"/>
      <c r="P65" s="1078"/>
    </row>
    <row r="66" spans="2:18" s="247" customFormat="1" ht="8.1" customHeight="1" x14ac:dyDescent="0.2">
      <c r="B66" s="243"/>
      <c r="C66" s="242"/>
      <c r="D66" s="207"/>
      <c r="E66" s="270"/>
      <c r="F66" s="270"/>
      <c r="G66" s="270"/>
      <c r="H66" s="270"/>
      <c r="I66" s="270"/>
      <c r="J66" s="270"/>
      <c r="K66" s="270"/>
      <c r="L66" s="208"/>
      <c r="N66" s="1078"/>
      <c r="O66" s="1078"/>
      <c r="P66" s="1078"/>
    </row>
    <row r="67" spans="2:18" s="247" customFormat="1" ht="6" customHeight="1" x14ac:dyDescent="0.2">
      <c r="B67" s="243"/>
      <c r="C67" s="242"/>
      <c r="D67" s="242"/>
      <c r="E67" s="271"/>
      <c r="F67" s="271"/>
      <c r="G67" s="271"/>
      <c r="H67" s="271"/>
      <c r="I67" s="271"/>
      <c r="J67" s="271"/>
      <c r="K67" s="271"/>
      <c r="L67" s="242"/>
      <c r="N67" s="1078"/>
      <c r="O67" s="1078"/>
      <c r="P67" s="1078"/>
    </row>
    <row r="68" spans="2:18" s="247" customFormat="1" ht="5.0999999999999996" customHeight="1" x14ac:dyDescent="0.2">
      <c r="B68" s="243"/>
      <c r="C68" s="242"/>
      <c r="D68" s="203"/>
      <c r="E68" s="67"/>
      <c r="F68" s="67"/>
      <c r="G68" s="68"/>
      <c r="H68" s="67"/>
      <c r="I68" s="67"/>
      <c r="J68" s="67"/>
      <c r="K68" s="67"/>
      <c r="L68" s="204"/>
      <c r="N68" s="1078"/>
      <c r="O68" s="1078"/>
      <c r="P68" s="1078"/>
    </row>
    <row r="69" spans="2:18" s="247" customFormat="1" x14ac:dyDescent="0.2">
      <c r="B69" s="243"/>
      <c r="C69" s="242"/>
      <c r="D69" s="205"/>
      <c r="E69" s="1082" t="s">
        <v>985</v>
      </c>
      <c r="F69" s="1082"/>
      <c r="G69" s="1082"/>
      <c r="H69" s="1082"/>
      <c r="I69" s="1082"/>
      <c r="J69" s="1082"/>
      <c r="K69" s="248"/>
      <c r="L69" s="206"/>
      <c r="N69" s="1078"/>
      <c r="O69" s="1078"/>
      <c r="P69" s="1078"/>
    </row>
    <row r="70" spans="2:18" s="247" customFormat="1" x14ac:dyDescent="0.2">
      <c r="B70" s="243"/>
      <c r="C70" s="242"/>
      <c r="D70" s="205"/>
      <c r="E70" s="248"/>
      <c r="F70" s="248"/>
      <c r="G70" s="249"/>
      <c r="H70" s="248"/>
      <c r="I70" s="248"/>
      <c r="J70" s="248"/>
      <c r="K70" s="248"/>
      <c r="L70" s="206"/>
      <c r="N70" s="1078"/>
      <c r="O70" s="1078"/>
      <c r="P70" s="1078"/>
      <c r="R70" s="247" t="s">
        <v>980</v>
      </c>
    </row>
    <row r="71" spans="2:18" s="247" customFormat="1" x14ac:dyDescent="0.2">
      <c r="B71" s="243"/>
      <c r="C71" s="242"/>
      <c r="D71" s="205"/>
      <c r="E71" s="1056"/>
      <c r="F71" s="1056"/>
      <c r="G71" s="1056"/>
      <c r="H71" s="1056"/>
      <c r="I71" s="1056"/>
      <c r="J71" s="1056"/>
      <c r="K71" s="1056"/>
      <c r="L71" s="206"/>
      <c r="N71" s="1078"/>
      <c r="O71" s="1078"/>
      <c r="P71" s="1078"/>
      <c r="R71" s="358">
        <f>E71</f>
        <v>0</v>
      </c>
    </row>
    <row r="72" spans="2:18" s="247" customFormat="1" x14ac:dyDescent="0.2">
      <c r="B72" s="243"/>
      <c r="C72" s="242"/>
      <c r="D72" s="205"/>
      <c r="E72" s="1056"/>
      <c r="F72" s="1056"/>
      <c r="G72" s="1056"/>
      <c r="H72" s="1056"/>
      <c r="I72" s="1056"/>
      <c r="J72" s="1056"/>
      <c r="K72" s="1056"/>
      <c r="L72" s="206"/>
      <c r="N72" s="1078"/>
      <c r="O72" s="1078"/>
      <c r="P72" s="1078"/>
      <c r="R72" s="358"/>
    </row>
    <row r="73" spans="2:18" s="247" customFormat="1" x14ac:dyDescent="0.2">
      <c r="B73" s="243"/>
      <c r="C73" s="242"/>
      <c r="D73" s="205"/>
      <c r="E73" s="1056"/>
      <c r="F73" s="1056"/>
      <c r="G73" s="1056"/>
      <c r="H73" s="1056"/>
      <c r="I73" s="1056"/>
      <c r="J73" s="1056"/>
      <c r="K73" s="1056"/>
      <c r="L73" s="206"/>
      <c r="N73" s="1078"/>
      <c r="O73" s="1078"/>
      <c r="P73" s="1078"/>
      <c r="R73" s="358">
        <f>E73</f>
        <v>0</v>
      </c>
    </row>
    <row r="74" spans="2:18" s="247" customFormat="1" ht="8.1" customHeight="1" x14ac:dyDescent="0.2">
      <c r="B74" s="243"/>
      <c r="C74" s="242"/>
      <c r="D74" s="207"/>
      <c r="E74" s="64"/>
      <c r="F74" s="64"/>
      <c r="G74" s="65"/>
      <c r="H74" s="64"/>
      <c r="I74" s="64"/>
      <c r="J74" s="64"/>
      <c r="K74" s="64"/>
      <c r="L74" s="208"/>
      <c r="N74" s="1078"/>
      <c r="O74" s="1078"/>
      <c r="P74" s="1078"/>
    </row>
    <row r="75" spans="2:18" s="247" customFormat="1" ht="6" customHeight="1" x14ac:dyDescent="0.2">
      <c r="B75" s="243"/>
      <c r="C75" s="242"/>
      <c r="D75" s="242"/>
      <c r="E75" s="248"/>
      <c r="F75" s="248"/>
      <c r="G75" s="249"/>
      <c r="H75" s="248"/>
      <c r="I75" s="248"/>
      <c r="J75" s="248"/>
      <c r="K75" s="248"/>
      <c r="L75" s="242"/>
    </row>
    <row r="76" spans="2:18" s="247" customFormat="1" ht="5.0999999999999996" customHeight="1" x14ac:dyDescent="0.2">
      <c r="B76" s="243"/>
      <c r="C76" s="242"/>
      <c r="D76" s="203"/>
      <c r="E76" s="67"/>
      <c r="F76" s="67"/>
      <c r="G76" s="68"/>
      <c r="H76" s="67"/>
      <c r="I76" s="67"/>
      <c r="J76" s="67"/>
      <c r="K76" s="67"/>
      <c r="L76" s="204"/>
    </row>
    <row r="77" spans="2:18" s="247" customFormat="1" x14ac:dyDescent="0.2">
      <c r="B77" s="243"/>
      <c r="C77" s="242"/>
      <c r="D77" s="205"/>
      <c r="E77" s="211" t="s">
        <v>933</v>
      </c>
      <c r="F77" s="211"/>
      <c r="G77" s="326"/>
      <c r="H77" s="325"/>
      <c r="I77" s="325"/>
      <c r="J77" s="325"/>
      <c r="K77" s="325"/>
      <c r="L77" s="269"/>
      <c r="N77" s="1098" t="str">
        <f>Stammdaten_DropDown!A113</f>
        <v>Lohnentwicklung</v>
      </c>
      <c r="O77" s="1098"/>
      <c r="P77" s="1098"/>
    </row>
    <row r="78" spans="2:18" s="247" customFormat="1" ht="6" customHeight="1" x14ac:dyDescent="0.2">
      <c r="B78" s="243"/>
      <c r="C78" s="242"/>
      <c r="D78" s="205"/>
      <c r="E78" s="248"/>
      <c r="F78" s="248"/>
      <c r="G78" s="562"/>
      <c r="H78" s="248"/>
      <c r="I78" s="248"/>
      <c r="J78" s="248"/>
      <c r="K78" s="248"/>
      <c r="L78" s="269"/>
      <c r="N78" s="899"/>
    </row>
    <row r="79" spans="2:18" s="247" customFormat="1" x14ac:dyDescent="0.2">
      <c r="B79" s="243"/>
      <c r="C79" s="242"/>
      <c r="D79" s="205"/>
      <c r="E79" s="248" t="s">
        <v>945</v>
      </c>
      <c r="F79" s="248"/>
      <c r="G79" s="562"/>
      <c r="H79" s="248"/>
      <c r="I79" s="248"/>
      <c r="J79" s="1083"/>
      <c r="K79" s="1083"/>
      <c r="L79" s="269"/>
      <c r="N79" s="1105" t="str">
        <f>Stammdaten_DropDown!A114</f>
        <v>Bitte angeben, ob eine individuelle Lohnentwicklung gewährt werden soll.</v>
      </c>
      <c r="O79" s="1105"/>
      <c r="P79" s="1105"/>
    </row>
    <row r="80" spans="2:18" s="247" customFormat="1" x14ac:dyDescent="0.2">
      <c r="B80" s="243"/>
      <c r="C80" s="242"/>
      <c r="D80" s="205"/>
      <c r="E80" s="248"/>
      <c r="F80" s="248"/>
      <c r="G80" s="562"/>
      <c r="H80" s="248"/>
      <c r="I80" s="248"/>
      <c r="J80" s="248"/>
      <c r="K80" s="248"/>
      <c r="L80" s="269"/>
      <c r="N80" s="1105" t="str">
        <f>Stammdaten_DropDown!A115</f>
        <v>Bei einem Neueintritt nach dem 01.07.2024 ist keine individuelle Lohnentwicklung vorgesehen.</v>
      </c>
      <c r="O80" s="1105"/>
      <c r="P80" s="1105"/>
    </row>
    <row r="81" spans="2:16" s="247" customFormat="1" x14ac:dyDescent="0.2">
      <c r="B81" s="243"/>
      <c r="C81" s="242"/>
      <c r="D81" s="205"/>
      <c r="E81" s="278" t="s">
        <v>765</v>
      </c>
      <c r="G81" s="279" t="str">
        <f>IF(ISBLANK($J$79),IF(BandLohnBer="",IF(BandLohnRechner="","",BandLohnRechner),IF(BandLohnRechner="",BandLohnBer,"FEHLER")),"-")</f>
        <v/>
      </c>
      <c r="I81" s="774" t="s">
        <v>809</v>
      </c>
      <c r="K81" s="280" t="str">
        <f>IF(ISBLANK($J$79),IF(EWLohnBer="",IF(EWLohnRechner="","",EWLohnRechner),IF(EWLohnRechner="",EWLohnBer,"FEHLER")),"-")</f>
        <v/>
      </c>
      <c r="L81" s="269"/>
      <c r="N81" s="1105" t="str">
        <f>Stammdaten_DropDown!A116</f>
        <v>In dem Fall ist das Prädikat auf dem Wert «NA» (keine Beurteilung) zu belassen.</v>
      </c>
      <c r="O81" s="1105"/>
      <c r="P81" s="1105"/>
    </row>
    <row r="82" spans="2:16" s="247" customFormat="1" x14ac:dyDescent="0.2">
      <c r="B82" s="243"/>
      <c r="C82" s="242"/>
      <c r="D82" s="205"/>
      <c r="E82" s="448" t="b">
        <f>AND(BandLohnBer&lt;&gt;"",BandLohnRechner&lt;&gt;"")</f>
        <v>0</v>
      </c>
      <c r="F82" s="248"/>
      <c r="G82" s="563" t="str">
        <f>IF(E82,"2 Lohnbänder gefunden","")</f>
        <v/>
      </c>
      <c r="H82" s="724" t="b">
        <f>AND(EWLohnBer&lt;&gt;"",EWLohnRechner&lt;&gt;"")</f>
        <v>0</v>
      </c>
      <c r="J82" s="566" t="str">
        <f>IF(H82,"2 Erfahrungswerte gefunden","")</f>
        <v/>
      </c>
      <c r="K82" s="566"/>
      <c r="L82" s="269"/>
      <c r="N82" s="899"/>
    </row>
    <row r="83" spans="2:16" s="247" customFormat="1" ht="13.35" customHeight="1" x14ac:dyDescent="0.2">
      <c r="B83" s="243"/>
      <c r="C83" s="242"/>
      <c r="D83" s="205"/>
      <c r="E83" s="597"/>
      <c r="I83" s="774" t="s">
        <v>1113</v>
      </c>
      <c r="K83" s="778" t="str">
        <f>IF(ISBLANK($J$79),IF(LohnLohnBer="",IF(LohnLohnRechner="","",LohnLohnRechner),IF(LohnLohnRechner="",LohnLohnBer,"FEHLER")),"-")</f>
        <v/>
      </c>
      <c r="L83" s="62"/>
      <c r="N83" s="1096" t="str">
        <f>Stammdaten_DropDown!A117</f>
        <v xml:space="preserve">Falls eine individuelle  Lohnentwicklung gewährt werden soll, ist das entsprechende Prädikat aus der relevanten MAG-Phase im Dropdown-Menu auszuwählen. </v>
      </c>
      <c r="O83" s="1096"/>
      <c r="P83" s="1096"/>
    </row>
    <row r="84" spans="2:16" s="247" customFormat="1" x14ac:dyDescent="0.2">
      <c r="B84" s="243"/>
      <c r="C84" s="242"/>
      <c r="D84" s="205"/>
      <c r="F84" s="594"/>
      <c r="G84" s="594"/>
      <c r="H84" s="594"/>
      <c r="I84" s="594"/>
      <c r="J84" s="1092"/>
      <c r="K84" s="1092"/>
      <c r="L84" s="269"/>
      <c r="N84" s="1096"/>
      <c r="O84" s="1096"/>
      <c r="P84" s="1096"/>
    </row>
    <row r="85" spans="2:16" s="247" customFormat="1" x14ac:dyDescent="0.2">
      <c r="B85" s="243"/>
      <c r="C85" s="242"/>
      <c r="D85" s="205"/>
      <c r="E85" s="247" t="str">
        <f>CONCATENATE("Lohnentwicklung per 01.01.",LohntabelleM!I1+1," gewähren?")</f>
        <v>Lohnentwicklung per 01.01.2025 gewähren?</v>
      </c>
      <c r="F85" s="889"/>
      <c r="G85" s="889"/>
      <c r="H85" s="886"/>
      <c r="I85" s="889"/>
      <c r="J85" s="905" t="s">
        <v>1966</v>
      </c>
      <c r="K85" s="914" t="str">
        <f>L85</f>
        <v/>
      </c>
      <c r="L85" s="901" t="str">
        <f>IF(H85="Ja","A",IF(H85="Nein","NA",""))</f>
        <v/>
      </c>
      <c r="N85" s="1105" t="str">
        <f>Stammdaten_DropDown!A118</f>
        <v>Ist noch keine Beurteilung hinterlegt, so ist das Prädikat auf «A» zu belassen.</v>
      </c>
      <c r="O85" s="1105"/>
      <c r="P85" s="1105"/>
    </row>
    <row r="86" spans="2:16" s="247" customFormat="1" ht="8.1" customHeight="1" x14ac:dyDescent="0.2">
      <c r="B86" s="243"/>
      <c r="C86" s="242"/>
      <c r="D86" s="207"/>
      <c r="E86" s="64"/>
      <c r="F86" s="64"/>
      <c r="G86" s="65"/>
      <c r="H86" s="64"/>
      <c r="I86" s="64"/>
      <c r="J86" s="64"/>
      <c r="K86" s="64"/>
      <c r="L86" s="282"/>
    </row>
    <row r="87" spans="2:16" s="247" customFormat="1" ht="10.9" customHeight="1" x14ac:dyDescent="0.2">
      <c r="B87" s="243"/>
      <c r="C87" s="242"/>
      <c r="D87" s="242"/>
      <c r="E87" s="248"/>
      <c r="F87" s="248"/>
      <c r="G87" s="249"/>
      <c r="H87" s="248"/>
      <c r="I87" s="248"/>
      <c r="J87" s="248"/>
      <c r="K87" s="248"/>
      <c r="L87" s="248"/>
    </row>
    <row r="88" spans="2:16" s="247" customFormat="1" ht="50.85" customHeight="1" x14ac:dyDescent="0.2">
      <c r="B88" s="243"/>
      <c r="C88" s="242"/>
      <c r="D88" s="1063" t="s">
        <v>966</v>
      </c>
      <c r="E88" s="1063"/>
      <c r="F88" s="1063"/>
      <c r="G88" s="1063"/>
      <c r="H88" s="1063"/>
      <c r="I88" s="1063"/>
      <c r="J88" s="1063"/>
      <c r="K88" s="1063"/>
      <c r="L88" s="1063"/>
    </row>
    <row r="89" spans="2:16" s="247" customFormat="1" ht="29.25" customHeight="1" x14ac:dyDescent="0.2">
      <c r="B89" s="243"/>
      <c r="C89" s="242"/>
      <c r="D89" s="1063"/>
      <c r="E89" s="1063"/>
      <c r="F89" s="1063"/>
      <c r="G89" s="1063"/>
      <c r="H89" s="1063"/>
      <c r="I89" s="1063"/>
      <c r="J89" s="1063"/>
      <c r="K89" s="1063"/>
      <c r="L89" s="1063"/>
    </row>
    <row r="90" spans="2:16" s="247" customFormat="1" x14ac:dyDescent="0.2">
      <c r="C90" s="242"/>
      <c r="L90" s="242"/>
    </row>
    <row r="91" spans="2:16" s="247" customFormat="1" x14ac:dyDescent="0.2">
      <c r="C91" s="242"/>
      <c r="L91" s="242"/>
    </row>
    <row r="92" spans="2:16" x14ac:dyDescent="0.2">
      <c r="D92" s="247"/>
      <c r="E92" s="247"/>
      <c r="F92" s="247"/>
      <c r="G92" s="247"/>
      <c r="H92" s="247"/>
      <c r="I92" s="247"/>
      <c r="J92" s="247"/>
      <c r="K92" s="247"/>
      <c r="L92" s="247"/>
    </row>
    <row r="93" spans="2:16" x14ac:dyDescent="0.2">
      <c r="D93" s="247"/>
      <c r="E93" s="247"/>
      <c r="F93" s="247"/>
      <c r="G93" s="247"/>
      <c r="H93" s="247"/>
      <c r="I93" s="247"/>
      <c r="J93" s="247"/>
      <c r="K93" s="247"/>
      <c r="L93" s="247"/>
    </row>
    <row r="94" spans="2:16" x14ac:dyDescent="0.2">
      <c r="D94" s="247"/>
      <c r="E94" s="247"/>
      <c r="F94" s="247"/>
      <c r="G94" s="247"/>
      <c r="H94" s="247"/>
      <c r="I94" s="247"/>
      <c r="J94" s="247"/>
      <c r="K94" s="247"/>
      <c r="L94" s="247"/>
    </row>
    <row r="95" spans="2:16" x14ac:dyDescent="0.2">
      <c r="D95" s="247"/>
      <c r="E95" s="247"/>
      <c r="F95" s="247"/>
      <c r="G95" s="247"/>
      <c r="H95" s="247"/>
      <c r="I95" s="247"/>
      <c r="J95" s="247"/>
      <c r="K95" s="247"/>
      <c r="L95" s="247"/>
    </row>
    <row r="96" spans="2:16" x14ac:dyDescent="0.2">
      <c r="D96" s="247"/>
      <c r="E96" s="247"/>
      <c r="F96" s="247"/>
      <c r="G96" s="247"/>
      <c r="H96" s="247"/>
      <c r="I96" s="247"/>
      <c r="J96" s="247"/>
      <c r="K96" s="247"/>
      <c r="L96" s="247"/>
    </row>
    <row r="97" spans="4:12" x14ac:dyDescent="0.2">
      <c r="D97" s="247"/>
      <c r="E97" s="247"/>
      <c r="F97" s="247"/>
      <c r="G97" s="247"/>
      <c r="H97" s="247"/>
      <c r="I97" s="247"/>
      <c r="J97" s="247"/>
      <c r="K97" s="247"/>
      <c r="L97" s="247"/>
    </row>
    <row r="98" spans="4:12" x14ac:dyDescent="0.2">
      <c r="D98" s="247"/>
      <c r="E98" s="247"/>
      <c r="F98" s="247"/>
      <c r="G98" s="247"/>
      <c r="H98" s="247"/>
      <c r="I98" s="247"/>
      <c r="J98" s="247"/>
      <c r="K98" s="247"/>
      <c r="L98" s="247"/>
    </row>
    <row r="99" spans="4:12" x14ac:dyDescent="0.2">
      <c r="D99" s="247"/>
      <c r="E99" s="247"/>
      <c r="F99" s="247"/>
      <c r="G99" s="247"/>
      <c r="H99" s="247"/>
      <c r="I99" s="247"/>
      <c r="J99" s="247"/>
      <c r="K99" s="247"/>
      <c r="L99" s="247"/>
    </row>
  </sheetData>
  <sheetProtection algorithmName="SHA-512" hashValue="QvT6DAP97iwrbVXni1LsE0T+/Wq6NWXiaT9HcohTMSY1taRQLrPeWjiOUUDu9gG+9eXlml3n/cvhPH1fytc9Kw==" saltValue="Ewk5oBaGRU5qvrc90EUddQ==" spinCount="100000" sheet="1"/>
  <mergeCells count="41">
    <mergeCell ref="N11:O12"/>
    <mergeCell ref="N52:P74"/>
    <mergeCell ref="N77:P77"/>
    <mergeCell ref="N79:P79"/>
    <mergeCell ref="D88:L89"/>
    <mergeCell ref="E65:F65"/>
    <mergeCell ref="G65:K65"/>
    <mergeCell ref="E69:J69"/>
    <mergeCell ref="E71:K71"/>
    <mergeCell ref="E72:K72"/>
    <mergeCell ref="N80:P80"/>
    <mergeCell ref="N81:P81"/>
    <mergeCell ref="N83:P84"/>
    <mergeCell ref="N85:P85"/>
    <mergeCell ref="G30:K30"/>
    <mergeCell ref="E42:G42"/>
    <mergeCell ref="E44:K44"/>
    <mergeCell ref="E45:K45"/>
    <mergeCell ref="J84:K84"/>
    <mergeCell ref="H63:K63"/>
    <mergeCell ref="G15:K15"/>
    <mergeCell ref="J61:K61"/>
    <mergeCell ref="J79:K79"/>
    <mergeCell ref="E46:K46"/>
    <mergeCell ref="F57:G57"/>
    <mergeCell ref="E73:K73"/>
    <mergeCell ref="G34:K34"/>
    <mergeCell ref="G36:K36"/>
    <mergeCell ref="H38:K38"/>
    <mergeCell ref="E40:I40"/>
    <mergeCell ref="H48:J48"/>
    <mergeCell ref="I17:K17"/>
    <mergeCell ref="F21:J21"/>
    <mergeCell ref="F22:K22"/>
    <mergeCell ref="F23:I23"/>
    <mergeCell ref="F24:G24"/>
    <mergeCell ref="D2:I2"/>
    <mergeCell ref="G11:H11"/>
    <mergeCell ref="J11:K11"/>
    <mergeCell ref="G13:H13"/>
    <mergeCell ref="J13:K13"/>
  </mergeCells>
  <conditionalFormatting sqref="G81">
    <cfRule type="expression" dxfId="151" priority="6">
      <formula>E82</formula>
    </cfRule>
  </conditionalFormatting>
  <conditionalFormatting sqref="K81">
    <cfRule type="expression" dxfId="150" priority="172">
      <formula>$H$82</formula>
    </cfRule>
  </conditionalFormatting>
  <conditionalFormatting sqref="K83">
    <cfRule type="expression" dxfId="149" priority="177">
      <formula>#REF!</formula>
    </cfRule>
  </conditionalFormatting>
  <conditionalFormatting sqref="J85">
    <cfRule type="expression" dxfId="148" priority="3">
      <formula>#REF!</formula>
    </cfRule>
  </conditionalFormatting>
  <conditionalFormatting sqref="J85:K85 N81:P85">
    <cfRule type="expression" dxfId="147" priority="2">
      <formula>$H$85=""</formula>
    </cfRule>
  </conditionalFormatting>
  <conditionalFormatting sqref="E65:K85 N77:P86">
    <cfRule type="expression" dxfId="146" priority="1">
      <formula>$H$63=""</formula>
    </cfRule>
  </conditionalFormatting>
  <dataValidations count="10">
    <dataValidation type="list" operator="greaterThan" showInputMessage="1" showErrorMessage="1" errorTitle="Fehler" sqref="G30:K30">
      <formula1>TSMAnst</formula1>
    </dataValidation>
    <dataValidation type="list" allowBlank="1" showInputMessage="1" showErrorMessage="1" sqref="H38:K38">
      <formula1>EntscheidDesAmtesFürVolksschulen</formula1>
    </dataValidation>
    <dataValidation type="list" allowBlank="1" showInputMessage="1" showErrorMessage="1" sqref="G36:K36">
      <formula1>KompetenzDerSchulleitung</formula1>
    </dataValidation>
    <dataValidation operator="greaterThan" showInputMessage="1" showErrorMessage="1" errorTitle="Fehler" error="Geben Sie ein gültiges Datum dd.mm.yyyy ein!" sqref="G32 K49 H49"/>
    <dataValidation type="whole" operator="greaterThan" allowBlank="1" showInputMessage="1" showErrorMessage="1" errorTitle="Fehler" error="Ungültige Postleitzahl" sqref="G17">
      <formula1>0</formula1>
    </dataValidation>
    <dataValidation type="date" operator="greaterThan" allowBlank="1" showInputMessage="1" showErrorMessage="1" errorTitle="Fehler" error="Geben Sie ein gültiges Datum dd.mm.yyyy ein!" sqref="G58 G20">
      <formula1>1</formula1>
    </dataValidation>
    <dataValidation operator="greaterThan" allowBlank="1" showInputMessage="1" showErrorMessage="1" errorTitle="Fehler" error="Pensum als Ganzzahl angeben" sqref="K83 J85"/>
    <dataValidation type="date" operator="greaterThan" allowBlank="1" showInputMessage="1" showErrorMessage="1" sqref="I32">
      <formula1>1</formula1>
    </dataValidation>
    <dataValidation allowBlank="1" showInputMessage="1" sqref="J61"/>
    <dataValidation operator="greaterThan" allowBlank="1" showInputMessage="1" errorTitle="Fehler" error="Geben Sie ein gültiges Datum dd.mm.yyyy ein!" sqref="G19"/>
  </dataValidations>
  <hyperlinks>
    <hyperlink ref="J40" r:id="rId1"/>
    <hyperlink ref="N11:O12" location="_A_Grunddaten" display="Zurück zu Grunddaten"/>
  </hyperlinks>
  <pageMargins left="0.70866141732283472" right="0.70866141732283472" top="0.78740157480314965" bottom="0.78740157480314965" header="0.31496062992125984" footer="0.31496062992125984"/>
  <pageSetup paperSize="9" scale="94" fitToHeight="0" orientation="portrait" r:id="rId2"/>
  <headerFooter>
    <oddFooter>Seite &amp;P von &amp;N</oddFooter>
  </headerFooter>
  <rowBreaks count="1" manualBreakCount="1">
    <brk id="49" max="16383" man="1"/>
  </rowBreaks>
  <ignoredErrors>
    <ignoredError sqref="K85" unlockedFormula="1"/>
  </ignoredErrors>
  <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Stammdaten_DropDown!$E$92:$E$99</xm:f>
          </x14:formula1>
          <xm:sqref>H63:K63</xm:sqref>
        </x14:dataValidation>
        <x14:dataValidation type="list" allowBlank="1" showInputMessage="1" showErrorMessage="1">
          <x14:formula1>
            <xm:f>Stammdaten_DropDown!$E$102:$E$103</xm:f>
          </x14:formula1>
          <xm:sqref>H85</xm:sqref>
        </x14:dataValidation>
        <x14:dataValidation type="list" allowBlank="1" showInputMessage="1" showErrorMessage="1">
          <x14:formula1>
            <xm:f>Stammdaten_DropDown!$E$106:$E$109</xm:f>
          </x14:formula1>
          <xm:sqref>K85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F3EEFFB03F33B649ABBEEBA9B48597B0" ma:contentTypeVersion="8" ma:contentTypeDescription="Ein neues Dokument erstellen." ma:contentTypeScope="" ma:versionID="0ba84333aeef184e453a455b082a016a">
  <xsd:schema xmlns:xsd="http://www.w3.org/2001/XMLSchema" xmlns:xs="http://www.w3.org/2001/XMLSchema" xmlns:p="http://schemas.microsoft.com/office/2006/metadata/properties" xmlns:ns2="d97ec38d-b652-4c5a-ae1d-de067f7ca9b7" xmlns:ns3="2a6241a6-6988-4d74-8b16-4016c94cdfae" targetNamespace="http://schemas.microsoft.com/office/2006/metadata/properties" ma:root="true" ma:fieldsID="b2b5ae4ac94eb475e230d55e85c66d74" ns2:_="" ns3:_="">
    <xsd:import namespace="d97ec38d-b652-4c5a-ae1d-de067f7ca9b7"/>
    <xsd:import namespace="2a6241a6-6988-4d74-8b16-4016c94cdfa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7ec38d-b652-4c5a-ae1d-de067f7ca9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a6241a6-6988-4d74-8b16-4016c94cdfae" elementFormDefault="qualified">
    <xsd:import namespace="http://schemas.microsoft.com/office/2006/documentManagement/types"/>
    <xsd:import namespace="http://schemas.microsoft.com/office/infopath/2007/PartnerControls"/>
    <xsd:element name="SharedWithUsers" ma:index="14"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2317551-DBC1-45CB-B509-8C347E15A3CC}">
  <ds:schemaRefs>
    <ds:schemaRef ds:uri="http://schemas.microsoft.com/sharepoint/v3/contenttype/forms"/>
  </ds:schemaRefs>
</ds:datastoreItem>
</file>

<file path=customXml/itemProps2.xml><?xml version="1.0" encoding="utf-8"?>
<ds:datastoreItem xmlns:ds="http://schemas.openxmlformats.org/officeDocument/2006/customXml" ds:itemID="{138843FF-DF4F-45A3-9725-C5BAF81374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97ec38d-b652-4c5a-ae1d-de067f7ca9b7"/>
    <ds:schemaRef ds:uri="2a6241a6-6988-4d74-8b16-4016c94cdfa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440606C-5DAE-481F-909C-F8FC147FC6A4}">
  <ds:schemaRefs>
    <ds:schemaRef ds:uri="http://purl.org/dc/elements/1.1/"/>
    <ds:schemaRef ds:uri="http://schemas.openxmlformats.org/package/2006/metadata/core-properties"/>
    <ds:schemaRef ds:uri="d97ec38d-b652-4c5a-ae1d-de067f7ca9b7"/>
    <ds:schemaRef ds:uri="2a6241a6-6988-4d74-8b16-4016c94cdfae"/>
    <ds:schemaRef ds:uri="http://purl.org/dc/terms/"/>
    <ds:schemaRef ds:uri="http://schemas.microsoft.com/office/2006/metadata/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27</vt:i4>
      </vt:variant>
      <vt:variant>
        <vt:lpstr>Benannte Bereiche</vt:lpstr>
      </vt:variant>
      <vt:variant>
        <vt:i4>90</vt:i4>
      </vt:variant>
    </vt:vector>
  </HeadingPairs>
  <TitlesOfParts>
    <vt:vector size="117" baseType="lpstr">
      <vt:lpstr>Grunddaten</vt:lpstr>
      <vt:lpstr>Release Notes</vt:lpstr>
      <vt:lpstr>Anstellung KigaPrim</vt:lpstr>
      <vt:lpstr>Externe Stv. KigaPrim</vt:lpstr>
      <vt:lpstr>Anstellung MS</vt:lpstr>
      <vt:lpstr>Externe Stv. MS</vt:lpstr>
      <vt:lpstr>UP Vertragsaenderung</vt:lpstr>
      <vt:lpstr>Anstellung KPTF</vt:lpstr>
      <vt:lpstr>Externe Stv. KPTF</vt:lpstr>
      <vt:lpstr>Anstellung BFS</vt:lpstr>
      <vt:lpstr>VP Anstellung</vt:lpstr>
      <vt:lpstr>VP Vertragsaenderung</vt:lpstr>
      <vt:lpstr>VP Zusätzlicher Vertrag</vt:lpstr>
      <vt:lpstr>Pensenberechnung</vt:lpstr>
      <vt:lpstr>Ferienplan Pensenberechnung</vt:lpstr>
      <vt:lpstr>Lohnrechner</vt:lpstr>
      <vt:lpstr>Lohnberechnung</vt:lpstr>
      <vt:lpstr>Wechsel max. 1 LB</vt:lpstr>
      <vt:lpstr>Wechsel anspruchsvollere Fkt.</vt:lpstr>
      <vt:lpstr>Wechsel gleiche Ausb. Anf.</vt:lpstr>
      <vt:lpstr>Druckeinstellungen</vt:lpstr>
      <vt:lpstr>Stammdaten_DropDown</vt:lpstr>
      <vt:lpstr>LohntabelleM</vt:lpstr>
      <vt:lpstr>LohntabelleJ</vt:lpstr>
      <vt:lpstr>A1-Texte</vt:lpstr>
      <vt:lpstr>MU-Daten</vt:lpstr>
      <vt:lpstr>Bewertungstabelle</vt:lpstr>
      <vt:lpstr>_A_Grunddaten</vt:lpstr>
      <vt:lpstr>AlterFerienanspruch</vt:lpstr>
      <vt:lpstr>Anrede</vt:lpstr>
      <vt:lpstr>Anstellung</vt:lpstr>
      <vt:lpstr>Anstellung2</vt:lpstr>
      <vt:lpstr>AnstellungBF</vt:lpstr>
      <vt:lpstr>AnstellungsartVP</vt:lpstr>
      <vt:lpstr>Aus_MU</vt:lpstr>
      <vt:lpstr>Ausbildung</vt:lpstr>
      <vt:lpstr>BandLohnBer</vt:lpstr>
      <vt:lpstr>BandLohnRechner</vt:lpstr>
      <vt:lpstr>BeginnArbeitsdauer</vt:lpstr>
      <vt:lpstr>BegründungFürBefristung</vt:lpstr>
      <vt:lpstr>BGLohnBer</vt:lpstr>
      <vt:lpstr>'Anstellung BFS'!Druckbereich</vt:lpstr>
      <vt:lpstr>'Anstellung KigaPrim'!Druckbereich</vt:lpstr>
      <vt:lpstr>'Anstellung KPTF'!Druckbereich</vt:lpstr>
      <vt:lpstr>'Anstellung MS'!Druckbereich</vt:lpstr>
      <vt:lpstr>'Externe Stv. KigaPrim'!Druckbereich</vt:lpstr>
      <vt:lpstr>'Externe Stv. KPTF'!Druckbereich</vt:lpstr>
      <vt:lpstr>'Externe Stv. MS'!Druckbereich</vt:lpstr>
      <vt:lpstr>Lohnberechnung!Druckbereich</vt:lpstr>
      <vt:lpstr>Lohnrechner!Druckbereich</vt:lpstr>
      <vt:lpstr>Pensenberechnung!Druckbereich</vt:lpstr>
      <vt:lpstr>'UP Vertragsaenderung'!Druckbereich</vt:lpstr>
      <vt:lpstr>'VP Anstellung'!Druckbereich</vt:lpstr>
      <vt:lpstr>'VP Vertragsaenderung'!Druckbereich</vt:lpstr>
      <vt:lpstr>'VP Zusätzlicher Vertrag'!Druckbereich</vt:lpstr>
      <vt:lpstr>'Wechsel anspruchsvollere Fkt.'!Druckbereich</vt:lpstr>
      <vt:lpstr>'Wechsel gleiche Ausb. Anf.'!Druckbereich</vt:lpstr>
      <vt:lpstr>'Wechsel max. 1 LB'!Druckbereich</vt:lpstr>
      <vt:lpstr>'MU-Daten'!Drucktitel</vt:lpstr>
      <vt:lpstr>EffLohnLohnBer</vt:lpstr>
      <vt:lpstr>EndeArbeitsdauer</vt:lpstr>
      <vt:lpstr>EntscheidDesAmtesFürVolksschulen</vt:lpstr>
      <vt:lpstr>Erfahrungswert</vt:lpstr>
      <vt:lpstr>ESSprungManuell</vt:lpstr>
      <vt:lpstr>ESSprungManuell2</vt:lpstr>
      <vt:lpstr>EWLohnBer</vt:lpstr>
      <vt:lpstr>EWLohnRechner</vt:lpstr>
      <vt:lpstr>Lohnberechnung!F</vt:lpstr>
      <vt:lpstr>Ferien_KJ</vt:lpstr>
      <vt:lpstr>Ferien_pro_Rata</vt:lpstr>
      <vt:lpstr>Ferien_WE</vt:lpstr>
      <vt:lpstr>Gepl_Wochenstunden</vt:lpstr>
      <vt:lpstr>GewBewilligung</vt:lpstr>
      <vt:lpstr>IndivBem</vt:lpstr>
      <vt:lpstr>KompetenzDerSchulleitung</vt:lpstr>
      <vt:lpstr>Kreuz</vt:lpstr>
      <vt:lpstr>Lohnband</vt:lpstr>
      <vt:lpstr>LohnBerLohn</vt:lpstr>
      <vt:lpstr>LohnBerNotiz</vt:lpstr>
      <vt:lpstr>LohnLohnBer</vt:lpstr>
      <vt:lpstr>LohnLohnRechner</vt:lpstr>
      <vt:lpstr>MAAnrede</vt:lpstr>
      <vt:lpstr>MAGeburtsdatum</vt:lpstr>
      <vt:lpstr>MAName</vt:lpstr>
      <vt:lpstr>MAPersID</vt:lpstr>
      <vt:lpstr>MAVertragsNr</vt:lpstr>
      <vt:lpstr>MAVorname</vt:lpstr>
      <vt:lpstr>MULohnberechnung</vt:lpstr>
      <vt:lpstr>Pensum</vt:lpstr>
      <vt:lpstr>Pflichtlektionen</vt:lpstr>
      <vt:lpstr>Regelung</vt:lpstr>
      <vt:lpstr>Schulferien_wArbeitsdauer</vt:lpstr>
      <vt:lpstr>SchulKindergartenTyp</vt:lpstr>
      <vt:lpstr>Schultypen</vt:lpstr>
      <vt:lpstr>SchultypKGPS</vt:lpstr>
      <vt:lpstr>SchultypSek1</vt:lpstr>
      <vt:lpstr>SekTyp</vt:lpstr>
      <vt:lpstr>Stunden_Vollpensum</vt:lpstr>
      <vt:lpstr>Stundenansatz_Tag</vt:lpstr>
      <vt:lpstr>Stundenansatz_Tag_ungerundet</vt:lpstr>
      <vt:lpstr>Stundenansatz_Woche</vt:lpstr>
      <vt:lpstr>Tage_Anstellung</vt:lpstr>
      <vt:lpstr>Tage_Anstellungen_oFerien</vt:lpstr>
      <vt:lpstr>Tage_ohne_Schulferien</vt:lpstr>
      <vt:lpstr>TechnEintrittsDatum</vt:lpstr>
      <vt:lpstr>TSMAnst</vt:lpstr>
      <vt:lpstr>UArtKindergarten</vt:lpstr>
      <vt:lpstr>UArtKreiskindergarten</vt:lpstr>
      <vt:lpstr>UArtKreisprimarschule</vt:lpstr>
      <vt:lpstr>UArtPrimarschule</vt:lpstr>
      <vt:lpstr>Umrechnungsfaktor_Tage</vt:lpstr>
      <vt:lpstr>UnterrichtsartKigaPrim</vt:lpstr>
      <vt:lpstr>Vertragsart</vt:lpstr>
      <vt:lpstr>VPFunktSchule</vt:lpstr>
      <vt:lpstr>Zeitwirtschaft</vt:lpstr>
      <vt:lpstr>Zivilstand</vt:lpstr>
      <vt:lpstr>Zurück_zu_Grundd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ES-Berechnung</dc:title>
  <dc:subject>ES-Berechnung bei Neueintritten und Funktionswechseln</dc:subject>
  <dc:creator>Thomas Schwarb</dc:creator>
  <cp:keywords>ES-Berechnung; Neueintritt; Erfahrungsjahre; A1; A2; MU, Modellumschreibung</cp:keywords>
  <cp:lastModifiedBy>Ischi, Gregory BKSD</cp:lastModifiedBy>
  <cp:lastPrinted>2024-07-12T06:25:20Z</cp:lastPrinted>
  <dcterms:created xsi:type="dcterms:W3CDTF">2000-09-11T15:55:43Z</dcterms:created>
  <dcterms:modified xsi:type="dcterms:W3CDTF">2024-09-12T13:35:58Z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0x010100F3EEFFB03F33B649ABBEEBA9B48597B0</vt:lpwstr>
  </property>
</Properties>
</file>