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3.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1.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12.xml" ContentType="application/vnd.openxmlformats-officedocument.drawing+xml"/>
  <Override PartName="/xl/ctrlProps/ctrlProp25.xml" ContentType="application/vnd.ms-excel.controlproperties+xml"/>
  <Override PartName="/xl/ctrlProps/ctrlProp26.xml" ContentType="application/vnd.ms-excel.controlproperties+xml"/>
  <Override PartName="/xl/drawings/drawing13.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drawings/drawing14.xml" ContentType="application/vnd.openxmlformats-officedocument.drawing+xml"/>
  <Override PartName="/xl/ctrlProps/ctrlProp38.xml" ContentType="application/vnd.ms-excel.controlproperties+xml"/>
  <Override PartName="/xl/ctrlProps/ctrlProp39.xml" ContentType="application/vnd.ms-excel.controlproperties+xml"/>
  <Override PartName="/xl/drawings/drawing15.xml" ContentType="application/vnd.openxmlformats-officedocument.drawing+xml"/>
  <Override PartName="/xl/ctrlProps/ctrlProp40.xml" ContentType="application/vnd.ms-excel.controlproperties+xml"/>
  <Override PartName="/xl/ctrlProps/ctrlProp41.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1.xml" ContentType="application/vnd.openxmlformats-officedocument.spreadsheetml.comments+xml"/>
  <Override PartName="/xl/drawings/drawing20.xml" ContentType="application/vnd.openxmlformats-officedocument.drawing+xml"/>
  <Override PartName="/xl/comments2.xml" ContentType="application/vnd.openxmlformats-officedocument.spreadsheetml.comments+xml"/>
  <Override PartName="/xl/drawings/drawing21.xml" ContentType="application/vnd.openxmlformats-officedocument.drawing+xml"/>
  <Override PartName="/xl/comments3.xml" ContentType="application/vnd.openxmlformats-officedocument.spreadsheetml.comments+xml"/>
  <Override PartName="/xl/drawings/drawing22.xml" ContentType="application/vnd.openxmlformats-officedocument.drawing+xml"/>
  <Override PartName="/xl/comments4.xml" ContentType="application/vnd.openxmlformats-officedocument.spreadsheetml.comments+xml"/>
  <Override PartName="/xl/drawings/drawing23.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saveExternalLinkValues="0" codeName="DieseArbeitsmappe" hidePivotFieldList="1"/>
  <mc:AlternateContent xmlns:mc="http://schemas.openxmlformats.org/markup-compatibility/2006">
    <mc:Choice Requires="x15">
      <x15ac:absPath xmlns:x15ac="http://schemas.microsoft.com/office/spreadsheetml/2010/11/ac" url="N:\Fpa\P_honorierung\16_Lohntools_Tabellen_Einreihungstools\2026\2_All in One Formulare_EW Berechnungen\"/>
    </mc:Choice>
  </mc:AlternateContent>
  <xr:revisionPtr revIDLastSave="0" documentId="13_ncr:1_{3A39086B-4B89-425F-8784-19648E692E0A}" xr6:coauthVersionLast="47" xr6:coauthVersionMax="47" xr10:uidLastSave="{00000000-0000-0000-0000-000000000000}"/>
  <workbookProtection workbookAlgorithmName="SHA-512" workbookHashValue="iBJsLtXZJ2MeFVTB1bfKb/6Df6tqLrsL+ZoezVAKy0UiHvEqXIpidwzc26HPUmExikPVUcDfJzUYu6A5mqSJ7A==" workbookSaltValue="7sRfEIvJQ2RvTo/5Ga1M+A==" workbookSpinCount="100000" lockStructure="1"/>
  <bookViews>
    <workbookView xWindow="-480000" yWindow="-480000" windowWidth="2400" windowHeight="585" firstSheet="1" activeTab="1" xr2:uid="{00000000-000D-0000-FFFF-FFFF00000000}"/>
  </bookViews>
  <sheets>
    <sheet name="Release Notes" sheetId="248" state="hidden" r:id="rId1"/>
    <sheet name="Grunddaten" sheetId="222" r:id="rId2"/>
    <sheet name="Anstellung KigaPrim" sheetId="229" r:id="rId3"/>
    <sheet name="Externe Stv. KigaPrim" sheetId="232" r:id="rId4"/>
    <sheet name="Anstellung MS" sheetId="234" r:id="rId5"/>
    <sheet name="Externe Stv. MS" sheetId="235" r:id="rId6"/>
    <sheet name="Anstellung KPTF" sheetId="236" r:id="rId7"/>
    <sheet name="Externe Stv. KPTF" sheetId="237" r:id="rId8"/>
    <sheet name="Anstellung BFS" sheetId="238" r:id="rId9"/>
    <sheet name="Anstellung Sek I_Gym" sheetId="254" r:id="rId10"/>
    <sheet name="Externe Stv. Sek I_Gym" sheetId="255" r:id="rId11"/>
    <sheet name="UP Vertragsaenderung" sheetId="233" r:id="rId12"/>
    <sheet name="VP Anstellung" sheetId="223" r:id="rId13"/>
    <sheet name="VP Vertragsaenderung" sheetId="242" r:id="rId14"/>
    <sheet name="VP Zusätzlicher Vertrag" sheetId="243" r:id="rId15"/>
    <sheet name="VP Folgevertrag Stundenlohn" sheetId="251" state="hidden" r:id="rId16"/>
    <sheet name="Pensenberechnung" sheetId="245" r:id="rId17"/>
    <sheet name="Ferienplan Pensenberechnung" sheetId="247" r:id="rId18"/>
    <sheet name="Lohnrechner" sheetId="241" r:id="rId19"/>
    <sheet name="Lohnberechnung" sheetId="6" r:id="rId20"/>
    <sheet name="Wechsel max. 1 LB" sheetId="226" r:id="rId21"/>
    <sheet name="Wechsel gleiche Ausb. Anf." sheetId="228" r:id="rId22"/>
    <sheet name="Wechsel anspruchsvollere Fkt." sheetId="227" r:id="rId23"/>
    <sheet name="Druckeinstellungen" sheetId="239" r:id="rId24"/>
    <sheet name="Stammdaten_DropDown" sheetId="21" state="hidden" r:id="rId25"/>
    <sheet name="LohntabelleM" sheetId="15" state="hidden" r:id="rId26"/>
    <sheet name="LohntabelleJ" sheetId="14" state="hidden" r:id="rId27"/>
    <sheet name="A1-Texte" sheetId="5" state="hidden" r:id="rId28"/>
    <sheet name="MU-Daten" sheetId="2" state="hidden" r:id="rId29"/>
    <sheet name="Bewertungstabelle" sheetId="13" state="hidden" r:id="rId30"/>
  </sheets>
  <definedNames>
    <definedName name="_A_AnstellungKigaPrim" localSheetId="9">'Anstellung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AnstellungKigaPrim" localSheetId="10">'Anstellung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AnstellungKigaPrim" localSheetId="15">'Anstellung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AnstellungKigaPrim">'Anstellung KigaPrim'!$G$15,'Anstellung KigaPrim'!$G$17,'Anstellung KigaPrim'!$K$17,'Anstellung KigaPrim'!$J$30,'Anstellung KigaPrim'!$G$30,'Anstellung KigaPrim'!$G$32,'Anstellung KigaPrim'!$G$34,'Anstellung KigaPrim'!$J$34,'Anstellung KigaPrim'!$K$36,'Anstellung KigaPrim'!$K$38,'Anstellung KigaPrim'!$G$36,'Anstellung KigaPrim'!$G$38,'Anstellung KigaPrim'!$G$40,'Anstellung KigaPrim'!$G$42,'Anstellung KigaPrim'!$L$42,'Anstellung KigaPrim'!$J$46,'Anstellung KigaPrim'!$L$46,'Anstellung KigaPrim'!#REF!,'Anstellung KigaPrim'!$E$51,'Anstellung KigaPrim'!$E$52,'Anstellung KigaPrim'!$E$53,'Anstellung KigaPrim'!$L$55,'Anstellung KigaPrim'!$H$65,'Anstellung KigaPrim'!#REF!,'Anstellung KigaPrim'!$L$68,'Anstellung KigaPrim'!#REF!,'Anstellung KigaPrim'!$G$70,'Anstellung KigaPrim'!$G$74,'Anstellung KigaPrim'!$E$80,'Anstellung KigaPrim'!$E$81,'Anstellung KigaPrim'!$E$82,'Anstellung KigaPrim'!$K$88</definedName>
    <definedName name="_A_Grunddaten">Grunddaten!$E$9,Grunddaten!$E$11,Grunddaten!$E$13,Grunddaten!$E$15,Grunddaten!$E$17,Grunddaten!$E$19</definedName>
    <definedName name="_xlnm._FilterDatabase" localSheetId="28" hidden="1">'MU-Daten'!$A$1:$T$428</definedName>
    <definedName name="_xlnm._FilterDatabase" localSheetId="15" hidden="1">'VP Folgevertrag Stundenlohn'!#REF!</definedName>
    <definedName name="_xlnm._FilterDatabase" localSheetId="14" hidden="1">'VP Zusätzlicher Vertrag'!#REF!</definedName>
    <definedName name="AlterFerienanspruch">Pensenberechnung!$O$15</definedName>
    <definedName name="Anrede">Stammdaten_DropDown!$A$94:$A$96</definedName>
    <definedName name="Anstellung">Stammdaten_DropDown!$A$28:$A$29</definedName>
    <definedName name="Anstellung2">Stammdaten_DropDown!$A$28:$A$29</definedName>
    <definedName name="AnstellungBF">Stammdaten_DropDown!$E$56:$E$58</definedName>
    <definedName name="AnstellungsartVP">Stammdaten_DropDown!$E$39:$E$41</definedName>
    <definedName name="Aus_MU">'MU-Daten'!$A$2:$A$1006</definedName>
    <definedName name="Ausbildung">Stammdaten_DropDown!$C$14:$C$55</definedName>
    <definedName name="BandLohnBer">Lohnberechnung!$I$70</definedName>
    <definedName name="BandLohnRechner" localSheetId="16">Pensenberechnung!#REF!</definedName>
    <definedName name="BandLohnRechner">Lohnrechner!$J$15</definedName>
    <definedName name="BeginnArbeitsdauer">Pensenberechnung!$G$17</definedName>
    <definedName name="BegründungFürBefristung">Stammdaten_DropDown!$A$32:$A$35</definedName>
    <definedName name="BGLohnBer">Lohnberechnung!$I$72</definedName>
    <definedName name="ChkBoxPrimarSchule">"Gruppieren 2"</definedName>
    <definedName name="_xlnm.Print_Area" localSheetId="8">'Anstellung BFS'!$A$1:$L$102</definedName>
    <definedName name="_xlnm.Print_Area" localSheetId="2">'Anstellung KigaPrim'!$A$1:$M$98</definedName>
    <definedName name="_xlnm.Print_Area" localSheetId="6">'Anstellung KPTF'!$A$1:$M$96</definedName>
    <definedName name="_xlnm.Print_Area" localSheetId="4">'Anstellung MS'!$A$1:$M$96</definedName>
    <definedName name="_xlnm.Print_Area" localSheetId="9">'Anstellung Sek I_Gym'!$A$1:$M$100</definedName>
    <definedName name="_xlnm.Print_Area" localSheetId="3">'Externe Stv. KigaPrim'!$A$1:$L$88</definedName>
    <definedName name="_xlnm.Print_Area" localSheetId="7">'Externe Stv. KPTF'!$A$1:$L$84</definedName>
    <definedName name="_xlnm.Print_Area" localSheetId="5">'Externe Stv. MS'!$A$1:$L$84</definedName>
    <definedName name="_xlnm.Print_Area" localSheetId="10">'Externe Stv. Sek I_Gym'!$A$1:$L$89</definedName>
    <definedName name="_xlnm.Print_Area" localSheetId="19">Lohnberechnung!$A$1:$L$83</definedName>
    <definedName name="_xlnm.Print_Area" localSheetId="18">Lohnrechner!$A$1:$Q$31</definedName>
    <definedName name="_xlnm.Print_Area" localSheetId="16">Pensenberechnung!$A$1:$Q$29</definedName>
    <definedName name="_xlnm.Print_Area" localSheetId="11">'UP Vertragsaenderung'!$A$1:$L$126</definedName>
    <definedName name="_xlnm.Print_Area" localSheetId="12">'VP Anstellung'!$A$1:$L$119</definedName>
    <definedName name="_xlnm.Print_Area" localSheetId="15">'VP Folgevertrag Stundenlohn'!$A$1:$L$113</definedName>
    <definedName name="_xlnm.Print_Area" localSheetId="13">'VP Vertragsaenderung'!$A$1:$M$124</definedName>
    <definedName name="_xlnm.Print_Area" localSheetId="14">'VP Zusätzlicher Vertrag'!$A$1:$L$113</definedName>
    <definedName name="_xlnm.Print_Area" localSheetId="22">'Wechsel anspruchsvollere Fkt.'!$A$1:$S$51</definedName>
    <definedName name="_xlnm.Print_Area" localSheetId="21">'Wechsel gleiche Ausb. Anf.'!$A$1:$S$55</definedName>
    <definedName name="_xlnm.Print_Area" localSheetId="20">'Wechsel max. 1 LB'!$A$1:$T$51</definedName>
    <definedName name="_xlnm.Print_Titles" localSheetId="28">'MU-Daten'!$1:$1</definedName>
    <definedName name="EffLohnLohnBer">Lohnberechnung!$I$73</definedName>
    <definedName name="EndeArbeitsdauer">Pensenberechnung!$J$17</definedName>
    <definedName name="EntscheidDesAmtesFürVolksschulen">Stammdaten_DropDown!$A$52:$A$55</definedName>
    <definedName name="Erfahrungswert">LohntabelleM!$B$3:$AE$3</definedName>
    <definedName name="ESSprungManuell">Stammdaten_DropDown!$A$38:$A$39</definedName>
    <definedName name="ESSprungManuell2">Stammdaten_DropDown!$A$38:$A$39</definedName>
    <definedName name="EStv_SekZweiButton">"Button 1"</definedName>
    <definedName name="EW_anspFu">'Wechsel anspruchsvollere Fkt.'!$J$34</definedName>
    <definedName name="EW_glAusb">'Wechsel gleiche Ausb. Anf.'!$J$38</definedName>
    <definedName name="EW_maxLB">'Wechsel max. 1 LB'!$J$34</definedName>
    <definedName name="EWLohnBer">Lohnberechnung!$J$70</definedName>
    <definedName name="EWLohnRechner" localSheetId="16">Pensenberechnung!#REF!</definedName>
    <definedName name="EWLohnRechner">Lohnrechner!$O$15</definedName>
    <definedName name="F" localSheetId="19">Lohnberechnung!$A$6:$J$71</definedName>
    <definedName name="Ferien_KJ">'Ferienplan Pensenberechnung'!$M$13</definedName>
    <definedName name="Ferien_pro_Rata">'Ferienplan Pensenberechnung'!$M$14</definedName>
    <definedName name="Ferien_WE">'Ferienplan Pensenberechnung'!$M$15</definedName>
    <definedName name="Gepl_Wochenstunden">Pensenberechnung!$J$15</definedName>
    <definedName name="GewBewilligung">Stammdaten_DropDown!$C$3:$C$7</definedName>
    <definedName name="IndivBem">Stammdaten_DropDown!$A$105:$A$112</definedName>
    <definedName name="KompetenzDerSchulleitung">Stammdaten_DropDown!$A$42:$A$49</definedName>
    <definedName name="Kreuz">Stammdaten_DropDown!$C$10:$C$11</definedName>
    <definedName name="LB_anspFu">'Wechsel anspruchsvollere Fkt.'!$J$32</definedName>
    <definedName name="LB_glAusb">'Wechsel gleiche Ausb. Anf.'!$J$36</definedName>
    <definedName name="LB_maxLB">'Wechsel max. 1 LB'!$J$32</definedName>
    <definedName name="Lohn_anspFu">'Wechsel anspruchsvollere Fkt.'!$N$34</definedName>
    <definedName name="Lohn_glAusb">'Wechsel gleiche Ausb. Anf.'!$N$38</definedName>
    <definedName name="Lohn_maxLB">'Wechsel max. 1 LB'!$N$34</definedName>
    <definedName name="Lohnband">LohntabelleM!$A$4:$A$31</definedName>
    <definedName name="LohnBerLohn">Lohnberechnung!$A$77</definedName>
    <definedName name="LohnBerNotiz">Lohnberechnung!$A$78</definedName>
    <definedName name="LohnLohnBer">Lohnberechnung!$I$71</definedName>
    <definedName name="LohnLohnRechner" localSheetId="16">Pensenberechnung!#REF!</definedName>
    <definedName name="LohnLohnRechner">Lohnrechner!$N$22</definedName>
    <definedName name="MAAnrede">Grunddaten!$E$13</definedName>
    <definedName name="MAGeburtsdatum">Grunddaten!$E$19</definedName>
    <definedName name="MAName">Grunddaten!$E$15</definedName>
    <definedName name="MAPersID">Grunddaten!$E$11</definedName>
    <definedName name="MAVertragsNr">Grunddaten!$E$9</definedName>
    <definedName name="MAVorname">Grunddaten!$E$17</definedName>
    <definedName name="MU_AnspFu">'Wechsel anspruchsvollere Fkt.'!$I$20</definedName>
    <definedName name="MU_glAusb">'Wechsel gleiche Ausb. Anf.'!$H$21</definedName>
    <definedName name="MU_maxLB">'Wechsel max. 1 LB'!$I$20</definedName>
    <definedName name="MULohnberechnung">Lohnberechnung!$I$6</definedName>
    <definedName name="Pensum">'Ferienplan Pensenberechnung'!$M$29</definedName>
    <definedName name="Pflichtlektionen">Stammdaten_DropDown!$E$48:$E$53</definedName>
    <definedName name="Regelung">Stammdaten_DropDown!$A$58:$A$59</definedName>
    <definedName name="Schulferien_wArbeitsdauer">'Ferienplan Pensenberechnung'!$M$18</definedName>
    <definedName name="SchulKindergartenTyp">Stammdaten_DropDown!$A$62:$A$65</definedName>
    <definedName name="Schultypen">Stammdaten_DropDown!$E$16:$E$19</definedName>
    <definedName name="SchultypKGPS">Stammdaten_DropDown!$C$63:$C$82</definedName>
    <definedName name="SchultypSek1">Stammdaten_DropDown!$A$69:$A$76</definedName>
    <definedName name="SekTyp">Stammdaten_DropDown!$C$59:$C$60</definedName>
    <definedName name="Stunden_Vollpensum">'Ferienplan Pensenberechnung'!$M$28</definedName>
    <definedName name="Stundenansatz_Tag">'Ferienplan Pensenberechnung'!$M$26</definedName>
    <definedName name="Stundenansatz_Tag_ungerundet">'Ferienplan Pensenberechnung'!$M$25</definedName>
    <definedName name="Stundenansatz_Woche">'Ferienplan Pensenberechnung'!$M$24</definedName>
    <definedName name="Tage_Anstellung">'Ferienplan Pensenberechnung'!$M$11</definedName>
    <definedName name="Tage_Anstellungen_oFerien">'Ferienplan Pensenberechnung'!$M$16</definedName>
    <definedName name="Tage_ohne_Schulferien">'Ferienplan Pensenberechnung'!$M$19</definedName>
    <definedName name="TechnEintrittsDatum">Stammdaten_DropDown!$E$13</definedName>
    <definedName name="TSMAnst">Stammdaten_DropDown!$A$99:$A$102</definedName>
    <definedName name="UArtKindergarten">Stammdaten_DropDown!$E$63:$E$65</definedName>
    <definedName name="UArtKreiskindergarten">Stammdaten_DropDown!$E$68:$E$70</definedName>
    <definedName name="UArtKreisprimarschule">Stammdaten_DropDown!$E$83:$E$89</definedName>
    <definedName name="UArtPrimarschule">Stammdaten_DropDown!$E$73:$E$79</definedName>
    <definedName name="Umrechnungsfaktor_Tage">'Ferienplan Pensenberechnung'!$M$21</definedName>
    <definedName name="UnterrichtsartKigaPrim">Stammdaten_DropDown!$C$89:$C$98</definedName>
    <definedName name="Vertragsart">Stammdaten_DropDown!$A$18:$A$22</definedName>
    <definedName name="VPFunktSchule">Stammdaten_DropDown!$E$32:$E$36</definedName>
    <definedName name="Zeitwirtschaft">Stammdaten_DropDown!$A$13:$A$15</definedName>
    <definedName name="Zivilstand">Stammdaten_DropDown!$A$3:$A$10</definedName>
    <definedName name="Zurück_zu_Grundd">'Anstellung KigaPrim'!$O$8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334" i="2" l="1"/>
  <c r="A334" i="2"/>
  <c r="B4" i="14"/>
  <c r="C4" i="14"/>
  <c r="D4" i="14"/>
  <c r="E4" i="14"/>
  <c r="F4" i="14"/>
  <c r="G4" i="14"/>
  <c r="H4" i="14"/>
  <c r="I4" i="14"/>
  <c r="J4" i="14"/>
  <c r="K4" i="14"/>
  <c r="L4" i="14"/>
  <c r="M4" i="14"/>
  <c r="N4" i="14"/>
  <c r="O4" i="14"/>
  <c r="P4" i="14"/>
  <c r="Q4" i="14"/>
  <c r="R4" i="14"/>
  <c r="S4" i="14"/>
  <c r="T4" i="14"/>
  <c r="U4" i="14"/>
  <c r="V4" i="14"/>
  <c r="W4" i="14"/>
  <c r="X4" i="14"/>
  <c r="Y4" i="14"/>
  <c r="Z4" i="14"/>
  <c r="AA4" i="14"/>
  <c r="AB4" i="14"/>
  <c r="AC4" i="14"/>
  <c r="AD4" i="14"/>
  <c r="AE4" i="14"/>
  <c r="B5" i="14"/>
  <c r="C5" i="14"/>
  <c r="D5" i="14"/>
  <c r="E5" i="14"/>
  <c r="F5" i="14"/>
  <c r="G5" i="14"/>
  <c r="H5" i="14"/>
  <c r="I5" i="14"/>
  <c r="J5" i="14"/>
  <c r="K5" i="14"/>
  <c r="L5" i="14"/>
  <c r="M5" i="14"/>
  <c r="N5" i="14"/>
  <c r="O5" i="14"/>
  <c r="P5" i="14"/>
  <c r="Q5" i="14"/>
  <c r="R5" i="14"/>
  <c r="S5" i="14"/>
  <c r="T5" i="14"/>
  <c r="U5" i="14"/>
  <c r="V5" i="14"/>
  <c r="W5" i="14"/>
  <c r="X5" i="14"/>
  <c r="Y5" i="14"/>
  <c r="Z5" i="14"/>
  <c r="AA5" i="14"/>
  <c r="AB5" i="14"/>
  <c r="AC5" i="14"/>
  <c r="AD5" i="14"/>
  <c r="AE5" i="14"/>
  <c r="B6" i="14"/>
  <c r="C6" i="14"/>
  <c r="D6" i="14"/>
  <c r="E6" i="14"/>
  <c r="F6" i="14"/>
  <c r="G6" i="14"/>
  <c r="H6" i="14"/>
  <c r="I6" i="14"/>
  <c r="J6" i="14"/>
  <c r="K6" i="14"/>
  <c r="L6" i="14"/>
  <c r="M6" i="14"/>
  <c r="N6" i="14"/>
  <c r="O6" i="14"/>
  <c r="P6" i="14"/>
  <c r="Q6" i="14"/>
  <c r="R6" i="14"/>
  <c r="S6" i="14"/>
  <c r="T6" i="14"/>
  <c r="U6" i="14"/>
  <c r="V6" i="14"/>
  <c r="W6" i="14"/>
  <c r="X6" i="14"/>
  <c r="Y6" i="14"/>
  <c r="Z6" i="14"/>
  <c r="AA6" i="14"/>
  <c r="AB6" i="14"/>
  <c r="AC6" i="14"/>
  <c r="AD6" i="14"/>
  <c r="AE6" i="14"/>
  <c r="B7" i="14"/>
  <c r="C7" i="14"/>
  <c r="D7" i="14"/>
  <c r="E7" i="14"/>
  <c r="F7" i="14"/>
  <c r="G7" i="14"/>
  <c r="H7" i="14"/>
  <c r="I7" i="14"/>
  <c r="J7" i="14"/>
  <c r="K7" i="14"/>
  <c r="L7" i="14"/>
  <c r="M7" i="14"/>
  <c r="N7" i="14"/>
  <c r="O7" i="14"/>
  <c r="P7" i="14"/>
  <c r="Q7" i="14"/>
  <c r="R7" i="14"/>
  <c r="S7" i="14"/>
  <c r="T7" i="14"/>
  <c r="U7" i="14"/>
  <c r="V7" i="14"/>
  <c r="W7" i="14"/>
  <c r="X7" i="14"/>
  <c r="Y7" i="14"/>
  <c r="Z7" i="14"/>
  <c r="AA7" i="14"/>
  <c r="AB7" i="14"/>
  <c r="AC7" i="14"/>
  <c r="AD7" i="14"/>
  <c r="AE7" i="14"/>
  <c r="B8" i="14"/>
  <c r="C8" i="14"/>
  <c r="D8" i="14"/>
  <c r="E8" i="14"/>
  <c r="F8" i="14"/>
  <c r="G8" i="14"/>
  <c r="H8" i="14"/>
  <c r="I8" i="14"/>
  <c r="J8" i="14"/>
  <c r="K8" i="14"/>
  <c r="L8" i="14"/>
  <c r="M8" i="14"/>
  <c r="N8" i="14"/>
  <c r="O8" i="14"/>
  <c r="P8" i="14"/>
  <c r="Q8" i="14"/>
  <c r="R8" i="14"/>
  <c r="S8" i="14"/>
  <c r="T8" i="14"/>
  <c r="U8" i="14"/>
  <c r="V8" i="14"/>
  <c r="W8" i="14"/>
  <c r="X8" i="14"/>
  <c r="Y8" i="14"/>
  <c r="Z8" i="14"/>
  <c r="AA8" i="14"/>
  <c r="AB8" i="14"/>
  <c r="AC8" i="14"/>
  <c r="AD8" i="14"/>
  <c r="AE8" i="14"/>
  <c r="B9" i="14"/>
  <c r="C9" i="14"/>
  <c r="D9" i="14"/>
  <c r="E9" i="14"/>
  <c r="F9" i="14"/>
  <c r="G9" i="14"/>
  <c r="H9" i="14"/>
  <c r="I9" i="14"/>
  <c r="J9" i="14"/>
  <c r="K9" i="14"/>
  <c r="L9" i="14"/>
  <c r="M9" i="14"/>
  <c r="N9" i="14"/>
  <c r="O9" i="14"/>
  <c r="P9" i="14"/>
  <c r="Q9" i="14"/>
  <c r="R9" i="14"/>
  <c r="S9" i="14"/>
  <c r="T9" i="14"/>
  <c r="U9" i="14"/>
  <c r="V9" i="14"/>
  <c r="W9" i="14"/>
  <c r="X9" i="14"/>
  <c r="Y9" i="14"/>
  <c r="Z9" i="14"/>
  <c r="AA9" i="14"/>
  <c r="AB9" i="14"/>
  <c r="AC9" i="14"/>
  <c r="AD9" i="14"/>
  <c r="AE9" i="14"/>
  <c r="B10" i="14"/>
  <c r="C10" i="14"/>
  <c r="D10" i="14"/>
  <c r="E10" i="14"/>
  <c r="F10" i="14"/>
  <c r="G10" i="14"/>
  <c r="H10" i="14"/>
  <c r="I10" i="14"/>
  <c r="J10" i="14"/>
  <c r="K10" i="14"/>
  <c r="L10" i="14"/>
  <c r="M10" i="14"/>
  <c r="N10" i="14"/>
  <c r="O10" i="14"/>
  <c r="P10" i="14"/>
  <c r="Q10" i="14"/>
  <c r="R10" i="14"/>
  <c r="S10" i="14"/>
  <c r="T10" i="14"/>
  <c r="U10" i="14"/>
  <c r="V10" i="14"/>
  <c r="W10" i="14"/>
  <c r="X10" i="14"/>
  <c r="Y10" i="14"/>
  <c r="Z10" i="14"/>
  <c r="AA10" i="14"/>
  <c r="AB10" i="14"/>
  <c r="AC10" i="14"/>
  <c r="AD10" i="14"/>
  <c r="AE10" i="14"/>
  <c r="B11" i="14"/>
  <c r="C11" i="14"/>
  <c r="D11" i="14"/>
  <c r="E11" i="14"/>
  <c r="F11" i="14"/>
  <c r="G11" i="14"/>
  <c r="H11" i="14"/>
  <c r="I11" i="14"/>
  <c r="J11" i="14"/>
  <c r="K11" i="14"/>
  <c r="L11" i="14"/>
  <c r="M11" i="14"/>
  <c r="N11" i="14"/>
  <c r="O11" i="14"/>
  <c r="P11" i="14"/>
  <c r="Q11" i="14"/>
  <c r="R11" i="14"/>
  <c r="S11" i="14"/>
  <c r="T11" i="14"/>
  <c r="U11" i="14"/>
  <c r="V11" i="14"/>
  <c r="W11" i="14"/>
  <c r="X11" i="14"/>
  <c r="Y11" i="14"/>
  <c r="Z11" i="14"/>
  <c r="AA11" i="14"/>
  <c r="AB11" i="14"/>
  <c r="AC11" i="14"/>
  <c r="AD11" i="14"/>
  <c r="AE11" i="14"/>
  <c r="B12" i="14"/>
  <c r="C12" i="14"/>
  <c r="D12" i="14"/>
  <c r="E12" i="14"/>
  <c r="F12" i="14"/>
  <c r="G12" i="14"/>
  <c r="H12" i="14"/>
  <c r="I12" i="14"/>
  <c r="J12" i="14"/>
  <c r="K12" i="14"/>
  <c r="L12" i="14"/>
  <c r="M12" i="14"/>
  <c r="N12" i="14"/>
  <c r="O12" i="14"/>
  <c r="P12" i="14"/>
  <c r="Q12" i="14"/>
  <c r="R12" i="14"/>
  <c r="S12" i="14"/>
  <c r="T12" i="14"/>
  <c r="U12" i="14"/>
  <c r="V12" i="14"/>
  <c r="W12" i="14"/>
  <c r="X12" i="14"/>
  <c r="Y12" i="14"/>
  <c r="Z12" i="14"/>
  <c r="AA12" i="14"/>
  <c r="AB12" i="14"/>
  <c r="AC12" i="14"/>
  <c r="AD12" i="14"/>
  <c r="AE12" i="14"/>
  <c r="B13" i="14"/>
  <c r="C13" i="14"/>
  <c r="D13" i="14"/>
  <c r="E13" i="14"/>
  <c r="F13" i="14"/>
  <c r="G13" i="14"/>
  <c r="H13" i="14"/>
  <c r="I13" i="14"/>
  <c r="J13" i="14"/>
  <c r="K13" i="14"/>
  <c r="L13" i="14"/>
  <c r="M13" i="14"/>
  <c r="N13" i="14"/>
  <c r="O13" i="14"/>
  <c r="P13" i="14"/>
  <c r="Q13" i="14"/>
  <c r="R13" i="14"/>
  <c r="S13" i="14"/>
  <c r="T13" i="14"/>
  <c r="U13" i="14"/>
  <c r="V13" i="14"/>
  <c r="W13" i="14"/>
  <c r="X13" i="14"/>
  <c r="Y13" i="14"/>
  <c r="Z13" i="14"/>
  <c r="AA13" i="14"/>
  <c r="AB13" i="14"/>
  <c r="AC13" i="14"/>
  <c r="AD13" i="14"/>
  <c r="AE13" i="14"/>
  <c r="B14" i="14"/>
  <c r="C14" i="14"/>
  <c r="D14" i="14"/>
  <c r="E14" i="14"/>
  <c r="F14" i="14"/>
  <c r="G14" i="14"/>
  <c r="H14" i="14"/>
  <c r="I14" i="14"/>
  <c r="J14" i="14"/>
  <c r="K14" i="14"/>
  <c r="L14" i="14"/>
  <c r="M14" i="14"/>
  <c r="N14" i="14"/>
  <c r="O14" i="14"/>
  <c r="P14" i="14"/>
  <c r="Q14" i="14"/>
  <c r="R14" i="14"/>
  <c r="S14" i="14"/>
  <c r="T14" i="14"/>
  <c r="U14" i="14"/>
  <c r="V14" i="14"/>
  <c r="W14" i="14"/>
  <c r="X14" i="14"/>
  <c r="Y14" i="14"/>
  <c r="Z14" i="14"/>
  <c r="AA14" i="14"/>
  <c r="AB14" i="14"/>
  <c r="AC14" i="14"/>
  <c r="AD14" i="14"/>
  <c r="AE14" i="14"/>
  <c r="B15" i="14"/>
  <c r="C15" i="14"/>
  <c r="D15" i="14"/>
  <c r="E15" i="14"/>
  <c r="F15" i="14"/>
  <c r="G15" i="14"/>
  <c r="H15" i="14"/>
  <c r="I15" i="14"/>
  <c r="J15" i="14"/>
  <c r="K15" i="14"/>
  <c r="L15" i="14"/>
  <c r="M15" i="14"/>
  <c r="N15" i="14"/>
  <c r="O15" i="14"/>
  <c r="P15" i="14"/>
  <c r="Q15" i="14"/>
  <c r="R15" i="14"/>
  <c r="S15" i="14"/>
  <c r="T15" i="14"/>
  <c r="U15" i="14"/>
  <c r="V15" i="14"/>
  <c r="W15" i="14"/>
  <c r="X15" i="14"/>
  <c r="Y15" i="14"/>
  <c r="Z15" i="14"/>
  <c r="AA15" i="14"/>
  <c r="AB15" i="14"/>
  <c r="AC15" i="14"/>
  <c r="AD15" i="14"/>
  <c r="AE15" i="14"/>
  <c r="B16" i="14"/>
  <c r="C16" i="14"/>
  <c r="D16" i="14"/>
  <c r="E16" i="14"/>
  <c r="F16" i="14"/>
  <c r="G16" i="14"/>
  <c r="H16" i="14"/>
  <c r="I16" i="14"/>
  <c r="J16" i="14"/>
  <c r="K16" i="14"/>
  <c r="L16" i="14"/>
  <c r="M16" i="14"/>
  <c r="N16" i="14"/>
  <c r="O16" i="14"/>
  <c r="P16" i="14"/>
  <c r="Q16" i="14"/>
  <c r="R16" i="14"/>
  <c r="S16" i="14"/>
  <c r="T16" i="14"/>
  <c r="U16" i="14"/>
  <c r="V16" i="14"/>
  <c r="W16" i="14"/>
  <c r="X16" i="14"/>
  <c r="Y16" i="14"/>
  <c r="Z16" i="14"/>
  <c r="AA16" i="14"/>
  <c r="AB16" i="14"/>
  <c r="AC16" i="14"/>
  <c r="AD16" i="14"/>
  <c r="AE16" i="14"/>
  <c r="B17" i="14"/>
  <c r="C17" i="14"/>
  <c r="D17" i="14"/>
  <c r="E17" i="14"/>
  <c r="F17" i="14"/>
  <c r="G17" i="14"/>
  <c r="H17" i="14"/>
  <c r="I17" i="14"/>
  <c r="J17" i="14"/>
  <c r="K17" i="14"/>
  <c r="L17" i="14"/>
  <c r="M17" i="14"/>
  <c r="N17" i="14"/>
  <c r="O17" i="14"/>
  <c r="P17" i="14"/>
  <c r="Q17" i="14"/>
  <c r="R17" i="14"/>
  <c r="S17" i="14"/>
  <c r="T17" i="14"/>
  <c r="U17" i="14"/>
  <c r="V17" i="14"/>
  <c r="W17" i="14"/>
  <c r="X17" i="14"/>
  <c r="Y17" i="14"/>
  <c r="Z17" i="14"/>
  <c r="AA17" i="14"/>
  <c r="AB17" i="14"/>
  <c r="AC17" i="14"/>
  <c r="AD17" i="14"/>
  <c r="AE17" i="14"/>
  <c r="B18" i="14"/>
  <c r="C18" i="14"/>
  <c r="D18" i="14"/>
  <c r="E18" i="14"/>
  <c r="F18" i="14"/>
  <c r="G18" i="14"/>
  <c r="H18" i="14"/>
  <c r="I18" i="14"/>
  <c r="J18" i="14"/>
  <c r="K18" i="14"/>
  <c r="L18" i="14"/>
  <c r="M18" i="14"/>
  <c r="N18" i="14"/>
  <c r="O18" i="14"/>
  <c r="P18" i="14"/>
  <c r="Q18" i="14"/>
  <c r="R18" i="14"/>
  <c r="S18" i="14"/>
  <c r="T18" i="14"/>
  <c r="U18" i="14"/>
  <c r="V18" i="14"/>
  <c r="W18" i="14"/>
  <c r="X18" i="14"/>
  <c r="Y18" i="14"/>
  <c r="Z18" i="14"/>
  <c r="AA18" i="14"/>
  <c r="AB18" i="14"/>
  <c r="AC18" i="14"/>
  <c r="AD18" i="14"/>
  <c r="AE18" i="14"/>
  <c r="B19" i="14"/>
  <c r="C19" i="14"/>
  <c r="D19" i="14"/>
  <c r="E19" i="14"/>
  <c r="F19" i="14"/>
  <c r="G19" i="14"/>
  <c r="H19" i="14"/>
  <c r="I19" i="14"/>
  <c r="J19" i="14"/>
  <c r="K19" i="14"/>
  <c r="L19" i="14"/>
  <c r="M19" i="14"/>
  <c r="N19" i="14"/>
  <c r="O19" i="14"/>
  <c r="P19" i="14"/>
  <c r="Q19" i="14"/>
  <c r="R19" i="14"/>
  <c r="S19" i="14"/>
  <c r="T19" i="14"/>
  <c r="U19" i="14"/>
  <c r="V19" i="14"/>
  <c r="W19" i="14"/>
  <c r="X19" i="14"/>
  <c r="Y19" i="14"/>
  <c r="Z19" i="14"/>
  <c r="AA19" i="14"/>
  <c r="AB19" i="14"/>
  <c r="AC19" i="14"/>
  <c r="AD19" i="14"/>
  <c r="AE19" i="14"/>
  <c r="B20" i="14"/>
  <c r="C20" i="14"/>
  <c r="D20" i="14"/>
  <c r="E20" i="14"/>
  <c r="F20" i="14"/>
  <c r="G20" i="14"/>
  <c r="H20" i="14"/>
  <c r="I20" i="14"/>
  <c r="J20" i="14"/>
  <c r="K20" i="14"/>
  <c r="L20" i="14"/>
  <c r="M20" i="14"/>
  <c r="N20" i="14"/>
  <c r="O20" i="14"/>
  <c r="P20" i="14"/>
  <c r="Q20" i="14"/>
  <c r="R20" i="14"/>
  <c r="S20" i="14"/>
  <c r="T20" i="14"/>
  <c r="U20" i="14"/>
  <c r="V20" i="14"/>
  <c r="W20" i="14"/>
  <c r="X20" i="14"/>
  <c r="Y20" i="14"/>
  <c r="Z20" i="14"/>
  <c r="AA20" i="14"/>
  <c r="AB20" i="14"/>
  <c r="AC20" i="14"/>
  <c r="AD20" i="14"/>
  <c r="AE20" i="14"/>
  <c r="B21" i="14"/>
  <c r="C21" i="14"/>
  <c r="D21" i="14"/>
  <c r="E21" i="14"/>
  <c r="F21" i="14"/>
  <c r="G21" i="14"/>
  <c r="H21" i="14"/>
  <c r="I21" i="14"/>
  <c r="J21" i="14"/>
  <c r="K21" i="14"/>
  <c r="L21" i="14"/>
  <c r="M21" i="14"/>
  <c r="N21" i="14"/>
  <c r="O21" i="14"/>
  <c r="P21" i="14"/>
  <c r="Q21" i="14"/>
  <c r="R21" i="14"/>
  <c r="S21" i="14"/>
  <c r="T21" i="14"/>
  <c r="U21" i="14"/>
  <c r="V21" i="14"/>
  <c r="W21" i="14"/>
  <c r="X21" i="14"/>
  <c r="Y21" i="14"/>
  <c r="Z21" i="14"/>
  <c r="AA21" i="14"/>
  <c r="AB21" i="14"/>
  <c r="AC21" i="14"/>
  <c r="AD21" i="14"/>
  <c r="AE21" i="14"/>
  <c r="B22" i="14"/>
  <c r="C22" i="14"/>
  <c r="D22" i="14"/>
  <c r="E22" i="14"/>
  <c r="F22" i="14"/>
  <c r="G22" i="14"/>
  <c r="H22" i="14"/>
  <c r="I22" i="14"/>
  <c r="J22" i="14"/>
  <c r="K22" i="14"/>
  <c r="L22" i="14"/>
  <c r="M22" i="14"/>
  <c r="N22" i="14"/>
  <c r="O22" i="14"/>
  <c r="P22" i="14"/>
  <c r="Q22" i="14"/>
  <c r="R22" i="14"/>
  <c r="S22" i="14"/>
  <c r="T22" i="14"/>
  <c r="U22" i="14"/>
  <c r="V22" i="14"/>
  <c r="W22" i="14"/>
  <c r="X22" i="14"/>
  <c r="Y22" i="14"/>
  <c r="Z22" i="14"/>
  <c r="AA22" i="14"/>
  <c r="AB22" i="14"/>
  <c r="AC22" i="14"/>
  <c r="AD22" i="14"/>
  <c r="AE22" i="14"/>
  <c r="B23" i="14"/>
  <c r="C23" i="14"/>
  <c r="D23" i="14"/>
  <c r="E23" i="14"/>
  <c r="F23" i="14"/>
  <c r="G23" i="14"/>
  <c r="H23" i="14"/>
  <c r="I23" i="14"/>
  <c r="J23" i="14"/>
  <c r="K23" i="14"/>
  <c r="L23" i="14"/>
  <c r="M23" i="14"/>
  <c r="N23" i="14"/>
  <c r="O23" i="14"/>
  <c r="P23" i="14"/>
  <c r="Q23" i="14"/>
  <c r="R23" i="14"/>
  <c r="S23" i="14"/>
  <c r="T23" i="14"/>
  <c r="U23" i="14"/>
  <c r="V23" i="14"/>
  <c r="W23" i="14"/>
  <c r="X23" i="14"/>
  <c r="Y23" i="14"/>
  <c r="Z23" i="14"/>
  <c r="AA23" i="14"/>
  <c r="AB23" i="14"/>
  <c r="AC23" i="14"/>
  <c r="AD23" i="14"/>
  <c r="AE23" i="14"/>
  <c r="B24" i="14"/>
  <c r="C24" i="14"/>
  <c r="D24" i="14"/>
  <c r="E24" i="14"/>
  <c r="F24" i="14"/>
  <c r="G24" i="14"/>
  <c r="H24" i="14"/>
  <c r="I24" i="14"/>
  <c r="J24" i="14"/>
  <c r="K24" i="14"/>
  <c r="L24" i="14"/>
  <c r="M24" i="14"/>
  <c r="N24" i="14"/>
  <c r="O24" i="14"/>
  <c r="P24" i="14"/>
  <c r="Q24" i="14"/>
  <c r="R24" i="14"/>
  <c r="S24" i="14"/>
  <c r="T24" i="14"/>
  <c r="U24" i="14"/>
  <c r="V24" i="14"/>
  <c r="W24" i="14"/>
  <c r="X24" i="14"/>
  <c r="Y24" i="14"/>
  <c r="Z24" i="14"/>
  <c r="AA24" i="14"/>
  <c r="AB24" i="14"/>
  <c r="AC24" i="14"/>
  <c r="AD24" i="14"/>
  <c r="AE24" i="14"/>
  <c r="B25" i="14"/>
  <c r="C25" i="14"/>
  <c r="D25" i="14"/>
  <c r="E25" i="14"/>
  <c r="F25" i="14"/>
  <c r="G25" i="14"/>
  <c r="H25" i="14"/>
  <c r="I25" i="14"/>
  <c r="J25" i="14"/>
  <c r="K25" i="14"/>
  <c r="L25" i="14"/>
  <c r="M25" i="14"/>
  <c r="N25" i="14"/>
  <c r="O25" i="14"/>
  <c r="P25" i="14"/>
  <c r="Q25" i="14"/>
  <c r="R25" i="14"/>
  <c r="S25" i="14"/>
  <c r="T25" i="14"/>
  <c r="U25" i="14"/>
  <c r="V25" i="14"/>
  <c r="W25" i="14"/>
  <c r="X25" i="14"/>
  <c r="Y25" i="14"/>
  <c r="Z25" i="14"/>
  <c r="AA25" i="14"/>
  <c r="AB25" i="14"/>
  <c r="AC25" i="14"/>
  <c r="AD25" i="14"/>
  <c r="AE25" i="14"/>
  <c r="B26" i="14"/>
  <c r="C26" i="14"/>
  <c r="D26" i="14"/>
  <c r="E26" i="14"/>
  <c r="F26" i="14"/>
  <c r="G26" i="14"/>
  <c r="H26" i="14"/>
  <c r="I26" i="14"/>
  <c r="J26" i="14"/>
  <c r="K26" i="14"/>
  <c r="L26" i="14"/>
  <c r="M26" i="14"/>
  <c r="N26" i="14"/>
  <c r="O26" i="14"/>
  <c r="P26" i="14"/>
  <c r="Q26" i="14"/>
  <c r="R26" i="14"/>
  <c r="S26" i="14"/>
  <c r="T26" i="14"/>
  <c r="U26" i="14"/>
  <c r="V26" i="14"/>
  <c r="W26" i="14"/>
  <c r="X26" i="14"/>
  <c r="Y26" i="14"/>
  <c r="Z26" i="14"/>
  <c r="AA26" i="14"/>
  <c r="AB26" i="14"/>
  <c r="AC26" i="14"/>
  <c r="AD26" i="14"/>
  <c r="AE26" i="14"/>
  <c r="B27" i="14"/>
  <c r="C27" i="14"/>
  <c r="D27" i="14"/>
  <c r="E27" i="14"/>
  <c r="F27" i="14"/>
  <c r="G27" i="14"/>
  <c r="H27" i="14"/>
  <c r="I27" i="14"/>
  <c r="J27" i="14"/>
  <c r="K27" i="14"/>
  <c r="L27" i="14"/>
  <c r="M27" i="14"/>
  <c r="N27" i="14"/>
  <c r="O27" i="14"/>
  <c r="P27" i="14"/>
  <c r="Q27" i="14"/>
  <c r="R27" i="14"/>
  <c r="S27" i="14"/>
  <c r="T27" i="14"/>
  <c r="U27" i="14"/>
  <c r="V27" i="14"/>
  <c r="W27" i="14"/>
  <c r="X27" i="14"/>
  <c r="Y27" i="14"/>
  <c r="Z27" i="14"/>
  <c r="AA27" i="14"/>
  <c r="AB27" i="14"/>
  <c r="AC27" i="14"/>
  <c r="AD27" i="14"/>
  <c r="AE27" i="14"/>
  <c r="B28" i="14"/>
  <c r="C28" i="14"/>
  <c r="D28" i="14"/>
  <c r="E28" i="14"/>
  <c r="F28" i="14"/>
  <c r="G28" i="14"/>
  <c r="H28" i="14"/>
  <c r="I28" i="14"/>
  <c r="J28" i="14"/>
  <c r="K28" i="14"/>
  <c r="L28" i="14"/>
  <c r="M28" i="14"/>
  <c r="N28" i="14"/>
  <c r="O28" i="14"/>
  <c r="P28" i="14"/>
  <c r="Q28" i="14"/>
  <c r="R28" i="14"/>
  <c r="S28" i="14"/>
  <c r="T28" i="14"/>
  <c r="U28" i="14"/>
  <c r="V28" i="14"/>
  <c r="W28" i="14"/>
  <c r="X28" i="14"/>
  <c r="Y28" i="14"/>
  <c r="Z28" i="14"/>
  <c r="AA28" i="14"/>
  <c r="AB28" i="14"/>
  <c r="AC28" i="14"/>
  <c r="AD28" i="14"/>
  <c r="AE28" i="14"/>
  <c r="B29" i="14"/>
  <c r="C29" i="14"/>
  <c r="D29" i="14"/>
  <c r="E29" i="14"/>
  <c r="F29" i="14"/>
  <c r="G29" i="14"/>
  <c r="H29" i="14"/>
  <c r="I29" i="14"/>
  <c r="J29" i="14"/>
  <c r="K29" i="14"/>
  <c r="L29" i="14"/>
  <c r="M29" i="14"/>
  <c r="N29" i="14"/>
  <c r="O29" i="14"/>
  <c r="P29" i="14"/>
  <c r="Q29" i="14"/>
  <c r="R29" i="14"/>
  <c r="S29" i="14"/>
  <c r="T29" i="14"/>
  <c r="U29" i="14"/>
  <c r="V29" i="14"/>
  <c r="W29" i="14"/>
  <c r="X29" i="14"/>
  <c r="Y29" i="14"/>
  <c r="Z29" i="14"/>
  <c r="AA29" i="14"/>
  <c r="AB29" i="14"/>
  <c r="AC29" i="14"/>
  <c r="AD29" i="14"/>
  <c r="AE29" i="14"/>
  <c r="B30" i="14"/>
  <c r="C30" i="14"/>
  <c r="D30" i="14"/>
  <c r="E30" i="14"/>
  <c r="F30" i="14"/>
  <c r="G30" i="14"/>
  <c r="H30" i="14"/>
  <c r="I30" i="14"/>
  <c r="J30" i="14"/>
  <c r="K30" i="14"/>
  <c r="L30" i="14"/>
  <c r="M30" i="14"/>
  <c r="N30" i="14"/>
  <c r="O30" i="14"/>
  <c r="P30" i="14"/>
  <c r="Q30" i="14"/>
  <c r="R30" i="14"/>
  <c r="S30" i="14"/>
  <c r="T30" i="14"/>
  <c r="U30" i="14"/>
  <c r="V30" i="14"/>
  <c r="W30" i="14"/>
  <c r="X30" i="14"/>
  <c r="Y30" i="14"/>
  <c r="Z30" i="14"/>
  <c r="AA30" i="14"/>
  <c r="AB30" i="14"/>
  <c r="AC30" i="14"/>
  <c r="AD30" i="14"/>
  <c r="AE30" i="14"/>
  <c r="B31" i="14"/>
  <c r="C31" i="14"/>
  <c r="D31" i="14"/>
  <c r="E31" i="14"/>
  <c r="F31" i="14"/>
  <c r="G31" i="14"/>
  <c r="H31" i="14"/>
  <c r="I31" i="14"/>
  <c r="J31" i="14"/>
  <c r="K31" i="14"/>
  <c r="L31" i="14"/>
  <c r="M31" i="14"/>
  <c r="N31" i="14"/>
  <c r="O31" i="14"/>
  <c r="P31" i="14"/>
  <c r="Q31" i="14"/>
  <c r="R31" i="14"/>
  <c r="S31" i="14"/>
  <c r="T31" i="14"/>
  <c r="U31" i="14"/>
  <c r="V31" i="14"/>
  <c r="W31" i="14"/>
  <c r="X31" i="14"/>
  <c r="Y31" i="14"/>
  <c r="Z31" i="14"/>
  <c r="AA31" i="14"/>
  <c r="AB31" i="14"/>
  <c r="AC31" i="14"/>
  <c r="AD31" i="14"/>
  <c r="AE31" i="14"/>
  <c r="G88" i="233" l="1"/>
  <c r="H87" i="242"/>
  <c r="G81" i="243"/>
  <c r="G81" i="251"/>
  <c r="U21" i="226" l="1"/>
  <c r="N25" i="227" l="1"/>
  <c r="AL19" i="227"/>
  <c r="AN19" i="227" s="1"/>
  <c r="AL18" i="227"/>
  <c r="AN18" i="227" s="1"/>
  <c r="AC19" i="226"/>
  <c r="AE19" i="226" s="1"/>
  <c r="AC18" i="226"/>
  <c r="AR20" i="227"/>
  <c r="AR18" i="227"/>
  <c r="AO20" i="227"/>
  <c r="AO18" i="227"/>
  <c r="AE18" i="226" l="1"/>
  <c r="M25" i="226" s="1"/>
  <c r="AM18" i="227"/>
  <c r="AD18" i="226"/>
  <c r="AJ5" i="222"/>
  <c r="E92" i="242" l="1"/>
  <c r="AM28" i="228" l="1"/>
  <c r="M27" i="228"/>
  <c r="K21" i="228"/>
  <c r="AM21" i="228" s="1"/>
  <c r="K18" i="228"/>
  <c r="AM18" i="228" s="1"/>
  <c r="AM22" i="228" l="1"/>
  <c r="C25" i="228" s="1"/>
  <c r="AQ20" i="227" l="1"/>
  <c r="AQ18" i="227"/>
  <c r="C25" i="227"/>
  <c r="J32" i="227" l="1"/>
  <c r="C28" i="227"/>
  <c r="C27" i="227"/>
  <c r="AR21" i="227"/>
  <c r="AQ21" i="227"/>
  <c r="AO23" i="227"/>
  <c r="J14" i="223"/>
  <c r="D83" i="223" s="1"/>
  <c r="F12" i="228" l="1"/>
  <c r="F12" i="227"/>
  <c r="F12" i="226"/>
  <c r="G20" i="223"/>
  <c r="G19" i="255"/>
  <c r="G19" i="254"/>
  <c r="G19" i="238"/>
  <c r="G19" i="237"/>
  <c r="G19" i="236"/>
  <c r="K9" i="235"/>
  <c r="G19" i="234"/>
  <c r="G19" i="232"/>
  <c r="G19" i="229"/>
  <c r="M91" i="242"/>
  <c r="G14" i="251"/>
  <c r="D85" i="251" s="1"/>
  <c r="S2" i="228" l="1"/>
  <c r="S2" i="227"/>
  <c r="T2" i="226"/>
  <c r="K4" i="6"/>
  <c r="Q3" i="241"/>
  <c r="M4" i="247"/>
  <c r="Q3" i="245"/>
  <c r="L4" i="251"/>
  <c r="L4" i="243"/>
  <c r="L4" i="223"/>
  <c r="L3" i="255"/>
  <c r="M3" i="254"/>
  <c r="L3" i="238"/>
  <c r="L3" i="237"/>
  <c r="M3" i="236"/>
  <c r="L3" i="233"/>
  <c r="L3" i="235"/>
  <c r="M3" i="234"/>
  <c r="L3" i="232"/>
  <c r="M3" i="229"/>
  <c r="L92" i="233"/>
  <c r="N85" i="255" l="1"/>
  <c r="L85" i="255"/>
  <c r="K85" i="255" s="1"/>
  <c r="E85" i="255"/>
  <c r="N83" i="255"/>
  <c r="N81" i="255"/>
  <c r="N79" i="255"/>
  <c r="N77" i="255"/>
  <c r="R73" i="255"/>
  <c r="R71" i="255"/>
  <c r="J61" i="255"/>
  <c r="G59" i="255"/>
  <c r="R46" i="255"/>
  <c r="R45" i="255"/>
  <c r="R44" i="255"/>
  <c r="J13" i="255"/>
  <c r="G13" i="255"/>
  <c r="E63" i="255" s="1"/>
  <c r="J11" i="255"/>
  <c r="G11" i="255"/>
  <c r="G9" i="255"/>
  <c r="O96" i="254"/>
  <c r="M96" i="254"/>
  <c r="L96" i="254"/>
  <c r="E96" i="254"/>
  <c r="O94" i="254"/>
  <c r="O92" i="254"/>
  <c r="O90" i="254"/>
  <c r="O88" i="254"/>
  <c r="R84" i="254"/>
  <c r="R83" i="254"/>
  <c r="R82" i="254"/>
  <c r="J72" i="254"/>
  <c r="G70" i="254"/>
  <c r="R55" i="254"/>
  <c r="R53" i="254"/>
  <c r="H46" i="254"/>
  <c r="M40" i="254"/>
  <c r="J41" i="254" s="1"/>
  <c r="G13" i="254"/>
  <c r="K11" i="254"/>
  <c r="G11" i="254"/>
  <c r="G9" i="254"/>
  <c r="E40" i="232" l="1"/>
  <c r="I38" i="232"/>
  <c r="E38" i="232"/>
  <c r="E41" i="229"/>
  <c r="J39" i="229"/>
  <c r="E39" i="229"/>
  <c r="M36" i="236" l="1"/>
  <c r="J37" i="236" s="1"/>
  <c r="M34" i="234"/>
  <c r="J35" i="234" s="1"/>
  <c r="M34" i="229"/>
  <c r="J35" i="229" s="1"/>
  <c r="U20" i="226" l="1"/>
  <c r="U18" i="226"/>
  <c r="U23" i="226" l="1"/>
  <c r="M20" i="226" l="1"/>
  <c r="T20" i="226" s="1"/>
  <c r="M18" i="226"/>
  <c r="T18" i="226" s="1"/>
  <c r="T23" i="226" l="1"/>
  <c r="C23" i="226" s="1"/>
  <c r="B33" i="14"/>
  <c r="L109" i="251"/>
  <c r="K109" i="251" s="1"/>
  <c r="E109" i="251"/>
  <c r="N106" i="251"/>
  <c r="N104" i="251"/>
  <c r="N102" i="251"/>
  <c r="N100" i="251"/>
  <c r="N99" i="251"/>
  <c r="J83" i="251"/>
  <c r="I34" i="251"/>
  <c r="J14" i="251"/>
  <c r="J12" i="251"/>
  <c r="G12" i="251"/>
  <c r="G10" i="251"/>
  <c r="J32" i="226" l="1"/>
  <c r="M50" i="6"/>
  <c r="M51" i="6"/>
  <c r="M52" i="6"/>
  <c r="M53" i="6"/>
  <c r="M54" i="6"/>
  <c r="M55" i="6"/>
  <c r="M56" i="6"/>
  <c r="M57" i="6"/>
  <c r="M58" i="6"/>
  <c r="C34" i="226" l="1"/>
  <c r="C28" i="226"/>
  <c r="C27" i="226"/>
  <c r="J27" i="226"/>
  <c r="N27" i="226" s="1"/>
  <c r="J28" i="226" s="1"/>
  <c r="N28" i="226" s="1"/>
  <c r="G52" i="6" l="1"/>
  <c r="H52" i="6"/>
  <c r="G53" i="6"/>
  <c r="H53" i="6"/>
  <c r="I53" i="6" l="1"/>
  <c r="J53" i="6" s="1"/>
  <c r="I52" i="6"/>
  <c r="J52" i="6" s="1"/>
  <c r="N78" i="238"/>
  <c r="N79" i="238"/>
  <c r="N120" i="233" l="1"/>
  <c r="AQ14" i="227" l="1"/>
  <c r="AP14" i="227" l="1"/>
  <c r="AR14" i="227" s="1"/>
  <c r="M4" i="242"/>
  <c r="N106" i="243" l="1"/>
  <c r="N104" i="243"/>
  <c r="N102" i="243"/>
  <c r="N100" i="243"/>
  <c r="N99" i="243"/>
  <c r="L109" i="243"/>
  <c r="K109" i="243" s="1"/>
  <c r="E109" i="243"/>
  <c r="O121" i="242"/>
  <c r="O119" i="242"/>
  <c r="O117" i="242"/>
  <c r="O115" i="242"/>
  <c r="O113" i="242"/>
  <c r="M121" i="242"/>
  <c r="L121" i="242" s="1"/>
  <c r="E121" i="242"/>
  <c r="N112" i="223"/>
  <c r="N110" i="223"/>
  <c r="N108" i="223"/>
  <c r="N106" i="223"/>
  <c r="N105" i="223"/>
  <c r="L115" i="223"/>
  <c r="K115" i="223" s="1"/>
  <c r="E115" i="223"/>
  <c r="N87" i="238"/>
  <c r="N83" i="238"/>
  <c r="N81" i="238"/>
  <c r="L80" i="238"/>
  <c r="K80" i="238" s="1"/>
  <c r="E80" i="238"/>
  <c r="N80" i="237"/>
  <c r="N78" i="237"/>
  <c r="N76" i="237"/>
  <c r="N74" i="237"/>
  <c r="N72" i="237"/>
  <c r="L80" i="237"/>
  <c r="K80" i="237" s="1"/>
  <c r="E80" i="237"/>
  <c r="O92" i="236"/>
  <c r="O90" i="236"/>
  <c r="O88" i="236"/>
  <c r="O86" i="236"/>
  <c r="O84" i="236"/>
  <c r="M92" i="236"/>
  <c r="L92" i="236" s="1"/>
  <c r="E92" i="236"/>
  <c r="N122" i="233"/>
  <c r="N118" i="233"/>
  <c r="N116" i="233"/>
  <c r="N114" i="233"/>
  <c r="L122" i="233"/>
  <c r="K122" i="233" s="1"/>
  <c r="E122" i="233"/>
  <c r="N80" i="235"/>
  <c r="N78" i="235"/>
  <c r="N76" i="235"/>
  <c r="N74" i="235"/>
  <c r="N72" i="235"/>
  <c r="L80" i="235"/>
  <c r="K80" i="235" s="1"/>
  <c r="E80" i="235"/>
  <c r="O92" i="234"/>
  <c r="O90" i="234"/>
  <c r="O88" i="234"/>
  <c r="O86" i="234"/>
  <c r="O84" i="234"/>
  <c r="M92" i="234"/>
  <c r="L92" i="234" s="1"/>
  <c r="E92" i="234"/>
  <c r="N76" i="232" l="1"/>
  <c r="N78" i="232"/>
  <c r="N80" i="232"/>
  <c r="N82" i="232"/>
  <c r="N84" i="232"/>
  <c r="L84" i="232"/>
  <c r="K84" i="232" s="1"/>
  <c r="E84" i="232"/>
  <c r="N32" i="232"/>
  <c r="O94" i="229"/>
  <c r="O92" i="229"/>
  <c r="O90" i="229"/>
  <c r="O88" i="229"/>
  <c r="O86" i="229"/>
  <c r="A116" i="21"/>
  <c r="O30" i="229"/>
  <c r="E94" i="229"/>
  <c r="M94" i="229"/>
  <c r="L94" i="229" s="1"/>
  <c r="O91" i="254" l="1"/>
  <c r="N80" i="255"/>
  <c r="N101" i="251"/>
  <c r="N101" i="243"/>
  <c r="N117" i="233"/>
  <c r="N75" i="235"/>
  <c r="O87" i="234"/>
  <c r="O116" i="242"/>
  <c r="N75" i="237"/>
  <c r="O87" i="236"/>
  <c r="N107" i="223"/>
  <c r="N80" i="238"/>
  <c r="O89" i="229"/>
  <c r="N79" i="232"/>
  <c r="A529" i="2"/>
  <c r="W528" i="2"/>
  <c r="A528" i="2"/>
  <c r="W527" i="2"/>
  <c r="A527" i="2"/>
  <c r="W526" i="2"/>
  <c r="A526" i="2"/>
  <c r="W525" i="2"/>
  <c r="A525" i="2"/>
  <c r="W524" i="2"/>
  <c r="A524" i="2"/>
  <c r="W523" i="2"/>
  <c r="A523" i="2"/>
  <c r="W522" i="2"/>
  <c r="A522" i="2"/>
  <c r="W521" i="2"/>
  <c r="A521" i="2"/>
  <c r="W520" i="2"/>
  <c r="A520" i="2"/>
  <c r="W519" i="2"/>
  <c r="A519" i="2"/>
  <c r="W518" i="2"/>
  <c r="A518" i="2"/>
  <c r="W517" i="2"/>
  <c r="A517" i="2"/>
  <c r="W516" i="2"/>
  <c r="A516" i="2"/>
  <c r="W515" i="2"/>
  <c r="A515" i="2"/>
  <c r="W514" i="2"/>
  <c r="A514" i="2"/>
  <c r="W513" i="2"/>
  <c r="A513" i="2"/>
  <c r="W512" i="2"/>
  <c r="A512" i="2"/>
  <c r="W511" i="2"/>
  <c r="A511" i="2"/>
  <c r="W510" i="2"/>
  <c r="A510" i="2"/>
  <c r="W509" i="2"/>
  <c r="A509" i="2"/>
  <c r="W508" i="2"/>
  <c r="A508" i="2"/>
  <c r="W507" i="2"/>
  <c r="A507" i="2"/>
  <c r="W506" i="2"/>
  <c r="A506" i="2"/>
  <c r="W505" i="2"/>
  <c r="A505" i="2"/>
  <c r="W504" i="2"/>
  <c r="A504" i="2"/>
  <c r="W503" i="2"/>
  <c r="A503" i="2"/>
  <c r="W502" i="2"/>
  <c r="A502" i="2"/>
  <c r="W501" i="2"/>
  <c r="A501" i="2"/>
  <c r="W500" i="2"/>
  <c r="A500" i="2"/>
  <c r="W499" i="2"/>
  <c r="A499" i="2"/>
  <c r="W498" i="2"/>
  <c r="A498" i="2"/>
  <c r="W497" i="2"/>
  <c r="A497" i="2"/>
  <c r="W496" i="2"/>
  <c r="A496" i="2"/>
  <c r="W495" i="2"/>
  <c r="A495" i="2"/>
  <c r="W494" i="2"/>
  <c r="A494" i="2"/>
  <c r="W493" i="2"/>
  <c r="A493" i="2"/>
  <c r="W492" i="2"/>
  <c r="A492" i="2"/>
  <c r="W491" i="2"/>
  <c r="A491" i="2"/>
  <c r="W490" i="2"/>
  <c r="A490" i="2"/>
  <c r="W489" i="2"/>
  <c r="A489" i="2"/>
  <c r="W488" i="2"/>
  <c r="A488" i="2"/>
  <c r="W487" i="2"/>
  <c r="A487" i="2"/>
  <c r="W486" i="2"/>
  <c r="A486" i="2"/>
  <c r="W485" i="2"/>
  <c r="A485" i="2"/>
  <c r="W484" i="2"/>
  <c r="A484" i="2"/>
  <c r="W483" i="2"/>
  <c r="A483" i="2"/>
  <c r="W482" i="2"/>
  <c r="A482" i="2"/>
  <c r="W481" i="2"/>
  <c r="A481" i="2"/>
  <c r="W480" i="2"/>
  <c r="A480" i="2"/>
  <c r="W479" i="2"/>
  <c r="A479" i="2"/>
  <c r="W478" i="2"/>
  <c r="A478" i="2"/>
  <c r="W477" i="2"/>
  <c r="A477" i="2"/>
  <c r="W476" i="2"/>
  <c r="A476" i="2"/>
  <c r="W475" i="2"/>
  <c r="A475" i="2"/>
  <c r="W474" i="2"/>
  <c r="A474" i="2"/>
  <c r="W473" i="2"/>
  <c r="A473" i="2"/>
  <c r="W472" i="2"/>
  <c r="A472" i="2"/>
  <c r="W471" i="2"/>
  <c r="A471" i="2"/>
  <c r="W470" i="2"/>
  <c r="A470" i="2"/>
  <c r="W469" i="2"/>
  <c r="A469" i="2"/>
  <c r="W468" i="2"/>
  <c r="A468" i="2"/>
  <c r="W467" i="2"/>
  <c r="A467" i="2"/>
  <c r="W466" i="2"/>
  <c r="A466" i="2"/>
  <c r="W465" i="2"/>
  <c r="A465" i="2"/>
  <c r="W464" i="2"/>
  <c r="A464" i="2"/>
  <c r="W463" i="2"/>
  <c r="A463" i="2"/>
  <c r="W462" i="2"/>
  <c r="A462" i="2"/>
  <c r="W461" i="2"/>
  <c r="A461" i="2"/>
  <c r="W460" i="2"/>
  <c r="A460" i="2"/>
  <c r="W459" i="2"/>
  <c r="A459" i="2"/>
  <c r="W458" i="2"/>
  <c r="A458" i="2"/>
  <c r="W457" i="2"/>
  <c r="A457" i="2"/>
  <c r="W456" i="2"/>
  <c r="A456" i="2"/>
  <c r="W455" i="2"/>
  <c r="A455" i="2"/>
  <c r="W454" i="2"/>
  <c r="A454" i="2"/>
  <c r="W453" i="2"/>
  <c r="A453" i="2"/>
  <c r="W452" i="2"/>
  <c r="A452" i="2"/>
  <c r="W451" i="2"/>
  <c r="A451" i="2"/>
  <c r="W450" i="2"/>
  <c r="A450" i="2"/>
  <c r="W449" i="2"/>
  <c r="A449" i="2"/>
  <c r="W448" i="2"/>
  <c r="A448" i="2"/>
  <c r="W447" i="2"/>
  <c r="A447" i="2"/>
  <c r="W446" i="2"/>
  <c r="A446" i="2"/>
  <c r="W445" i="2"/>
  <c r="A445" i="2"/>
  <c r="W444" i="2"/>
  <c r="A444" i="2"/>
  <c r="W443" i="2"/>
  <c r="A443" i="2"/>
  <c r="W442" i="2"/>
  <c r="A442" i="2"/>
  <c r="W441" i="2"/>
  <c r="A441" i="2"/>
  <c r="W440" i="2"/>
  <c r="A440" i="2"/>
  <c r="W439" i="2"/>
  <c r="A439" i="2"/>
  <c r="W438" i="2"/>
  <c r="A438" i="2"/>
  <c r="W437" i="2"/>
  <c r="A437" i="2"/>
  <c r="W436" i="2"/>
  <c r="A436" i="2"/>
  <c r="W435" i="2"/>
  <c r="A435" i="2"/>
  <c r="W434" i="2"/>
  <c r="A434" i="2"/>
  <c r="W433" i="2"/>
  <c r="A433" i="2"/>
  <c r="W432" i="2"/>
  <c r="A432" i="2"/>
  <c r="W431" i="2"/>
  <c r="A431" i="2"/>
  <c r="W430" i="2"/>
  <c r="A430" i="2"/>
  <c r="W429" i="2"/>
  <c r="A429" i="2"/>
  <c r="W428" i="2"/>
  <c r="A428" i="2"/>
  <c r="W427" i="2"/>
  <c r="A427" i="2"/>
  <c r="W426" i="2"/>
  <c r="A426" i="2"/>
  <c r="W425" i="2"/>
  <c r="A425" i="2"/>
  <c r="W424" i="2"/>
  <c r="A424" i="2"/>
  <c r="W423" i="2"/>
  <c r="A423" i="2"/>
  <c r="W422" i="2"/>
  <c r="A422" i="2"/>
  <c r="W421" i="2"/>
  <c r="A421" i="2"/>
  <c r="W420" i="2"/>
  <c r="A420" i="2"/>
  <c r="W419" i="2"/>
  <c r="A419" i="2"/>
  <c r="W418" i="2"/>
  <c r="A418" i="2"/>
  <c r="W417" i="2"/>
  <c r="A417" i="2"/>
  <c r="W416" i="2"/>
  <c r="A416" i="2"/>
  <c r="W415" i="2"/>
  <c r="A415" i="2"/>
  <c r="W414" i="2"/>
  <c r="A414" i="2"/>
  <c r="W413" i="2"/>
  <c r="A413" i="2"/>
  <c r="W412" i="2"/>
  <c r="A412" i="2"/>
  <c r="W411" i="2"/>
  <c r="A411" i="2"/>
  <c r="W410" i="2"/>
  <c r="A410" i="2"/>
  <c r="W409" i="2"/>
  <c r="A409" i="2"/>
  <c r="W408" i="2"/>
  <c r="A408" i="2"/>
  <c r="W407" i="2"/>
  <c r="A407" i="2"/>
  <c r="W406" i="2"/>
  <c r="A406" i="2"/>
  <c r="W405" i="2"/>
  <c r="A405" i="2"/>
  <c r="W404" i="2"/>
  <c r="A404" i="2"/>
  <c r="W403" i="2"/>
  <c r="A403" i="2"/>
  <c r="W402" i="2"/>
  <c r="A402" i="2"/>
  <c r="W401" i="2"/>
  <c r="A401" i="2"/>
  <c r="W400" i="2"/>
  <c r="A400" i="2"/>
  <c r="W399" i="2"/>
  <c r="A399" i="2"/>
  <c r="W398" i="2"/>
  <c r="A398" i="2"/>
  <c r="W397" i="2"/>
  <c r="A397" i="2"/>
  <c r="W396" i="2"/>
  <c r="A396" i="2"/>
  <c r="W395" i="2"/>
  <c r="A395" i="2"/>
  <c r="W394" i="2"/>
  <c r="A394" i="2"/>
  <c r="W393" i="2"/>
  <c r="A393" i="2"/>
  <c r="W392" i="2"/>
  <c r="A392" i="2"/>
  <c r="W391" i="2"/>
  <c r="A391" i="2"/>
  <c r="W390" i="2"/>
  <c r="A390" i="2"/>
  <c r="W389" i="2"/>
  <c r="A389" i="2"/>
  <c r="W388" i="2"/>
  <c r="A388" i="2"/>
  <c r="W387" i="2"/>
  <c r="A387" i="2"/>
  <c r="W386" i="2"/>
  <c r="A386" i="2"/>
  <c r="W385" i="2"/>
  <c r="A385" i="2"/>
  <c r="W384" i="2"/>
  <c r="A384" i="2"/>
  <c r="W383" i="2"/>
  <c r="A383" i="2"/>
  <c r="W382" i="2"/>
  <c r="A382" i="2"/>
  <c r="W381" i="2"/>
  <c r="A381" i="2"/>
  <c r="W380" i="2"/>
  <c r="A380" i="2"/>
  <c r="W379" i="2"/>
  <c r="A379" i="2"/>
  <c r="W378" i="2"/>
  <c r="A378" i="2"/>
  <c r="W377" i="2"/>
  <c r="A377" i="2"/>
  <c r="W376" i="2"/>
  <c r="A376" i="2"/>
  <c r="W375" i="2"/>
  <c r="A375" i="2"/>
  <c r="W374" i="2"/>
  <c r="A374" i="2"/>
  <c r="W373" i="2"/>
  <c r="A373" i="2"/>
  <c r="W372" i="2"/>
  <c r="A372" i="2"/>
  <c r="W371" i="2"/>
  <c r="A371" i="2"/>
  <c r="W370" i="2"/>
  <c r="A370" i="2"/>
  <c r="W369" i="2"/>
  <c r="A369" i="2"/>
  <c r="W368" i="2"/>
  <c r="A368" i="2"/>
  <c r="W367" i="2"/>
  <c r="A367" i="2"/>
  <c r="W366" i="2"/>
  <c r="A366" i="2"/>
  <c r="W365" i="2"/>
  <c r="A365" i="2"/>
  <c r="W364" i="2"/>
  <c r="A364" i="2"/>
  <c r="W363" i="2"/>
  <c r="A363" i="2"/>
  <c r="W362" i="2"/>
  <c r="A362" i="2"/>
  <c r="W361" i="2"/>
  <c r="A361" i="2"/>
  <c r="W360" i="2"/>
  <c r="A360" i="2"/>
  <c r="W359" i="2"/>
  <c r="A359" i="2"/>
  <c r="W358" i="2"/>
  <c r="A358" i="2"/>
  <c r="W357" i="2"/>
  <c r="A357" i="2"/>
  <c r="W356" i="2"/>
  <c r="A356" i="2"/>
  <c r="W355" i="2"/>
  <c r="A355" i="2"/>
  <c r="W354" i="2"/>
  <c r="A354" i="2"/>
  <c r="W353" i="2"/>
  <c r="A353" i="2"/>
  <c r="W352" i="2"/>
  <c r="A352" i="2"/>
  <c r="W351" i="2"/>
  <c r="A351" i="2"/>
  <c r="W350" i="2"/>
  <c r="A350" i="2"/>
  <c r="W349" i="2"/>
  <c r="A349" i="2"/>
  <c r="W348" i="2"/>
  <c r="A348" i="2"/>
  <c r="W347" i="2"/>
  <c r="A347" i="2"/>
  <c r="W346" i="2"/>
  <c r="A346" i="2"/>
  <c r="W345" i="2"/>
  <c r="A345" i="2"/>
  <c r="W344" i="2"/>
  <c r="A344" i="2"/>
  <c r="W343" i="2"/>
  <c r="A343" i="2"/>
  <c r="W342" i="2"/>
  <c r="A342" i="2"/>
  <c r="W341" i="2"/>
  <c r="A341" i="2"/>
  <c r="W340" i="2"/>
  <c r="A340" i="2"/>
  <c r="W339" i="2"/>
  <c r="A339" i="2"/>
  <c r="W338" i="2"/>
  <c r="A338" i="2"/>
  <c r="W337" i="2"/>
  <c r="A337" i="2"/>
  <c r="W336" i="2"/>
  <c r="A336" i="2"/>
  <c r="W335" i="2"/>
  <c r="A335" i="2"/>
  <c r="W333" i="2"/>
  <c r="A333" i="2"/>
  <c r="W332" i="2"/>
  <c r="A332" i="2"/>
  <c r="W331" i="2"/>
  <c r="A331" i="2"/>
  <c r="W330" i="2"/>
  <c r="A330" i="2"/>
  <c r="W329" i="2"/>
  <c r="A329" i="2"/>
  <c r="W328" i="2"/>
  <c r="A328" i="2"/>
  <c r="W327" i="2"/>
  <c r="A327" i="2"/>
  <c r="W326" i="2"/>
  <c r="A326" i="2"/>
  <c r="W325" i="2"/>
  <c r="A325" i="2"/>
  <c r="W324" i="2"/>
  <c r="A324" i="2"/>
  <c r="W323" i="2"/>
  <c r="A323" i="2"/>
  <c r="W322" i="2"/>
  <c r="A322" i="2"/>
  <c r="W321" i="2"/>
  <c r="A321" i="2"/>
  <c r="W320" i="2"/>
  <c r="A320" i="2"/>
  <c r="W319" i="2"/>
  <c r="A319" i="2"/>
  <c r="W318" i="2"/>
  <c r="A318" i="2"/>
  <c r="W317" i="2"/>
  <c r="A317" i="2"/>
  <c r="W316" i="2"/>
  <c r="A316" i="2"/>
  <c r="W315" i="2"/>
  <c r="A315" i="2"/>
  <c r="W314" i="2"/>
  <c r="A314" i="2"/>
  <c r="W313" i="2"/>
  <c r="A313" i="2"/>
  <c r="W312" i="2"/>
  <c r="A312" i="2"/>
  <c r="W311" i="2"/>
  <c r="A311" i="2"/>
  <c r="W310" i="2"/>
  <c r="A310" i="2"/>
  <c r="W309" i="2"/>
  <c r="A309" i="2"/>
  <c r="W308" i="2"/>
  <c r="A308" i="2"/>
  <c r="W307" i="2"/>
  <c r="A307" i="2"/>
  <c r="W306" i="2"/>
  <c r="A306" i="2"/>
  <c r="W305" i="2"/>
  <c r="A305" i="2"/>
  <c r="W304" i="2"/>
  <c r="A304" i="2"/>
  <c r="W303" i="2"/>
  <c r="A303" i="2"/>
  <c r="W302" i="2"/>
  <c r="A302" i="2"/>
  <c r="W301" i="2"/>
  <c r="A301" i="2"/>
  <c r="W300" i="2"/>
  <c r="A300" i="2"/>
  <c r="W299" i="2"/>
  <c r="A299" i="2"/>
  <c r="W298" i="2"/>
  <c r="A298" i="2"/>
  <c r="W297" i="2"/>
  <c r="A297" i="2"/>
  <c r="W296" i="2"/>
  <c r="A296" i="2"/>
  <c r="W295" i="2"/>
  <c r="A295" i="2"/>
  <c r="W294" i="2"/>
  <c r="W293" i="2"/>
  <c r="A293" i="2"/>
  <c r="W292" i="2"/>
  <c r="A292" i="2"/>
  <c r="W291" i="2"/>
  <c r="A291" i="2"/>
  <c r="W290" i="2"/>
  <c r="A290" i="2"/>
  <c r="W289" i="2"/>
  <c r="A289" i="2"/>
  <c r="W288" i="2"/>
  <c r="A288" i="2"/>
  <c r="W287" i="2"/>
  <c r="A287" i="2"/>
  <c r="W286" i="2"/>
  <c r="A286" i="2"/>
  <c r="W285" i="2"/>
  <c r="A285" i="2"/>
  <c r="W284" i="2"/>
  <c r="A284" i="2"/>
  <c r="W283" i="2"/>
  <c r="A283" i="2"/>
  <c r="W282" i="2"/>
  <c r="A282" i="2"/>
  <c r="W281" i="2"/>
  <c r="A281" i="2"/>
  <c r="W280" i="2"/>
  <c r="A280" i="2"/>
  <c r="W279" i="2"/>
  <c r="A279" i="2"/>
  <c r="W278" i="2"/>
  <c r="A278" i="2"/>
  <c r="W277" i="2"/>
  <c r="A277" i="2"/>
  <c r="W276" i="2"/>
  <c r="A276" i="2"/>
  <c r="W275" i="2"/>
  <c r="A275" i="2"/>
  <c r="W274" i="2"/>
  <c r="A274" i="2"/>
  <c r="W273" i="2"/>
  <c r="A273" i="2"/>
  <c r="W272" i="2"/>
  <c r="A272" i="2"/>
  <c r="W271" i="2"/>
  <c r="A271" i="2"/>
  <c r="W270" i="2"/>
  <c r="A270" i="2"/>
  <c r="W269" i="2"/>
  <c r="A269" i="2"/>
  <c r="W268" i="2"/>
  <c r="A268" i="2"/>
  <c r="W267" i="2"/>
  <c r="A267" i="2"/>
  <c r="W266" i="2"/>
  <c r="A266" i="2"/>
  <c r="W265" i="2"/>
  <c r="A265" i="2"/>
  <c r="W264" i="2"/>
  <c r="A264" i="2"/>
  <c r="W263" i="2"/>
  <c r="A263" i="2"/>
  <c r="W262" i="2"/>
  <c r="A262" i="2"/>
  <c r="W261" i="2"/>
  <c r="A261" i="2"/>
  <c r="W260" i="2"/>
  <c r="A260" i="2"/>
  <c r="W259" i="2"/>
  <c r="A259" i="2"/>
  <c r="W258" i="2"/>
  <c r="A258" i="2"/>
  <c r="W257" i="2"/>
  <c r="A257" i="2"/>
  <c r="W256" i="2"/>
  <c r="A256" i="2"/>
  <c r="W255" i="2"/>
  <c r="A255" i="2"/>
  <c r="W254" i="2"/>
  <c r="A254" i="2"/>
  <c r="W253" i="2"/>
  <c r="A253" i="2"/>
  <c r="W252" i="2"/>
  <c r="A252" i="2"/>
  <c r="W251" i="2"/>
  <c r="A251" i="2"/>
  <c r="W250" i="2"/>
  <c r="A250" i="2"/>
  <c r="W249" i="2"/>
  <c r="A249" i="2"/>
  <c r="W248" i="2"/>
  <c r="A248" i="2"/>
  <c r="W247" i="2"/>
  <c r="A247" i="2"/>
  <c r="W246" i="2"/>
  <c r="A246" i="2"/>
  <c r="W245" i="2"/>
  <c r="A245" i="2"/>
  <c r="W244" i="2"/>
  <c r="A244" i="2"/>
  <c r="W243" i="2"/>
  <c r="A243" i="2"/>
  <c r="W242" i="2"/>
  <c r="A242" i="2"/>
  <c r="W241" i="2"/>
  <c r="A241" i="2"/>
  <c r="W240" i="2"/>
  <c r="A240" i="2"/>
  <c r="W239" i="2"/>
  <c r="A239" i="2"/>
  <c r="W238" i="2"/>
  <c r="A238" i="2"/>
  <c r="W237" i="2"/>
  <c r="A237" i="2"/>
  <c r="W236" i="2"/>
  <c r="A236" i="2"/>
  <c r="W235" i="2"/>
  <c r="A235" i="2"/>
  <c r="W234" i="2"/>
  <c r="A234" i="2"/>
  <c r="W233" i="2"/>
  <c r="A233" i="2"/>
  <c r="W232" i="2"/>
  <c r="A232" i="2"/>
  <c r="W231" i="2"/>
  <c r="A231" i="2"/>
  <c r="W230" i="2"/>
  <c r="A230" i="2"/>
  <c r="W229" i="2"/>
  <c r="A229" i="2"/>
  <c r="W228" i="2"/>
  <c r="A228" i="2"/>
  <c r="W227" i="2"/>
  <c r="A227" i="2"/>
  <c r="W226" i="2"/>
  <c r="A226" i="2"/>
  <c r="W225" i="2"/>
  <c r="A225" i="2"/>
  <c r="W224" i="2"/>
  <c r="A224" i="2"/>
  <c r="W223" i="2"/>
  <c r="A223" i="2"/>
  <c r="W222" i="2"/>
  <c r="A222" i="2"/>
  <c r="W221" i="2"/>
  <c r="A221" i="2"/>
  <c r="W220" i="2"/>
  <c r="A220" i="2"/>
  <c r="W219" i="2"/>
  <c r="A219" i="2"/>
  <c r="W218" i="2"/>
  <c r="A218" i="2"/>
  <c r="W217" i="2"/>
  <c r="A217" i="2"/>
  <c r="W216" i="2"/>
  <c r="A216" i="2"/>
  <c r="W215" i="2"/>
  <c r="A215" i="2"/>
  <c r="W214" i="2"/>
  <c r="A214" i="2"/>
  <c r="W213" i="2"/>
  <c r="A213" i="2"/>
  <c r="W212" i="2"/>
  <c r="A212" i="2"/>
  <c r="W211" i="2"/>
  <c r="A211" i="2"/>
  <c r="W210" i="2"/>
  <c r="A210" i="2"/>
  <c r="W209" i="2"/>
  <c r="A209" i="2"/>
  <c r="W208" i="2"/>
  <c r="A208" i="2"/>
  <c r="W207" i="2"/>
  <c r="A207" i="2"/>
  <c r="W206" i="2"/>
  <c r="A206" i="2"/>
  <c r="W205" i="2"/>
  <c r="A205" i="2"/>
  <c r="W204" i="2"/>
  <c r="A204" i="2"/>
  <c r="W203" i="2"/>
  <c r="A203" i="2"/>
  <c r="W202" i="2"/>
  <c r="A202" i="2"/>
  <c r="W201" i="2"/>
  <c r="A201" i="2"/>
  <c r="W200" i="2"/>
  <c r="A200" i="2"/>
  <c r="W199" i="2"/>
  <c r="A199" i="2"/>
  <c r="W198" i="2"/>
  <c r="A198" i="2"/>
  <c r="W197" i="2"/>
  <c r="A197" i="2"/>
  <c r="W196" i="2"/>
  <c r="A196" i="2"/>
  <c r="W195" i="2"/>
  <c r="A195" i="2"/>
  <c r="W194" i="2"/>
  <c r="A194" i="2"/>
  <c r="W193" i="2"/>
  <c r="A193" i="2"/>
  <c r="W192" i="2"/>
  <c r="A192" i="2"/>
  <c r="W191" i="2"/>
  <c r="A191" i="2"/>
  <c r="W190" i="2"/>
  <c r="A190" i="2"/>
  <c r="W189" i="2"/>
  <c r="A189" i="2"/>
  <c r="W188" i="2"/>
  <c r="A188" i="2"/>
  <c r="W187" i="2"/>
  <c r="A187" i="2"/>
  <c r="W186" i="2"/>
  <c r="A186" i="2"/>
  <c r="W185" i="2"/>
  <c r="A185" i="2"/>
  <c r="W184" i="2"/>
  <c r="A184" i="2"/>
  <c r="W183" i="2"/>
  <c r="A183" i="2"/>
  <c r="W182" i="2"/>
  <c r="A182" i="2"/>
  <c r="W181" i="2"/>
  <c r="A181" i="2"/>
  <c r="W180" i="2"/>
  <c r="A180" i="2"/>
  <c r="W179" i="2"/>
  <c r="A179" i="2"/>
  <c r="W178" i="2"/>
  <c r="A178" i="2"/>
  <c r="W177" i="2"/>
  <c r="A177" i="2"/>
  <c r="W176" i="2"/>
  <c r="A176" i="2"/>
  <c r="W175" i="2"/>
  <c r="A175" i="2"/>
  <c r="W174" i="2"/>
  <c r="A174" i="2"/>
  <c r="W173" i="2"/>
  <c r="A173" i="2"/>
  <c r="W172" i="2"/>
  <c r="A172" i="2"/>
  <c r="W171" i="2"/>
  <c r="A171" i="2"/>
  <c r="W170" i="2"/>
  <c r="A170" i="2"/>
  <c r="W169" i="2"/>
  <c r="A169" i="2"/>
  <c r="W168" i="2"/>
  <c r="A168" i="2"/>
  <c r="W167" i="2"/>
  <c r="A167" i="2"/>
  <c r="W166" i="2"/>
  <c r="A166" i="2"/>
  <c r="W165" i="2"/>
  <c r="A165" i="2"/>
  <c r="W164" i="2"/>
  <c r="A164" i="2"/>
  <c r="W163" i="2"/>
  <c r="A163" i="2"/>
  <c r="W162" i="2"/>
  <c r="A162" i="2"/>
  <c r="W161" i="2"/>
  <c r="A161" i="2"/>
  <c r="W160" i="2"/>
  <c r="A160" i="2"/>
  <c r="W159" i="2"/>
  <c r="A159" i="2"/>
  <c r="W158" i="2"/>
  <c r="A158" i="2"/>
  <c r="W157" i="2"/>
  <c r="A157" i="2"/>
  <c r="W156" i="2"/>
  <c r="A156" i="2"/>
  <c r="W155" i="2"/>
  <c r="A155" i="2"/>
  <c r="W154" i="2"/>
  <c r="A154" i="2"/>
  <c r="W153" i="2"/>
  <c r="A153" i="2"/>
  <c r="W152" i="2"/>
  <c r="A152" i="2"/>
  <c r="W151" i="2"/>
  <c r="A151" i="2"/>
  <c r="W150" i="2"/>
  <c r="A150" i="2"/>
  <c r="W149" i="2"/>
  <c r="A149" i="2"/>
  <c r="W148" i="2"/>
  <c r="A148" i="2"/>
  <c r="W147" i="2"/>
  <c r="A147" i="2"/>
  <c r="W146" i="2"/>
  <c r="A146" i="2"/>
  <c r="W145" i="2"/>
  <c r="A145" i="2"/>
  <c r="W144" i="2"/>
  <c r="A144" i="2"/>
  <c r="W143" i="2"/>
  <c r="A143" i="2"/>
  <c r="W142" i="2"/>
  <c r="A142" i="2"/>
  <c r="W141" i="2"/>
  <c r="A141" i="2"/>
  <c r="W140" i="2"/>
  <c r="A140" i="2"/>
  <c r="W139" i="2"/>
  <c r="A139" i="2"/>
  <c r="W138" i="2"/>
  <c r="A138" i="2"/>
  <c r="W137" i="2"/>
  <c r="A137" i="2"/>
  <c r="W136" i="2"/>
  <c r="A136" i="2"/>
  <c r="W135" i="2"/>
  <c r="A135" i="2"/>
  <c r="W134" i="2"/>
  <c r="A134" i="2"/>
  <c r="W133" i="2"/>
  <c r="A133" i="2"/>
  <c r="W132" i="2"/>
  <c r="A132" i="2"/>
  <c r="W131" i="2"/>
  <c r="A131" i="2"/>
  <c r="W130" i="2"/>
  <c r="A130" i="2"/>
  <c r="W129" i="2"/>
  <c r="A129" i="2"/>
  <c r="W128" i="2"/>
  <c r="A128" i="2"/>
  <c r="W127" i="2"/>
  <c r="A127" i="2"/>
  <c r="W126" i="2"/>
  <c r="A126" i="2"/>
  <c r="W125" i="2"/>
  <c r="A125" i="2"/>
  <c r="W124" i="2"/>
  <c r="A124" i="2"/>
  <c r="W123" i="2"/>
  <c r="A123" i="2"/>
  <c r="W122" i="2"/>
  <c r="A122" i="2"/>
  <c r="W121" i="2"/>
  <c r="A121" i="2"/>
  <c r="W120" i="2"/>
  <c r="A120" i="2"/>
  <c r="W119" i="2"/>
  <c r="A119" i="2"/>
  <c r="W118" i="2"/>
  <c r="A118" i="2"/>
  <c r="W117" i="2"/>
  <c r="A117" i="2"/>
  <c r="W116" i="2"/>
  <c r="A116" i="2"/>
  <c r="W115" i="2"/>
  <c r="A115" i="2"/>
  <c r="W114" i="2"/>
  <c r="A114" i="2"/>
  <c r="W113" i="2"/>
  <c r="A113" i="2"/>
  <c r="W112" i="2"/>
  <c r="A112" i="2"/>
  <c r="W111" i="2"/>
  <c r="A111" i="2"/>
  <c r="W110" i="2"/>
  <c r="A110" i="2"/>
  <c r="W109" i="2"/>
  <c r="A109" i="2"/>
  <c r="W108" i="2"/>
  <c r="A108" i="2"/>
  <c r="W107" i="2"/>
  <c r="A107" i="2"/>
  <c r="W106" i="2"/>
  <c r="A106" i="2"/>
  <c r="W105" i="2"/>
  <c r="A105" i="2"/>
  <c r="W104" i="2"/>
  <c r="A104" i="2"/>
  <c r="W103" i="2"/>
  <c r="A103" i="2"/>
  <c r="W102" i="2"/>
  <c r="A102" i="2"/>
  <c r="W101" i="2"/>
  <c r="A101" i="2"/>
  <c r="W100" i="2"/>
  <c r="A100" i="2"/>
  <c r="W99" i="2"/>
  <c r="A99" i="2"/>
  <c r="W98" i="2"/>
  <c r="A98" i="2"/>
  <c r="W97" i="2"/>
  <c r="A97" i="2"/>
  <c r="W96" i="2"/>
  <c r="A96" i="2"/>
  <c r="W95" i="2"/>
  <c r="A95" i="2"/>
  <c r="W94" i="2"/>
  <c r="A94" i="2"/>
  <c r="W93" i="2"/>
  <c r="A93" i="2"/>
  <c r="W92" i="2"/>
  <c r="A92" i="2"/>
  <c r="W91" i="2"/>
  <c r="A91" i="2"/>
  <c r="W90" i="2"/>
  <c r="A90" i="2"/>
  <c r="W89" i="2"/>
  <c r="A89" i="2"/>
  <c r="W88" i="2"/>
  <c r="A88" i="2"/>
  <c r="W87" i="2"/>
  <c r="A87" i="2"/>
  <c r="W86" i="2"/>
  <c r="A86" i="2"/>
  <c r="W85" i="2"/>
  <c r="A85" i="2"/>
  <c r="W84" i="2"/>
  <c r="A84" i="2"/>
  <c r="W83" i="2"/>
  <c r="A83" i="2"/>
  <c r="W82" i="2"/>
  <c r="A82" i="2"/>
  <c r="W81" i="2"/>
  <c r="A81" i="2"/>
  <c r="W80" i="2"/>
  <c r="A80" i="2"/>
  <c r="W79" i="2"/>
  <c r="A79" i="2"/>
  <c r="W78" i="2"/>
  <c r="A78" i="2"/>
  <c r="W77" i="2"/>
  <c r="A77" i="2"/>
  <c r="W76" i="2"/>
  <c r="A76" i="2"/>
  <c r="W75" i="2"/>
  <c r="A75" i="2"/>
  <c r="W74" i="2"/>
  <c r="A74" i="2"/>
  <c r="W73" i="2"/>
  <c r="A73" i="2"/>
  <c r="W72" i="2"/>
  <c r="A72" i="2"/>
  <c r="W71" i="2"/>
  <c r="A71" i="2"/>
  <c r="W70" i="2"/>
  <c r="A70" i="2"/>
  <c r="W69" i="2"/>
  <c r="A69" i="2"/>
  <c r="W68" i="2"/>
  <c r="A68" i="2"/>
  <c r="W67" i="2"/>
  <c r="A67" i="2"/>
  <c r="W66" i="2"/>
  <c r="A66" i="2"/>
  <c r="W65" i="2"/>
  <c r="A65" i="2"/>
  <c r="W64" i="2"/>
  <c r="A64" i="2"/>
  <c r="W63" i="2"/>
  <c r="A63" i="2"/>
  <c r="W62" i="2"/>
  <c r="A62" i="2"/>
  <c r="W61" i="2"/>
  <c r="A61" i="2"/>
  <c r="W60" i="2"/>
  <c r="A60" i="2"/>
  <c r="W59" i="2"/>
  <c r="A59" i="2"/>
  <c r="W58" i="2"/>
  <c r="A58" i="2"/>
  <c r="W57" i="2"/>
  <c r="A57" i="2"/>
  <c r="W56" i="2"/>
  <c r="A56" i="2"/>
  <c r="W55" i="2"/>
  <c r="A55" i="2"/>
  <c r="W54" i="2"/>
  <c r="A54" i="2"/>
  <c r="W53" i="2"/>
  <c r="A53" i="2"/>
  <c r="W52" i="2"/>
  <c r="A52" i="2"/>
  <c r="W51" i="2"/>
  <c r="A51" i="2"/>
  <c r="W50" i="2"/>
  <c r="A50" i="2"/>
  <c r="W49" i="2"/>
  <c r="A49" i="2"/>
  <c r="W48" i="2"/>
  <c r="A48" i="2"/>
  <c r="W47" i="2"/>
  <c r="A47" i="2"/>
  <c r="W46" i="2"/>
  <c r="A46" i="2"/>
  <c r="W45" i="2"/>
  <c r="A45" i="2"/>
  <c r="W44" i="2"/>
  <c r="A44" i="2"/>
  <c r="W43" i="2"/>
  <c r="A43" i="2"/>
  <c r="W42" i="2"/>
  <c r="A42" i="2"/>
  <c r="W41" i="2"/>
  <c r="A41" i="2"/>
  <c r="W40" i="2"/>
  <c r="A40" i="2"/>
  <c r="W39" i="2"/>
  <c r="A39" i="2"/>
  <c r="W38" i="2"/>
  <c r="A38" i="2"/>
  <c r="W37" i="2"/>
  <c r="A37" i="2"/>
  <c r="W36" i="2"/>
  <c r="A36" i="2"/>
  <c r="W35" i="2"/>
  <c r="A35" i="2"/>
  <c r="W34" i="2"/>
  <c r="A34" i="2"/>
  <c r="W33" i="2"/>
  <c r="A33" i="2"/>
  <c r="W32" i="2"/>
  <c r="A32" i="2"/>
  <c r="W31" i="2"/>
  <c r="A31" i="2"/>
  <c r="W30" i="2"/>
  <c r="A30" i="2"/>
  <c r="W29" i="2"/>
  <c r="A29" i="2"/>
  <c r="W28" i="2"/>
  <c r="A28" i="2"/>
  <c r="W27" i="2"/>
  <c r="A27" i="2"/>
  <c r="W26" i="2"/>
  <c r="A26" i="2"/>
  <c r="W25" i="2"/>
  <c r="A25" i="2"/>
  <c r="W24" i="2"/>
  <c r="A24" i="2"/>
  <c r="W23" i="2"/>
  <c r="A23" i="2"/>
  <c r="W22" i="2"/>
  <c r="A22" i="2"/>
  <c r="W21" i="2"/>
  <c r="A21" i="2"/>
  <c r="W20" i="2"/>
  <c r="A20" i="2"/>
  <c r="W19" i="2"/>
  <c r="A19" i="2"/>
  <c r="W18" i="2"/>
  <c r="A18" i="2"/>
  <c r="W17" i="2"/>
  <c r="A17" i="2"/>
  <c r="W16" i="2"/>
  <c r="A16" i="2"/>
  <c r="W15" i="2"/>
  <c r="A15" i="2"/>
  <c r="W14" i="2"/>
  <c r="A14" i="2"/>
  <c r="W13" i="2"/>
  <c r="A13" i="2"/>
  <c r="W12" i="2"/>
  <c r="A12" i="2"/>
  <c r="W11" i="2"/>
  <c r="A11" i="2"/>
  <c r="W10" i="2"/>
  <c r="A10" i="2"/>
  <c r="W9" i="2"/>
  <c r="A9" i="2"/>
  <c r="W8" i="2"/>
  <c r="A8" i="2"/>
  <c r="W7" i="2"/>
  <c r="A7" i="2"/>
  <c r="W6" i="2"/>
  <c r="A6" i="2"/>
  <c r="W5" i="2"/>
  <c r="A5" i="2"/>
  <c r="W4" i="2"/>
  <c r="A4" i="2"/>
  <c r="W3" i="2"/>
  <c r="A3" i="2"/>
  <c r="W2" i="2"/>
  <c r="A2" i="2"/>
  <c r="A1" i="14" l="1"/>
  <c r="D71" i="6" l="1"/>
  <c r="D73" i="6"/>
  <c r="R14" i="6"/>
  <c r="S14" i="6" s="1"/>
  <c r="R15" i="6"/>
  <c r="S15" i="6" s="1"/>
  <c r="R16" i="6"/>
  <c r="S16" i="6" s="1"/>
  <c r="R17" i="6"/>
  <c r="S17" i="6" s="1"/>
  <c r="R18" i="6"/>
  <c r="S18" i="6" s="1"/>
  <c r="R19" i="6"/>
  <c r="S19" i="6" s="1"/>
  <c r="R20" i="6"/>
  <c r="S20" i="6" s="1"/>
  <c r="R21" i="6"/>
  <c r="S21" i="6" s="1"/>
  <c r="R22" i="6"/>
  <c r="S22" i="6" s="1"/>
  <c r="R23" i="6"/>
  <c r="S23" i="6" s="1"/>
  <c r="R24" i="6"/>
  <c r="S24" i="6" s="1"/>
  <c r="R25" i="6"/>
  <c r="S25" i="6" s="1"/>
  <c r="R26" i="6"/>
  <c r="S26" i="6" s="1"/>
  <c r="R27" i="6"/>
  <c r="S27" i="6" s="1"/>
  <c r="R28" i="6"/>
  <c r="S28" i="6" s="1"/>
  <c r="R29" i="6"/>
  <c r="S29" i="6" s="1"/>
  <c r="R30" i="6"/>
  <c r="S30" i="6" s="1"/>
  <c r="R31" i="6"/>
  <c r="R32" i="6"/>
  <c r="S32" i="6" s="1"/>
  <c r="R33" i="6"/>
  <c r="S33" i="6" s="1"/>
  <c r="R34" i="6"/>
  <c r="S34" i="6" s="1"/>
  <c r="R13" i="6"/>
  <c r="S13" i="6" s="1"/>
  <c r="R36" i="6" l="1"/>
  <c r="S31" i="6"/>
  <c r="S36" i="6" s="1"/>
  <c r="A1" i="15" l="1"/>
  <c r="F75" i="238" l="1"/>
  <c r="M23" i="247" l="1"/>
  <c r="M11" i="247"/>
  <c r="O17" i="245" s="1"/>
  <c r="O15" i="245"/>
  <c r="M13" i="247" s="1"/>
  <c r="O19" i="245" s="1"/>
  <c r="M14" i="247" l="1"/>
  <c r="M15" i="247" s="1"/>
  <c r="M16" i="247" l="1"/>
  <c r="I34" i="243" l="1"/>
  <c r="I40" i="223"/>
  <c r="E27" i="245" l="1"/>
  <c r="E35" i="247"/>
  <c r="E34" i="247"/>
  <c r="E33" i="247"/>
  <c r="E32" i="247"/>
  <c r="E31" i="247"/>
  <c r="E30" i="247"/>
  <c r="E29" i="247"/>
  <c r="E28" i="247"/>
  <c r="E27" i="247"/>
  <c r="E26" i="247"/>
  <c r="E25" i="247"/>
  <c r="E24" i="247"/>
  <c r="E23" i="247"/>
  <c r="E22" i="247"/>
  <c r="E21" i="247"/>
  <c r="E20" i="247"/>
  <c r="E19" i="247"/>
  <c r="E18" i="247"/>
  <c r="E17" i="247"/>
  <c r="E16" i="247"/>
  <c r="E15" i="247"/>
  <c r="E14" i="247"/>
  <c r="E13" i="247"/>
  <c r="E12" i="247"/>
  <c r="E11" i="247"/>
  <c r="E10" i="247"/>
  <c r="E9" i="247"/>
  <c r="E8" i="247"/>
  <c r="E7" i="247"/>
  <c r="E6" i="247"/>
  <c r="E5" i="247"/>
  <c r="D35" i="247"/>
  <c r="D34" i="247"/>
  <c r="D33" i="247"/>
  <c r="D32" i="247"/>
  <c r="D31" i="247"/>
  <c r="D30" i="247"/>
  <c r="D29" i="247"/>
  <c r="D28" i="247"/>
  <c r="D27" i="247"/>
  <c r="D26" i="247"/>
  <c r="D25" i="247"/>
  <c r="D24" i="247"/>
  <c r="D23" i="247"/>
  <c r="D22" i="247"/>
  <c r="D21" i="247"/>
  <c r="D20" i="247"/>
  <c r="D19" i="247"/>
  <c r="D18" i="247"/>
  <c r="D17" i="247"/>
  <c r="D16" i="247"/>
  <c r="D15" i="247"/>
  <c r="D14" i="247"/>
  <c r="D13" i="247"/>
  <c r="D12" i="247"/>
  <c r="D11" i="247"/>
  <c r="D10" i="247"/>
  <c r="D9" i="247"/>
  <c r="D8" i="247"/>
  <c r="D7" i="247"/>
  <c r="D6" i="247"/>
  <c r="D5" i="247"/>
  <c r="E2" i="247"/>
  <c r="C2" i="247"/>
  <c r="K28" i="242"/>
  <c r="H28" i="242"/>
  <c r="E10" i="228"/>
  <c r="E10" i="227"/>
  <c r="E10" i="226"/>
  <c r="G14" i="223"/>
  <c r="J14" i="243"/>
  <c r="O10" i="228"/>
  <c r="O10" i="226"/>
  <c r="O10" i="227"/>
  <c r="O8" i="228"/>
  <c r="O8" i="227"/>
  <c r="O8" i="226"/>
  <c r="E8" i="6"/>
  <c r="N11" i="241"/>
  <c r="N11" i="245"/>
  <c r="J12" i="243"/>
  <c r="L14" i="242"/>
  <c r="J12" i="223"/>
  <c r="J11" i="238"/>
  <c r="J11" i="237"/>
  <c r="K11" i="236"/>
  <c r="K13" i="233"/>
  <c r="J11" i="235"/>
  <c r="K11" i="234"/>
  <c r="J11" i="232"/>
  <c r="K11" i="229"/>
  <c r="G11" i="229"/>
  <c r="G11" i="232"/>
  <c r="G11" i="234"/>
  <c r="G11" i="235"/>
  <c r="G13" i="233"/>
  <c r="G11" i="236"/>
  <c r="G11" i="237"/>
  <c r="G11" i="238"/>
  <c r="G12" i="223"/>
  <c r="G14" i="242"/>
  <c r="G12" i="243"/>
  <c r="H11" i="245"/>
  <c r="H11" i="241"/>
  <c r="E7" i="6"/>
  <c r="E8" i="226"/>
  <c r="E8" i="227"/>
  <c r="E8" i="228"/>
  <c r="E6" i="228"/>
  <c r="E6" i="227"/>
  <c r="E6" i="226"/>
  <c r="H9" i="241"/>
  <c r="H9" i="245"/>
  <c r="G10" i="243"/>
  <c r="G12" i="242"/>
  <c r="G10" i="223"/>
  <c r="G9" i="238"/>
  <c r="G9" i="237"/>
  <c r="G9" i="236"/>
  <c r="G11" i="233"/>
  <c r="G9" i="235"/>
  <c r="G9" i="234"/>
  <c r="G9" i="232"/>
  <c r="G9" i="229"/>
  <c r="J9" i="247" l="1"/>
  <c r="F31" i="247"/>
  <c r="F23" i="247"/>
  <c r="O13" i="245"/>
  <c r="O9" i="245"/>
  <c r="H13" i="245"/>
  <c r="F30" i="247" l="1"/>
  <c r="F15" i="247"/>
  <c r="F6" i="247"/>
  <c r="F10" i="247"/>
  <c r="F32" i="247"/>
  <c r="F14" i="247"/>
  <c r="F22" i="247"/>
  <c r="F34" i="247"/>
  <c r="F33" i="247"/>
  <c r="F28" i="247"/>
  <c r="F25" i="247"/>
  <c r="F7" i="247"/>
  <c r="F19" i="247"/>
  <c r="F20" i="247"/>
  <c r="F21" i="247"/>
  <c r="F29" i="247"/>
  <c r="F24" i="247"/>
  <c r="F11" i="247"/>
  <c r="F17" i="247"/>
  <c r="F8" i="247"/>
  <c r="F26" i="247"/>
  <c r="F9" i="247"/>
  <c r="F16" i="247"/>
  <c r="F18" i="247"/>
  <c r="F12" i="247"/>
  <c r="F13" i="247"/>
  <c r="F5" i="247"/>
  <c r="F35" i="247"/>
  <c r="F27" i="247"/>
  <c r="O16" i="241"/>
  <c r="H42" i="236"/>
  <c r="J13" i="235"/>
  <c r="G13" i="235"/>
  <c r="E58" i="235" s="1"/>
  <c r="M18" i="247" l="1"/>
  <c r="J19" i="245" s="1"/>
  <c r="AC87" i="226"/>
  <c r="AC86" i="226"/>
  <c r="AC85" i="226"/>
  <c r="AC84" i="226"/>
  <c r="AC83" i="226"/>
  <c r="AC82" i="226"/>
  <c r="AC81" i="226"/>
  <c r="AC80" i="226"/>
  <c r="AC79" i="226"/>
  <c r="AC78" i="226"/>
  <c r="AC77" i="226"/>
  <c r="AC76" i="226"/>
  <c r="AC75" i="226"/>
  <c r="AC74" i="226"/>
  <c r="AC73" i="226"/>
  <c r="AC72" i="226"/>
  <c r="AC71" i="226"/>
  <c r="AC70" i="226"/>
  <c r="AC69" i="226"/>
  <c r="AC68" i="226"/>
  <c r="AC67" i="226"/>
  <c r="AC66" i="226"/>
  <c r="AC65" i="226"/>
  <c r="AC64" i="226"/>
  <c r="AC63" i="226"/>
  <c r="AC62" i="226"/>
  <c r="AC61" i="226"/>
  <c r="M19" i="247" l="1"/>
  <c r="M21" i="247" s="1"/>
  <c r="M24" i="247" s="1"/>
  <c r="M25" i="247" s="1"/>
  <c r="M26" i="247" s="1"/>
  <c r="O23" i="245"/>
  <c r="J21" i="245" l="1"/>
  <c r="M29" i="247"/>
  <c r="O21" i="245"/>
  <c r="J83" i="243"/>
  <c r="S109" i="242"/>
  <c r="S108" i="242"/>
  <c r="S107" i="242"/>
  <c r="S101" i="242"/>
  <c r="K89" i="242"/>
  <c r="S71" i="242"/>
  <c r="S70" i="242"/>
  <c r="L16" i="242"/>
  <c r="G16" i="242"/>
  <c r="E91" i="242" s="1"/>
  <c r="J81" i="223"/>
  <c r="J90" i="233"/>
  <c r="J56" i="237"/>
  <c r="J56" i="235"/>
  <c r="J60" i="232"/>
  <c r="J82" i="238"/>
  <c r="J68" i="236"/>
  <c r="J68" i="234"/>
  <c r="J70" i="229"/>
  <c r="O27" i="245" l="1"/>
  <c r="J25" i="245"/>
  <c r="H50" i="6"/>
  <c r="G50" i="6"/>
  <c r="M49" i="6"/>
  <c r="H49" i="6"/>
  <c r="G49" i="6"/>
  <c r="M48" i="6"/>
  <c r="H48" i="6"/>
  <c r="G48" i="6"/>
  <c r="M47" i="6"/>
  <c r="H47" i="6"/>
  <c r="G47" i="6"/>
  <c r="M46" i="6"/>
  <c r="H46" i="6"/>
  <c r="G46" i="6"/>
  <c r="H56" i="6"/>
  <c r="G56" i="6"/>
  <c r="H55" i="6"/>
  <c r="G55" i="6"/>
  <c r="H54" i="6"/>
  <c r="G54" i="6"/>
  <c r="F28" i="242" l="1"/>
  <c r="J24" i="242" s="1"/>
  <c r="I36" i="251"/>
  <c r="I36" i="243"/>
  <c r="I42" i="223"/>
  <c r="I49" i="6"/>
  <c r="J49" i="6" s="1"/>
  <c r="I48" i="6"/>
  <c r="J48" i="6" s="1"/>
  <c r="I56" i="6"/>
  <c r="J56" i="6" s="1"/>
  <c r="I50" i="6"/>
  <c r="J50" i="6" s="1"/>
  <c r="I46" i="6"/>
  <c r="J46" i="6" s="1"/>
  <c r="I47" i="6"/>
  <c r="J47" i="6" s="1"/>
  <c r="I55" i="6"/>
  <c r="J55" i="6" s="1"/>
  <c r="I54" i="6"/>
  <c r="J54" i="6" s="1"/>
  <c r="BD59" i="228" l="1"/>
  <c r="BD60" i="228"/>
  <c r="K16" i="241" l="1"/>
  <c r="I22" i="241" s="1"/>
  <c r="O13" i="241"/>
  <c r="H13" i="241"/>
  <c r="I24" i="241" l="1"/>
  <c r="I26" i="241" s="1"/>
  <c r="N22" i="241" a="1"/>
  <c r="N22" i="241" s="1"/>
  <c r="G54" i="237"/>
  <c r="R98" i="238"/>
  <c r="R97" i="238"/>
  <c r="R96" i="238"/>
  <c r="R90" i="238"/>
  <c r="R89" i="238"/>
  <c r="R88" i="238"/>
  <c r="G64" i="238"/>
  <c r="J13" i="238"/>
  <c r="G13" i="238"/>
  <c r="E66" i="238" s="1"/>
  <c r="R68" i="237"/>
  <c r="R66" i="237"/>
  <c r="R41" i="237"/>
  <c r="R40" i="237"/>
  <c r="R39" i="237"/>
  <c r="J13" i="237"/>
  <c r="G13" i="237"/>
  <c r="E58" i="237" s="1"/>
  <c r="R80" i="236"/>
  <c r="R79" i="236"/>
  <c r="R78" i="236"/>
  <c r="G66" i="236"/>
  <c r="R51" i="236"/>
  <c r="R49" i="236"/>
  <c r="G13" i="236"/>
  <c r="R41" i="235"/>
  <c r="R68" i="235"/>
  <c r="G54" i="235"/>
  <c r="R51" i="234"/>
  <c r="R80" i="234"/>
  <c r="G66" i="234"/>
  <c r="H40" i="234"/>
  <c r="G13" i="234"/>
  <c r="R71" i="233"/>
  <c r="R110" i="233"/>
  <c r="R109" i="233"/>
  <c r="R108" i="233"/>
  <c r="R102" i="233"/>
  <c r="R72" i="233"/>
  <c r="K15" i="233"/>
  <c r="G15" i="233"/>
  <c r="G13" i="232"/>
  <c r="E62" i="232" s="1"/>
  <c r="R72" i="232"/>
  <c r="R70" i="232"/>
  <c r="G58" i="232"/>
  <c r="R45" i="232"/>
  <c r="R44" i="232"/>
  <c r="R43" i="232"/>
  <c r="J13" i="232"/>
  <c r="R82" i="229"/>
  <c r="R81" i="229"/>
  <c r="R80" i="229"/>
  <c r="G68" i="229"/>
  <c r="R53" i="229"/>
  <c r="R51" i="229"/>
  <c r="H44" i="229"/>
  <c r="G13" i="229"/>
  <c r="J36" i="228"/>
  <c r="J29" i="228"/>
  <c r="K22" i="228"/>
  <c r="K19" i="228"/>
  <c r="BD77" i="228"/>
  <c r="BD76" i="228"/>
  <c r="BD75" i="228"/>
  <c r="BD74" i="228"/>
  <c r="BD73" i="228"/>
  <c r="BD72" i="228"/>
  <c r="BD71" i="228"/>
  <c r="BD70" i="228"/>
  <c r="BD69" i="228"/>
  <c r="BD68" i="228"/>
  <c r="BD67" i="228"/>
  <c r="BD66" i="228"/>
  <c r="BD65" i="228"/>
  <c r="BD64" i="228"/>
  <c r="BD63" i="228"/>
  <c r="BD62" i="228"/>
  <c r="BD61" i="228"/>
  <c r="BD58" i="228"/>
  <c r="BD57" i="228"/>
  <c r="BD56" i="228"/>
  <c r="BD55" i="228"/>
  <c r="M20" i="227"/>
  <c r="AP20" i="227" s="1"/>
  <c r="M18" i="227"/>
  <c r="AP18" i="227" s="1"/>
  <c r="G79" i="223"/>
  <c r="AP21" i="227" l="1"/>
  <c r="C23" i="227" s="1"/>
  <c r="J27" i="227" s="1"/>
  <c r="N27" i="227" s="1"/>
  <c r="E92" i="233"/>
  <c r="E93" i="233"/>
  <c r="AQ29" i="228"/>
  <c r="AQ22" i="228"/>
  <c r="AQ31" i="228"/>
  <c r="AQ30" i="228"/>
  <c r="AQ14" i="228"/>
  <c r="AQ19" i="228"/>
  <c r="AQ13" i="228"/>
  <c r="AQ12" i="228"/>
  <c r="N29" i="228"/>
  <c r="J30" i="228" s="1"/>
  <c r="J28" i="227" l="1"/>
  <c r="P28" i="227" s="1"/>
  <c r="P27" i="227"/>
  <c r="AQ38" i="228"/>
  <c r="AQ37" i="228"/>
  <c r="AQ36" i="228"/>
  <c r="AT12" i="228"/>
  <c r="AS12" i="228"/>
  <c r="AT13" i="228"/>
  <c r="AS13" i="228"/>
  <c r="AS19" i="228"/>
  <c r="AT19" i="228"/>
  <c r="AS14" i="228"/>
  <c r="AT14" i="228"/>
  <c r="AT30" i="228"/>
  <c r="AS30" i="228"/>
  <c r="AT31" i="228"/>
  <c r="AS31" i="228"/>
  <c r="AT22" i="228"/>
  <c r="AS22" i="228"/>
  <c r="AT29" i="228"/>
  <c r="AS29" i="228"/>
  <c r="N30" i="228"/>
  <c r="J34" i="226"/>
  <c r="N34" i="226" l="1"/>
  <c r="J34" i="227"/>
  <c r="N28" i="227"/>
  <c r="AT37" i="228"/>
  <c r="AT38" i="228"/>
  <c r="AS38" i="228"/>
  <c r="AU38" i="228" s="1"/>
  <c r="AV38" i="228"/>
  <c r="AP52" i="228"/>
  <c r="AW52" i="228" s="1"/>
  <c r="AS37" i="228"/>
  <c r="AP53" i="228"/>
  <c r="AR46" i="228"/>
  <c r="AS46" i="228" s="1"/>
  <c r="AT46" i="228" s="1"/>
  <c r="AV46" i="228" s="1"/>
  <c r="AR38" i="228" s="1"/>
  <c r="AW38" i="228" s="1"/>
  <c r="AV37" i="228"/>
  <c r="AT36" i="228"/>
  <c r="AS36" i="228"/>
  <c r="AV36" i="228"/>
  <c r="Q34" i="226" l="1"/>
  <c r="N34" i="227"/>
  <c r="Q34" i="227" s="1"/>
  <c r="AU36" i="228"/>
  <c r="AR36" i="228" s="1"/>
  <c r="AV42" i="228"/>
  <c r="AU37" i="228"/>
  <c r="AR52" i="228"/>
  <c r="AS52" i="228" s="1"/>
  <c r="AT52" i="228" s="1"/>
  <c r="AU52" i="228" s="1"/>
  <c r="AV52" i="228" s="1"/>
  <c r="AW53" i="228"/>
  <c r="AW54" i="228" s="1"/>
  <c r="AR53" i="228"/>
  <c r="AS53" i="228" s="1"/>
  <c r="AT53" i="228" s="1"/>
  <c r="AU53" i="228" s="1"/>
  <c r="AV53" i="228" s="1"/>
  <c r="AR37" i="228"/>
  <c r="AW37" i="228" s="1"/>
  <c r="K14" i="6"/>
  <c r="J14" i="6"/>
  <c r="I14" i="6"/>
  <c r="AV54" i="228" l="1"/>
  <c r="AR57" i="228" s="1" a="1"/>
  <c r="AR57" i="228" s="1"/>
  <c r="AW36" i="228"/>
  <c r="AU57" i="228"/>
  <c r="E14" i="6"/>
  <c r="AS57" i="228" l="1"/>
  <c r="J34" i="228" s="1"/>
  <c r="AT57" i="228"/>
  <c r="AW57" i="228"/>
  <c r="AV57" i="228"/>
  <c r="E13" i="21"/>
  <c r="I12" i="6"/>
  <c r="Q13" i="6"/>
  <c r="M5" i="6"/>
  <c r="Q2" i="6" s="1"/>
  <c r="G27" i="6"/>
  <c r="H27" i="6"/>
  <c r="G28" i="6"/>
  <c r="H28" i="6"/>
  <c r="G41" i="6"/>
  <c r="H41" i="6"/>
  <c r="G42" i="6"/>
  <c r="H42" i="6"/>
  <c r="G43" i="6"/>
  <c r="H43" i="6"/>
  <c r="G44" i="6"/>
  <c r="H44" i="6"/>
  <c r="G45" i="6"/>
  <c r="H45" i="6"/>
  <c r="G51" i="6"/>
  <c r="H51" i="6"/>
  <c r="G57" i="6"/>
  <c r="H57" i="6"/>
  <c r="G58" i="6"/>
  <c r="H58" i="6"/>
  <c r="G29" i="6"/>
  <c r="H29" i="6"/>
  <c r="G30" i="6"/>
  <c r="H30" i="6"/>
  <c r="G31" i="6"/>
  <c r="H31" i="6"/>
  <c r="G32" i="6"/>
  <c r="H32" i="6"/>
  <c r="G33" i="6"/>
  <c r="H33" i="6"/>
  <c r="G34" i="6"/>
  <c r="H34" i="6"/>
  <c r="M34" i="6"/>
  <c r="G35" i="6"/>
  <c r="H35" i="6"/>
  <c r="G36" i="6"/>
  <c r="H36" i="6"/>
  <c r="G37" i="6"/>
  <c r="H37" i="6"/>
  <c r="G38" i="6"/>
  <c r="H38" i="6"/>
  <c r="G39" i="6"/>
  <c r="H39" i="6"/>
  <c r="G40" i="6"/>
  <c r="H40" i="6"/>
  <c r="M28" i="6"/>
  <c r="M41" i="6"/>
  <c r="M42" i="6"/>
  <c r="M43" i="6"/>
  <c r="M44" i="6"/>
  <c r="M45" i="6"/>
  <c r="M27" i="6"/>
  <c r="M29" i="6"/>
  <c r="M30" i="6"/>
  <c r="M31" i="6"/>
  <c r="M32" i="6"/>
  <c r="M33" i="6"/>
  <c r="M35" i="6"/>
  <c r="M36" i="6"/>
  <c r="M37" i="6"/>
  <c r="M38" i="6"/>
  <c r="M39" i="6"/>
  <c r="M40" i="6"/>
  <c r="Q21" i="6"/>
  <c r="Q27" i="6"/>
  <c r="Q26" i="6"/>
  <c r="Q19" i="6"/>
  <c r="Q15" i="6"/>
  <c r="Q17" i="6"/>
  <c r="Q12" i="6"/>
  <c r="Q14" i="6"/>
  <c r="Q16" i="6"/>
  <c r="Q18" i="6"/>
  <c r="Q20" i="6"/>
  <c r="Q22" i="6"/>
  <c r="Q23" i="6"/>
  <c r="Q24" i="6"/>
  <c r="Q25" i="6"/>
  <c r="Q28" i="6"/>
  <c r="Q29" i="6"/>
  <c r="Q30" i="6"/>
  <c r="Q31" i="6"/>
  <c r="Q32" i="6"/>
  <c r="Q33" i="6"/>
  <c r="Q34" i="6"/>
  <c r="O13" i="6"/>
  <c r="C29" i="13"/>
  <c r="C33" i="13"/>
  <c r="C34" i="13" s="1"/>
  <c r="C35" i="13" s="1"/>
  <c r="C36" i="13" s="1"/>
  <c r="C37" i="13" s="1"/>
  <c r="C38" i="13" s="1"/>
  <c r="C39" i="13" s="1"/>
  <c r="C40" i="13" s="1"/>
  <c r="C41" i="13" s="1"/>
  <c r="C42" i="13" s="1"/>
  <c r="C43" i="13" s="1"/>
  <c r="C44" i="13" s="1"/>
  <c r="C45" i="13" s="1"/>
  <c r="C46" i="13" s="1"/>
  <c r="C47" i="13" s="1"/>
  <c r="C48" i="13" s="1"/>
  <c r="C49" i="13" s="1"/>
  <c r="C50" i="13" s="1"/>
  <c r="C51" i="13" s="1"/>
  <c r="C52" i="13" s="1"/>
  <c r="C53" i="13" s="1"/>
  <c r="C54" i="13" s="1"/>
  <c r="C55" i="13" s="1"/>
  <c r="C56" i="13" s="1"/>
  <c r="M25" i="6"/>
  <c r="J21" i="6"/>
  <c r="K21" i="6"/>
  <c r="J24" i="6"/>
  <c r="K24" i="6"/>
  <c r="J20" i="6"/>
  <c r="K20" i="6"/>
  <c r="J22" i="6"/>
  <c r="K22" i="6"/>
  <c r="J23" i="6"/>
  <c r="K23" i="6"/>
  <c r="O15" i="6"/>
  <c r="O17" i="6"/>
  <c r="O26" i="6"/>
  <c r="O27" i="6"/>
  <c r="O20" i="6"/>
  <c r="O21" i="6"/>
  <c r="O18" i="6"/>
  <c r="O14" i="6"/>
  <c r="C31" i="13"/>
  <c r="P34" i="6"/>
  <c r="O34" i="6"/>
  <c r="P33" i="6"/>
  <c r="O33" i="6"/>
  <c r="P32" i="6"/>
  <c r="O32" i="6"/>
  <c r="P31" i="6"/>
  <c r="O31" i="6"/>
  <c r="P30" i="6"/>
  <c r="O30" i="6"/>
  <c r="P29" i="6"/>
  <c r="O29" i="6"/>
  <c r="P28" i="6"/>
  <c r="O28" i="6"/>
  <c r="P27" i="6"/>
  <c r="P26" i="6"/>
  <c r="P25" i="6"/>
  <c r="O25" i="6"/>
  <c r="P24" i="6"/>
  <c r="O24" i="6"/>
  <c r="P23" i="6"/>
  <c r="O23" i="6"/>
  <c r="P22" i="6"/>
  <c r="O22" i="6"/>
  <c r="P21" i="6"/>
  <c r="P20" i="6"/>
  <c r="P19" i="6"/>
  <c r="O19" i="6"/>
  <c r="P18" i="6"/>
  <c r="P17" i="6"/>
  <c r="P16" i="6"/>
  <c r="O16" i="6"/>
  <c r="P15" i="6"/>
  <c r="P14" i="6"/>
  <c r="P13" i="6"/>
  <c r="E81" i="6"/>
  <c r="E25" i="6"/>
  <c r="N34" i="228" l="1"/>
  <c r="AW46" i="228"/>
  <c r="AY46" i="228" s="1"/>
  <c r="O6" i="6"/>
  <c r="I34" i="6"/>
  <c r="J34" i="6" s="1"/>
  <c r="I32" i="6"/>
  <c r="J32" i="6" s="1"/>
  <c r="I28" i="6"/>
  <c r="J28" i="6" s="1"/>
  <c r="I57" i="6"/>
  <c r="J57" i="6" s="1"/>
  <c r="I35" i="6"/>
  <c r="J35" i="6" s="1"/>
  <c r="I29" i="6"/>
  <c r="J29" i="6" s="1"/>
  <c r="I41" i="6"/>
  <c r="J41" i="6" s="1"/>
  <c r="M6" i="6"/>
  <c r="I31" i="6"/>
  <c r="J31" i="6" s="1"/>
  <c r="I30" i="6"/>
  <c r="J30" i="6" s="1"/>
  <c r="I39" i="6"/>
  <c r="J39" i="6" s="1"/>
  <c r="I37" i="6"/>
  <c r="J37" i="6" s="1"/>
  <c r="I42" i="6"/>
  <c r="J42" i="6" s="1"/>
  <c r="Q36" i="6"/>
  <c r="N11" i="6" s="1"/>
  <c r="K11" i="6"/>
  <c r="J11" i="6" s="1"/>
  <c r="K12" i="6" s="1"/>
  <c r="I38" i="6"/>
  <c r="J38" i="6" s="1"/>
  <c r="I58" i="6"/>
  <c r="J58" i="6" s="1"/>
  <c r="I44" i="6"/>
  <c r="J44" i="6" s="1"/>
  <c r="I40" i="6"/>
  <c r="J40" i="6" s="1"/>
  <c r="I33" i="6"/>
  <c r="I43" i="6"/>
  <c r="J43" i="6" s="1"/>
  <c r="I45" i="6"/>
  <c r="J45" i="6" s="1"/>
  <c r="I27" i="6"/>
  <c r="I19" i="6"/>
  <c r="I51" i="6"/>
  <c r="J51" i="6" s="1"/>
  <c r="K60" i="6"/>
  <c r="N60" i="6" s="1"/>
  <c r="I36" i="6"/>
  <c r="J36" i="6" s="1"/>
  <c r="J38" i="228" l="1"/>
  <c r="I68" i="6"/>
  <c r="I70" i="6" s="1"/>
  <c r="J27" i="6"/>
  <c r="I60" i="6"/>
  <c r="G8" i="6"/>
  <c r="Q7" i="6"/>
  <c r="O7" i="6" s="1"/>
  <c r="Q6" i="6"/>
  <c r="Q5" i="6"/>
  <c r="J33" i="6"/>
  <c r="J19" i="6"/>
  <c r="K19" i="6" s="1"/>
  <c r="N2" i="6"/>
  <c r="J12" i="6"/>
  <c r="G103" i="243" l="1"/>
  <c r="G118" i="233"/>
  <c r="G117" i="242"/>
  <c r="G103" i="251"/>
  <c r="J60" i="6"/>
  <c r="N38" i="228"/>
  <c r="G81" i="255"/>
  <c r="E93" i="254"/>
  <c r="G93" i="254" s="1"/>
  <c r="E82" i="255"/>
  <c r="G82" i="255" s="1"/>
  <c r="G92" i="254"/>
  <c r="E104" i="251"/>
  <c r="G104" i="251" s="1"/>
  <c r="O5" i="6"/>
  <c r="N5" i="6" s="1"/>
  <c r="Q4" i="6" s="1"/>
  <c r="O37" i="6" s="1"/>
  <c r="R37" i="6" s="1"/>
  <c r="R38" i="6" s="1"/>
  <c r="S38" i="6" s="1"/>
  <c r="I61" i="6"/>
  <c r="J61" i="6" s="1"/>
  <c r="Q38" i="228" l="1"/>
  <c r="E17" i="6"/>
  <c r="P37" i="6" s="1"/>
  <c r="I62" i="6"/>
  <c r="E62" i="6" s="1"/>
  <c r="N8" i="6"/>
  <c r="Q37" i="6"/>
  <c r="O39" i="6" l="1"/>
  <c r="P42" i="6"/>
  <c r="P39" i="6"/>
  <c r="O40" i="6"/>
  <c r="Q38" i="6"/>
  <c r="O42" i="6" l="1"/>
  <c r="I64" i="6" s="1"/>
  <c r="I65" i="6" s="1"/>
  <c r="J65" i="6" s="1"/>
  <c r="I66" i="6" s="1"/>
  <c r="J68" i="6" s="1"/>
  <c r="J70" i="6" s="1"/>
  <c r="P40" i="6"/>
  <c r="K118" i="233" l="1"/>
  <c r="L117" i="242"/>
  <c r="K103" i="251"/>
  <c r="K103" i="243"/>
  <c r="K81" i="255"/>
  <c r="L92" i="254"/>
  <c r="H93" i="254"/>
  <c r="K93" i="254" s="1"/>
  <c r="H82" i="255"/>
  <c r="J82" i="255" s="1"/>
  <c r="H104" i="251"/>
  <c r="J104" i="251" s="1"/>
  <c r="J118" i="242"/>
  <c r="K118" i="242" s="1"/>
  <c r="H89" i="236"/>
  <c r="K89" i="236" s="1"/>
  <c r="I89" i="234"/>
  <c r="K89" i="234" s="1"/>
  <c r="I91" i="229"/>
  <c r="K91" i="229" s="1"/>
  <c r="K109" i="223"/>
  <c r="I119" i="233"/>
  <c r="J119" i="233" s="1"/>
  <c r="I81" i="232"/>
  <c r="J81" i="232" s="1"/>
  <c r="H77" i="235"/>
  <c r="J77" i="235" s="1"/>
  <c r="K88" i="234"/>
  <c r="K76" i="238"/>
  <c r="K76" i="237"/>
  <c r="H110" i="223"/>
  <c r="J110" i="223" s="1"/>
  <c r="H104" i="243"/>
  <c r="J104" i="243" s="1"/>
  <c r="K80" i="232"/>
  <c r="L88" i="236"/>
  <c r="H77" i="238"/>
  <c r="J77" i="238" s="1"/>
  <c r="I71" i="6"/>
  <c r="L90" i="229"/>
  <c r="K76" i="235"/>
  <c r="H77" i="237"/>
  <c r="J77" i="237" s="1"/>
  <c r="K105" i="251" l="1"/>
  <c r="K107" i="251" s="1"/>
  <c r="K119" i="242"/>
  <c r="K105" i="243"/>
  <c r="K107" i="243" s="1"/>
  <c r="J120" i="233"/>
  <c r="K83" i="255"/>
  <c r="I95" i="254"/>
  <c r="K95" i="254" s="1"/>
  <c r="L94" i="254"/>
  <c r="I93" i="229"/>
  <c r="K93" i="229" s="1"/>
  <c r="I106" i="251"/>
  <c r="J106" i="251" s="1"/>
  <c r="K92" i="229"/>
  <c r="A76" i="6"/>
  <c r="K111" i="223"/>
  <c r="K113" i="223" s="1"/>
  <c r="K90" i="234"/>
  <c r="K78" i="235"/>
  <c r="I91" i="236"/>
  <c r="K91" i="236" s="1"/>
  <c r="J82" i="232"/>
  <c r="I73" i="6"/>
  <c r="A77" i="6" s="1"/>
  <c r="I74" i="6"/>
  <c r="I79" i="235"/>
  <c r="J79" i="235" s="1"/>
  <c r="J120" i="242"/>
  <c r="K120" i="242" s="1"/>
  <c r="L90" i="236"/>
  <c r="K78" i="237"/>
  <c r="I81" i="238"/>
  <c r="J81" i="238" s="1"/>
  <c r="I106" i="243"/>
  <c r="J106" i="243" s="1"/>
  <c r="I83" i="232"/>
  <c r="J83" i="232" s="1"/>
  <c r="G78" i="238"/>
  <c r="I112" i="223"/>
  <c r="J112" i="223" s="1"/>
  <c r="I121" i="233"/>
  <c r="J121" i="233" s="1"/>
  <c r="G90" i="229"/>
  <c r="E77" i="237"/>
  <c r="G77" i="237" s="1"/>
  <c r="E89" i="236"/>
  <c r="G89" i="236" s="1"/>
  <c r="G76" i="237"/>
  <c r="E118" i="242"/>
  <c r="G118" i="242" s="1"/>
  <c r="G109" i="223"/>
  <c r="E77" i="235"/>
  <c r="G77" i="235" s="1"/>
  <c r="E81" i="232"/>
  <c r="G81" i="232" s="1"/>
  <c r="E104" i="243"/>
  <c r="G104" i="243" s="1"/>
  <c r="E91" i="229"/>
  <c r="G91" i="229" s="1"/>
  <c r="E119" i="233"/>
  <c r="G119" i="233" s="1"/>
  <c r="G76" i="235"/>
  <c r="E89" i="234"/>
  <c r="G89" i="234" s="1"/>
  <c r="G76" i="238"/>
  <c r="E77" i="238"/>
  <c r="G88" i="236"/>
  <c r="G88" i="234"/>
  <c r="E110" i="223"/>
  <c r="G110" i="223" s="1"/>
  <c r="G80" i="232"/>
  <c r="O25" i="245"/>
  <c r="G77" i="23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Schwarb, Thomas FKD</author>
  </authors>
  <commentList>
    <comment ref="N5" authorId="0" shapeId="0" xr:uid="{00000000-0006-0000-1300-000001000000}">
      <text>
        <r>
          <rPr>
            <b/>
            <sz val="8"/>
            <color indexed="81"/>
            <rFont val="Tahoma"/>
            <family val="2"/>
          </rPr>
          <t>Nur das zutreffende Feld ankreuzen um die Ausbildung der Person zu definieren.</t>
        </r>
        <r>
          <rPr>
            <sz val="8"/>
            <color indexed="81"/>
            <rFont val="Tahoma"/>
            <family val="2"/>
          </rPr>
          <t xml:space="preserve">
</t>
        </r>
      </text>
    </comment>
    <comment ref="E6" authorId="0" shapeId="0" xr:uid="{00000000-0006-0000-1300-000002000000}">
      <text>
        <r>
          <rPr>
            <b/>
            <sz val="8"/>
            <color indexed="81"/>
            <rFont val="Tahoma"/>
            <family val="2"/>
          </rPr>
          <t xml:space="preserve">Geben Sie hier die zutreffende Dienststelle resp. das Amt ein. </t>
        </r>
      </text>
    </comment>
    <comment ref="I6" authorId="0" shapeId="0" xr:uid="{00000000-0006-0000-1300-000003000000}">
      <text>
        <r>
          <rPr>
            <b/>
            <sz val="8"/>
            <color rgb="FF000000"/>
            <rFont val="Tahoma"/>
            <family val="2"/>
          </rPr>
          <t xml:space="preserve">Geben Sie hier den Code der Modellumschreibung nach dem Muster XXXX.YYz ein.
</t>
        </r>
        <r>
          <rPr>
            <b/>
            <sz val="8"/>
            <color rgb="FF000000"/>
            <rFont val="Tahoma"/>
            <family val="2"/>
          </rPr>
          <t xml:space="preserve">
</t>
        </r>
        <r>
          <rPr>
            <b/>
            <sz val="8"/>
            <color rgb="FF000000"/>
            <rFont val="Tahoma"/>
            <family val="2"/>
          </rPr>
          <t xml:space="preserve">Bei unbeschriebenen MUs gibt es keine Varianten XXXX.YYa oder XXXX.YYb usw.
</t>
        </r>
        <r>
          <rPr>
            <b/>
            <sz val="8"/>
            <color rgb="FF000000"/>
            <rFont val="Tahoma"/>
            <family val="2"/>
          </rPr>
          <t xml:space="preserve">
</t>
        </r>
        <r>
          <rPr>
            <b/>
            <sz val="8"/>
            <color rgb="FF000000"/>
            <rFont val="Tahoma"/>
            <family val="2"/>
          </rPr>
          <t xml:space="preserve">Bei einstelligen Lohnklassen "0" voranstellen.
</t>
        </r>
        <r>
          <rPr>
            <b/>
            <sz val="8"/>
            <color rgb="FF000000"/>
            <rFont val="Tahoma"/>
            <family val="2"/>
          </rPr>
          <t>Z.B.: 712.06</t>
        </r>
      </text>
    </comment>
    <comment ref="G7" authorId="0" shapeId="0" xr:uid="{00000000-0006-0000-1300-000004000000}">
      <text>
        <r>
          <rPr>
            <b/>
            <sz val="8"/>
            <color rgb="FF000000"/>
            <rFont val="Tahoma"/>
            <family val="2"/>
          </rPr>
          <t>Funktions-/ Stellenbezeichnung (intern)</t>
        </r>
      </text>
    </comment>
    <comment ref="E11" authorId="0" shapeId="0" xr:uid="{00000000-0006-0000-1300-000005000000}">
      <text>
        <r>
          <rPr>
            <b/>
            <sz val="8"/>
            <color indexed="81"/>
            <rFont val="Tahoma"/>
            <family val="2"/>
          </rPr>
          <t>Ermittelt sich autom. aus den Erfahrungszeilen die in rechten Spalte mit "X" markiert werden.  Kann aber auch manuell erfasst werden. (vgl. Richtlinie für die Treueprämie)</t>
        </r>
      </text>
    </comment>
    <comment ref="K11" authorId="0" shapeId="0" xr:uid="{00000000-0006-0000-1300-000006000000}">
      <text>
        <r>
          <rPr>
            <b/>
            <sz val="8"/>
            <color indexed="81"/>
            <rFont val="Tahoma"/>
            <family val="2"/>
          </rPr>
          <t>Ermittelt sich autom. aus den Erfahrungszeilen die in rechten Spalte mit "X" markiert werden.  Kann aber auch manuell erfasst werden.</t>
        </r>
      </text>
    </comment>
    <comment ref="N13" authorId="0" shapeId="0" xr:uid="{00000000-0006-0000-1300-000007000000}">
      <text>
        <r>
          <rPr>
            <b/>
            <sz val="8"/>
            <color indexed="81"/>
            <rFont val="Tahoma"/>
            <family val="2"/>
          </rPr>
          <t>Nur das zutreffende Feld ankreuzen um die Ausbildung der Person zu definieren.</t>
        </r>
        <r>
          <rPr>
            <sz val="8"/>
            <color indexed="81"/>
            <rFont val="Tahoma"/>
            <family val="2"/>
          </rPr>
          <t xml:space="preserve">
</t>
        </r>
      </text>
    </comment>
    <comment ref="D17" authorId="0" shapeId="0" xr:uid="{00000000-0006-0000-1300-000008000000}">
      <text>
        <r>
          <rPr>
            <b/>
            <sz val="8"/>
            <color indexed="81"/>
            <rFont val="Tahoma"/>
            <family val="2"/>
          </rPr>
          <t>Gemäss Modellumschreibung (MU) erforderliche Ausbildung.
Beachten Sie, dass es MUs gibt, welche verschiedene Ausbildungsvarianten vorsehen.</t>
        </r>
      </text>
    </comment>
    <comment ref="E17" authorId="0" shapeId="0" xr:uid="{00000000-0006-0000-1300-000009000000}">
      <text>
        <r>
          <rPr>
            <b/>
            <sz val="8"/>
            <color indexed="81"/>
            <rFont val="Tahoma"/>
            <family val="2"/>
          </rPr>
          <t>Gemäss Modellumschreibung (MU) erforderliche Ausbildung.
Beachten Sie, dass es MUs gibt, welche verschiedene Ausbildungsvarianten vorsehen.</t>
        </r>
      </text>
    </comment>
    <comment ref="K25" authorId="0" shapeId="0" xr:uid="{00000000-0006-0000-1300-00000A000000}">
      <text>
        <r>
          <rPr>
            <b/>
            <sz val="8"/>
            <color indexed="81"/>
            <rFont val="Tahoma"/>
            <family val="2"/>
          </rPr>
          <t xml:space="preserve">Geben Sie bei der jeweiligen Zeile ein "X" ein, wenn diese Erfahrungszeit für die Treueprämie anrechenbar ist.  (vgl. Richtlinie zur Treueprämie) </t>
        </r>
      </text>
    </comment>
    <comment ref="A26" authorId="0" shapeId="0" xr:uid="{00000000-0006-0000-1300-00000B000000}">
      <text>
        <r>
          <rPr>
            <b/>
            <sz val="8"/>
            <color indexed="81"/>
            <rFont val="Tahoma"/>
            <family val="2"/>
          </rPr>
          <t>Beginn der Erfahrungsperiode (Monat).</t>
        </r>
      </text>
    </comment>
    <comment ref="B26" authorId="0" shapeId="0" xr:uid="{00000000-0006-0000-1300-00000C000000}">
      <text>
        <r>
          <rPr>
            <b/>
            <sz val="8"/>
            <color indexed="81"/>
            <rFont val="Tahoma"/>
            <family val="2"/>
          </rPr>
          <t>Beginn der Erfahrungsperiode (Jahr). Anrechnung frühestens ab 18. Altersjahr.</t>
        </r>
      </text>
    </comment>
    <comment ref="E26" authorId="0" shapeId="0" xr:uid="{00000000-0006-0000-1300-00000D000000}">
      <text>
        <r>
          <rPr>
            <b/>
            <sz val="8"/>
            <color indexed="81"/>
            <rFont val="Tahoma"/>
            <family val="2"/>
          </rPr>
          <t>Alle Erfahrungen bis zum Zeitpunkt des Vertragsbeginns erfassen!</t>
        </r>
        <r>
          <rPr>
            <sz val="8"/>
            <color indexed="81"/>
            <rFont val="Tahoma"/>
            <family val="2"/>
          </rPr>
          <t xml:space="preserve">
</t>
        </r>
      </text>
    </comment>
    <comment ref="F26" authorId="0" shapeId="0" xr:uid="{00000000-0006-0000-1300-00000E000000}">
      <text>
        <r>
          <rPr>
            <b/>
            <sz val="8"/>
            <color indexed="81"/>
            <rFont val="Tahoma"/>
            <family val="2"/>
          </rPr>
          <t>Hier geben Sie den Anrechnungssatz der erworbenen Erfahrung an. (vgl. ES-Richtlinie)</t>
        </r>
      </text>
    </comment>
    <comment ref="K26" authorId="0" shapeId="0" xr:uid="{00000000-0006-0000-1300-00000F000000}">
      <text>
        <r>
          <rPr>
            <b/>
            <sz val="8"/>
            <color indexed="81"/>
            <rFont val="Tahoma"/>
            <family val="2"/>
          </rPr>
          <t xml:space="preserve">Geben Sie bei der jeweiligen Zeile ein "X" ein, wenn diese Erfahrungszeit für die Treueprämie anrechenbar ist.  (vgl. Richtlinie für die Treueprämie) </t>
        </r>
      </text>
    </comment>
    <comment ref="O37" authorId="0" shapeId="0" xr:uid="{00000000-0006-0000-1300-000010000000}">
      <text>
        <r>
          <rPr>
            <b/>
            <sz val="8"/>
            <color indexed="81"/>
            <rFont val="Tahoma"/>
            <family val="2"/>
          </rPr>
          <t>Falls die MU verschiedene Ausbildungsvarianten kennt, kann hier der A1-Wert geändert werden</t>
        </r>
      </text>
    </comment>
    <comment ref="P37" authorId="0" shapeId="0" xr:uid="{00000000-0006-0000-1300-000011000000}">
      <text>
        <r>
          <rPr>
            <b/>
            <sz val="8"/>
            <color indexed="81"/>
            <rFont val="Tahoma"/>
            <family val="2"/>
          </rPr>
          <t>Falls die MU verschiedene Ausbildungsvarianten kennt, kann hier der Text geändert werden. Der Text beeinflusst die Berechnung aber nicht.</t>
        </r>
      </text>
    </comment>
    <comment ref="E62" authorId="0" shapeId="0" xr:uid="{00000000-0006-0000-1300-000012000000}">
      <text>
        <r>
          <rPr>
            <b/>
            <sz val="8"/>
            <color indexed="81"/>
            <rFont val="Tahoma"/>
            <family val="2"/>
          </rPr>
          <t>Der A2-Wert wird automatisch ermittelt. Der Wert rechts, kann aber überschrieben werden.</t>
        </r>
      </text>
    </comment>
    <comment ref="I62" authorId="0" shapeId="0" xr:uid="{00000000-0006-0000-1300-000013000000}">
      <text>
        <r>
          <rPr>
            <b/>
            <sz val="8"/>
            <color indexed="81"/>
            <rFont val="Tahoma"/>
            <family val="2"/>
          </rPr>
          <t>Aus der Modellumschreibung ermittelter A2-Wert. Modellumschreibungen können mehr als eine Variante haben. Die Variante kann oben rechts gewählt werden.</t>
        </r>
      </text>
    </comment>
    <comment ref="E63" authorId="0" shapeId="0" xr:uid="{00000000-0006-0000-1300-000014000000}">
      <text>
        <r>
          <rPr>
            <b/>
            <sz val="8"/>
            <color indexed="81"/>
            <rFont val="Tahoma"/>
            <family val="2"/>
          </rPr>
          <t>Nützliche Zusatzausbildungen, die gem. MU aber nicht zwingend sind, können hier erfasst werden. Vgl. ES-Richtlinie für den Anrechnungssatz.</t>
        </r>
      </text>
    </comment>
    <comment ref="E64" authorId="0" shapeId="0" xr:uid="{00000000-0006-0000-1300-000015000000}">
      <text>
        <r>
          <rPr>
            <b/>
            <sz val="8"/>
            <color indexed="81"/>
            <rFont val="Tahoma"/>
            <family val="2"/>
          </rPr>
          <t>Geben Sie hier an, welche Ausbildung allenfalls fehlt. Die Berechnung kann anhend der Tabelle rechts erfolgen.</t>
        </r>
      </text>
    </comment>
    <comment ref="I64" authorId="0" shapeId="0" xr:uid="{00000000-0006-0000-1300-000016000000}">
      <text>
        <r>
          <rPr>
            <b/>
            <sz val="8"/>
            <color rgb="FF000000"/>
            <rFont val="Tahoma"/>
            <family val="2"/>
          </rPr>
          <t>Die Berechnung kann anhend der Tabelle rechts erfolgen.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ogogIV</author>
  </authors>
  <commentList>
    <comment ref="C23" authorId="0" shapeId="0" xr:uid="{00000000-0006-0000-1400-000001000000}">
      <text>
        <r>
          <rPr>
            <sz val="10"/>
            <color indexed="81"/>
            <rFont val="Arial"/>
            <family val="2"/>
          </rPr>
          <t>Geprüft wird, ob die  Einreihung in der gleichen Funktionskette erfolgt UND die Differenz der Lohnklassen/Lohnbänder nicht grösser als 1 ist.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ogogIV</author>
  </authors>
  <commentList>
    <comment ref="C25" authorId="0" shapeId="0" xr:uid="{00000000-0006-0000-1500-000001000000}">
      <text>
        <r>
          <rPr>
            <sz val="10"/>
            <color indexed="81"/>
            <rFont val="Arial"/>
            <family val="2"/>
          </rPr>
          <t>Geprüft wird ob gleiche Ausbildungsanforderungen bestehen. Bei ungleicher Ausbildungsanforderung (inkl. alternative Ausbildungserfordernisse gemäss MU) wird kein Wert berechnet und Hinweis ausgegeben.</t>
        </r>
      </text>
    </comment>
    <comment ref="N34" authorId="0" shapeId="0" xr:uid="{00000000-0006-0000-1500-000002000000}">
      <text>
        <r>
          <rPr>
            <sz val="10"/>
            <color indexed="81"/>
            <rFont val="Arial"/>
            <family val="2"/>
          </rPr>
          <t>Geprüft wird, ob die erforderliche A2-Korrektur vollständig möglich ist. Je nach konkretem Fall (z.B. bei Wechsel bei sehr tiefen Erfahrungswerten C, B oder A) kann die A2-Korrektur nicht vollständig erfolgen.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Jan Spörri</author>
  </authors>
  <commentList>
    <comment ref="C23" authorId="0" shapeId="0" xr:uid="{00000000-0006-0000-1600-000001000000}">
      <text>
        <r>
          <rPr>
            <b/>
            <sz val="9"/>
            <color indexed="81"/>
            <rFont val="Segoe UI"/>
            <family val="2"/>
          </rPr>
          <t>Geprüft wird ob neues Lohnband besser ist als das Bisherige.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Weber, Thomas FKD</author>
    <author>Graf, Roland FKD</author>
  </authors>
  <commentList>
    <comment ref="U1" authorId="0" shapeId="0" xr:uid="{00000000-0006-0000-1C00-000001000000}">
      <text>
        <r>
          <rPr>
            <b/>
            <sz val="9"/>
            <color indexed="81"/>
            <rFont val="Segoe UI"/>
            <family val="2"/>
          </rPr>
          <t>Weber, Thomas FKD:</t>
        </r>
        <r>
          <rPr>
            <sz val="9"/>
            <color indexed="81"/>
            <rFont val="Segoe UI"/>
            <family val="2"/>
          </rPr>
          <t xml:space="preserve">
MU für Gültigkeitsüberprüfung manuelle Eingabe MU</t>
        </r>
      </text>
    </comment>
    <comment ref="K274" authorId="1" shapeId="0" xr:uid="{00000000-0006-0000-1C00-000002000000}">
      <text>
        <r>
          <rPr>
            <b/>
            <sz val="9"/>
            <color indexed="81"/>
            <rFont val="Tahoma"/>
            <family val="2"/>
          </rPr>
          <t>Graf, Roland FKD:</t>
        </r>
        <r>
          <rPr>
            <sz val="9"/>
            <color indexed="81"/>
            <rFont val="Tahoma"/>
            <family val="2"/>
          </rPr>
          <t xml:space="preserve">
Angep. 10.2018 auf Anfrage der Gerichte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<sst xmlns="http://schemas.openxmlformats.org/spreadsheetml/2006/main" count="5103" uniqueCount="2068">
  <si>
    <t>Modellumschreibung</t>
  </si>
  <si>
    <t>Funktion</t>
  </si>
  <si>
    <t>T</t>
  </si>
  <si>
    <t>Mt</t>
  </si>
  <si>
    <t>J</t>
  </si>
  <si>
    <t>Eintritt</t>
  </si>
  <si>
    <t>von</t>
  </si>
  <si>
    <t>bis</t>
  </si>
  <si>
    <t xml:space="preserve">in % </t>
  </si>
  <si>
    <t>./.</t>
  </si>
  <si>
    <t>A2</t>
  </si>
  <si>
    <t>Bemerkungen:</t>
  </si>
  <si>
    <t>Datum / Unterschrift:</t>
  </si>
  <si>
    <t>Fehlende Ausbildung</t>
  </si>
  <si>
    <t>Tätigkeiten und andere Erfahrungen</t>
  </si>
  <si>
    <t>Pflege- und Betreuungsmitarbeit</t>
  </si>
  <si>
    <t>Diplomierte Krankenpflege DN I</t>
  </si>
  <si>
    <t>Diplomierte Krankenpflege</t>
  </si>
  <si>
    <t>303 b</t>
  </si>
  <si>
    <t xml:space="preserve">Operationsfachmann/-frau </t>
  </si>
  <si>
    <t>303 c</t>
  </si>
  <si>
    <t>Rettungssanitäter/in</t>
  </si>
  <si>
    <t>303 a</t>
  </si>
  <si>
    <t>Spezifische Führungsfunktion</t>
  </si>
  <si>
    <t xml:space="preserve">Spezifische Führungsfunktion </t>
  </si>
  <si>
    <t>Medizinisch-Technische Mithilfe</t>
  </si>
  <si>
    <t>Medizinisch-Technische Angestellte</t>
  </si>
  <si>
    <t>Medizinisch-Technische Assistenz</t>
  </si>
  <si>
    <t>Therapiehilfe</t>
  </si>
  <si>
    <t>Therapieangestellte</t>
  </si>
  <si>
    <t xml:space="preserve">Diplomierte Therapieangestellte </t>
  </si>
  <si>
    <t>323 a</t>
  </si>
  <si>
    <t>Diplomierte Therapieangestellte</t>
  </si>
  <si>
    <t>323 b</t>
  </si>
  <si>
    <t>Psychologie und Psychotherapie</t>
  </si>
  <si>
    <t>Assistenzärztin/Assistenzarzt</t>
  </si>
  <si>
    <t>Aerztin/Arzt (mbA)</t>
  </si>
  <si>
    <t>Oberärztin/Oberarzt</t>
  </si>
  <si>
    <t>Stv. Chefarzt *</t>
  </si>
  <si>
    <t>Sozialpädagogik-Kleinkindererziehung</t>
  </si>
  <si>
    <t>341 a</t>
  </si>
  <si>
    <t>Sozialpädagogik</t>
  </si>
  <si>
    <t>341 b</t>
  </si>
  <si>
    <t>Sozialpädagogik-Gefangenenbetreuung</t>
  </si>
  <si>
    <t>Sozialarbeit</t>
  </si>
  <si>
    <t>Administrative Angestellte</t>
  </si>
  <si>
    <t>102 a/b</t>
  </si>
  <si>
    <t>Sachbearbeitung 2 (mbA)</t>
  </si>
  <si>
    <t>103 a/b</t>
  </si>
  <si>
    <t>Sachbearbeitung 1 (wiss.)</t>
  </si>
  <si>
    <t>Betriebsangestellte</t>
  </si>
  <si>
    <t>202 a</t>
  </si>
  <si>
    <t>Hw.-Tech. und Hauswirtschaftliche Ang.</t>
  </si>
  <si>
    <t>202 c</t>
  </si>
  <si>
    <t>Handwerklich-Technische Angestellte</t>
  </si>
  <si>
    <t>202 a/b</t>
  </si>
  <si>
    <t>202 d</t>
  </si>
  <si>
    <t>Technisch-Wissenschaftliche Angestellte</t>
  </si>
  <si>
    <t>Gerichtsschreiber/in 2. Instanz</t>
  </si>
  <si>
    <t>Gerichtspräsident/in 1. Instanz</t>
  </si>
  <si>
    <t>Polizeiaspirant/in</t>
  </si>
  <si>
    <t>Pol. Sachbearbeitungsfunktion</t>
  </si>
  <si>
    <t>Pol. Führungsfunktion/Fachspez.</t>
  </si>
  <si>
    <t>Allgemeine Führungsfunktion 2</t>
  </si>
  <si>
    <t>Allgemeine Führungsfunktion 1</t>
  </si>
  <si>
    <t/>
  </si>
  <si>
    <t>a</t>
  </si>
  <si>
    <t>b</t>
  </si>
  <si>
    <t>F-Kette</t>
  </si>
  <si>
    <t>Variante</t>
  </si>
  <si>
    <t>FKette-Orig</t>
  </si>
  <si>
    <t>Bezeichnung</t>
  </si>
  <si>
    <t>AWP</t>
  </si>
  <si>
    <t>A1</t>
  </si>
  <si>
    <t>000MU</t>
  </si>
  <si>
    <t>Lehrer</t>
  </si>
  <si>
    <t>c</t>
  </si>
  <si>
    <t>d</t>
  </si>
  <si>
    <t>Alt-A1</t>
  </si>
  <si>
    <t>Alt-A2</t>
  </si>
  <si>
    <t>Alt-AWP</t>
  </si>
  <si>
    <t>Alt2-AWP</t>
  </si>
  <si>
    <t>Alt2-A1</t>
  </si>
  <si>
    <t>Alt2-A2</t>
  </si>
  <si>
    <t>A1-Text</t>
  </si>
  <si>
    <t>Oblig. Schulbildung und Einarbeitung (3 Monate)</t>
  </si>
  <si>
    <t>Oblig. Schulbildung und Einarbeitung (6 Monate)</t>
  </si>
  <si>
    <t>Eidg. Fähigkeitszeugnis EFZ (3-4 Jahre)</t>
  </si>
  <si>
    <t>Ohne obligatorische Schulbildung</t>
  </si>
  <si>
    <t>Eidg. Berufsattest EBA, Gymnasiale Maturität, Fachmittelschulabschluss</t>
  </si>
  <si>
    <t>Bachelor und funktionsspezifische Zusatzausbildung</t>
  </si>
  <si>
    <t>zz</t>
  </si>
  <si>
    <t>Fehler</t>
  </si>
  <si>
    <t>Anlehre</t>
  </si>
  <si>
    <t>M101.19</t>
  </si>
  <si>
    <t>M101.20</t>
  </si>
  <si>
    <t>M101.21</t>
  </si>
  <si>
    <t>M101.22</t>
  </si>
  <si>
    <t>M101.23</t>
  </si>
  <si>
    <t>M101.24</t>
  </si>
  <si>
    <t>M101.25</t>
  </si>
  <si>
    <t>M101.26</t>
  </si>
  <si>
    <t>M102.13</t>
  </si>
  <si>
    <t>M102.15</t>
  </si>
  <si>
    <t>M102.17</t>
  </si>
  <si>
    <t>M102.19</t>
  </si>
  <si>
    <t>M103.11</t>
  </si>
  <si>
    <t>M103.13</t>
  </si>
  <si>
    <t>M111.10</t>
  </si>
  <si>
    <t>M111.11</t>
  </si>
  <si>
    <t>M111.12</t>
  </si>
  <si>
    <t>M111.13</t>
  </si>
  <si>
    <t>M111.14</t>
  </si>
  <si>
    <t>M111.15</t>
  </si>
  <si>
    <t>M111.16</t>
  </si>
  <si>
    <t>M111.17</t>
  </si>
  <si>
    <t>M111.18</t>
  </si>
  <si>
    <t>M201.20</t>
  </si>
  <si>
    <t>M201.21</t>
  </si>
  <si>
    <t>M201.22</t>
  </si>
  <si>
    <t>M201.23</t>
  </si>
  <si>
    <t>M201.24</t>
  </si>
  <si>
    <t>M201.25</t>
  </si>
  <si>
    <t>M201.26</t>
  </si>
  <si>
    <t>M201.27</t>
  </si>
  <si>
    <t>M201.28</t>
  </si>
  <si>
    <t>M202.15</t>
  </si>
  <si>
    <t>M202.17</t>
  </si>
  <si>
    <t>M202.19</t>
  </si>
  <si>
    <t>M203.10</t>
  </si>
  <si>
    <t>M203.11</t>
  </si>
  <si>
    <t>M203.12</t>
  </si>
  <si>
    <t>M203.13</t>
  </si>
  <si>
    <t>M211.12</t>
  </si>
  <si>
    <t>M211.13</t>
  </si>
  <si>
    <t>M211.14</t>
  </si>
  <si>
    <t>M211.16</t>
  </si>
  <si>
    <t>M211.17</t>
  </si>
  <si>
    <t>M211.18</t>
  </si>
  <si>
    <t>M301.22</t>
  </si>
  <si>
    <t>M301.23</t>
  </si>
  <si>
    <t>M301.24</t>
  </si>
  <si>
    <t>M301.25</t>
  </si>
  <si>
    <t>M302.19</t>
  </si>
  <si>
    <t>M302.20</t>
  </si>
  <si>
    <t>M303.13</t>
  </si>
  <si>
    <t>M303.14</t>
  </si>
  <si>
    <t>M303.18</t>
  </si>
  <si>
    <t>M304.13</t>
  </si>
  <si>
    <t>M304.14</t>
  </si>
  <si>
    <t>M304.15</t>
  </si>
  <si>
    <t>M305.11</t>
  </si>
  <si>
    <t>M305.12</t>
  </si>
  <si>
    <t>M311.23</t>
  </si>
  <si>
    <t>M311.24</t>
  </si>
  <si>
    <t>M311.25</t>
  </si>
  <si>
    <t>M312.19</t>
  </si>
  <si>
    <t>M312.20</t>
  </si>
  <si>
    <t>M312.21</t>
  </si>
  <si>
    <t>M313.16</t>
  </si>
  <si>
    <t>M314.14</t>
  </si>
  <si>
    <t>M321.23</t>
  </si>
  <si>
    <t>M321.24</t>
  </si>
  <si>
    <t>M321.25</t>
  </si>
  <si>
    <t>M322.18</t>
  </si>
  <si>
    <t>M322.20</t>
  </si>
  <si>
    <t>M323.14</t>
  </si>
  <si>
    <t>M323.16</t>
  </si>
  <si>
    <t>M323.17</t>
  </si>
  <si>
    <t>M324.13</t>
  </si>
  <si>
    <t>M331.10</t>
  </si>
  <si>
    <t>M331.11</t>
  </si>
  <si>
    <t>M332.12</t>
  </si>
  <si>
    <t>M341.16</t>
  </si>
  <si>
    <t>M341.17</t>
  </si>
  <si>
    <t>M341.18</t>
  </si>
  <si>
    <t>M341.19</t>
  </si>
  <si>
    <t>M342.14</t>
  </si>
  <si>
    <t>M342.15</t>
  </si>
  <si>
    <t>M342.16</t>
  </si>
  <si>
    <t>M501.11</t>
  </si>
  <si>
    <t>M505.11</t>
  </si>
  <si>
    <t>M601.19</t>
  </si>
  <si>
    <t>M602.14</t>
  </si>
  <si>
    <t>M602.15</t>
  </si>
  <si>
    <t>M602.16</t>
  </si>
  <si>
    <t>M603.11</t>
  </si>
  <si>
    <t>M603.12</t>
  </si>
  <si>
    <t>M603.13</t>
  </si>
  <si>
    <t>M711.10</t>
  </si>
  <si>
    <t>M711.11</t>
  </si>
  <si>
    <t>M711.12</t>
  </si>
  <si>
    <t>M102.14a</t>
  </si>
  <si>
    <t>M102.14b</t>
  </si>
  <si>
    <t>M102.16a</t>
  </si>
  <si>
    <t>M102.16b</t>
  </si>
  <si>
    <t>M102.18a</t>
  </si>
  <si>
    <t>M102.18b</t>
  </si>
  <si>
    <t>M103.10a</t>
  </si>
  <si>
    <t>M103.10b</t>
  </si>
  <si>
    <t>M103.12a</t>
  </si>
  <si>
    <t>M103.12b</t>
  </si>
  <si>
    <t>M103.14a</t>
  </si>
  <si>
    <t>M103.14b</t>
  </si>
  <si>
    <t>M202.14a</t>
  </si>
  <si>
    <t>M202.14b</t>
  </si>
  <si>
    <t>M202.14c</t>
  </si>
  <si>
    <t>M202.14d</t>
  </si>
  <si>
    <t>M202.16a</t>
  </si>
  <si>
    <t>M202.16b</t>
  </si>
  <si>
    <t>M202.16c</t>
  </si>
  <si>
    <t>M202.16d</t>
  </si>
  <si>
    <t>M202.18a</t>
  </si>
  <si>
    <t>M202.18b</t>
  </si>
  <si>
    <t>M202.18c</t>
  </si>
  <si>
    <t>M202.20a</t>
  </si>
  <si>
    <t>M202.20c</t>
  </si>
  <si>
    <t>M203.14a</t>
  </si>
  <si>
    <t>M203.14b</t>
  </si>
  <si>
    <t>M303.15a</t>
  </si>
  <si>
    <t>M303.15b</t>
  </si>
  <si>
    <t>M303.16a</t>
  </si>
  <si>
    <t>M303.16b</t>
  </si>
  <si>
    <t>M303.16c</t>
  </si>
  <si>
    <t>M303.17a</t>
  </si>
  <si>
    <t>M313.17a</t>
  </si>
  <si>
    <t>M313.17b</t>
  </si>
  <si>
    <t>M323.15a</t>
  </si>
  <si>
    <t>M323.15b</t>
  </si>
  <si>
    <t>M341.15a</t>
  </si>
  <si>
    <t>M341.15b</t>
  </si>
  <si>
    <t>M401A.14</t>
  </si>
  <si>
    <t>M402A.13</t>
  </si>
  <si>
    <t>M402B.14</t>
  </si>
  <si>
    <t>M402C.13</t>
  </si>
  <si>
    <t>M402D.13</t>
  </si>
  <si>
    <t>M403A.12</t>
  </si>
  <si>
    <t>M403B.13</t>
  </si>
  <si>
    <t>M404A.11</t>
  </si>
  <si>
    <t>M404B.13</t>
  </si>
  <si>
    <t>M405A.11</t>
  </si>
  <si>
    <t>M406A.10</t>
  </si>
  <si>
    <t>M406B.13</t>
  </si>
  <si>
    <t>M406C.12</t>
  </si>
  <si>
    <t>M406D.13</t>
  </si>
  <si>
    <t>M407A.10</t>
  </si>
  <si>
    <t>M407B.11</t>
  </si>
  <si>
    <t>M407C.12</t>
  </si>
  <si>
    <t>M407D.13</t>
  </si>
  <si>
    <t>M408C.10</t>
  </si>
  <si>
    <t>M408D.10</t>
  </si>
  <si>
    <t>M408E.10</t>
  </si>
  <si>
    <t>M408F.11</t>
  </si>
  <si>
    <t>M408G.12</t>
  </si>
  <si>
    <t>M409B.10</t>
  </si>
  <si>
    <t>M409D.10</t>
  </si>
  <si>
    <t>M409E.10</t>
  </si>
  <si>
    <t>M409F.10</t>
  </si>
  <si>
    <t>M409G.11</t>
  </si>
  <si>
    <t>M409I.10</t>
  </si>
  <si>
    <t>M411A.12</t>
  </si>
  <si>
    <t>M412A.10</t>
  </si>
  <si>
    <t>M501.12a</t>
  </si>
  <si>
    <t>M501.12b</t>
  </si>
  <si>
    <t>Alt1-A1-Text</t>
  </si>
  <si>
    <t>Alt2-A1-Text</t>
  </si>
  <si>
    <t>M211.15</t>
  </si>
  <si>
    <t>M322.19</t>
  </si>
  <si>
    <t>M408B.10</t>
  </si>
  <si>
    <t>Zus.anrechenbare Ausb.</t>
  </si>
  <si>
    <t>M304.12</t>
  </si>
  <si>
    <t>M409C.10</t>
  </si>
  <si>
    <t>M409H.11</t>
  </si>
  <si>
    <t>M409H.10</t>
  </si>
  <si>
    <t>Technisches Eintrittsdatum (für Dienstjubiläum/Treueprämie)</t>
  </si>
  <si>
    <t>Anrechenbare Arbeitsverhältnisse (für Dienstjubiläum/Treueprämie)</t>
  </si>
  <si>
    <t>Anrechenbar für</t>
  </si>
  <si>
    <t>Dienstjubi.</t>
  </si>
  <si>
    <t>Erforderliche Erfahrung</t>
  </si>
  <si>
    <t>M313.15</t>
  </si>
  <si>
    <t>Betreffende/r Mitarbeiter/in hat nur folgende Ausbildung:</t>
  </si>
  <si>
    <t>A1:</t>
  </si>
  <si>
    <t>Beschreibung</t>
  </si>
  <si>
    <t>Stufe/Jahre</t>
  </si>
  <si>
    <t>Stufe/Jahre-2</t>
  </si>
  <si>
    <t>Erforderliche Ausbildung gemäss Modellumschreibung (ev. manuell überschreiben)</t>
  </si>
  <si>
    <t>M202.13</t>
  </si>
  <si>
    <t>M211.11</t>
  </si>
  <si>
    <t>M301.21</t>
  </si>
  <si>
    <t>M301.26</t>
  </si>
  <si>
    <t>M305.13</t>
  </si>
  <si>
    <t>M311.22</t>
  </si>
  <si>
    <t>M311.26</t>
  </si>
  <si>
    <t>M311.27</t>
  </si>
  <si>
    <t>M312.18</t>
  </si>
  <si>
    <t>M313.18</t>
  </si>
  <si>
    <t>M314.15</t>
  </si>
  <si>
    <t>M314.13</t>
  </si>
  <si>
    <t>M314.12</t>
  </si>
  <si>
    <t>M321.22</t>
  </si>
  <si>
    <t>M322.21</t>
  </si>
  <si>
    <t>M324.11</t>
  </si>
  <si>
    <t>M324.12</t>
  </si>
  <si>
    <t>M324.14</t>
  </si>
  <si>
    <t>M331.12</t>
  </si>
  <si>
    <t>M341.14</t>
  </si>
  <si>
    <t>M332.11</t>
  </si>
  <si>
    <t>M342.13</t>
  </si>
  <si>
    <t>M505.10</t>
  </si>
  <si>
    <t>M712.01</t>
  </si>
  <si>
    <t>M332.02</t>
  </si>
  <si>
    <t>M712.02</t>
  </si>
  <si>
    <t>M506.03</t>
  </si>
  <si>
    <t>M712.03</t>
  </si>
  <si>
    <t>M506.04</t>
  </si>
  <si>
    <t>M712.04</t>
  </si>
  <si>
    <t>M332.05</t>
  </si>
  <si>
    <t>M712.05</t>
  </si>
  <si>
    <t>M332.06</t>
  </si>
  <si>
    <t>M505.06</t>
  </si>
  <si>
    <t>M712.06</t>
  </si>
  <si>
    <t>M103.07</t>
  </si>
  <si>
    <t>M203.07</t>
  </si>
  <si>
    <t>M505.07</t>
  </si>
  <si>
    <t>M711.07</t>
  </si>
  <si>
    <t>M712.07</t>
  </si>
  <si>
    <t>M203.08</t>
  </si>
  <si>
    <t>M331.08</t>
  </si>
  <si>
    <t>M332.08</t>
  </si>
  <si>
    <t>M505.08</t>
  </si>
  <si>
    <t>M711.08</t>
  </si>
  <si>
    <t>M103.09</t>
  </si>
  <si>
    <t>M203.09</t>
  </si>
  <si>
    <t>M331.09</t>
  </si>
  <si>
    <t>M332.09</t>
  </si>
  <si>
    <t>M504.09</t>
  </si>
  <si>
    <t>M505.09</t>
  </si>
  <si>
    <t>M711.09</t>
  </si>
  <si>
    <t>M408A.09</t>
  </si>
  <si>
    <t>M409A.09</t>
  </si>
  <si>
    <t>M409C.09</t>
  </si>
  <si>
    <t>zzzzz</t>
  </si>
  <si>
    <t>zzz</t>
  </si>
  <si>
    <t>Wahl der Ausbildungsvarianten (A1-Wert)</t>
  </si>
  <si>
    <t>Oblig. Schulbildung und 1 Jahr Fachausbildung (intern oder extern)</t>
  </si>
  <si>
    <t>Anlehre+1 Jahr interne Ausbildung oder 3 Jahre Fachausbildung (ohne eidg. Anerkennung)</t>
  </si>
  <si>
    <t>Diplom Höhere Fachschulen (HF)</t>
  </si>
  <si>
    <t>Master (Hochschulabschluss)</t>
  </si>
  <si>
    <t>Master (Hochschulabschluss) und funktionsspezifische Zusatzausbildung</t>
  </si>
  <si>
    <t>Master (Hochschulabschluss) und 2 MAS oder FMH-Abschluss</t>
  </si>
  <si>
    <t>Dissertation oder zwei verschiedene Master (Hochschulabschluss)</t>
  </si>
  <si>
    <t xml:space="preserve">Bachelor und MAS (Nachdiplomstudium) </t>
  </si>
  <si>
    <t>Bachelor (alt Fachhochschulabschluss)</t>
  </si>
  <si>
    <t>Master (Hochschulabschluss) und MAS (Nachdiplomstudium)</t>
  </si>
  <si>
    <t>Oblig. Schulbildung und kurze Einarbeitung (weniger als 3 Monate)</t>
  </si>
  <si>
    <t>M501.13</t>
  </si>
  <si>
    <t>Kindergarten</t>
  </si>
  <si>
    <t>Vorschulheilpädagogischer Dienst</t>
  </si>
  <si>
    <t>M401C.14</t>
  </si>
  <si>
    <t>Primar</t>
  </si>
  <si>
    <t>Textilarbeit/Werken</t>
  </si>
  <si>
    <t>Stützunterricht (Lega oder DfF)</t>
  </si>
  <si>
    <t>Musikalischer Grundkurs</t>
  </si>
  <si>
    <t>M402E.14</t>
  </si>
  <si>
    <t>Primar 4. und 5.Kl.</t>
  </si>
  <si>
    <t>M402F.14</t>
  </si>
  <si>
    <t>Lehrperson an Primarschule</t>
  </si>
  <si>
    <t>Allgemein bildende Fächer</t>
  </si>
  <si>
    <t>Textilarbeit/Werken/Hauswirtschaft</t>
  </si>
  <si>
    <t>M403C.12</t>
  </si>
  <si>
    <t>Lehrer/in Sek.I Niv.A (1.-3.Kl., 3 Fächer)</t>
  </si>
  <si>
    <t>M403C.13</t>
  </si>
  <si>
    <t>Lehrer/in Sek.I Niv.A (1.-3.Kl. &lt;3 Fächer)</t>
  </si>
  <si>
    <t>M403D.13</t>
  </si>
  <si>
    <t>Lehrer/in Sek.I Niv.A (1.-3.Kl., Primarpatent)</t>
  </si>
  <si>
    <t>M403E.14</t>
  </si>
  <si>
    <t>Lehrer/in Sek.I Niv.A (1.-3.Kl., Berufslehre+päd.Ausb,&gt;1 Fach)</t>
  </si>
  <si>
    <t>M403E.15</t>
  </si>
  <si>
    <t>Lehrer/in Sek.I Niv.A (1.-3.Kl., Berufslehre+päd.Ausb,1 Fach)</t>
  </si>
  <si>
    <t>M403F.16</t>
  </si>
  <si>
    <t>Lehrer/in Sek.I Niv.A (1.-3.Kl., Berufslehre)</t>
  </si>
  <si>
    <t>M403G.14</t>
  </si>
  <si>
    <t>Lehrer/in Sek.I Niv.A (1.-3.Kl.) (Student&gt;=3Semester)</t>
  </si>
  <si>
    <t>M403G.16</t>
  </si>
  <si>
    <t>Lehrer/in Sek.I Niv.A (1.-3.Kl.) (Student&lt;3Semester)</t>
  </si>
  <si>
    <t>M403H.13</t>
  </si>
  <si>
    <t>Lehrer/in Sek.I Niv.A (1.-3.Kl., Matur/DMS)</t>
  </si>
  <si>
    <t>M403H.14</t>
  </si>
  <si>
    <t>M404B.12</t>
  </si>
  <si>
    <t>Textilarbeit/Werken/Hauswirtschaft (BWK+Lehrbefähig.SekI)</t>
  </si>
  <si>
    <t>M404C.12</t>
  </si>
  <si>
    <t>Lehrer/in Sek.I Niv.A (4.Kl.)</t>
  </si>
  <si>
    <t>M404D.11</t>
  </si>
  <si>
    <t>Lehrer/in Sek.I Niv.A (4.Kl., &gt;=3Fächer+BWK)</t>
  </si>
  <si>
    <t>M404D.12</t>
  </si>
  <si>
    <t>Lehrer/in Sek.I Niv.A (4.Kl., 2 Fächer)</t>
  </si>
  <si>
    <t>M404D.13</t>
  </si>
  <si>
    <t>Lehrer/in Sek.I Niv.A (4.Kl., 1 Fach)</t>
  </si>
  <si>
    <t>M404E.13</t>
  </si>
  <si>
    <t>Lehrer/in Sek.I Niv.A (4.Kl., nur Primarlehrpatent)</t>
  </si>
  <si>
    <t>M404F.14</t>
  </si>
  <si>
    <t>Lehrer/in Sek.I Niv.A (4.Kl.,Berufslehre+päd.Ausb,&gt;1 Fach)</t>
  </si>
  <si>
    <t>M404F.15</t>
  </si>
  <si>
    <t>Lehrer/in Sek.I Niv.A (4.Kl.,Lehrausweis, 1 Fach)</t>
  </si>
  <si>
    <t>M404G.16</t>
  </si>
  <si>
    <t>Lehrer/in Sek.I Niv.A (4.Kl.,Berufslehre)</t>
  </si>
  <si>
    <t>M404H.14</t>
  </si>
  <si>
    <t>Lehrer/in Sek.I Niv.A (4.Kl.) (Student&gt;=3Semester)</t>
  </si>
  <si>
    <t>M404H.16</t>
  </si>
  <si>
    <t>Lehrer/in Sek.I Niv.A (4.Kl.) (Student&lt;3Semester)</t>
  </si>
  <si>
    <t>M405B.11</t>
  </si>
  <si>
    <t>M405C.12</t>
  </si>
  <si>
    <t>Lehrer/in an Kleinklassen (Sek.I-Niveau-Patent)</t>
  </si>
  <si>
    <t>M405C.13</t>
  </si>
  <si>
    <t>Lehrer/in an Kleinklassen (nur Primarlehrpatent)</t>
  </si>
  <si>
    <t>M405D.11</t>
  </si>
  <si>
    <t>Lehrer/in an Kleinklassen (Oberstufe,Sek.I,Niv.A-Patent)</t>
  </si>
  <si>
    <t>M405D.12</t>
  </si>
  <si>
    <t>Lehrer/in an Kleinklassen (Unterstufe,Primar+Heilpäd.)</t>
  </si>
  <si>
    <t>M405E.12</t>
  </si>
  <si>
    <t>Lehrer/in an Kleinklassen / Fremdsprachenklasse</t>
  </si>
  <si>
    <t>Fachlehrperson (Ausbildung Werkseminar)</t>
  </si>
  <si>
    <t>M406B.14</t>
  </si>
  <si>
    <t>Fachlehrperson (Berufslehre)</t>
  </si>
  <si>
    <t>M406C.11</t>
  </si>
  <si>
    <t>Textilarbeit/Werken/Hausw.(Lehrpatent Sek.IA+BWK)</t>
  </si>
  <si>
    <t>Textilarbeit/Werken/Hausw.(Lehrpatent Sek.IA)</t>
  </si>
  <si>
    <t>M406E.11</t>
  </si>
  <si>
    <t>Lehrer/in am Werkjahr (Primarpatent+Heilpäd)</t>
  </si>
  <si>
    <t>M406F.11</t>
  </si>
  <si>
    <t>Lehrer/in am Werkjahr (Primarpatent+Sek.IA+BWK)</t>
  </si>
  <si>
    <t>M406F.12</t>
  </si>
  <si>
    <t>Lehrer/in am Werkjahr (Primarpatent+ Sek.IA oder BWK)</t>
  </si>
  <si>
    <t>M406F.13</t>
  </si>
  <si>
    <t>Lehrer/in am Werkjahr (Primarpatent)</t>
  </si>
  <si>
    <t>M406G.11</t>
  </si>
  <si>
    <t>Lehrer/in am Werkjahr (Primarpatent+Sek.IA+Heilpäd.)</t>
  </si>
  <si>
    <t>M406G.12</t>
  </si>
  <si>
    <t>Lehrer/in am Werkjahr (Primarpatent+Heilpäd.)</t>
  </si>
  <si>
    <t>M406H.14</t>
  </si>
  <si>
    <t>Lehrer/in am Werkjahr (Ausbildung Werkseminar)</t>
  </si>
  <si>
    <t>M406H.15</t>
  </si>
  <si>
    <t>Lehrer/in am Werkjahr (Berufslehre)</t>
  </si>
  <si>
    <t>Typ A (Lehrberecht.in 3 Fächer, mehrheitl.wiss.Fächer)</t>
  </si>
  <si>
    <t>M407A.11</t>
  </si>
  <si>
    <t>Typ A (Lehrberecht.in 3 Fächer, mehrheitl.nicht-wiss.Fächer)</t>
  </si>
  <si>
    <t>Typ B (Lehrberecht.in 2 Fächer, mehrheitl.wiss.Fächer)</t>
  </si>
  <si>
    <t>M407B.12</t>
  </si>
  <si>
    <t>Typ B (Lehrberecht.in 2 Fächer, mehrheitl.nicht-wiss.Fächer)</t>
  </si>
  <si>
    <t>Typ C (Lehrberecht.in einem wissenschaftl. Fach)</t>
  </si>
  <si>
    <t>M407E.14</t>
  </si>
  <si>
    <t>Lehrer/in Sek.I (Student&gt;=3Semester)</t>
  </si>
  <si>
    <t>M407E.16</t>
  </si>
  <si>
    <t>Lehrer/in Sek.I (Student&lt;3Semester)</t>
  </si>
  <si>
    <t>M407F.10</t>
  </si>
  <si>
    <t>Lehrer/in Sek.I (&gt;=3 Fächer)</t>
  </si>
  <si>
    <t>M407F.11</t>
  </si>
  <si>
    <t>Lehrer/in Sek.I (=2 Fächer)</t>
  </si>
  <si>
    <t>M407F.12</t>
  </si>
  <si>
    <t>Lehrer/in Sek.I (ein wiss. Fach)</t>
  </si>
  <si>
    <t>M407F.13</t>
  </si>
  <si>
    <t>Lehrer/in Sek.I (ein nicht-wiss. Fach)</t>
  </si>
  <si>
    <t>M407G.13</t>
  </si>
  <si>
    <t>Lehrer/in Sek.I (Primarlehrpatent)</t>
  </si>
  <si>
    <t>M407H.12</t>
  </si>
  <si>
    <t>Lehrer/in Sek.I (Liz./Master, &gt;=2 Fächer)</t>
  </si>
  <si>
    <t>M407H.13</t>
  </si>
  <si>
    <t>Lehrer/in Sek.I (Liz./Master, 1 Fach)</t>
  </si>
  <si>
    <t>M407I.14</t>
  </si>
  <si>
    <t>Lehrer/in Sek.I (Berufslehre+päd.Ausb.,&gt;=2 Fächer)</t>
  </si>
  <si>
    <t>M407I.15</t>
  </si>
  <si>
    <t>Lehrer/in Sek.I (Berufslehre+päd.Ausb.,1 Fach)</t>
  </si>
  <si>
    <t>M407J.16</t>
  </si>
  <si>
    <t>Lehrer/in Sek.I (Berufslehre)</t>
  </si>
  <si>
    <t>Wissenschaftliches Fach (inkl. Sporttheorie)</t>
  </si>
  <si>
    <t>M408B.09</t>
  </si>
  <si>
    <t>Sport II mit wissenschaftlichem Fach (Sport II mit wissenschaftl.Fach)</t>
  </si>
  <si>
    <t>Sport mit wissenschaftlichem Fach (Sport II+Sek.I-Patent)</t>
  </si>
  <si>
    <t>Kunst I (Kunststudium+höheres Lehramt/Sek.II)</t>
  </si>
  <si>
    <t>Kunst II (Kunststudium+höheres Lehramt/Sek.II)</t>
  </si>
  <si>
    <t>M408H.11</t>
  </si>
  <si>
    <t>Sport (Turnen, Sport II-Diplom +zus.Fach)</t>
  </si>
  <si>
    <t>M408H.12</t>
  </si>
  <si>
    <t>Sport (Turnen, Sport II-Diplom)</t>
  </si>
  <si>
    <t>M408H.13</t>
  </si>
  <si>
    <t>Sport (Turnen, Sport I-Diplom)</t>
  </si>
  <si>
    <t>M408H.14</t>
  </si>
  <si>
    <t>Sport (Turnen) (Student&gt;=3Semester)</t>
  </si>
  <si>
    <t>M408H.15</t>
  </si>
  <si>
    <t>Sport (Turnen) (Student&lt;3Semester)</t>
  </si>
  <si>
    <t>Lehrberecht.Sek. I E/P, &gt;=3 Fächer</t>
  </si>
  <si>
    <t>M408I.11</t>
  </si>
  <si>
    <t>Lehrberecht.Sek. I E/P, 2 Fächer</t>
  </si>
  <si>
    <t>M408I.12</t>
  </si>
  <si>
    <t>Lehrberecht.Sek. I E/P, 1 wiss.Fach</t>
  </si>
  <si>
    <t>M408I.13</t>
  </si>
  <si>
    <t>Lehrberecht.Sek. I E/P, 1 nicht-wiss.Fach</t>
  </si>
  <si>
    <t>M408K.10</t>
  </si>
  <si>
    <t>Unterricht ohne Lehrdiplom (wissenschaftl. Liz./Master)</t>
  </si>
  <si>
    <t>Unterricht ohne Lehrdiplom (wissenschaftl. Bachelor)</t>
  </si>
  <si>
    <t>M408L.11</t>
  </si>
  <si>
    <t>Unterricht ohne Lehrdiplom (Liz./Master Kunst)</t>
  </si>
  <si>
    <t>M408L.13</t>
  </si>
  <si>
    <t>Unterricht ohne Lehrdiplom (Bachelor Kunst)</t>
  </si>
  <si>
    <t>M408M.12</t>
  </si>
  <si>
    <t>Unterricht ohne Lehrdiplom (Instrumental/Master)</t>
  </si>
  <si>
    <t>M408M.13</t>
  </si>
  <si>
    <t>Unterricht ohne Lehrdiplom (Instrumental/Bachelor)</t>
  </si>
  <si>
    <t>M408N.13</t>
  </si>
  <si>
    <t>Lehrer/inmit Berufslehre+Lehrausweis &gt;=2 Fächer</t>
  </si>
  <si>
    <t>M408N.14</t>
  </si>
  <si>
    <t>Lehrer/inmit Berufslehre+Lehrausweis 1 Fach</t>
  </si>
  <si>
    <t>Wissenschaftliches Fach  (Liz/Master+Oberlehrer/SekII)</t>
  </si>
  <si>
    <t>Wissenschaftliches Fach  (Bachelor+SIBP/Berufsschullehrer)</t>
  </si>
  <si>
    <t>Sport II mit wissenschaftlichem Fach (wiss.Unterricht)</t>
  </si>
  <si>
    <t>Sport II mit wissenschaftlichem Fach (Sportunterricht)</t>
  </si>
  <si>
    <t>Sport mit wissenschaftlichem Fach (Sport II mit wissenschaftlichem Fach auf Sek.-Stu I)</t>
  </si>
  <si>
    <t>Allg.bildende Fächer (Primarlehrpat+SIBP oder Sek.II-Patent)</t>
  </si>
  <si>
    <t>M409E.11</t>
  </si>
  <si>
    <t>Allg.bildende Fächer (Master ohne päd.Ausbildung)</t>
  </si>
  <si>
    <t>Berufskundliche Fächer (Bachelor+SIBP)</t>
  </si>
  <si>
    <t>Berufskundliche Fächer (Meisterprüfung+SIBP)</t>
  </si>
  <si>
    <t>Sport mit allgemein bildendem Fach (Sport II mit wissenschaftl.Fach auf SekStufe I)</t>
  </si>
  <si>
    <t>Sport (Sport II)</t>
  </si>
  <si>
    <t>Allgemein bildende Fächer Vorlehre (Sek.I A+BWK+Heilpäd.)</t>
  </si>
  <si>
    <t>M409K.10</t>
  </si>
  <si>
    <t>Sek. I-Lehrperson (Sek.I A, &gt;=3 Fächer)</t>
  </si>
  <si>
    <t>M409K.11</t>
  </si>
  <si>
    <t>Sek. I-Lehrperson (Sek.I A, 2 Fächer)</t>
  </si>
  <si>
    <t>M409K.12</t>
  </si>
  <si>
    <t>Sek. I-Lehrperson (Sek.I A, 1 wiss. Fach)</t>
  </si>
  <si>
    <t>M409K.13</t>
  </si>
  <si>
    <t>Sek. I-Lehrperson (Sek.I A, 1 nicht.-wiss. Fach)</t>
  </si>
  <si>
    <t>M409L.12</t>
  </si>
  <si>
    <t>Primarlehrperson Berufsschule</t>
  </si>
  <si>
    <t>M409M.11</t>
  </si>
  <si>
    <t>Berufskundliche Fächer (Bachelor/Liz.+SIBP)</t>
  </si>
  <si>
    <t>Berufskundliche Fächer (Bachelor/Liz.ohne SIBP)</t>
  </si>
  <si>
    <t>M409N.12</t>
  </si>
  <si>
    <t>Berufskundliche Fächer (Bachelor/Liz.+SIBP-DIK II-Kurs)</t>
  </si>
  <si>
    <t>M409N.13</t>
  </si>
  <si>
    <t>Berufskundliche Fächer (Bachelor/Liz.+SIBP-DIK I-Kurs)</t>
  </si>
  <si>
    <t>M409N.14</t>
  </si>
  <si>
    <t>M409O.11</t>
  </si>
  <si>
    <t>Unterricht ohne Lehrdiplom (Liz./Master wissenschaftl.)</t>
  </si>
  <si>
    <t>M409O.12</t>
  </si>
  <si>
    <t>Unterricht ohne Lehrdiplom (Bachelor wissenschaftl.)</t>
  </si>
  <si>
    <t>M409P.13</t>
  </si>
  <si>
    <t>Lehrer/in (Berufslehre+päd.Ausb,&gt;=2 Fächer)</t>
  </si>
  <si>
    <t>M409P.14</t>
  </si>
  <si>
    <t>Lehrer/in (Berufslehre+päd.Ausb,1 Fach)</t>
  </si>
  <si>
    <t>M409Q.11</t>
  </si>
  <si>
    <t>Vorlehre (Primarlehrer+Heil.Päd oder Berufberater oder Sek.IA)</t>
  </si>
  <si>
    <t>M409R.10</t>
  </si>
  <si>
    <t>Wissenschaftliches Fach (Primarpatent+SIBP)</t>
  </si>
  <si>
    <t>Musikunterricht (Liz./Master+Lehrpatent AGJM)</t>
  </si>
  <si>
    <t>M411A.13</t>
  </si>
  <si>
    <t>Musikunterricht (Bachelor+Lehrpatent AGJM)</t>
  </si>
  <si>
    <t>M411A.15</t>
  </si>
  <si>
    <t>Musikunterricht (Bachelor ohne Lehrpatent AGJM)</t>
  </si>
  <si>
    <t>KTSI (Bachelor + SIBP)</t>
  </si>
  <si>
    <t>Kindergarten ohne VSH</t>
  </si>
  <si>
    <t>Kindergarten mit VSH</t>
  </si>
  <si>
    <t>Primarschule ohne ISF und KK</t>
  </si>
  <si>
    <t>Primarschule mit ISF und KK</t>
  </si>
  <si>
    <t>Sekundarschule (inkl. Werkjahr)</t>
  </si>
  <si>
    <t>Kindergarten ohne VSH (TZ)</t>
  </si>
  <si>
    <t>Kindergarten mit VSH (TZ)</t>
  </si>
  <si>
    <t>Primarschule ohne ISF und KK (TZ)</t>
  </si>
  <si>
    <t>Primarschule mit ISF und KK (TZ)</t>
  </si>
  <si>
    <t>Sekundarschule (inkl. Werkjahr, TZ)</t>
  </si>
  <si>
    <t>M401S.12</t>
  </si>
  <si>
    <t>M401S.11</t>
  </si>
  <si>
    <t>M402S.11</t>
  </si>
  <si>
    <t>M402S.10</t>
  </si>
  <si>
    <t>M403S.09</t>
  </si>
  <si>
    <t>M401T.12</t>
  </si>
  <si>
    <t>M401T.11</t>
  </si>
  <si>
    <t>M402T.11</t>
  </si>
  <si>
    <t>M402T.10</t>
  </si>
  <si>
    <t>M403T.09</t>
  </si>
  <si>
    <t>Krankenpflege FAGE / FA SRK</t>
  </si>
  <si>
    <t xml:space="preserve">Krankenpflege FAGE / FA SRK </t>
  </si>
  <si>
    <t>M414B.13</t>
  </si>
  <si>
    <t>M414A.13</t>
  </si>
  <si>
    <t>Logopädie</t>
  </si>
  <si>
    <t>Psychomotorik</t>
  </si>
  <si>
    <t>Berechnung des zusätzlichen A2-Abzugs bei Nichterreichen des Ausbildungsniveaus gem. Modellumschreibung</t>
  </si>
  <si>
    <t>C</t>
  </si>
  <si>
    <t>B</t>
  </si>
  <si>
    <t>A</t>
  </si>
  <si>
    <t>G</t>
  </si>
  <si>
    <t>L</t>
  </si>
  <si>
    <t>X</t>
  </si>
  <si>
    <t>MU-Bezeichnung</t>
  </si>
  <si>
    <t>Ausbildungen</t>
  </si>
  <si>
    <t>Handelsschule/KV M-Strang</t>
  </si>
  <si>
    <t>Handelsschule/KV E-Strang Sport und wiss. Fach</t>
  </si>
  <si>
    <t>Handelsschule/KV M-Strang Sport und wiss. Fach</t>
  </si>
  <si>
    <t>Handelsschule/KV E-Strang</t>
  </si>
  <si>
    <t>Handelsschule/KV G-Strang</t>
  </si>
  <si>
    <t>Handelsschule/KV G-Strang Sport und wiss. Fach</t>
  </si>
  <si>
    <t>Handelsschule/KV Kunst</t>
  </si>
  <si>
    <t>Handelsschule/KV Warenkunde</t>
  </si>
  <si>
    <t>Handelsschule/KV Verkaufskunde</t>
  </si>
  <si>
    <t>M410A.09</t>
  </si>
  <si>
    <t>M410D.10</t>
  </si>
  <si>
    <t>M410B.10</t>
  </si>
  <si>
    <t>M410C.09</t>
  </si>
  <si>
    <t>M410D.09</t>
  </si>
  <si>
    <t>M410E.10</t>
  </si>
  <si>
    <t>M410F.12</t>
  </si>
  <si>
    <t>M410G.13</t>
  </si>
  <si>
    <t>M410H.10</t>
  </si>
  <si>
    <t>M410I.11</t>
  </si>
  <si>
    <t>M410J.13</t>
  </si>
  <si>
    <t>M410K.13</t>
  </si>
  <si>
    <t>M410B.09</t>
  </si>
  <si>
    <t>M103.11c</t>
  </si>
  <si>
    <t>Revisionsleitung 1</t>
  </si>
  <si>
    <t>M103.09c</t>
  </si>
  <si>
    <t>Revisionsleitung 2</t>
  </si>
  <si>
    <t>M103.08c</t>
  </si>
  <si>
    <t>103 c</t>
  </si>
  <si>
    <t>Revisionsbereichsleitung</t>
  </si>
  <si>
    <t>Berufskundliche Fächer (Meister ohne SIBP-Kurs)</t>
  </si>
  <si>
    <t>M407L.10</t>
  </si>
  <si>
    <t>M407M.11</t>
  </si>
  <si>
    <t>M407M.12</t>
  </si>
  <si>
    <t>Lehrer/in Sek.I Niveau A, E &amp; P mit mind. 3 Fächer</t>
  </si>
  <si>
    <t>Lehrer/in Sek.I Niveau A, E &amp; P mit 2 Fächer</t>
  </si>
  <si>
    <t>Lehrer/in Sek.I Niveau A, E &amp; P mit nichtwiss.2 Fächer</t>
  </si>
  <si>
    <t>M407L.11</t>
  </si>
  <si>
    <t>Lehrer/in Sek.I Niveau A, E &amp; P mit mind. 3 Fächer nichtwiss.</t>
  </si>
  <si>
    <t>M409H.12</t>
  </si>
  <si>
    <t>Sport (Sport II mit Primarlehrerpatent)</t>
  </si>
  <si>
    <t>M409L.11</t>
  </si>
  <si>
    <t>Primarlehrperson Berufsschule mit Sek I, Niveau A</t>
  </si>
  <si>
    <t>Primarlehrperson Berufsschule mit Sek.I Niv.A &amp; SIBP</t>
  </si>
  <si>
    <t>M409L.13</t>
  </si>
  <si>
    <t>M409M.13</t>
  </si>
  <si>
    <t>Typ K (Monofach Sport Sek. I)</t>
  </si>
  <si>
    <t>Monofach Sport II auf Sek.-Stufe II</t>
  </si>
  <si>
    <t>M408O.10</t>
  </si>
  <si>
    <t>M407K.12</t>
  </si>
  <si>
    <t>M408I.10</t>
  </si>
  <si>
    <t>Typ D (Lehrberecht.in einem nichtwiss.Fach)</t>
  </si>
  <si>
    <t>M410L.12</t>
  </si>
  <si>
    <t>M410M.11</t>
  </si>
  <si>
    <t>M410N.13</t>
  </si>
  <si>
    <t>M410O.12</t>
  </si>
  <si>
    <t>M410O.13</t>
  </si>
  <si>
    <t>M410O.14</t>
  </si>
  <si>
    <t>M410O.15</t>
  </si>
  <si>
    <t>Handelsschule/KV Hausw./Ernähr.</t>
  </si>
  <si>
    <t>Handelsschule/KV Musik</t>
  </si>
  <si>
    <t>Handelsschule/KV Informatik</t>
  </si>
  <si>
    <t>Handelsschule/KV Sport II</t>
  </si>
  <si>
    <t>Handelsschule/KV Sport I</t>
  </si>
  <si>
    <t>Handelsschule/KV Sportstud. &gt;3Sem</t>
  </si>
  <si>
    <t xml:space="preserve">Handelsschule/KV Sportstud. </t>
  </si>
  <si>
    <t>M103.10c</t>
  </si>
  <si>
    <t>M405B.12</t>
  </si>
  <si>
    <t>Kleinklasse/ISF Oberstufe (nur Diplom Sek.I Niveau A)</t>
  </si>
  <si>
    <t>M407K.13</t>
  </si>
  <si>
    <t>Typ K (Monofach Sport Sek. I, mit Bachelor ohne Lehrdiplom)</t>
  </si>
  <si>
    <t>M407N.12</t>
  </si>
  <si>
    <t>M407N.13</t>
  </si>
  <si>
    <t>Lehrer/in Sek.I Niveau A, E &amp; P Monofach wiss.</t>
  </si>
  <si>
    <t>Lehrer/in Sek.I Niveau A, E &amp; P Monofach nicht-wiss.</t>
  </si>
  <si>
    <t>Kleinklasse/ISF Oberstufe (Heilpäd. ohne Diplom Sek.I)</t>
  </si>
  <si>
    <t>Eidg. Berufsprüfung/Eidg. Fachausweis, Handels- und Informatikmittelschulabschluss</t>
  </si>
  <si>
    <t>Eidg. Berufsprüfung/Eidg. Fachausweis B</t>
  </si>
  <si>
    <t>Eidg. Diplom, höhere Fachprüfung oder Diplom HF und NDS HF</t>
  </si>
  <si>
    <t>Eidg. Diplom, höhere Fachprüfung und funktionsspezifische Zusatzausbildung</t>
  </si>
  <si>
    <t>M408K.13</t>
  </si>
  <si>
    <t>M408K.14</t>
  </si>
  <si>
    <t>Unterricht ohne Lehrdiplom (wissenschaftl. &gt;=3 Semester Fachstudium)</t>
  </si>
  <si>
    <t>M103.08a</t>
  </si>
  <si>
    <t>M602.17a</t>
  </si>
  <si>
    <t>M602.17b</t>
  </si>
  <si>
    <t>M602.18a</t>
  </si>
  <si>
    <t>M602.18b</t>
  </si>
  <si>
    <t>602 a</t>
  </si>
  <si>
    <t>602 b</t>
  </si>
  <si>
    <t>313 a</t>
  </si>
  <si>
    <t>313 b</t>
  </si>
  <si>
    <t>203 a/b</t>
  </si>
  <si>
    <t>M410F.10</t>
  </si>
  <si>
    <t>M501.14</t>
  </si>
  <si>
    <t>M501.09</t>
  </si>
  <si>
    <t>Untersuchungsfunktion WK II</t>
  </si>
  <si>
    <t>M501.10</t>
  </si>
  <si>
    <t>Untersuchungsfunktion III</t>
  </si>
  <si>
    <t>Untersuchungsfunktion II</t>
  </si>
  <si>
    <t>Untersuchungsfunktion WK I</t>
  </si>
  <si>
    <t>Untersuchungsfunktion I</t>
  </si>
  <si>
    <t>M504.07a</t>
  </si>
  <si>
    <t>Staatsanwalt/-anwältin III</t>
  </si>
  <si>
    <t>M504.07b</t>
  </si>
  <si>
    <t>Staatsanwalt/-anwältin WK</t>
  </si>
  <si>
    <t>M504.08a</t>
  </si>
  <si>
    <t>Staatsanwalt/-anwältin II</t>
  </si>
  <si>
    <t>M504.08c</t>
  </si>
  <si>
    <t>Staatsanwalt/-anwältin GK/RV/StB</t>
  </si>
  <si>
    <t>Staatsanwalt/-anwältin I</t>
  </si>
  <si>
    <t>Bachelor und eidg. dipl. Wirtschaftsprüfer/in</t>
  </si>
  <si>
    <t>Direktion/Dienststelle</t>
  </si>
  <si>
    <t>M402.PS</t>
  </si>
  <si>
    <t>Lehrperson Primarstufe</t>
  </si>
  <si>
    <t>M402A.PS</t>
  </si>
  <si>
    <t>Lehrperson Primarstufe (Lehrdipl. andere Schulstufe Volkssch.)</t>
  </si>
  <si>
    <t>M402B.PS</t>
  </si>
  <si>
    <t>Lehrperson Primarstufe (Lehrdipl. andere Schulstufe ausserh. Volkssch.)</t>
  </si>
  <si>
    <t>M402C.PS</t>
  </si>
  <si>
    <t>Lehrperson Primarstufe (in Ausb. - min. 3 Sem.)</t>
  </si>
  <si>
    <t>Hälfte des Studiums zum Lehrdipl. Kindergarten/Primarschule abgeschlossen</t>
  </si>
  <si>
    <t>M402D.PS</t>
  </si>
  <si>
    <t>Lehrperson Primarstufe (päd. Ausb. - BA/MA)</t>
  </si>
  <si>
    <t>M402E.PS</t>
  </si>
  <si>
    <t>Lehrperson Primarstufe (Monofach)</t>
  </si>
  <si>
    <t>M402F.PS</t>
  </si>
  <si>
    <t>Lehrperson Primarstufe (k. Lehrdiplom)</t>
  </si>
  <si>
    <t>M402G.PS</t>
  </si>
  <si>
    <t>Lehrperson Primarstufe (Mehrjahrgangsklassen)</t>
  </si>
  <si>
    <t>M407.S1</t>
  </si>
  <si>
    <t>Lehrperson Sek I</t>
  </si>
  <si>
    <t>M407A.S1</t>
  </si>
  <si>
    <t>Lehrperson Sek I (Lehrdipl. 2 Fächer)</t>
  </si>
  <si>
    <t>M407B.S1</t>
  </si>
  <si>
    <t>Lehrperson Sek I (Lehrdipl. 1 Fächer)</t>
  </si>
  <si>
    <t>M407C.S1</t>
  </si>
  <si>
    <t>Lehrperson Sek I (Lehrdipl. Niveau A)</t>
  </si>
  <si>
    <t>M407D.S1</t>
  </si>
  <si>
    <t>Lehrperson Sek I (Lehrdipl. Niveau A m. BWK/CAS)</t>
  </si>
  <si>
    <t>M407E.S1</t>
  </si>
  <si>
    <t>Lehrperson Sek I (Lehrdipl. andere Schulstufe Volkssch.)</t>
  </si>
  <si>
    <t>M408.S2</t>
  </si>
  <si>
    <t>Lehrperson Sek II Gym/FMS</t>
  </si>
  <si>
    <t>M408A.S2</t>
  </si>
  <si>
    <t>Lehrperson Sek II Gym/FMS (ohne Lehrdipl.)</t>
  </si>
  <si>
    <t>M408B.S2</t>
  </si>
  <si>
    <t>Lehrperson Sek II Gym/FMS (Lehrdipl. Sek. I)</t>
  </si>
  <si>
    <t>M408C.S2</t>
  </si>
  <si>
    <t>Lehrperson Sek II Gym/FMS (Lehrdipl. Primarstufe)</t>
  </si>
  <si>
    <t>M408D.S2</t>
  </si>
  <si>
    <t>Lehrperson Sek II Gym/FMS (in Ausb. - min 1/2 der Fachwissenschaftl. Ausb.)</t>
  </si>
  <si>
    <t>Hälfte der fachwissenschaftlichen Ausb. abgeschlossen</t>
  </si>
  <si>
    <t>M408E.S2</t>
  </si>
  <si>
    <t>Lehrperson Sek II Gym/FMS (k. stufengerechte u. pädagogische Ausb.)</t>
  </si>
  <si>
    <t>M103.12c</t>
  </si>
  <si>
    <t>Revisionsleitung</t>
  </si>
  <si>
    <t>M407.14b</t>
  </si>
  <si>
    <t>LB</t>
  </si>
  <si>
    <t>EW</t>
  </si>
  <si>
    <t>Strasse / Nummer</t>
  </si>
  <si>
    <t>Name</t>
  </si>
  <si>
    <t>Vorname</t>
  </si>
  <si>
    <t>Postleitzahl</t>
  </si>
  <si>
    <t>Ort</t>
  </si>
  <si>
    <t>Geburtsdatum</t>
  </si>
  <si>
    <t>Techn. Eintrittsdatum</t>
  </si>
  <si>
    <t>Personen-ID</t>
  </si>
  <si>
    <t>Vertragsnummer</t>
  </si>
  <si>
    <t>Lohnband</t>
  </si>
  <si>
    <t>Vertragsart</t>
  </si>
  <si>
    <t>Probezeit</t>
  </si>
  <si>
    <t>Weitere Bemerkungen</t>
  </si>
  <si>
    <t>Nationalität</t>
  </si>
  <si>
    <t>Zivilstand</t>
  </si>
  <si>
    <t>Personaldaten</t>
  </si>
  <si>
    <t>ledig</t>
  </si>
  <si>
    <t>verheiratet</t>
  </si>
  <si>
    <t>geschieden</t>
  </si>
  <si>
    <t>getrennt</t>
  </si>
  <si>
    <t>Eingetragene Partnerschaft</t>
  </si>
  <si>
    <t>Aufgelöste Partnerschaft</t>
  </si>
  <si>
    <t>verwitwet</t>
  </si>
  <si>
    <t>Tod Partnerschaft</t>
  </si>
  <si>
    <t>Gew. Bewilligung</t>
  </si>
  <si>
    <t>Meldeverfahren</t>
  </si>
  <si>
    <t>Kreuz</t>
  </si>
  <si>
    <t>Zeitwirtschaft</t>
  </si>
  <si>
    <t>SAP</t>
  </si>
  <si>
    <t>Ausbildung</t>
  </si>
  <si>
    <t>34 anderes</t>
  </si>
  <si>
    <t>50 Kindergarten</t>
  </si>
  <si>
    <t>52 Primarschule</t>
  </si>
  <si>
    <t>55 Kleinklassen</t>
  </si>
  <si>
    <t>56 Werkjahr</t>
  </si>
  <si>
    <t>57 Sek I Niveau E + P</t>
  </si>
  <si>
    <t>59 Gym Sport II + wiss.</t>
  </si>
  <si>
    <t>60 Gym Kunst I</t>
  </si>
  <si>
    <t>61 Gym Kunst II</t>
  </si>
  <si>
    <t>62 Gym Instrumental</t>
  </si>
  <si>
    <t>64 Gym Sport</t>
  </si>
  <si>
    <t>65 Gym Lehrberechtigung</t>
  </si>
  <si>
    <t>67 Gym Kunst ohne päd.</t>
  </si>
  <si>
    <t>69 Gym mit Berufslehre</t>
  </si>
  <si>
    <t>73 BFS Fachabteilung</t>
  </si>
  <si>
    <t>74 BFS Vorlehre</t>
  </si>
  <si>
    <t>Unbefristet</t>
  </si>
  <si>
    <t>Befristet</t>
  </si>
  <si>
    <t>Ausbildungsvertrag</t>
  </si>
  <si>
    <t>Diverse</t>
  </si>
  <si>
    <t xml:space="preserve"> </t>
  </si>
  <si>
    <t>Index Formular</t>
  </si>
  <si>
    <t>Tabellen wurden benamst und sind mit Namen als DropDown im Stammdatenblatt verlinkt! Durch direkten Bezug verlieren Sie den Bezug beim schliessen und erneuten öffnen des Dokuments (Bug)</t>
  </si>
  <si>
    <t>Erfahrungswert</t>
  </si>
  <si>
    <t>massgebende Jahre für EW</t>
  </si>
  <si>
    <t>gerundet, Jahre für EW-Berechnung</t>
  </si>
  <si>
    <t>Lohnberechnung</t>
  </si>
  <si>
    <t>Musikschule</t>
  </si>
  <si>
    <t>Kindergarten / Primarschule</t>
  </si>
  <si>
    <t>Änderung Rahmenvertrag</t>
  </si>
  <si>
    <t>Anpassung aufgrund Ausbildungsabschluss</t>
  </si>
  <si>
    <t>Anstellung</t>
  </si>
  <si>
    <t>befristet</t>
  </si>
  <si>
    <t>unbefristet</t>
  </si>
  <si>
    <t>infolge Aufgabenstellung</t>
  </si>
  <si>
    <t>Ausbildung ist unvollständig</t>
  </si>
  <si>
    <t>Anstellung ab:</t>
  </si>
  <si>
    <t>Bandbreite von</t>
  </si>
  <si>
    <t>erteilte Wochenlektionen</t>
  </si>
  <si>
    <t>(nur bei unbefristetem Vertrag, max 4 Lektionen)</t>
  </si>
  <si>
    <t>Beilagen:</t>
  </si>
  <si>
    <t>Gemeinde</t>
  </si>
  <si>
    <t>Anzahl Lektionen</t>
  </si>
  <si>
    <t>Total Pensum</t>
  </si>
  <si>
    <t>MU</t>
  </si>
  <si>
    <t>Ja</t>
  </si>
  <si>
    <t>Nein</t>
  </si>
  <si>
    <t>Einsatz als Stellvertretung für</t>
  </si>
  <si>
    <t>Krankheit</t>
  </si>
  <si>
    <t>Unfall</t>
  </si>
  <si>
    <t>Kompensation</t>
  </si>
  <si>
    <t>Militärdienst</t>
  </si>
  <si>
    <t>Zivilschutzdienst</t>
  </si>
  <si>
    <t>Urlaub bezahlt</t>
  </si>
  <si>
    <t>Urlaub unbezahlt</t>
  </si>
  <si>
    <t>Mentorat (401179) / Fachperson (401175)*</t>
  </si>
  <si>
    <t>Lektionen:</t>
  </si>
  <si>
    <t>Regelung</t>
  </si>
  <si>
    <t>Die geleisteten Lektionen werden ausbezahlt</t>
  </si>
  <si>
    <t>Die geleisteten Lektionen werden der Lektionenbuchhaltung gutgeschrieben:</t>
  </si>
  <si>
    <t>BegründungFürBefristung</t>
  </si>
  <si>
    <t>EntscheidDesAmtesDürVolksschulen</t>
  </si>
  <si>
    <t>ESSprungManuell</t>
  </si>
  <si>
    <t>Anstellungsformular Kindergarten / Primarschule</t>
  </si>
  <si>
    <t>Schul- / Kindergartentyp</t>
  </si>
  <si>
    <t>SchulKindergartenTyp</t>
  </si>
  <si>
    <t>Kreiskindergarten</t>
  </si>
  <si>
    <t>Primarschule</t>
  </si>
  <si>
    <t>Kreisprimarschule</t>
  </si>
  <si>
    <t>Regelunterricht</t>
  </si>
  <si>
    <t>DaZ</t>
  </si>
  <si>
    <t>Vorschulheilpädagogik</t>
  </si>
  <si>
    <t>3. Klasse</t>
  </si>
  <si>
    <t>HW / TW</t>
  </si>
  <si>
    <t>Förderunterricht</t>
  </si>
  <si>
    <t>Kleinklasse</t>
  </si>
  <si>
    <t>Begabungs- und Begabtenförderung</t>
  </si>
  <si>
    <t>Sozialpäd. Unterstützung</t>
  </si>
  <si>
    <t>Anzahl Lektionen Mehrjahrgangsklassenentschädigung:</t>
  </si>
  <si>
    <t>SekTyp</t>
  </si>
  <si>
    <t>Sekundarschule</t>
  </si>
  <si>
    <t>Werkjahr</t>
  </si>
  <si>
    <t>Niveau E &amp; P</t>
  </si>
  <si>
    <t>Niveau A</t>
  </si>
  <si>
    <t>Lektionen bisher</t>
  </si>
  <si>
    <t>ab Datum</t>
  </si>
  <si>
    <t>Lektionen neu</t>
  </si>
  <si>
    <t>Neue Planstelle</t>
  </si>
  <si>
    <t>Lektionenrahmen bisher</t>
  </si>
  <si>
    <t>Lektionenrahmen neu</t>
  </si>
  <si>
    <t>1 Universität / HS</t>
  </si>
  <si>
    <t>2 Höhere Fachschule</t>
  </si>
  <si>
    <t>3 Höhere Berufsausbild</t>
  </si>
  <si>
    <t>4 Lehrerpatent</t>
  </si>
  <si>
    <t>5 Matura</t>
  </si>
  <si>
    <t>6 Berufslehre</t>
  </si>
  <si>
    <t>7 Berufsausbild Firma</t>
  </si>
  <si>
    <t>8 ohne Berufslehre</t>
  </si>
  <si>
    <t>9 Anderes</t>
  </si>
  <si>
    <t>31 Lehrdiplom Stufe</t>
  </si>
  <si>
    <t>32 Nur Fachstudium</t>
  </si>
  <si>
    <t>33 Lehrdipl andere Stuf</t>
  </si>
  <si>
    <t>41 Nur Lehrdiplom</t>
  </si>
  <si>
    <t>42 Lehrdipl mit Führung</t>
  </si>
  <si>
    <t>43 Führung ohne Lehrdip</t>
  </si>
  <si>
    <t>44 ohne LPDipl ohne Füh</t>
  </si>
  <si>
    <t>51 Vorschulheilpädagogi</t>
  </si>
  <si>
    <t>53 Sek I Niveau A (1.-2</t>
  </si>
  <si>
    <t>54 Sek I Niveau A (3.-4</t>
  </si>
  <si>
    <t>58 Gym mit päd. Ausbild</t>
  </si>
  <si>
    <t>63 Gym Teilarbeit / Wer</t>
  </si>
  <si>
    <t>66 Gym ohne päd. Ausbil</t>
  </si>
  <si>
    <t>68 Gym Instrumental ohn</t>
  </si>
  <si>
    <t>70 BFS BMS mit päd. Aus</t>
  </si>
  <si>
    <t>71 BFS BMS Sport II + w</t>
  </si>
  <si>
    <t>72 BFS BMS Lehrberechti</t>
  </si>
  <si>
    <t>SchultypSek1</t>
  </si>
  <si>
    <t>Assistenz</t>
  </si>
  <si>
    <t>ISF</t>
  </si>
  <si>
    <t>Regelunterricht 1./2. Klasse</t>
  </si>
  <si>
    <t>4./5./6. Klasse</t>
  </si>
  <si>
    <t>SchultypKGPS</t>
  </si>
  <si>
    <t>Kreuz Folgevertrag</t>
  </si>
  <si>
    <t>Unterrichtsart</t>
  </si>
  <si>
    <t>Allgemeinbildung</t>
  </si>
  <si>
    <t>Berufskunde</t>
  </si>
  <si>
    <t>Gymnasium</t>
  </si>
  <si>
    <t>Progymnasium</t>
  </si>
  <si>
    <t>Berufsmaturität</t>
  </si>
  <si>
    <t>Kontierung</t>
  </si>
  <si>
    <t>Kostenstelle</t>
  </si>
  <si>
    <t>Innenauftrag</t>
  </si>
  <si>
    <t>Kinderzulagen</t>
  </si>
  <si>
    <t>ja</t>
  </si>
  <si>
    <t>nein</t>
  </si>
  <si>
    <t>Unterstützte Schultypen</t>
  </si>
  <si>
    <t>Klassen-Assistenz</t>
  </si>
  <si>
    <t>DaZ, FaZ</t>
  </si>
  <si>
    <t>Kompensation 13. ML</t>
  </si>
  <si>
    <t>in Folge Pensionierung</t>
  </si>
  <si>
    <t>Excel / Sonstiges</t>
  </si>
  <si>
    <t>Rahmenvertrag</t>
  </si>
  <si>
    <t>Elternurlaub</t>
  </si>
  <si>
    <t>Ja/Nein</t>
  </si>
  <si>
    <t>Basisbezüge und Lohnrunde</t>
  </si>
  <si>
    <t>Stellv. infolge von:</t>
  </si>
  <si>
    <t>Daten Anstellung</t>
  </si>
  <si>
    <t>17+18</t>
  </si>
  <si>
    <t>19+20</t>
  </si>
  <si>
    <t>21+22</t>
  </si>
  <si>
    <t>23+24</t>
  </si>
  <si>
    <t>25+26</t>
  </si>
  <si>
    <t>LB-Zuteilung</t>
  </si>
  <si>
    <t>Von</t>
  </si>
  <si>
    <t>Externe Stellvertretungsmeldung 
Kindergarten / Primarschule</t>
  </si>
  <si>
    <t>Bestehende Lohneinstufung übernehmen? (Vertragsnummer angeben)</t>
  </si>
  <si>
    <t>Organisatorische Informationen</t>
  </si>
  <si>
    <t>Vertragsänderung für alle Schulstufen</t>
  </si>
  <si>
    <t>Änderung des Beschäftigungsgrades</t>
  </si>
  <si>
    <t>Befristet bis:</t>
  </si>
  <si>
    <t>Zur Bearbeitung durch Schule</t>
  </si>
  <si>
    <t>Bearbeitet von / Datum</t>
  </si>
  <si>
    <t>Klasse</t>
  </si>
  <si>
    <t>Unterrichtsart 2</t>
  </si>
  <si>
    <t>Vorschulheilpädagogik (VHP)</t>
  </si>
  <si>
    <t>HW/TW</t>
  </si>
  <si>
    <t>ISF (SHP)</t>
  </si>
  <si>
    <t>Förderunterrricht</t>
  </si>
  <si>
    <t>Verlängerung / Umwandlung ab</t>
  </si>
  <si>
    <t>befristet bis</t>
  </si>
  <si>
    <t>Technisches Eintrittsdatum</t>
  </si>
  <si>
    <t>(Datum für Dienstjubiläum)</t>
  </si>
  <si>
    <t>Vertragsverlängerung / Umwandlung in eine unbefristete Anstellung</t>
  </si>
  <si>
    <t>Berufsfachschulen</t>
  </si>
  <si>
    <t>Mit Absenden des Vertragsformulars an das Dienstleistungszentrum Personal bestätigt die sendende Partei, dass die Anstellungsbehörde und HR-Beratung die Inhalte zur Kenntnis genommen haben und mit diesen einverstanden sind. Das Formular hat nur Gültigkeit, wenn der Sender eine HR-relevante Rolle im Kanton Basel Landschaft einnimmt. Ist dies nicht der Fall sind wir veranlasst, das Formular an den Absender zu retournieren.</t>
  </si>
  <si>
    <t>Beschäftigungsgrad in %</t>
  </si>
  <si>
    <t>Elekronisches Visum 1</t>
  </si>
  <si>
    <t>Elekronisches Visum 2</t>
  </si>
  <si>
    <t>(Kürzel MA und Datum)</t>
  </si>
  <si>
    <t>Pers. ID</t>
  </si>
  <si>
    <t>Vertragsnr.</t>
  </si>
  <si>
    <t>Ausbildungscode</t>
  </si>
  <si>
    <t>Anrede</t>
  </si>
  <si>
    <t>Herr</t>
  </si>
  <si>
    <t>Frau</t>
  </si>
  <si>
    <t>andere</t>
  </si>
  <si>
    <t>Planstelle</t>
  </si>
  <si>
    <t>Bemerkungen</t>
  </si>
  <si>
    <t>Zellenhöhe Dynamisch</t>
  </si>
  <si>
    <t>Kurzurlaub §48/49</t>
  </si>
  <si>
    <t>Allgemeine Angaben Stellvertretung</t>
  </si>
  <si>
    <t>TSM Anstellungen</t>
  </si>
  <si>
    <t>TSM</t>
  </si>
  <si>
    <t>Weitere Bestimmungen zum Arbeitsvertrag</t>
  </si>
  <si>
    <t>Mobilo/Presento</t>
  </si>
  <si>
    <t>Auf eine Probezeit wird verzichtet.</t>
  </si>
  <si>
    <t>Bei einer Änderung des Beschäftigungsgrads wird die Wertigkeit der Ferientage über das Zeitkonto korrigiert.</t>
  </si>
  <si>
    <t>Die Anstellung erfolgt vorbehaltlich günstig lautender Auszüge zu Strafregister und Betreibung.</t>
  </si>
  <si>
    <t>Die Anstellung erfolgt vorbehaltlich günstig lautender Strafregister- und Betreibungsauskunft sowie einer günstig ausfallenden polizeilichen Personensicherheitsprüfung.</t>
  </si>
  <si>
    <t>Die Ausübung der Funktion setzt die grundsätzliche Bereitschaft zu Samstags-, Sonntags- und Feiertagsarbeit, unregelmässigem Dienst sowie Pikettdienst voraus.</t>
  </si>
  <si>
    <t>Die Funktion setzt die uneingeschränkte Berechtigung zum Führen eines Personenwagens voraus.</t>
  </si>
  <si>
    <t>Individuelle Arbeitsvertragsbemerkungen</t>
  </si>
  <si>
    <t>Probezeit:</t>
  </si>
  <si>
    <t>Anstellungsart</t>
  </si>
  <si>
    <t>Befristungsgrund</t>
  </si>
  <si>
    <r>
      <rPr>
        <b/>
        <i/>
        <sz val="9"/>
        <rFont val="Arial"/>
        <family val="2"/>
      </rPr>
      <t>falls</t>
    </r>
    <r>
      <rPr>
        <i/>
        <sz val="9"/>
        <rFont val="Arial"/>
        <family val="2"/>
      </rPr>
      <t xml:space="preserve"> befristet: Bis wann:</t>
    </r>
  </si>
  <si>
    <t>Umgerechnet in Stundenlohn (auf Basis 100% BG)</t>
  </si>
  <si>
    <t>Grunddaten Mitarbeiter/in</t>
  </si>
  <si>
    <t>Funktionsbezeichnung</t>
  </si>
  <si>
    <t>Bearbeitet von,  Datum</t>
  </si>
  <si>
    <t>Betrag gemäss Beschäftigungsgrad</t>
  </si>
  <si>
    <t>MU aus Lohnberechnung</t>
  </si>
  <si>
    <t>MU - Eingabe</t>
  </si>
  <si>
    <t>oder</t>
  </si>
  <si>
    <t>Unterrichtendes Personal</t>
  </si>
  <si>
    <t xml:space="preserve">Anstellung </t>
  </si>
  <si>
    <t>Externe Stellvertretung</t>
  </si>
  <si>
    <t>Vertragsänderung</t>
  </si>
  <si>
    <t>Wechsel von maximal einem Lohnband innerhalb gleicher Funktionskette</t>
  </si>
  <si>
    <t>Änderung gültig ab</t>
  </si>
  <si>
    <t>Bisherige Modellumschreibung:</t>
  </si>
  <si>
    <t>Neue Modellumschreibung:</t>
  </si>
  <si>
    <t>Bisheriger Lohn bei 100%-BG:</t>
  </si>
  <si>
    <t>CHF</t>
  </si>
  <si>
    <t>Entspricht:</t>
  </si>
  <si>
    <t>Erfahrungswert (abgerundet):</t>
  </si>
  <si>
    <t>Erfahrungswert (aufgerundet):</t>
  </si>
  <si>
    <t>Neuer Lohn bei 100% BG</t>
  </si>
  <si>
    <t>Neues Lohnband</t>
  </si>
  <si>
    <t>Erhöhung:</t>
  </si>
  <si>
    <t>Funktionswechsel in eine anspruchsvollere Funktion
 mit besserem Lohnband</t>
  </si>
  <si>
    <t>Erfahrungswert:</t>
  </si>
  <si>
    <t>Grundlage: Richtlinien des Personalamtes zur Lohnbestimmung vom 1.1.2021</t>
  </si>
  <si>
    <t>Grundsätzlich erfolgt bei einem Funktionswechsel die Berechnung des Erfahrungswertes, inklusive die Neubewertung der Erfahrungen, wie bei einer Neuanstellung. In bestimmten Fällen ist eine Vereinfachung der Anfangslohnberechnung möglich. Die untenstehenden Berechnungshilfen können gemäss der Richtlinien des Pesonalamtes zur Lohnbestimmung in den spezifizierten Fällen angewendet werden.</t>
  </si>
  <si>
    <t>Erklärung:</t>
  </si>
  <si>
    <t>Bei einem Wechsel in eine anspruchsvollere Funktion mit besserem Lohnband kann die Lohnbestimmung  im neuen Lohnband so gewählt werden, dass sie zwei Erfahrungswerte über dem bisherigen Lohn liegt. Diese Berechnung ist im Einstufungsprotokoll (Lohnberechnungsformular, Bemerkungsfeld) so auszuweisen.</t>
  </si>
  <si>
    <t>Umsetztabelle</t>
  </si>
  <si>
    <t>EW +1</t>
  </si>
  <si>
    <t>Funktionswechsel bei gleicher Ausbildungsanforderung</t>
  </si>
  <si>
    <t>Neue 
Modellumschreibung:</t>
  </si>
  <si>
    <t>Verlangt die bisherige und die neu zutreffende Modellumschreibung die gleiche Ausbildungsvoraussetzung, dann kann der Anfangslohn vereinfacht mit der Anrechnung der allfälligen Differenz der beiden Erfahrungsvoraussetzungen (A2-Werte) mit dem ausgehend vom aktuellen Lohn ermittelten, nächst höheren Erfahrungswert festgelegt werden.
Liegt der bisherige Lohn genau auf der Referenzkurve des bisherigen Lohnbands, so erfolgt keine Rundung beim Erfahrungswert.</t>
  </si>
  <si>
    <t>Bisheriger Lohn bei 100% BG:</t>
  </si>
  <si>
    <t>A2-Korrektur</t>
  </si>
  <si>
    <t>für c (+2)</t>
  </si>
  <si>
    <t>Zurück zu Grunddaten</t>
  </si>
  <si>
    <t>Bewilligung*</t>
  </si>
  <si>
    <t>*optional</t>
  </si>
  <si>
    <t>Manuelle MU-Eingabe</t>
  </si>
  <si>
    <t>Alle Schulstufen</t>
  </si>
  <si>
    <t>Anstellungsformular Musikschule</t>
  </si>
  <si>
    <t>Fach:</t>
  </si>
  <si>
    <t>Zellen für dynamische Zeilenhöhe</t>
  </si>
  <si>
    <t>Externe Stellvertretungsmeldung Musikschule</t>
  </si>
  <si>
    <t>Anstellung als</t>
  </si>
  <si>
    <t>Heilpädagogin / - pädagoge (MU 405B.10)</t>
  </si>
  <si>
    <t>Vorschulheilpädagogin / - pädagoge (MU 401B.12)</t>
  </si>
  <si>
    <t>Lehrperson (MU 407.S1)</t>
  </si>
  <si>
    <t>Logopädin / - päde (MU 414A.13)</t>
  </si>
  <si>
    <t>Anstellungsformular Berufsfachschule</t>
  </si>
  <si>
    <t>Berufsfachschule</t>
  </si>
  <si>
    <t>Fach</t>
  </si>
  <si>
    <t>Anzahl Pflichtlektionen</t>
  </si>
  <si>
    <t>Andere Änderung (Beschreibung oder Beilage)</t>
  </si>
  <si>
    <t>Druckeinstellungen Mac</t>
  </si>
  <si>
    <t xml:space="preserve">Im Druckdialog sollte unten rechts der Haken bei 'An Seite anpassen' gesetzt sein. </t>
  </si>
  <si>
    <r>
      <t xml:space="preserve">Folgende Einstellung ist korrekt: </t>
    </r>
    <r>
      <rPr>
        <b/>
        <sz val="10"/>
        <rFont val="MS Sans Serif"/>
      </rPr>
      <t>1</t>
    </r>
    <r>
      <rPr>
        <sz val="10"/>
        <rFont val="MS Sans Serif"/>
      </rPr>
      <t xml:space="preserve"> Seiten breit und </t>
    </r>
    <r>
      <rPr>
        <b/>
        <sz val="10"/>
        <rFont val="MS Sans Serif"/>
      </rPr>
      <t>0</t>
    </r>
    <r>
      <rPr>
        <sz val="10"/>
        <rFont val="MS Sans Serif"/>
      </rPr>
      <t xml:space="preserve"> Seiten hoch.</t>
    </r>
  </si>
  <si>
    <t>Im Druckdialog ist zuunterst die Einstellung 'Alle Spalten auf einer Seite darstellen' zu setzen.</t>
  </si>
  <si>
    <t xml:space="preserve"> (Falls die Voreinstellung nicht mehr korrekt sein sollte.)</t>
  </si>
  <si>
    <t>Druckeinstellungen Windows (Excel Version ab 2013, frühere siehe weiter unten)</t>
  </si>
  <si>
    <t>Frühere Versionen von Excel</t>
  </si>
  <si>
    <t>Bei älteren Versionen von Excel sollte im Druckdialog die Möglichkeit bestehen die Seite einzurichten.</t>
  </si>
  <si>
    <t>Hier ist unter 'Skalierung' unter dem Punkt 'Anpassen' 1 für die Seitenbreite und '' für die Seitenhöhe zu wählen.</t>
  </si>
  <si>
    <t>Druckeinstellungen</t>
  </si>
  <si>
    <t>Support</t>
  </si>
  <si>
    <t>Beschäftigungsgrad</t>
  </si>
  <si>
    <t>Monatslohn 100% (Lohnart 0100)</t>
  </si>
  <si>
    <t>Monatslohn BG (Lohnart 1017)</t>
  </si>
  <si>
    <t>Stundenlohn (Lohnart 1018)</t>
  </si>
  <si>
    <t>Verwaltung</t>
  </si>
  <si>
    <t>Lehrpersonen</t>
  </si>
  <si>
    <t>Bemerkungen zum Arbeitsvertrag</t>
  </si>
  <si>
    <t>Im Fall eines Funktionswechsels, bei dem die neue Funktion derselben Funktionskette zugeordnet ist und nur ein Wechsel in das nächste Lohnband vorliegt, wird der dem aktuellen Lohn nächst höhere Erfahrungswert in das neue Lohnband übertragen.
Liegt der bisherige Lohn genau auf der Referenzkurve des bisherigen Lohnbands, so erfolgt keine Rundung beim Erfahrungswert.</t>
  </si>
  <si>
    <t>Lohnrechner</t>
  </si>
  <si>
    <t>StvInFolgeVon</t>
  </si>
  <si>
    <t>Ausbildungstext</t>
  </si>
  <si>
    <t>&gt; Kopie Diplom(e), Patent(e), Unterrichtsbefähigung(en), Unterrichtsberechtigung(en)</t>
  </si>
  <si>
    <t>&gt; bei ausländischen Diplomen: Kopie Diplomanerkennung</t>
  </si>
  <si>
    <t xml:space="preserve">&gt; chronologischer Lebenslauf (vollständige und auf Monate genaue Angaben)
</t>
  </si>
  <si>
    <t>&gt; Arbeitszeugnisse</t>
  </si>
  <si>
    <t>Anstellung ab</t>
  </si>
  <si>
    <t>Schulstufe &amp; Schulort</t>
  </si>
  <si>
    <t>Schulleitung</t>
  </si>
  <si>
    <t>Konrektorat</t>
  </si>
  <si>
    <t>Rektorat</t>
  </si>
  <si>
    <t>VP Funktionen Schule</t>
  </si>
  <si>
    <t>Zusätzlicher Vertrag</t>
  </si>
  <si>
    <t>LK</t>
  </si>
  <si>
    <t>M711.08a</t>
  </si>
  <si>
    <t>M711.10a</t>
  </si>
  <si>
    <t>Konrektorat Primarstufe</t>
  </si>
  <si>
    <t>M711.10b</t>
  </si>
  <si>
    <t>Schulleitung Primarstufe</t>
  </si>
  <si>
    <t>M407F.S1</t>
  </si>
  <si>
    <t>Lehrperson Sek I (Lehrdipl. Sek II - 2 Fächer)</t>
  </si>
  <si>
    <t>M407G.S1</t>
  </si>
  <si>
    <t>Lehrperson Sek I (Lehrdipl. Sek II - 1 Fach)</t>
  </si>
  <si>
    <t>M407H.S1</t>
  </si>
  <si>
    <t>Lehrperson Sek I (in Ausb. - m. Abschluss BA)</t>
  </si>
  <si>
    <t>M407I.S1</t>
  </si>
  <si>
    <t>Lehrperson Sek I (k. Lehrdiplom)</t>
  </si>
  <si>
    <t>Anstellung Verwaltungspersonal an Schulen</t>
  </si>
  <si>
    <t>Anstellungsart Verwaltungspersonal</t>
  </si>
  <si>
    <t>Auswahl Funktion</t>
  </si>
  <si>
    <t>Vertragsänderung Verwaltungspersonal an Schulen</t>
  </si>
  <si>
    <t>Zusätzlicher Vertrag Verwaltungspersonal an Schulen</t>
  </si>
  <si>
    <t>Betrag (100%) in CHF</t>
  </si>
  <si>
    <t>Manuelle Übersteuerung</t>
  </si>
  <si>
    <t>Berechnete Werte</t>
  </si>
  <si>
    <t>Verwendete Werte</t>
  </si>
  <si>
    <t>+A1-Differenz</t>
  </si>
  <si>
    <t>./. A1-Differenz</t>
  </si>
  <si>
    <t>Andere Änderungen / allfällige Kostenverteilungen / Bemerkungen</t>
  </si>
  <si>
    <t xml:space="preserve"> auf eine neue Probezeit wird verzichtet</t>
  </si>
  <si>
    <t xml:space="preserve"> neu unbefristet</t>
  </si>
  <si>
    <t>Neuer Studienabschluss (gemäss beil. Diplom)</t>
  </si>
  <si>
    <t>Anderes, Begründung:</t>
  </si>
  <si>
    <t>Berufskundlicher Unterricht</t>
  </si>
  <si>
    <t>Allgemeinbildender Unterricht</t>
  </si>
  <si>
    <t>Sportunterricht</t>
  </si>
  <si>
    <t>Berufsmatur Unterricht</t>
  </si>
  <si>
    <t>Unterricht hf ict</t>
  </si>
  <si>
    <t>HW / TW (RU)</t>
  </si>
  <si>
    <t>408C.11</t>
  </si>
  <si>
    <t>M408C.11</t>
  </si>
  <si>
    <t>Lehrperson Sek II Individual- und Gruppenunterricht</t>
  </si>
  <si>
    <t>Musik und Bewegung</t>
  </si>
  <si>
    <t>Musik und Bewegung (RU)</t>
  </si>
  <si>
    <t>Bearbeitet durch Schule / Datum</t>
  </si>
  <si>
    <t>Schulstufe + 
Schulort</t>
  </si>
  <si>
    <t>Klassenassistenz</t>
  </si>
  <si>
    <t>Sozialpädagogin/-pädagoge</t>
  </si>
  <si>
    <t>befristet (Monatslohn)</t>
  </si>
  <si>
    <t>unbefristet (Monatslohn)</t>
  </si>
  <si>
    <t>Stundenlohn</t>
  </si>
  <si>
    <t>Verwaltungspersonal an Schulen
 (Sozialpäd., Assistenz, Schulleitung, etc.)</t>
  </si>
  <si>
    <t>auf eine neue Probezeit wird verzichtet</t>
  </si>
  <si>
    <t>Pensum</t>
  </si>
  <si>
    <t>bisher</t>
  </si>
  <si>
    <t>Alter</t>
  </si>
  <si>
    <t>Arbeitsdauer von</t>
  </si>
  <si>
    <t>Beginn</t>
  </si>
  <si>
    <t>Ende</t>
  </si>
  <si>
    <t>Ferientage</t>
  </si>
  <si>
    <t>Stundenansatz pro Woche</t>
  </si>
  <si>
    <t>Stundenansatz pro Tag</t>
  </si>
  <si>
    <t>Pensenberechnung Sozialpädagogik/Assistenz</t>
  </si>
  <si>
    <t>Pensum Sozialpädagogik &amp; Klassenassistenz*:</t>
  </si>
  <si>
    <t>*Pensenberechnung gemäss Tabellenblatt Pensenberechnung</t>
  </si>
  <si>
    <t>1. Ferientag</t>
  </si>
  <si>
    <t>1. Arbeitstag</t>
  </si>
  <si>
    <t>Anzahl Tage Schulferien nach Beginn</t>
  </si>
  <si>
    <t>Anzahl Tage Schulferien nach Ende</t>
  </si>
  <si>
    <t>Anzahl anzurechnende Tage Schulferien</t>
  </si>
  <si>
    <t xml:space="preserve">Umrechnungsfaktor </t>
  </si>
  <si>
    <t>Stundenansatz pro Tag ungerundet</t>
  </si>
  <si>
    <t>gerundet</t>
  </si>
  <si>
    <t>21 / 22</t>
  </si>
  <si>
    <t>Schuljahr</t>
  </si>
  <si>
    <t>22 / 23</t>
  </si>
  <si>
    <t>23 / 24</t>
  </si>
  <si>
    <t>24 / 25</t>
  </si>
  <si>
    <t>25 / 26</t>
  </si>
  <si>
    <t>26 / 27</t>
  </si>
  <si>
    <t>Arbeitstage ohne Schulferien</t>
  </si>
  <si>
    <t>Anstellungstage</t>
  </si>
  <si>
    <t>Schulferientage während Arbeitsdauer</t>
  </si>
  <si>
    <t>Anstellungstage abzgl. Ferienanspruch</t>
  </si>
  <si>
    <t>Arbeitsstunden pro Woche</t>
  </si>
  <si>
    <t>Berechnung</t>
  </si>
  <si>
    <t>Pensum in %</t>
  </si>
  <si>
    <t>Pensum in % bisher</t>
  </si>
  <si>
    <t>Pensum in % neu</t>
  </si>
  <si>
    <t>Pensenberechnung</t>
  </si>
  <si>
    <t>Anzahl Stunden Sozialpädagogik &amp; Klassenassistenz:</t>
  </si>
  <si>
    <t>(Innenauftrag / Kostenstelle)</t>
  </si>
  <si>
    <t>Anderes</t>
  </si>
  <si>
    <t>ab (Datum):</t>
  </si>
  <si>
    <t>*Grundlage: §15 der Verordnung über die Schulvergütung / SGS 156.11</t>
  </si>
  <si>
    <t>Stellvertretung</t>
  </si>
  <si>
    <t>Zurück zu VP Anstellung</t>
  </si>
  <si>
    <t>Zurück zu VP Zusätzlicher Vertrag</t>
  </si>
  <si>
    <t>aus Berechnung</t>
  </si>
  <si>
    <t>manuell</t>
  </si>
  <si>
    <r>
      <rPr>
        <b/>
        <sz val="10"/>
        <rFont val="MS Sans Serif"/>
      </rPr>
      <t>Tipp</t>
    </r>
    <r>
      <rPr>
        <sz val="10"/>
        <rFont val="MS Sans Serif"/>
      </rPr>
      <t>: Verwenden Sie die 'Tabulator'-Taste um in das nächste Feld zu springen</t>
    </r>
  </si>
  <si>
    <t>&lt; 49</t>
  </si>
  <si>
    <t>&gt; 59</t>
  </si>
  <si>
    <t>49 - 59</t>
  </si>
  <si>
    <t>Alter für Ferienanspruch</t>
  </si>
  <si>
    <t>Anspruch Ferientage gemäss Alter zu Beginn Kalenderjahr</t>
  </si>
  <si>
    <t xml:space="preserve">Anzahl Stunden </t>
  </si>
  <si>
    <t>Zurück zu VP Vertragsänderung</t>
  </si>
  <si>
    <t>Zum hinterlegten Ferienplan</t>
  </si>
  <si>
    <t>Zurück zur Pensenberechnung</t>
  </si>
  <si>
    <t>Für eine ideale Ansicht und einen idealen Druck bitte die Anzeige auf 100% einstellen</t>
  </si>
  <si>
    <t>E-Mail*</t>
  </si>
  <si>
    <t>Mobiltelefon*</t>
  </si>
  <si>
    <t>INSO-Assistenz Innenauftrag 402578</t>
  </si>
  <si>
    <t>Total Tage Schulferien während Arbeitsdauer</t>
  </si>
  <si>
    <r>
      <t xml:space="preserve">*diese Angaben sind für die Anstellung von neuen Schulleitungsmitgliedern </t>
    </r>
    <r>
      <rPr>
        <b/>
        <sz val="8"/>
        <rFont val="Arial"/>
        <family val="2"/>
      </rPr>
      <t>zwingend</t>
    </r>
    <r>
      <rPr>
        <sz val="8"/>
        <rFont val="Arial"/>
        <family val="2"/>
      </rPr>
      <t>!</t>
    </r>
  </si>
  <si>
    <r>
      <t xml:space="preserve">*diese Angaben sind für die Anstellung von neuen Schulleitungsmitgliedern </t>
    </r>
    <r>
      <rPr>
        <b/>
        <sz val="8"/>
        <rFont val="Arial"/>
        <family val="2"/>
      </rPr>
      <t>zwingend!</t>
    </r>
  </si>
  <si>
    <t>Andere Kostenverteilung:</t>
  </si>
  <si>
    <t>Änderung des Beschäftigungsgrades bei Sozpäd. / Assistenz am Kindergarten / Primarstufe</t>
  </si>
  <si>
    <t>geplante Wochenstunden (während Unterrichtszeit)</t>
  </si>
  <si>
    <t>oder       Manuelle MU-Eingabe</t>
  </si>
  <si>
    <t>Manuelle MU - Eingabe</t>
  </si>
  <si>
    <t>oder     Manuelle MU-Eingabe</t>
  </si>
  <si>
    <t>Anspruch Ferientage Kalenderjahr</t>
  </si>
  <si>
    <t>davon während Anstellungszeitraum</t>
  </si>
  <si>
    <t>Ferientage Wochenende</t>
  </si>
  <si>
    <t>Total Tage in Anstellungszeitraum</t>
  </si>
  <si>
    <t>Anstellungstage ohne Schulferien</t>
  </si>
  <si>
    <t>Stunden volles Pensum</t>
  </si>
  <si>
    <t>Ferientage Jahr</t>
  </si>
  <si>
    <t>Ferientage effektiv</t>
  </si>
  <si>
    <t>Anstellungstage abzgl. Ferientage</t>
  </si>
  <si>
    <t>Anstellungen Sozialpädagogik / Klassenassistenz</t>
  </si>
  <si>
    <t>Diese Angaben betreffen nur Kindergarten und Primarstufe:</t>
  </si>
  <si>
    <t>Bitte zuerst die Pensenberechnung durchführen. Die berechneten Werte werden automatisch übernommen.</t>
  </si>
  <si>
    <r>
      <t xml:space="preserve">Bei </t>
    </r>
    <r>
      <rPr>
        <b/>
        <sz val="9"/>
        <rFont val="Arial"/>
        <family val="2"/>
      </rPr>
      <t>Sozpäd./ Assistenz</t>
    </r>
    <r>
      <rPr>
        <sz val="9"/>
        <rFont val="Arial"/>
        <family val="2"/>
      </rPr>
      <t xml:space="preserve"> (Anstellung befristet/unbefristet </t>
    </r>
    <r>
      <rPr>
        <b/>
        <sz val="9"/>
        <rFont val="Arial"/>
        <family val="2"/>
      </rPr>
      <t>im Monatslohn</t>
    </r>
    <r>
      <rPr>
        <sz val="9"/>
        <rFont val="Arial"/>
        <family val="2"/>
      </rPr>
      <t>) bitte zuerst die Pensenberechnung durchführen. Die Anzahl Stunden werden automatisch in die untenstehenden (grauen) Felder eingefügt . 
Bei Verträgen im Stundenlohn ist keine Pensenberechnung nötig.</t>
    </r>
  </si>
  <si>
    <t>Hilfsmittel Abteilung Personal</t>
  </si>
  <si>
    <t>Pflichtlektionen</t>
  </si>
  <si>
    <t>15.75 - hf ict</t>
  </si>
  <si>
    <t>AnstellungsartBF</t>
  </si>
  <si>
    <t>WB-Kursleitung</t>
  </si>
  <si>
    <t>Abteilungsleitung</t>
  </si>
  <si>
    <t>(Name, Vorname)</t>
  </si>
  <si>
    <t>Zur Bearbeitung durch Abteilung Personal</t>
  </si>
  <si>
    <t>22.00 - Berufsmaturität (BH)</t>
  </si>
  <si>
    <t>23.00 - WB-Kursleitung</t>
  </si>
  <si>
    <t>24.00 - BKU / ABU</t>
  </si>
  <si>
    <t>26.00 - Sport</t>
  </si>
  <si>
    <t>21.00 - hf ict</t>
  </si>
  <si>
    <t>Angegebener Lohn zuzüglich Lohnerhöhung gemäss individueller Lohnentwicklung per 01.01.2023</t>
  </si>
  <si>
    <t>Angegebener Lohn zuzüglich Lohnerhöhung gemäss individueller Lohnentwicklung per 01.01.2023 und allfälliger Teuerung</t>
  </si>
  <si>
    <t>iinaktiv</t>
  </si>
  <si>
    <t>Schulische Heilpädagogik Primarstufe</t>
  </si>
  <si>
    <t>Schulische Heilpädagogik Sekundarstufe I</t>
  </si>
  <si>
    <t>401B.12</t>
  </si>
  <si>
    <t>ab 01.08.2023</t>
  </si>
  <si>
    <t>405A.11</t>
  </si>
  <si>
    <t>Logopädie für den Vorschul- und Schulbereich</t>
  </si>
  <si>
    <t>M341.15c</t>
  </si>
  <si>
    <t>ab 01.01.2024</t>
  </si>
  <si>
    <t>Sozialpädagogik im Schulbereich</t>
  </si>
  <si>
    <t>405B.10</t>
  </si>
  <si>
    <t>M405B.10</t>
  </si>
  <si>
    <t>M415.15</t>
  </si>
  <si>
    <t>Sozialpädagogik für den Vorschul- und Schulbereich</t>
  </si>
  <si>
    <t>Version</t>
  </si>
  <si>
    <t>Jahr</t>
  </si>
  <si>
    <t>MU-Code</t>
  </si>
  <si>
    <t>101</t>
  </si>
  <si>
    <t>102</t>
  </si>
  <si>
    <t>102.13a</t>
  </si>
  <si>
    <t>102.13b</t>
  </si>
  <si>
    <t>102.14a</t>
  </si>
  <si>
    <t>102.14b</t>
  </si>
  <si>
    <t>102.15a</t>
  </si>
  <si>
    <t>102.15b</t>
  </si>
  <si>
    <t>102.16a</t>
  </si>
  <si>
    <t>102.16b</t>
  </si>
  <si>
    <t>102.17a</t>
  </si>
  <si>
    <t>102.17b</t>
  </si>
  <si>
    <t>102.18a</t>
  </si>
  <si>
    <t>102.18b</t>
  </si>
  <si>
    <t>102.19a</t>
  </si>
  <si>
    <t>102.19b</t>
  </si>
  <si>
    <t>103</t>
  </si>
  <si>
    <t>103.07a</t>
  </si>
  <si>
    <t>103.07b</t>
  </si>
  <si>
    <t>103.08a</t>
  </si>
  <si>
    <t>103.08b</t>
  </si>
  <si>
    <t>103.08c</t>
  </si>
  <si>
    <t>103.09a</t>
  </si>
  <si>
    <t>103.09b</t>
  </si>
  <si>
    <t>103.09c</t>
  </si>
  <si>
    <t>103.10a</t>
  </si>
  <si>
    <t>103.10b</t>
  </si>
  <si>
    <t>103.10c</t>
  </si>
  <si>
    <t>103.11a</t>
  </si>
  <si>
    <t>103.11b</t>
  </si>
  <si>
    <t>103.11c</t>
  </si>
  <si>
    <t>103.12a</t>
  </si>
  <si>
    <t>103.12b</t>
  </si>
  <si>
    <t>103.12c</t>
  </si>
  <si>
    <t>103.13a</t>
  </si>
  <si>
    <t>103.13b</t>
  </si>
  <si>
    <t>103.14a</t>
  </si>
  <si>
    <t>103.14b</t>
  </si>
  <si>
    <t>711.09b</t>
  </si>
  <si>
    <t>711b</t>
  </si>
  <si>
    <t>Konrektorat Sekundarstufe I</t>
  </si>
  <si>
    <t>11.09b</t>
  </si>
  <si>
    <t>111</t>
  </si>
  <si>
    <t>201</t>
  </si>
  <si>
    <t>202</t>
  </si>
  <si>
    <t>202 a/b/c</t>
  </si>
  <si>
    <t>202.13a</t>
  </si>
  <si>
    <t>202.13b</t>
  </si>
  <si>
    <t>202.13c</t>
  </si>
  <si>
    <t>202.14a</t>
  </si>
  <si>
    <t>202.14b</t>
  </si>
  <si>
    <t>202.14c</t>
  </si>
  <si>
    <t>202.14d</t>
  </si>
  <si>
    <t>202.15a</t>
  </si>
  <si>
    <t>202.15b</t>
  </si>
  <si>
    <t>202.15c</t>
  </si>
  <si>
    <t>202.15d</t>
  </si>
  <si>
    <t>202.16a</t>
  </si>
  <si>
    <t>202.16b</t>
  </si>
  <si>
    <t>202.16c</t>
  </si>
  <si>
    <t>202.16d</t>
  </si>
  <si>
    <t>202.17a</t>
  </si>
  <si>
    <t>202.17b</t>
  </si>
  <si>
    <t>202.17c</t>
  </si>
  <si>
    <t>202.18a</t>
  </si>
  <si>
    <t>202.18b</t>
  </si>
  <si>
    <t>202.18c</t>
  </si>
  <si>
    <t>202.19a</t>
  </si>
  <si>
    <t>202.19b</t>
  </si>
  <si>
    <t>202.19c</t>
  </si>
  <si>
    <t>202.20a</t>
  </si>
  <si>
    <t>202.20c</t>
  </si>
  <si>
    <t>203</t>
  </si>
  <si>
    <t>203.07a</t>
  </si>
  <si>
    <t>203.07b</t>
  </si>
  <si>
    <t>203.08a</t>
  </si>
  <si>
    <t>203.08b</t>
  </si>
  <si>
    <t>203.09a</t>
  </si>
  <si>
    <t>203.09b</t>
  </si>
  <si>
    <t>203.10a</t>
  </si>
  <si>
    <t>203.10b</t>
  </si>
  <si>
    <t>203.11a</t>
  </si>
  <si>
    <t>203.11b</t>
  </si>
  <si>
    <t>203.13a</t>
  </si>
  <si>
    <t>203.13b</t>
  </si>
  <si>
    <t>203.14a</t>
  </si>
  <si>
    <t>203.14b</t>
  </si>
  <si>
    <t>211</t>
  </si>
  <si>
    <t>301</t>
  </si>
  <si>
    <t>302</t>
  </si>
  <si>
    <t>303</t>
  </si>
  <si>
    <t>303.15a</t>
  </si>
  <si>
    <t>303.15b</t>
  </si>
  <si>
    <t>303.16a</t>
  </si>
  <si>
    <t>303.16b</t>
  </si>
  <si>
    <t>303.16c</t>
  </si>
  <si>
    <t>303.17a</t>
  </si>
  <si>
    <t>304</t>
  </si>
  <si>
    <t>305</t>
  </si>
  <si>
    <t>311</t>
  </si>
  <si>
    <t>312</t>
  </si>
  <si>
    <t>313</t>
  </si>
  <si>
    <t>313.17a</t>
  </si>
  <si>
    <t>313.17b</t>
  </si>
  <si>
    <t>314</t>
  </si>
  <si>
    <t>321</t>
  </si>
  <si>
    <t>322</t>
  </si>
  <si>
    <t>323</t>
  </si>
  <si>
    <t>323.15a</t>
  </si>
  <si>
    <t>323.15b</t>
  </si>
  <si>
    <t>324</t>
  </si>
  <si>
    <t>331</t>
  </si>
  <si>
    <t>332</t>
  </si>
  <si>
    <t>341</t>
  </si>
  <si>
    <t>341.15a</t>
  </si>
  <si>
    <t>341.15b</t>
  </si>
  <si>
    <t>341c</t>
  </si>
  <si>
    <t>341.15c</t>
  </si>
  <si>
    <t>342</t>
  </si>
  <si>
    <t>342.15</t>
  </si>
  <si>
    <t>342.16</t>
  </si>
  <si>
    <t>401</t>
  </si>
  <si>
    <t>401A.14</t>
  </si>
  <si>
    <t>401C.14</t>
  </si>
  <si>
    <t>401S.11</t>
  </si>
  <si>
    <t>401S.12</t>
  </si>
  <si>
    <t>401T.11</t>
  </si>
  <si>
    <t>401T.12</t>
  </si>
  <si>
    <t>M402.13</t>
  </si>
  <si>
    <t>Lehrperson Primarstufe (1. - 8. SJ)</t>
  </si>
  <si>
    <t>402.13</t>
  </si>
  <si>
    <t>402.PS</t>
  </si>
  <si>
    <t>402</t>
  </si>
  <si>
    <t>402A.13</t>
  </si>
  <si>
    <t>402A.PS</t>
  </si>
  <si>
    <t>402B.14</t>
  </si>
  <si>
    <t>402B.PS</t>
  </si>
  <si>
    <t>402C.13</t>
  </si>
  <si>
    <t>402C.PS</t>
  </si>
  <si>
    <t>402D.13</t>
  </si>
  <si>
    <t>402D.PS</t>
  </si>
  <si>
    <t>402E.14</t>
  </si>
  <si>
    <t>402E.PS</t>
  </si>
  <si>
    <t>402F.14</t>
  </si>
  <si>
    <t>402F.PS</t>
  </si>
  <si>
    <t>402G.PS</t>
  </si>
  <si>
    <t>402S.10</t>
  </si>
  <si>
    <t>402S.11</t>
  </si>
  <si>
    <t>402T.10</t>
  </si>
  <si>
    <t>402T.11</t>
  </si>
  <si>
    <t>403</t>
  </si>
  <si>
    <t>403A.12</t>
  </si>
  <si>
    <t>403B.13</t>
  </si>
  <si>
    <t>403C.12</t>
  </si>
  <si>
    <t>403C.13</t>
  </si>
  <si>
    <t>403D.13</t>
  </si>
  <si>
    <t>403E.14</t>
  </si>
  <si>
    <t>403E.15</t>
  </si>
  <si>
    <t>403F.16</t>
  </si>
  <si>
    <t>403G.14</t>
  </si>
  <si>
    <t>403G.16</t>
  </si>
  <si>
    <t>403H.13</t>
  </si>
  <si>
    <t>403H.14</t>
  </si>
  <si>
    <t>403S.09</t>
  </si>
  <si>
    <t>403T.09</t>
  </si>
  <si>
    <t>404</t>
  </si>
  <si>
    <t>404A.11</t>
  </si>
  <si>
    <t>404B.12</t>
  </si>
  <si>
    <t>404B.13</t>
  </si>
  <si>
    <t>404C.12</t>
  </si>
  <si>
    <t>404D.11</t>
  </si>
  <si>
    <t>404D.12</t>
  </si>
  <si>
    <t>404D.13</t>
  </si>
  <si>
    <t>404E.13</t>
  </si>
  <si>
    <t>404F.14</t>
  </si>
  <si>
    <t>404F.15</t>
  </si>
  <si>
    <t>404G.16</t>
  </si>
  <si>
    <t>404H.14</t>
  </si>
  <si>
    <t>404H.16</t>
  </si>
  <si>
    <t>405</t>
  </si>
  <si>
    <t>405B.11</t>
  </si>
  <si>
    <t>405B.12</t>
  </si>
  <si>
    <t>405C.12</t>
  </si>
  <si>
    <t>405C.13</t>
  </si>
  <si>
    <t>405D.11</t>
  </si>
  <si>
    <t>405D.12</t>
  </si>
  <si>
    <t>405E.12</t>
  </si>
  <si>
    <t>406</t>
  </si>
  <si>
    <t>406A.10</t>
  </si>
  <si>
    <t>406B.13</t>
  </si>
  <si>
    <t>406B.14</t>
  </si>
  <si>
    <t>406C.11</t>
  </si>
  <si>
    <t>406C.12</t>
  </si>
  <si>
    <t>406D.13</t>
  </si>
  <si>
    <t>406E.11</t>
  </si>
  <si>
    <t>406F.11</t>
  </si>
  <si>
    <t>406F.12</t>
  </si>
  <si>
    <t>406F.13</t>
  </si>
  <si>
    <t>406G.11</t>
  </si>
  <si>
    <t>406G.12</t>
  </si>
  <si>
    <t>406H.14</t>
  </si>
  <si>
    <t>406H.15</t>
  </si>
  <si>
    <t>M407.10</t>
  </si>
  <si>
    <t>Lehrperson Sek. I (9. - 11. SJ)</t>
  </si>
  <si>
    <t>407.10</t>
  </si>
  <si>
    <t>Schulzozialarbeit Sek. I</t>
  </si>
  <si>
    <t>407.14b</t>
  </si>
  <si>
    <t>407.S1</t>
  </si>
  <si>
    <t>407</t>
  </si>
  <si>
    <t>407A.10</t>
  </si>
  <si>
    <t>407A.11</t>
  </si>
  <si>
    <t>407A.S1</t>
  </si>
  <si>
    <t>407B.11</t>
  </si>
  <si>
    <t>407B.12</t>
  </si>
  <si>
    <t>407B.S1</t>
  </si>
  <si>
    <t>407C.12</t>
  </si>
  <si>
    <t>407C.S1</t>
  </si>
  <si>
    <t>407D.13</t>
  </si>
  <si>
    <t>407D.S1</t>
  </si>
  <si>
    <t>407E.14</t>
  </si>
  <si>
    <t>407E.16</t>
  </si>
  <si>
    <t>407E.S1</t>
  </si>
  <si>
    <t>407F.10</t>
  </si>
  <si>
    <t>407F.11</t>
  </si>
  <si>
    <t>407F.12</t>
  </si>
  <si>
    <t>407F.13</t>
  </si>
  <si>
    <t>407F.S1</t>
  </si>
  <si>
    <t>407G.13</t>
  </si>
  <si>
    <t>407G.S1</t>
  </si>
  <si>
    <t>407H.12</t>
  </si>
  <si>
    <t>407H.13</t>
  </si>
  <si>
    <t>407H.S1</t>
  </si>
  <si>
    <t>407I.14</t>
  </si>
  <si>
    <t>407I.15</t>
  </si>
  <si>
    <t>407I.S1</t>
  </si>
  <si>
    <t>407J.16</t>
  </si>
  <si>
    <t>12</t>
  </si>
  <si>
    <t>407K.12</t>
  </si>
  <si>
    <t>407K.13</t>
  </si>
  <si>
    <t>407L.10</t>
  </si>
  <si>
    <t>407L.11</t>
  </si>
  <si>
    <t>407M.11</t>
  </si>
  <si>
    <t>407M.12</t>
  </si>
  <si>
    <t>407N.12</t>
  </si>
  <si>
    <t>407N.13</t>
  </si>
  <si>
    <t>M408.09b</t>
  </si>
  <si>
    <t>Lehrperson Sek. II Gymnasium/FMS</t>
  </si>
  <si>
    <t>408.09b</t>
  </si>
  <si>
    <t>408.S2</t>
  </si>
  <si>
    <t>408</t>
  </si>
  <si>
    <t>408A.09</t>
  </si>
  <si>
    <t>408A.S2</t>
  </si>
  <si>
    <t>408B.09</t>
  </si>
  <si>
    <t>408B.10</t>
  </si>
  <si>
    <t>408B.S2</t>
  </si>
  <si>
    <t>408C.10</t>
  </si>
  <si>
    <t>408C.S2</t>
  </si>
  <si>
    <t>408D.10</t>
  </si>
  <si>
    <t>408D.S2</t>
  </si>
  <si>
    <t>408E.10</t>
  </si>
  <si>
    <t>408E.S2</t>
  </si>
  <si>
    <t>Gymnasium Instrumental</t>
  </si>
  <si>
    <t>408F.11</t>
  </si>
  <si>
    <t>408G.12</t>
  </si>
  <si>
    <t>408H.11</t>
  </si>
  <si>
    <t>408H.12</t>
  </si>
  <si>
    <t>408H.13</t>
  </si>
  <si>
    <t>408H.14</t>
  </si>
  <si>
    <t>408H.15</t>
  </si>
  <si>
    <t>408I.10</t>
  </si>
  <si>
    <t>408I.11</t>
  </si>
  <si>
    <t>408I.12</t>
  </si>
  <si>
    <t>408I.13</t>
  </si>
  <si>
    <t>408K.10</t>
  </si>
  <si>
    <t>408K.13</t>
  </si>
  <si>
    <t>408K.14</t>
  </si>
  <si>
    <t>408L.11</t>
  </si>
  <si>
    <t>408L.13</t>
  </si>
  <si>
    <t>408M.12</t>
  </si>
  <si>
    <t>408M.13</t>
  </si>
  <si>
    <t>408N.13</t>
  </si>
  <si>
    <t>408N.14</t>
  </si>
  <si>
    <t>10</t>
  </si>
  <si>
    <t>408O.10</t>
  </si>
  <si>
    <t>409</t>
  </si>
  <si>
    <t>409A.09</t>
  </si>
  <si>
    <t>409B.10</t>
  </si>
  <si>
    <t>409C.09</t>
  </si>
  <si>
    <t>409C.10</t>
  </si>
  <si>
    <t>409D.10</t>
  </si>
  <si>
    <t>409E.10</t>
  </si>
  <si>
    <t>409E.11</t>
  </si>
  <si>
    <t>409F.10</t>
  </si>
  <si>
    <t>409G.11</t>
  </si>
  <si>
    <t>409H.10</t>
  </si>
  <si>
    <t>409H.11</t>
  </si>
  <si>
    <t>409H.12</t>
  </si>
  <si>
    <t>409I.10</t>
  </si>
  <si>
    <t>409K.10</t>
  </si>
  <si>
    <t>409K.11</t>
  </si>
  <si>
    <t>409K.12</t>
  </si>
  <si>
    <t>409K.13</t>
  </si>
  <si>
    <t>409L.11</t>
  </si>
  <si>
    <t>409L.12</t>
  </si>
  <si>
    <t>409L.13</t>
  </si>
  <si>
    <t>409M.11</t>
  </si>
  <si>
    <t>M409M.12</t>
  </si>
  <si>
    <t>Berufskundliche Fächer</t>
  </si>
  <si>
    <t>409M.12</t>
  </si>
  <si>
    <t>409M.13</t>
  </si>
  <si>
    <t>409N.12</t>
  </si>
  <si>
    <t>409N.13</t>
  </si>
  <si>
    <t>409N.14</t>
  </si>
  <si>
    <t>409O.11</t>
  </si>
  <si>
    <t>409O.12</t>
  </si>
  <si>
    <t>409P.13</t>
  </si>
  <si>
    <t>409P.14</t>
  </si>
  <si>
    <t>409Q.11</t>
  </si>
  <si>
    <t>409R.10</t>
  </si>
  <si>
    <t>410A.09</t>
  </si>
  <si>
    <t>410B.09</t>
  </si>
  <si>
    <t>410B.10</t>
  </si>
  <si>
    <t>410C.09</t>
  </si>
  <si>
    <t>410D.09</t>
  </si>
  <si>
    <t>410D.10</t>
  </si>
  <si>
    <t>410E.10</t>
  </si>
  <si>
    <t>410F.10</t>
  </si>
  <si>
    <t>410F.12</t>
  </si>
  <si>
    <t>410G.13</t>
  </si>
  <si>
    <t>410H.10</t>
  </si>
  <si>
    <t>410I.11</t>
  </si>
  <si>
    <t>410J.13</t>
  </si>
  <si>
    <t>410K.13</t>
  </si>
  <si>
    <t>410L.12</t>
  </si>
  <si>
    <t>410M.11</t>
  </si>
  <si>
    <t>410N.13</t>
  </si>
  <si>
    <t>410O.12</t>
  </si>
  <si>
    <t>410O.13</t>
  </si>
  <si>
    <t>410O.14</t>
  </si>
  <si>
    <t>410O.15</t>
  </si>
  <si>
    <t>411</t>
  </si>
  <si>
    <t>411A.12</t>
  </si>
  <si>
    <t>411A.13</t>
  </si>
  <si>
    <t>411A.15</t>
  </si>
  <si>
    <t>412</t>
  </si>
  <si>
    <t>412A.10</t>
  </si>
  <si>
    <t>414B.13</t>
  </si>
  <si>
    <t>501.09</t>
  </si>
  <si>
    <t>501.10</t>
  </si>
  <si>
    <t>M501.10a</t>
  </si>
  <si>
    <t>Untersuchungsfunktion 2</t>
  </si>
  <si>
    <t>501.10a</t>
  </si>
  <si>
    <t>501.11</t>
  </si>
  <si>
    <t>501.12a</t>
  </si>
  <si>
    <t>501.12b</t>
  </si>
  <si>
    <t>501.13</t>
  </si>
  <si>
    <t>501.14</t>
  </si>
  <si>
    <t>M504.06</t>
  </si>
  <si>
    <t>Staatsanwalt/-anwältin</t>
  </si>
  <si>
    <t>504.06</t>
  </si>
  <si>
    <t>M504.07</t>
  </si>
  <si>
    <t>504.07</t>
  </si>
  <si>
    <t>504.07a</t>
  </si>
  <si>
    <t>504.07b</t>
  </si>
  <si>
    <t>M504.08</t>
  </si>
  <si>
    <t>504.08</t>
  </si>
  <si>
    <t>504.08a</t>
  </si>
  <si>
    <t>504.08c</t>
  </si>
  <si>
    <t>504.09</t>
  </si>
  <si>
    <t>505</t>
  </si>
  <si>
    <t>505.06</t>
  </si>
  <si>
    <t>505.07</t>
  </si>
  <si>
    <t>505.08</t>
  </si>
  <si>
    <t>505.09</t>
  </si>
  <si>
    <t>505.10</t>
  </si>
  <si>
    <t>505.11</t>
  </si>
  <si>
    <t>506</t>
  </si>
  <si>
    <t>506.03</t>
  </si>
  <si>
    <t>506.04</t>
  </si>
  <si>
    <t>601</t>
  </si>
  <si>
    <t>601.19</t>
  </si>
  <si>
    <t>602</t>
  </si>
  <si>
    <t>602.14</t>
  </si>
  <si>
    <t>602.15</t>
  </si>
  <si>
    <t>602.16</t>
  </si>
  <si>
    <t>602.17a</t>
  </si>
  <si>
    <t>602.17b</t>
  </si>
  <si>
    <t>602.18a</t>
  </si>
  <si>
    <t>602.18b</t>
  </si>
  <si>
    <t>603</t>
  </si>
  <si>
    <t>603.11</t>
  </si>
  <si>
    <t>603.12</t>
  </si>
  <si>
    <t>603.13</t>
  </si>
  <si>
    <t>711</t>
  </si>
  <si>
    <t>711.07</t>
  </si>
  <si>
    <t>711.08</t>
  </si>
  <si>
    <t>711.08a</t>
  </si>
  <si>
    <t>711.09</t>
  </si>
  <si>
    <t>M711.09a</t>
  </si>
  <si>
    <t>711a</t>
  </si>
  <si>
    <t>Schulleitung Sekundarstufe I</t>
  </si>
  <si>
    <t>711.09a</t>
  </si>
  <si>
    <t>M711.09b</t>
  </si>
  <si>
    <t>711.10</t>
  </si>
  <si>
    <t>711.10a</t>
  </si>
  <si>
    <t>711.10b</t>
  </si>
  <si>
    <t>711.11</t>
  </si>
  <si>
    <t>711.12</t>
  </si>
  <si>
    <t>712</t>
  </si>
  <si>
    <t>712.01</t>
  </si>
  <si>
    <t>712.02</t>
  </si>
  <si>
    <t>712.03</t>
  </si>
  <si>
    <t>712.04</t>
  </si>
  <si>
    <t>712.05</t>
  </si>
  <si>
    <t>712.06</t>
  </si>
  <si>
    <t>712.07</t>
  </si>
  <si>
    <t>M901.DKiA</t>
  </si>
  <si>
    <t>Diätkoche und -köchinnen</t>
  </si>
  <si>
    <t>901.DKiA</t>
  </si>
  <si>
    <t>M901.EBA</t>
  </si>
  <si>
    <t>Attestausbildungen/-lehren EBA</t>
  </si>
  <si>
    <t>901.EBA</t>
  </si>
  <si>
    <t>M901.EFZK</t>
  </si>
  <si>
    <t>Verk. Zusatzl. n. Erstausb. EFZ</t>
  </si>
  <si>
    <t>901.EFZK</t>
  </si>
  <si>
    <t>M901.EFZN</t>
  </si>
  <si>
    <t>Berufslehre EFZ</t>
  </si>
  <si>
    <t>901.EFZN</t>
  </si>
  <si>
    <t>M901.PA1J</t>
  </si>
  <si>
    <t>Pflegeassistent/in (nicht EBA, sondern 1-jährig)</t>
  </si>
  <si>
    <t>901.PA1J</t>
  </si>
  <si>
    <t>M901.PBV</t>
  </si>
  <si>
    <t>Praxiseinsatz Berufsvorb. (&lt;1J)</t>
  </si>
  <si>
    <t>901.PBV</t>
  </si>
  <si>
    <t>M901.VRL</t>
  </si>
  <si>
    <t>Vorlehren</t>
  </si>
  <si>
    <t>901.VRL</t>
  </si>
  <si>
    <t>M901.VWB</t>
  </si>
  <si>
    <t>Verkehrswegbauer/in</t>
  </si>
  <si>
    <t>901.VWB</t>
  </si>
  <si>
    <t>M910.FSch</t>
  </si>
  <si>
    <t>Ferienbesch. von Schüler/-innen</t>
  </si>
  <si>
    <t>910.FSch</t>
  </si>
  <si>
    <t>M910.FStT</t>
  </si>
  <si>
    <t>Ferienbesch. von Studierenden</t>
  </si>
  <si>
    <t>910.FStT</t>
  </si>
  <si>
    <t>M911.PKurz</t>
  </si>
  <si>
    <t>SekII_Praktikum_bis_3Monate</t>
  </si>
  <si>
    <t>911.PKurz</t>
  </si>
  <si>
    <t>M911.PVK</t>
  </si>
  <si>
    <t>SekII_Praktikum_mehr_als_12Wo</t>
  </si>
  <si>
    <t>911.PVK</t>
  </si>
  <si>
    <t>M912.PnAusb</t>
  </si>
  <si>
    <t>Berufsprakt. nach Ausbildung</t>
  </si>
  <si>
    <t>912.PnAusb</t>
  </si>
  <si>
    <t>M912.PvATt</t>
  </si>
  <si>
    <t>Prakt.v. Ausb. Teritärbereich</t>
  </si>
  <si>
    <t>912.PvATt</t>
  </si>
  <si>
    <t>M913.Apr</t>
  </si>
  <si>
    <t>Anerkennungspraktika</t>
  </si>
  <si>
    <t>913.Apr</t>
  </si>
  <si>
    <t>M913.Doc</t>
  </si>
  <si>
    <t>Doktor. Dissertation</t>
  </si>
  <si>
    <t>99/99</t>
  </si>
  <si>
    <t>913.Doc</t>
  </si>
  <si>
    <t>M913.GesHF</t>
  </si>
  <si>
    <t>Ausbildungsberufe im Bereich Gesundheit HF</t>
  </si>
  <si>
    <t>913.GesHF</t>
  </si>
  <si>
    <t>M913.PädHF</t>
  </si>
  <si>
    <t>HF Pädagogische Richtung</t>
  </si>
  <si>
    <t>913.PädHF</t>
  </si>
  <si>
    <t>M913.PädHS</t>
  </si>
  <si>
    <t>Ausbildungspraktika der Päd. Hochschule (FHNW)</t>
  </si>
  <si>
    <t>913.PädHS</t>
  </si>
  <si>
    <t>M913.PädZ</t>
  </si>
  <si>
    <t>Zusatzausbildung z. dipl Berufsfachschullehrer/in</t>
  </si>
  <si>
    <t>13/C</t>
  </si>
  <si>
    <t>913.PädZ</t>
  </si>
  <si>
    <t>M913.PDoc</t>
  </si>
  <si>
    <t>Doktor. Habilitation</t>
  </si>
  <si>
    <t>M913.PwBac</t>
  </si>
  <si>
    <t>Praktikum während Bachelor</t>
  </si>
  <si>
    <t>913.PwBac</t>
  </si>
  <si>
    <t>M913.PwMas</t>
  </si>
  <si>
    <t>Praktikum während Masterstudium</t>
  </si>
  <si>
    <t>913.PwMas</t>
  </si>
  <si>
    <t>M914.PnBac</t>
  </si>
  <si>
    <t>Praktika nach Bachelorstudium</t>
  </si>
  <si>
    <t>914.PnBac</t>
  </si>
  <si>
    <t>M914.PnMas</t>
  </si>
  <si>
    <t>Praktika nach Masterstudium</t>
  </si>
  <si>
    <t>914.PnMas</t>
  </si>
  <si>
    <t>M914.PsPG</t>
  </si>
  <si>
    <t>Psychologie Anerkennungspraktikum</t>
  </si>
  <si>
    <t>914.PsPG</t>
  </si>
  <si>
    <t>M920.00</t>
  </si>
  <si>
    <t>Dolmetscher</t>
  </si>
  <si>
    <t>920.00</t>
  </si>
  <si>
    <t>M930.00</t>
  </si>
  <si>
    <t>Kursleiter</t>
  </si>
  <si>
    <t>930.00</t>
  </si>
  <si>
    <t>M930.01</t>
  </si>
  <si>
    <t>Experten</t>
  </si>
  <si>
    <t>930.01</t>
  </si>
  <si>
    <t>M930.03</t>
  </si>
  <si>
    <t>Nebenämter</t>
  </si>
  <si>
    <t>930.03</t>
  </si>
  <si>
    <t>M930.04</t>
  </si>
  <si>
    <t>Künstler</t>
  </si>
  <si>
    <t>930.04</t>
  </si>
  <si>
    <t>M996.00</t>
  </si>
  <si>
    <t>Präsident/-in Kantonsgericht</t>
  </si>
  <si>
    <t>996.00</t>
  </si>
  <si>
    <t>M996.01</t>
  </si>
  <si>
    <t>Vizepräsident/-in Kantonsgericht</t>
  </si>
  <si>
    <t>996.01</t>
  </si>
  <si>
    <t>M996.02</t>
  </si>
  <si>
    <t>Abt.präsident/-in Kantonsgericht</t>
  </si>
  <si>
    <t>996.02</t>
  </si>
  <si>
    <t>M996.03</t>
  </si>
  <si>
    <t>Abt.-Vizepräs. Kantonsgericht</t>
  </si>
  <si>
    <t>996.03</t>
  </si>
  <si>
    <t>M996.04</t>
  </si>
  <si>
    <t>Kantonsrichter</t>
  </si>
  <si>
    <t>996.04</t>
  </si>
  <si>
    <t>M996.05</t>
  </si>
  <si>
    <t>Friedensrichter</t>
  </si>
  <si>
    <t>996.05</t>
  </si>
  <si>
    <t>M996.06</t>
  </si>
  <si>
    <t>Erstinstanzpräsidium</t>
  </si>
  <si>
    <t>996.06</t>
  </si>
  <si>
    <t>M996.07</t>
  </si>
  <si>
    <t>Erstinstanzrichter</t>
  </si>
  <si>
    <t>996.07</t>
  </si>
  <si>
    <t>M997.00</t>
  </si>
  <si>
    <t>Erster Staatsanwalt/-anwältin</t>
  </si>
  <si>
    <t>997.00</t>
  </si>
  <si>
    <t>M997.01</t>
  </si>
  <si>
    <t>Leiternder Staatsanwalt I</t>
  </si>
  <si>
    <t>997.01</t>
  </si>
  <si>
    <t>M998.00</t>
  </si>
  <si>
    <t>Landschreiber</t>
  </si>
  <si>
    <t>998.00</t>
  </si>
  <si>
    <t>M998.01</t>
  </si>
  <si>
    <t>Vorsteher Finanzkontrolle</t>
  </si>
  <si>
    <t>998.01</t>
  </si>
  <si>
    <t>M998.02</t>
  </si>
  <si>
    <t>Vorsteher Datenschutzstelle</t>
  </si>
  <si>
    <t>998.02</t>
  </si>
  <si>
    <t>M998.03</t>
  </si>
  <si>
    <t>Ombudsman</t>
  </si>
  <si>
    <t>998.03</t>
  </si>
  <si>
    <t>M999.00</t>
  </si>
  <si>
    <t>Regierungsrat</t>
  </si>
  <si>
    <t>999.00</t>
  </si>
  <si>
    <t>M999.03</t>
  </si>
  <si>
    <t>Landrat</t>
  </si>
  <si>
    <t>999.03</t>
  </si>
  <si>
    <t>408.11c</t>
  </si>
  <si>
    <t>Lehrperson Sek. II Individual- und Gruppenunterricht</t>
  </si>
  <si>
    <t>Rektorat Volksschule (Primarstufe + Sekundarstufe I)</t>
  </si>
  <si>
    <t>414A.13</t>
  </si>
  <si>
    <t>203.12a</t>
  </si>
  <si>
    <t>z</t>
  </si>
  <si>
    <t>Erforderliche Ausbildung (A1):</t>
  </si>
  <si>
    <r>
      <rPr>
        <b/>
        <i/>
        <u/>
        <sz val="10"/>
        <color theme="0"/>
        <rFont val="Arial"/>
        <family val="2"/>
      </rPr>
      <t xml:space="preserve">ACHTUNG
</t>
    </r>
    <r>
      <rPr>
        <b/>
        <i/>
        <sz val="10"/>
        <color theme="0"/>
        <rFont val="Arial"/>
        <family val="2"/>
      </rPr>
      <t>Sie sind dabei das Lohnband oder den Erfahrungswert einer vordefinierten Modellumschreibung zu übersteuern. Bitte beachten Sie, dass das Lohnband in der Regel fest mit der entsprechenden Modellumschreibung verknüpft ist und der Erfahrungswert einer Berechnungsgrundlage unterliegt. Wenn das Lohnband, bzw. der Erfahrungswert manuell übersteuert wird, liegt die Verantwortung für die Richtigkeit vollumfänglich beim Anwender des Formulars.</t>
    </r>
  </si>
  <si>
    <t>101.19</t>
  </si>
  <si>
    <t>101.20</t>
  </si>
  <si>
    <t>101.21</t>
  </si>
  <si>
    <t>101.22</t>
  </si>
  <si>
    <t>101.23</t>
  </si>
  <si>
    <t>101.24</t>
  </si>
  <si>
    <t>101.25</t>
  </si>
  <si>
    <t>101.26</t>
  </si>
  <si>
    <t>102.13</t>
  </si>
  <si>
    <t>102.15</t>
  </si>
  <si>
    <t>102.17</t>
  </si>
  <si>
    <t>102.19</t>
  </si>
  <si>
    <t>103.07</t>
  </si>
  <si>
    <t>103.09</t>
  </si>
  <si>
    <t>103.11</t>
  </si>
  <si>
    <t>103.13</t>
  </si>
  <si>
    <t>111.10</t>
  </si>
  <si>
    <t>111.11</t>
  </si>
  <si>
    <t>111.12</t>
  </si>
  <si>
    <t>111.13</t>
  </si>
  <si>
    <t>111.14</t>
  </si>
  <si>
    <t>111.15</t>
  </si>
  <si>
    <t>111.16</t>
  </si>
  <si>
    <t>111.17</t>
  </si>
  <si>
    <t>111.18</t>
  </si>
  <si>
    <t>201.20</t>
  </si>
  <si>
    <t>201.21</t>
  </si>
  <si>
    <t>201.22</t>
  </si>
  <si>
    <t>201.23</t>
  </si>
  <si>
    <t>201.24</t>
  </si>
  <si>
    <t>201.25</t>
  </si>
  <si>
    <t>201.26</t>
  </si>
  <si>
    <t>201.27</t>
  </si>
  <si>
    <t>201.28</t>
  </si>
  <si>
    <t>202.13</t>
  </si>
  <si>
    <t>202.15</t>
  </si>
  <si>
    <t>202.17</t>
  </si>
  <si>
    <t>202.19</t>
  </si>
  <si>
    <t>203.07</t>
  </si>
  <si>
    <t>203.08</t>
  </si>
  <si>
    <t>203.09</t>
  </si>
  <si>
    <t>203.10</t>
  </si>
  <si>
    <t>203.11</t>
  </si>
  <si>
    <t>203.12</t>
  </si>
  <si>
    <t>203.13</t>
  </si>
  <si>
    <t>211.11</t>
  </si>
  <si>
    <t>211.12</t>
  </si>
  <si>
    <t>211.13</t>
  </si>
  <si>
    <t>211.14</t>
  </si>
  <si>
    <t>211.15</t>
  </si>
  <si>
    <t>211.16</t>
  </si>
  <si>
    <t>211.17</t>
  </si>
  <si>
    <t>211.18</t>
  </si>
  <si>
    <t>301.21</t>
  </si>
  <si>
    <t>301.22</t>
  </si>
  <si>
    <t>301.23</t>
  </si>
  <si>
    <t>301.24</t>
  </si>
  <si>
    <t>301.25</t>
  </si>
  <si>
    <t>301.26</t>
  </si>
  <si>
    <t>302.19</t>
  </si>
  <si>
    <t>302.20</t>
  </si>
  <si>
    <t>303.13</t>
  </si>
  <si>
    <t>303.14</t>
  </si>
  <si>
    <t>303.18</t>
  </si>
  <si>
    <t>304.12</t>
  </si>
  <si>
    <t>304.13</t>
  </si>
  <si>
    <t>304.14</t>
  </si>
  <si>
    <t>304.15</t>
  </si>
  <si>
    <t>305.11</t>
  </si>
  <si>
    <t>305.12</t>
  </si>
  <si>
    <t>305.13</t>
  </si>
  <si>
    <t>311.22</t>
  </si>
  <si>
    <t>311.23</t>
  </si>
  <si>
    <t>311.24</t>
  </si>
  <si>
    <t>311.25</t>
  </si>
  <si>
    <t>311.26</t>
  </si>
  <si>
    <t>311.27</t>
  </si>
  <si>
    <t>312.18</t>
  </si>
  <si>
    <t>312.19</t>
  </si>
  <si>
    <t>312.20</t>
  </si>
  <si>
    <t>312.21</t>
  </si>
  <si>
    <t>313.15</t>
  </si>
  <si>
    <t>313.16</t>
  </si>
  <si>
    <t>313.18</t>
  </si>
  <si>
    <t>314.12</t>
  </si>
  <si>
    <t>314.13</t>
  </si>
  <si>
    <t>314.14</t>
  </si>
  <si>
    <t>314.15</t>
  </si>
  <si>
    <t>321.22</t>
  </si>
  <si>
    <t>321.23</t>
  </si>
  <si>
    <t>321.24</t>
  </si>
  <si>
    <t>321.25</t>
  </si>
  <si>
    <t>322.18</t>
  </si>
  <si>
    <t>322.19</t>
  </si>
  <si>
    <t>322.20</t>
  </si>
  <si>
    <t>322.21</t>
  </si>
  <si>
    <t>323.14</t>
  </si>
  <si>
    <t>323.16</t>
  </si>
  <si>
    <t>323.17</t>
  </si>
  <si>
    <t>324.11</t>
  </si>
  <si>
    <t>324.12</t>
  </si>
  <si>
    <t>324.13</t>
  </si>
  <si>
    <t>324.14</t>
  </si>
  <si>
    <t>331.08</t>
  </si>
  <si>
    <t>331.09</t>
  </si>
  <si>
    <t>331.10</t>
  </si>
  <si>
    <t>331.11</t>
  </si>
  <si>
    <t>331.12</t>
  </si>
  <si>
    <t>332.02</t>
  </si>
  <si>
    <t>332.05</t>
  </si>
  <si>
    <t>332.06</t>
  </si>
  <si>
    <t>332.08</t>
  </si>
  <si>
    <t>332.09</t>
  </si>
  <si>
    <t>332.11</t>
  </si>
  <si>
    <t>332.12</t>
  </si>
  <si>
    <t>341.14</t>
  </si>
  <si>
    <t>341.16</t>
  </si>
  <si>
    <t>341.17</t>
  </si>
  <si>
    <t>341.18</t>
  </si>
  <si>
    <t>341.19</t>
  </si>
  <si>
    <t>342.13</t>
  </si>
  <si>
    <t>342.14</t>
  </si>
  <si>
    <t>415.15</t>
  </si>
  <si>
    <t>????</t>
  </si>
  <si>
    <t>Gerichtsschreiber/in 2</t>
  </si>
  <si>
    <t>Gerichtsschreiber/in 1</t>
  </si>
  <si>
    <t>913.PDoc</t>
  </si>
  <si>
    <t>ddeaktiviert</t>
  </si>
  <si>
    <t>deaktiviert</t>
  </si>
  <si>
    <t>inaktiv</t>
  </si>
  <si>
    <t>zzzz</t>
  </si>
  <si>
    <t>Anstellungsformular KPTF</t>
  </si>
  <si>
    <t>Externe Stellvertretungsmeldung 
KPTF</t>
  </si>
  <si>
    <t>KPTF</t>
  </si>
  <si>
    <t>Kindergarten ISF</t>
  </si>
  <si>
    <t>Höchstausbildung LOGIB</t>
  </si>
  <si>
    <t>Prädikat für Vertrag</t>
  </si>
  <si>
    <t>Lohnentwicklung</t>
  </si>
  <si>
    <t>Bitte angeben, ob eine individuelle Lohnentwicklung gewährt werden soll.</t>
  </si>
  <si>
    <r>
      <t xml:space="preserve">In dem Fall ist das Prädikat auf dem Wert </t>
    </r>
    <r>
      <rPr>
        <sz val="10"/>
        <rFont val="Calibri"/>
        <family val="2"/>
      </rPr>
      <t>«</t>
    </r>
    <r>
      <rPr>
        <sz val="10"/>
        <rFont val="MS Sans Serif"/>
      </rPr>
      <t>NA</t>
    </r>
    <r>
      <rPr>
        <sz val="10"/>
        <rFont val="Calibri"/>
        <family val="2"/>
      </rPr>
      <t>»</t>
    </r>
    <r>
      <rPr>
        <sz val="10"/>
        <rFont val="MS Sans Serif"/>
      </rPr>
      <t xml:space="preserve"> (keine Beurteilung) zu belassen.</t>
    </r>
  </si>
  <si>
    <r>
      <t xml:space="preserve">Ist noch keine Beurteilung hinterlegt, so ist das Prädikat auf </t>
    </r>
    <r>
      <rPr>
        <sz val="10"/>
        <rFont val="Calibri"/>
        <family val="2"/>
      </rPr>
      <t>«</t>
    </r>
    <r>
      <rPr>
        <sz val="10"/>
        <rFont val="MS Sans Serif"/>
      </rPr>
      <t>A</t>
    </r>
    <r>
      <rPr>
        <sz val="10"/>
        <rFont val="Calibri"/>
        <family val="2"/>
      </rPr>
      <t>»</t>
    </r>
    <r>
      <rPr>
        <sz val="10"/>
        <rFont val="MS Sans Serif"/>
      </rPr>
      <t xml:space="preserve"> zu belassen.</t>
    </r>
  </si>
  <si>
    <t>Prädikat</t>
  </si>
  <si>
    <t>NA</t>
  </si>
  <si>
    <t>A+</t>
  </si>
  <si>
    <t xml:space="preserve">Falls eine individuelle  Lohnentwicklung gewährt werden soll, ist das entsprechende Prädikat aus der relevanten MAG-Phase im Dropdown-Menu auszuwählen. </t>
  </si>
  <si>
    <t>match LB</t>
  </si>
  <si>
    <t>Bezeichnung bisherige MU</t>
  </si>
  <si>
    <t>Alt 1</t>
  </si>
  <si>
    <t>Alt 2</t>
  </si>
  <si>
    <t>Bezeichnung neue MU</t>
  </si>
  <si>
    <t>Abgleich / Übereinstimmung</t>
  </si>
  <si>
    <t>A2 bisher</t>
  </si>
  <si>
    <t>A2 neu</t>
  </si>
  <si>
    <t>A2 Differenz</t>
  </si>
  <si>
    <t>match</t>
  </si>
  <si>
    <t>Total Übereinstimmungen</t>
  </si>
  <si>
    <t>alte MU</t>
  </si>
  <si>
    <t>neue MU</t>
  </si>
  <si>
    <t>Mas</t>
  </si>
  <si>
    <t>Ermittelter EW Wechsel gleiche Ausbildungsanforderung</t>
  </si>
  <si>
    <t>match LT</t>
  </si>
  <si>
    <t>Gültige weitere Verfahren</t>
  </si>
  <si>
    <t>EW abg</t>
  </si>
  <si>
    <t>EW neu</t>
  </si>
  <si>
    <t>EW (Zahl)</t>
  </si>
  <si>
    <t>Anzahl</t>
  </si>
  <si>
    <t>Durchschnitt / Summe</t>
  </si>
  <si>
    <t>EW aufger</t>
  </si>
  <si>
    <t>EW-Wert</t>
  </si>
  <si>
    <t>A2-Differenz</t>
  </si>
  <si>
    <t>Höchstausbildung LOGIB*</t>
  </si>
  <si>
    <t>01 Universitäre Hochschulen (UNI, ETH)</t>
  </si>
  <si>
    <t>02 Fachchochschule (FH), Pädagogische Hochschule (PH)</t>
  </si>
  <si>
    <t>03 Höhere Berufsausbildung</t>
  </si>
  <si>
    <t>04 Lehrerpatent</t>
  </si>
  <si>
    <t>05 Maturität</t>
  </si>
  <si>
    <t>06 Abgeschlossene Berufslehre (EFZ, EBA)</t>
  </si>
  <si>
    <t>07 Unternehmensinterne Ausbildung</t>
  </si>
  <si>
    <t>08 Ohne Berufsausbildung</t>
  </si>
  <si>
    <t>Release Notes ab Version 4</t>
  </si>
  <si>
    <t>Version 4.5</t>
  </si>
  <si>
    <t>Version 4.4</t>
  </si>
  <si>
    <t xml:space="preserve"> Dropdown Schultyp in allen Formularen angepasst</t>
  </si>
  <si>
    <t xml:space="preserve"> Reiter TSM in KPTF unbenannt</t>
  </si>
  <si>
    <t>Version 4.6</t>
  </si>
  <si>
    <t xml:space="preserve"> auf allen Formularen Dropdown mit LOGIB-Codes und Beschreibung eingefügt</t>
  </si>
  <si>
    <t xml:space="preserve"> Beilagen auf allen Formularen in gelb hervorgehoben</t>
  </si>
  <si>
    <t>Umstellung auf Löhne 2025</t>
  </si>
  <si>
    <r>
      <t xml:space="preserve">* </t>
    </r>
    <r>
      <rPr>
        <b/>
        <u/>
        <sz val="8"/>
        <color theme="1"/>
        <rFont val="Arial"/>
        <family val="2"/>
      </rPr>
      <t>Codierung Höchstausbildung nach LOGIB (höchste Ausbildung des Mitarbeitenden)</t>
    </r>
    <r>
      <rPr>
        <u/>
        <sz val="8"/>
        <color theme="1"/>
        <rFont val="Arial"/>
        <family val="2"/>
      </rPr>
      <t xml:space="preserve">
</t>
    </r>
    <r>
      <rPr>
        <sz val="8"/>
        <color theme="1"/>
        <rFont val="Arial"/>
        <family val="2"/>
      </rPr>
      <t>Tertiär: Hochschule (Codes 1 und 2):
1 = Universitäre Hochschule (UNI, ETH)
2 = Fachhochschule (FH), Pädagogische Hochschule (PH) oder gleichwertige Ausbildung
Tertiär: Höhere Berufsausbildung (Code 3)
3 = Höhere Berufsausbildung mit eidg. Fachausweis, Diplom oder höherer Fachprüfung/Meisterdiplom, Techniker TS, Höhere Fachschule, HTL, HWV, HFG, IES oder gleichwertige Ausbildung
Sekundarstufe II (Codes 4 bis 6)
4 = Lehrerpatent auf verschiedenen Stufen: Primarlehrerseminar (für den Unterricht auf Stufe Kindergarten, Primarschule, Handarbeit und Werken, Hauswirtschaft) oder gleichwertige Ausbildung
5 = Gymnasiale Maturität, Berufsmaturität, Fachmaturität oder gleichwertige Ausbildung
6 = Abgeschlossene Berufsausbildung, die zum Erwerb eines eidg. Fähigkeitszeugnisses (EFZ) führt, Vollzeit-Berufsschule, Diplom oder Fachmittelschule, berufliche Grundausbildung (eidg. Berufsatest - EBA) oder gleichwertige Ausbildung
Obligatorische Schule (Codes 7 und 8)
7 = Ausschliesslich unternehmensinterne, durch das Bundesamt für Berufsausbildung und Technologie (BBT) nicht anerkannte Berufsausbildung
8 = Obligatorische Schule, ohne abgeschlossene Berufsausbildung</t>
    </r>
  </si>
  <si>
    <t>&lt;-- Bei Bedarf können weitere Zeilen eingeblendet werden</t>
  </si>
  <si>
    <t xml:space="preserve">    (Blattschutz aufheben, Zeile 48 - 60 markieren, auf markiertem Bereich mit rechter Maustaste klicken</t>
  </si>
  <si>
    <t xml:space="preserve">    und beim sich öffnenden Fenster "Einblenden" auswählen)</t>
  </si>
  <si>
    <t>(optionales Feld)</t>
  </si>
  <si>
    <t>Berufsfachschulen
(Ausnahmefälle)</t>
  </si>
  <si>
    <t>Pensenberechnung
Sozialpädagogik / Assistenz</t>
  </si>
  <si>
    <t>Folgevertrag Stundenlohn Sozialpädagogik/Assistenz</t>
  </si>
  <si>
    <t>LB:</t>
  </si>
  <si>
    <r>
      <rPr>
        <b/>
        <i/>
        <sz val="9"/>
        <rFont val="Arial"/>
        <family val="2"/>
      </rPr>
      <t>falls</t>
    </r>
    <r>
      <rPr>
        <i/>
        <sz val="9"/>
        <rFont val="Arial"/>
        <family val="2"/>
      </rPr>
      <t xml:space="preserve"> befristet: Bis wann</t>
    </r>
  </si>
  <si>
    <t>Stellv. infolge von</t>
  </si>
  <si>
    <t>Unterricht</t>
  </si>
  <si>
    <t>Zurück zu Folgevertrag Stundenlohn</t>
  </si>
  <si>
    <t>*zwingend auszufüllen falls sich das Ausbildungsniveau geändert hat</t>
  </si>
  <si>
    <t>Unbezahlter Urlaub</t>
  </si>
  <si>
    <t>Einsatz als Stellv. für</t>
  </si>
  <si>
    <t>Unterrichtsart Sek I</t>
  </si>
  <si>
    <t>DAZ / FAZ</t>
  </si>
  <si>
    <t>FÖU</t>
  </si>
  <si>
    <t>Sekundarschule I / Gymnasium
(Ausnahmefälle)</t>
  </si>
  <si>
    <t>Anstellungsformular Lehrpersonen
Sekundarschule I / Gymnasium</t>
  </si>
  <si>
    <t>Sekundarschule I</t>
  </si>
  <si>
    <t>Externe Stellvertretungsmeldung 
Sekundarschule I / Gymnasium</t>
  </si>
  <si>
    <t>(zwingend auszufüllen)</t>
  </si>
  <si>
    <t>(zwingend auszufüllen falls sich das Ausbildungsniveau geändert hat)</t>
  </si>
  <si>
    <t>(Dropdown oder Freitext)</t>
  </si>
  <si>
    <t>- Formular für externe Stv angepasst und Entscheid AVS gelöscht, da nicht mehr zuständig</t>
  </si>
  <si>
    <t>- Feld "Einsatz als Stellvertretung für" mit Bezeichnung otionales Feld betitelt</t>
  </si>
  <si>
    <t>- Anstellung PS Feld Mehrjahrgangsklassen löschen</t>
  </si>
  <si>
    <t>- Anstellung PS und MS Feld Stellvertretung Grund mit Eintrag unbezahlter Urlaub ergänzt</t>
  </si>
  <si>
    <t>- Reiter für Sek I und Gym (Ausnahmefälle) eingefügt</t>
  </si>
  <si>
    <t>- Rubrik Berufsfachschulen mit Titel (Ausnahmefälle) kennzeichnen</t>
  </si>
  <si>
    <t>- neue Rubrik mit Titel "Folgeverträge</t>
  </si>
  <si>
    <t>- in allen Formularen Bezeichnung "Stab Personal" in "Abt. Personal" umbenannt</t>
  </si>
  <si>
    <t>- bei Formularen externe Stv (PS, MS, KPTF und Sek) Feld Lektionen als optional kennzeichnen</t>
  </si>
  <si>
    <t>- alle Stufen: falls befristet Hinweistext zwingend ausfüllen hinzugefügt</t>
  </si>
  <si>
    <t>- alle Stufen: Feld Einsatz als Stellv. Nicht fett / Hinweis optional hinzufügen</t>
  </si>
  <si>
    <t>Version 5.0 (Dez 2024)</t>
  </si>
  <si>
    <t>- PS Anstellung und Stv.: Schul-/Kindergartentyp / Klasse / Unterrichtsart als Pflichtfeld markieren</t>
  </si>
  <si>
    <t>- Sek I: Unterrichtsart Dropdown erstellt (Regelunterricht, ISF, Kleinklasse, DAZ / FAZ, FÖU)</t>
  </si>
  <si>
    <t>- Gym: Feld Unterrichtsart mit Freitext</t>
  </si>
  <si>
    <t>- Formular Vertragsänderung: 2 zusätzliche Felder für Lektionen</t>
  </si>
  <si>
    <t>- Formular Vertragsänderung UP und VP: Feld LOGIB nur bei Option Anpassung wegen Ausbildungsabschluss zwingend</t>
  </si>
  <si>
    <t>- in allen Formularen Versionsnummer hinzugefügt</t>
  </si>
  <si>
    <t>- Logib Eingabe logisch angepasst: bei Vertragsänderungen und Folgevertrag nur bei Wechsel Ausbildung Eingabe zwingend</t>
  </si>
  <si>
    <t>Einbl man Eing</t>
  </si>
  <si>
    <t>LB final</t>
  </si>
  <si>
    <t>man Eingabe</t>
  </si>
  <si>
    <t>Mu Gültigkeit</t>
  </si>
  <si>
    <t>Gültigkeit MU</t>
  </si>
  <si>
    <t>Prüfung Lohn</t>
  </si>
  <si>
    <t>- manuelle Lohnbandeingabe für die Modellumschreibungen 402.PS, 407.S1 und 408.S2 beim vereinfachten Verfahren "max ein Lohnband in gleicher Funktionskette" implementiert</t>
  </si>
  <si>
    <t>- manuelle Lohnbandeingabe für die Modellumschreibungen 402.PS, 407.S1 und 408.S2 beim vereinfachten Verfahren "Anspruchsvollere Funktion mit besserem Lohnband" implementiert</t>
  </si>
  <si>
    <t>Version 5.2 (März 2025)</t>
  </si>
  <si>
    <t>Verwaltungspersonal</t>
  </si>
  <si>
    <t>zugelassene MU</t>
  </si>
  <si>
    <t>Prüfung 1= manelle Eing LB</t>
  </si>
  <si>
    <t>MU Auswahl</t>
  </si>
  <si>
    <t>prüfung man Eingabe</t>
  </si>
  <si>
    <t>- auf Wunsch der BKSD wurde das vereinfachte Verfahren max 1 LB gleiche Funktionskette entsprechend an gepasst, dass auch der Sprung in ein sclechteres Lohnband berechnet wird</t>
  </si>
  <si>
    <t>- In den Mutationsformularen wird das LB, EW und Lohn auch von den Verechnungen der vereinfachten Verfahren übernommen</t>
  </si>
  <si>
    <t>V6.0</t>
  </si>
  <si>
    <t>409J.10</t>
  </si>
  <si>
    <t>M409J.10</t>
  </si>
  <si>
    <t>Lehrperson Brückenangebote und IAV SEK II</t>
  </si>
  <si>
    <t>Version V6.0 (Dez 2025)</t>
  </si>
  <si>
    <t>- Unterrichtsart Begabtenförderung aus Externe Stellvertretung KigaPrim und Anstellung KigaPrim entfernt</t>
  </si>
  <si>
    <t>- Umstellung auf Löhne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</si>
</sst>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quot;CHF&quot;\ * #,##0.00_ ;_ &quot;CHF&quot;\ * \-#,##0.00_ ;_ &quot;CHF&quot;\ * &quot;-&quot;??_ ;_ @_ "/>
    <numFmt numFmtId="164" formatCode="0.0"/>
    <numFmt numFmtId="165" formatCode="#,##0.0_);[Red]\(#,##0.0\)"/>
    <numFmt numFmtId="166" formatCode="0."/>
    <numFmt numFmtId="167" formatCode="0.0;[Red]0.0"/>
    <numFmt numFmtId="168" formatCode="0\ &quot;Mt&quot;"/>
    <numFmt numFmtId="169" formatCode="0\ &quot;J&quot;"/>
    <numFmt numFmtId="170" formatCode="&quot;CHF&quot;\ #,##0.00"/>
    <numFmt numFmtId="171" formatCode="0.0000"/>
  </numFmts>
  <fonts count="82" x14ac:knownFonts="1">
    <font>
      <sz val="10"/>
      <name val="MS Sans Serif"/>
    </font>
    <font>
      <b/>
      <sz val="10"/>
      <name val="MS Sans Serif"/>
    </font>
    <font>
      <sz val="10"/>
      <name val="MS Sans Serif"/>
      <family val="2"/>
    </font>
    <font>
      <b/>
      <sz val="12"/>
      <name val="Arial"/>
      <family val="2"/>
    </font>
    <font>
      <sz val="11"/>
      <name val="Arial"/>
      <family val="2"/>
    </font>
    <font>
      <b/>
      <sz val="11"/>
      <name val="Arial"/>
      <family val="2"/>
    </font>
    <font>
      <b/>
      <sz val="10"/>
      <name val="Arial"/>
      <family val="2"/>
    </font>
    <font>
      <b/>
      <u/>
      <sz val="10"/>
      <name val="Arial"/>
      <family val="2"/>
    </font>
    <font>
      <sz val="12"/>
      <name val="Arial"/>
      <family val="2"/>
    </font>
    <font>
      <sz val="10"/>
      <name val="Arial"/>
      <family val="2"/>
    </font>
    <font>
      <b/>
      <sz val="10"/>
      <name val="Arial"/>
      <family val="2"/>
    </font>
    <font>
      <i/>
      <sz val="8"/>
      <name val="Arial"/>
      <family val="2"/>
    </font>
    <font>
      <sz val="8"/>
      <name val="MS Sans Serif"/>
      <family val="2"/>
    </font>
    <font>
      <sz val="10.5"/>
      <name val="Arial"/>
      <family val="2"/>
    </font>
    <font>
      <sz val="10"/>
      <color indexed="9"/>
      <name val="MS Sans Serif"/>
      <family val="2"/>
    </font>
    <font>
      <sz val="8"/>
      <name val="Arial Narrow"/>
      <family val="2"/>
    </font>
    <font>
      <b/>
      <sz val="8"/>
      <color indexed="81"/>
      <name val="Tahoma"/>
      <family val="2"/>
    </font>
    <font>
      <b/>
      <sz val="13"/>
      <name val="Arial"/>
      <family val="2"/>
    </font>
    <font>
      <sz val="8"/>
      <color indexed="81"/>
      <name val="Tahoma"/>
      <family val="2"/>
    </font>
    <font>
      <sz val="10"/>
      <color indexed="9"/>
      <name val="Arial"/>
      <family val="2"/>
    </font>
    <font>
      <i/>
      <sz val="10"/>
      <color indexed="8"/>
      <name val="Arial"/>
      <family val="2"/>
    </font>
    <font>
      <b/>
      <i/>
      <sz val="10"/>
      <name val="Arial"/>
      <family val="2"/>
    </font>
    <font>
      <i/>
      <sz val="10"/>
      <name val="Arial"/>
      <family val="2"/>
    </font>
    <font>
      <b/>
      <i/>
      <sz val="10"/>
      <color indexed="8"/>
      <name val="Arial"/>
      <family val="2"/>
    </font>
    <font>
      <sz val="8"/>
      <name val="Arial"/>
      <family val="2"/>
    </font>
    <font>
      <i/>
      <sz val="9"/>
      <color indexed="8"/>
      <name val="Arial"/>
      <family val="2"/>
    </font>
    <font>
      <sz val="1"/>
      <color indexed="9"/>
      <name val="Arial"/>
      <family val="2"/>
    </font>
    <font>
      <sz val="8"/>
      <name val="Arial"/>
      <family val="2"/>
    </font>
    <font>
      <sz val="10"/>
      <name val="MS Sans Serif"/>
      <family val="2"/>
    </font>
    <font>
      <i/>
      <sz val="8"/>
      <name val="Arial Narrow"/>
      <family val="2"/>
    </font>
    <font>
      <sz val="9"/>
      <color indexed="81"/>
      <name val="Tahoma"/>
      <family val="2"/>
    </font>
    <font>
      <b/>
      <sz val="9"/>
      <color indexed="81"/>
      <name val="Tahoma"/>
      <family val="2"/>
    </font>
    <font>
      <b/>
      <sz val="11"/>
      <name val="MS Sans Serif"/>
    </font>
    <font>
      <sz val="9"/>
      <name val="MS Sans Serif"/>
    </font>
    <font>
      <b/>
      <sz val="9"/>
      <name val="Arial"/>
      <family val="2"/>
    </font>
    <font>
      <sz val="9"/>
      <name val="Arial"/>
      <family val="2"/>
    </font>
    <font>
      <sz val="1"/>
      <name val="Arial"/>
      <family val="2"/>
    </font>
    <font>
      <sz val="1"/>
      <color theme="0"/>
      <name val="Arial"/>
      <family val="2"/>
    </font>
    <font>
      <sz val="10"/>
      <color theme="0"/>
      <name val="Arial"/>
      <family val="2"/>
    </font>
    <font>
      <sz val="11"/>
      <color rgb="FFFF0000"/>
      <name val="MS Sans Serif"/>
    </font>
    <font>
      <sz val="8.5"/>
      <name val="Arial"/>
      <family val="2"/>
    </font>
    <font>
      <sz val="9"/>
      <color theme="0"/>
      <name val="Arial"/>
      <family val="2"/>
    </font>
    <font>
      <sz val="10"/>
      <color rgb="FFFF0000"/>
      <name val="Arial"/>
      <family val="2"/>
    </font>
    <font>
      <b/>
      <sz val="8"/>
      <name val="Arial"/>
      <family val="2"/>
    </font>
    <font>
      <b/>
      <sz val="14"/>
      <name val="Arial"/>
      <family val="2"/>
    </font>
    <font>
      <i/>
      <sz val="9"/>
      <name val="Arial"/>
      <family val="2"/>
    </font>
    <font>
      <b/>
      <i/>
      <sz val="9"/>
      <name val="Arial"/>
      <family val="2"/>
    </font>
    <font>
      <b/>
      <sz val="8"/>
      <color rgb="FF000000"/>
      <name val="Tahoma"/>
      <family val="2"/>
    </font>
    <font>
      <sz val="10"/>
      <name val="MS Sans Serif"/>
    </font>
    <font>
      <u/>
      <sz val="10"/>
      <color theme="10"/>
      <name val="MS Sans Serif"/>
    </font>
    <font>
      <b/>
      <sz val="10"/>
      <color theme="1"/>
      <name val="MS Sans Serif"/>
    </font>
    <font>
      <sz val="10"/>
      <color indexed="81"/>
      <name val="Arial"/>
      <family val="2"/>
    </font>
    <font>
      <sz val="10"/>
      <color rgb="FF808080"/>
      <name val="Arial"/>
      <family val="2"/>
    </font>
    <font>
      <b/>
      <sz val="9"/>
      <color indexed="81"/>
      <name val="Segoe UI"/>
      <family val="2"/>
    </font>
    <font>
      <sz val="10"/>
      <color rgb="FF000000"/>
      <name val="Arial"/>
      <family val="2"/>
    </font>
    <font>
      <sz val="9"/>
      <color rgb="FFFF0000"/>
      <name val="Arial"/>
      <family val="2"/>
    </font>
    <font>
      <b/>
      <sz val="9"/>
      <name val="MS Sans Serif"/>
    </font>
    <font>
      <sz val="9"/>
      <color indexed="81"/>
      <name val="Segoe UI"/>
      <family val="2"/>
    </font>
    <font>
      <sz val="10"/>
      <color theme="0"/>
      <name val="MS Sans Serif"/>
    </font>
    <font>
      <b/>
      <sz val="9"/>
      <color theme="1"/>
      <name val="MS Sans Serif"/>
    </font>
    <font>
      <b/>
      <sz val="9.5"/>
      <color theme="1"/>
      <name val="MS Sans Serif"/>
    </font>
    <font>
      <sz val="9.5"/>
      <name val="MS Sans Serif"/>
    </font>
    <font>
      <b/>
      <i/>
      <sz val="10"/>
      <color theme="0"/>
      <name val="Arial"/>
      <family val="2"/>
    </font>
    <font>
      <b/>
      <i/>
      <u/>
      <sz val="10"/>
      <color theme="0"/>
      <name val="Arial"/>
      <family val="2"/>
    </font>
    <font>
      <i/>
      <sz val="1"/>
      <color theme="0"/>
      <name val="Arial"/>
      <family val="2"/>
    </font>
    <font>
      <b/>
      <sz val="1"/>
      <color theme="0"/>
      <name val="Arial"/>
      <family val="2"/>
    </font>
    <font>
      <sz val="8"/>
      <color theme="1"/>
      <name val="Arial"/>
      <family val="2"/>
    </font>
    <font>
      <b/>
      <u/>
      <sz val="8"/>
      <color theme="1"/>
      <name val="Arial"/>
      <family val="2"/>
    </font>
    <font>
      <u/>
      <sz val="8"/>
      <color theme="1"/>
      <name val="Arial"/>
      <family val="2"/>
    </font>
    <font>
      <sz val="10"/>
      <name val="Calibri"/>
      <family val="2"/>
    </font>
    <font>
      <b/>
      <i/>
      <u/>
      <sz val="9"/>
      <color rgb="FFFF0000"/>
      <name val="Arial"/>
      <family val="2"/>
    </font>
    <font>
      <b/>
      <sz val="10"/>
      <color theme="0"/>
      <name val="MS Sans Serif"/>
    </font>
    <font>
      <sz val="8"/>
      <name val="MS Sans Serif"/>
    </font>
    <font>
      <sz val="10"/>
      <color theme="1" tint="0.499984740745262"/>
      <name val="Arial"/>
      <family val="2"/>
    </font>
    <font>
      <sz val="10"/>
      <color theme="1"/>
      <name val="Arial"/>
      <family val="2"/>
    </font>
    <font>
      <b/>
      <sz val="10"/>
      <color theme="1"/>
      <name val="Arial"/>
      <family val="2"/>
    </font>
    <font>
      <i/>
      <sz val="8"/>
      <color rgb="FFFF0000"/>
      <name val="Arial"/>
      <family val="2"/>
    </font>
    <font>
      <sz val="8"/>
      <color theme="0"/>
      <name val="Arial"/>
      <family val="2"/>
    </font>
    <font>
      <sz val="4"/>
      <color theme="0"/>
      <name val="Arial"/>
      <family val="2"/>
    </font>
    <font>
      <sz val="9"/>
      <color theme="0"/>
      <name val="MS Sans Serif"/>
    </font>
    <font>
      <sz val="10"/>
      <color rgb="FFFF0000"/>
      <name val="MS Sans Serif"/>
    </font>
    <font>
      <b/>
      <sz val="10"/>
      <color theme="0" tint="-4.9989318521683403E-2"/>
      <name val="Arial"/>
      <family val="2"/>
    </font>
  </fonts>
  <fills count="32">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indexed="22"/>
        <bgColor indexed="64"/>
      </patternFill>
    </fill>
    <fill>
      <patternFill patternType="solid">
        <fgColor rgb="FFFFFFFF"/>
        <bgColor rgb="FF000000"/>
      </patternFill>
    </fill>
    <fill>
      <patternFill patternType="solid">
        <fgColor rgb="FFF2DCDB"/>
        <bgColor rgb="FF000000"/>
      </patternFill>
    </fill>
    <fill>
      <patternFill patternType="solid">
        <fgColor rgb="FFF2F2F2"/>
        <bgColor rgb="FF000000"/>
      </patternFill>
    </fill>
    <fill>
      <patternFill patternType="solid">
        <fgColor rgb="FFD9D9D9"/>
        <bgColor rgb="FF000000"/>
      </patternFill>
    </fill>
    <fill>
      <patternFill patternType="solid">
        <fgColor rgb="FFDA9694"/>
        <bgColor rgb="FF000000"/>
      </patternFill>
    </fill>
    <fill>
      <patternFill patternType="solid">
        <fgColor rgb="FFFF0000"/>
        <bgColor rgb="FF000000"/>
      </patternFill>
    </fill>
    <fill>
      <patternFill patternType="solid">
        <fgColor rgb="FFFF000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tint="-4.9989318521683403E-2"/>
        <bgColor rgb="FF000000"/>
      </patternFill>
    </fill>
    <fill>
      <patternFill patternType="solid">
        <fgColor theme="0" tint="-0.14999847407452621"/>
        <bgColor rgb="FF000000"/>
      </patternFill>
    </fill>
    <fill>
      <patternFill patternType="solid">
        <fgColor theme="5" tint="0.79998168889431442"/>
        <bgColor rgb="FF000000"/>
      </patternFill>
    </fill>
    <fill>
      <patternFill patternType="solid">
        <fgColor theme="0"/>
        <bgColor rgb="FF000000"/>
      </patternFill>
    </fill>
    <fill>
      <patternFill patternType="solid">
        <fgColor theme="0" tint="-0.249977111117893"/>
        <bgColor rgb="FF000000"/>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59999389629810485"/>
        <bgColor indexed="64"/>
      </patternFill>
    </fill>
  </fills>
  <borders count="40">
    <border>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
      <left/>
      <right/>
      <top/>
      <bottom style="hair">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medium">
        <color rgb="FFFF0000"/>
      </left>
      <right style="medium">
        <color rgb="FFFF0000"/>
      </right>
      <top style="medium">
        <color rgb="FFFF0000"/>
      </top>
      <bottom style="medium">
        <color rgb="FFFF0000"/>
      </bottom>
      <diagonal/>
    </border>
    <border>
      <left/>
      <right style="thin">
        <color indexed="64"/>
      </right>
      <top/>
      <bottom/>
      <diagonal/>
    </border>
    <border>
      <left style="thin">
        <color indexed="64"/>
      </left>
      <right/>
      <top style="thin">
        <color indexed="64"/>
      </top>
      <bottom/>
      <diagonal/>
    </border>
    <border>
      <left/>
      <right/>
      <top style="thin">
        <color indexed="64"/>
      </top>
      <bottom style="thin">
        <color indexed="64"/>
      </bottom>
      <diagonal/>
    </border>
    <border>
      <left style="mediumDashed">
        <color theme="0" tint="-0.24994659260841701"/>
      </left>
      <right/>
      <top/>
      <bottom/>
      <diagonal/>
    </border>
    <border>
      <left style="thin">
        <color theme="1"/>
      </left>
      <right/>
      <top/>
      <bottom/>
      <diagonal/>
    </border>
    <border>
      <left/>
      <right style="thin">
        <color theme="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40" fontId="2" fillId="0" borderId="0" applyFont="0" applyFill="0" applyBorder="0" applyAlignment="0" applyProtection="0"/>
    <xf numFmtId="0" fontId="2" fillId="0" borderId="0"/>
    <xf numFmtId="0" fontId="9" fillId="0" borderId="0"/>
    <xf numFmtId="44" fontId="48" fillId="0" borderId="0" applyFont="0" applyFill="0" applyBorder="0" applyAlignment="0" applyProtection="0"/>
    <xf numFmtId="9" fontId="48" fillId="0" borderId="0" applyFont="0" applyFill="0" applyBorder="0" applyAlignment="0" applyProtection="0"/>
    <xf numFmtId="0" fontId="49" fillId="0" borderId="0" applyNumberFormat="0" applyFill="0" applyBorder="0" applyAlignment="0" applyProtection="0"/>
  </cellStyleXfs>
  <cellXfs count="1333">
    <xf numFmtId="0" fontId="0" fillId="0" borderId="0" xfId="0"/>
    <xf numFmtId="0" fontId="14" fillId="2" borderId="0" xfId="0" applyFont="1" applyFill="1"/>
    <xf numFmtId="0" fontId="21" fillId="2" borderId="0" xfId="0" applyFont="1" applyFill="1" applyProtection="1"/>
    <xf numFmtId="0" fontId="22" fillId="2" borderId="0" xfId="0" applyFont="1" applyFill="1" applyProtection="1"/>
    <xf numFmtId="0" fontId="21" fillId="0" borderId="13" xfId="0" applyFont="1" applyFill="1" applyBorder="1" applyProtection="1"/>
    <xf numFmtId="0" fontId="21" fillId="0" borderId="13" xfId="0" applyFont="1" applyFill="1" applyBorder="1" applyAlignment="1" applyProtection="1">
      <alignment horizontal="center"/>
    </xf>
    <xf numFmtId="0" fontId="22" fillId="2" borderId="0" xfId="0" applyFont="1" applyFill="1" applyAlignment="1" applyProtection="1">
      <alignment horizontal="center"/>
    </xf>
    <xf numFmtId="0" fontId="28" fillId="2" borderId="0" xfId="0" applyFont="1" applyFill="1" applyProtection="1">
      <protection hidden="1"/>
    </xf>
    <xf numFmtId="164" fontId="29" fillId="2" borderId="0" xfId="0" applyNumberFormat="1" applyFont="1" applyFill="1" applyBorder="1" applyAlignment="1" applyProtection="1">
      <alignment horizontal="left"/>
      <protection hidden="1"/>
    </xf>
    <xf numFmtId="0" fontId="9" fillId="2" borderId="0" xfId="0" applyFont="1" applyFill="1" applyProtection="1">
      <protection hidden="1"/>
    </xf>
    <xf numFmtId="0" fontId="28" fillId="2" borderId="0" xfId="0" applyFont="1" applyFill="1"/>
    <xf numFmtId="0" fontId="9" fillId="2" borderId="13" xfId="0" applyFont="1" applyFill="1" applyBorder="1"/>
    <xf numFmtId="0" fontId="10" fillId="2" borderId="13" xfId="0" applyFont="1" applyFill="1" applyBorder="1" applyAlignment="1">
      <alignment horizontal="right"/>
    </xf>
    <xf numFmtId="164" fontId="10" fillId="2" borderId="13" xfId="0" applyNumberFormat="1" applyFont="1" applyFill="1" applyBorder="1" applyAlignment="1">
      <alignment horizontal="right"/>
    </xf>
    <xf numFmtId="164" fontId="9" fillId="2" borderId="13" xfId="0" applyNumberFormat="1" applyFont="1" applyFill="1" applyBorder="1" applyAlignment="1">
      <alignment horizontal="right"/>
    </xf>
    <xf numFmtId="164" fontId="10" fillId="2" borderId="13" xfId="0" applyNumberFormat="1" applyFont="1" applyFill="1" applyBorder="1"/>
    <xf numFmtId="164" fontId="9" fillId="2" borderId="13" xfId="0" applyNumberFormat="1" applyFont="1" applyFill="1" applyBorder="1"/>
    <xf numFmtId="164" fontId="21" fillId="2" borderId="13" xfId="0" applyNumberFormat="1" applyFont="1" applyFill="1" applyBorder="1"/>
    <xf numFmtId="164" fontId="22" fillId="2" borderId="13" xfId="0" applyNumberFormat="1" applyFont="1" applyFill="1" applyBorder="1"/>
    <xf numFmtId="164" fontId="28" fillId="2" borderId="0" xfId="0" applyNumberFormat="1" applyFont="1" applyFill="1"/>
    <xf numFmtId="165" fontId="28" fillId="2" borderId="0" xfId="1" applyNumberFormat="1" applyFont="1" applyFill="1"/>
    <xf numFmtId="0" fontId="28" fillId="0" borderId="0" xfId="0" applyFont="1" applyFill="1" applyProtection="1">
      <protection hidden="1"/>
    </xf>
    <xf numFmtId="0" fontId="2" fillId="0" borderId="0" xfId="2"/>
    <xf numFmtId="0" fontId="0" fillId="0" borderId="0" xfId="0" applyAlignment="1">
      <alignment horizontal="center"/>
    </xf>
    <xf numFmtId="0" fontId="28" fillId="2" borderId="0" xfId="0" applyFont="1" applyFill="1" applyAlignment="1" applyProtection="1">
      <alignment horizontal="center"/>
      <protection hidden="1"/>
    </xf>
    <xf numFmtId="0" fontId="2" fillId="2" borderId="0" xfId="0" applyFont="1" applyFill="1" applyAlignment="1" applyProtection="1">
      <alignment horizontal="left"/>
      <protection hidden="1"/>
    </xf>
    <xf numFmtId="0" fontId="28" fillId="2" borderId="0" xfId="0" applyFont="1" applyFill="1" applyAlignment="1" applyProtection="1">
      <alignment horizontal="left"/>
      <protection hidden="1"/>
    </xf>
    <xf numFmtId="0" fontId="2" fillId="4" borderId="0" xfId="0" applyFont="1" applyFill="1" applyAlignment="1" applyProtection="1">
      <alignment horizontal="left"/>
      <protection hidden="1"/>
    </xf>
    <xf numFmtId="0" fontId="2" fillId="5" borderId="0" xfId="0" applyFont="1" applyFill="1" applyAlignment="1" applyProtection="1">
      <alignment horizontal="left"/>
      <protection hidden="1"/>
    </xf>
    <xf numFmtId="0" fontId="15" fillId="2" borderId="0" xfId="0" applyFont="1" applyFill="1" applyAlignment="1" applyProtection="1">
      <protection hidden="1"/>
    </xf>
    <xf numFmtId="165" fontId="22" fillId="0" borderId="0" xfId="1" applyNumberFormat="1" applyFont="1" applyFill="1" applyAlignment="1" applyProtection="1">
      <alignment horizontal="center"/>
      <protection hidden="1"/>
    </xf>
    <xf numFmtId="0" fontId="22" fillId="2" borderId="0" xfId="0" applyFont="1" applyFill="1" applyAlignment="1" applyProtection="1">
      <alignment horizontal="center"/>
      <protection hidden="1"/>
    </xf>
    <xf numFmtId="165" fontId="22" fillId="2" borderId="0" xfId="1" applyNumberFormat="1" applyFont="1" applyFill="1" applyAlignment="1" applyProtection="1">
      <alignment horizontal="center"/>
      <protection hidden="1"/>
    </xf>
    <xf numFmtId="0" fontId="22" fillId="4" borderId="0" xfId="0" applyFont="1" applyFill="1" applyAlignment="1" applyProtection="1">
      <alignment horizontal="center"/>
      <protection hidden="1"/>
    </xf>
    <xf numFmtId="165" fontId="22" fillId="4" borderId="0" xfId="1" applyNumberFormat="1" applyFont="1" applyFill="1" applyAlignment="1" applyProtection="1">
      <alignment horizontal="center"/>
      <protection hidden="1"/>
    </xf>
    <xf numFmtId="0" fontId="22" fillId="5" borderId="0" xfId="0" applyFont="1" applyFill="1" applyAlignment="1" applyProtection="1">
      <alignment horizontal="center"/>
      <protection hidden="1"/>
    </xf>
    <xf numFmtId="165" fontId="22" fillId="5" borderId="0" xfId="1" applyNumberFormat="1" applyFont="1" applyFill="1" applyAlignment="1" applyProtection="1">
      <alignment horizontal="center"/>
      <protection hidden="1"/>
    </xf>
    <xf numFmtId="0" fontId="0" fillId="5" borderId="13" xfId="0" applyFont="1" applyFill="1" applyBorder="1" applyAlignment="1">
      <alignment horizontal="center"/>
    </xf>
    <xf numFmtId="0" fontId="32" fillId="5" borderId="13" xfId="0" applyFont="1" applyFill="1" applyBorder="1" applyAlignment="1">
      <alignment horizontal="center"/>
    </xf>
    <xf numFmtId="0" fontId="0" fillId="6" borderId="13" xfId="0" applyFill="1" applyBorder="1" applyAlignment="1">
      <alignment horizontal="center"/>
    </xf>
    <xf numFmtId="0" fontId="0" fillId="6" borderId="13" xfId="0" applyFill="1" applyBorder="1" applyAlignment="1">
      <alignment horizontal="left"/>
    </xf>
    <xf numFmtId="0" fontId="0" fillId="5" borderId="18" xfId="0" applyFont="1" applyFill="1" applyBorder="1" applyAlignment="1">
      <alignment horizontal="center"/>
    </xf>
    <xf numFmtId="0" fontId="0" fillId="7" borderId="25" xfId="0" applyFill="1" applyBorder="1" applyAlignment="1">
      <alignment horizontal="center"/>
    </xf>
    <xf numFmtId="0" fontId="0" fillId="6" borderId="13" xfId="0" applyFill="1" applyBorder="1" applyAlignment="1">
      <alignment horizontal="center" wrapText="1"/>
    </xf>
    <xf numFmtId="14" fontId="0" fillId="6" borderId="13" xfId="0" applyNumberFormat="1" applyFill="1" applyBorder="1" applyAlignment="1">
      <alignment horizontal="center"/>
    </xf>
    <xf numFmtId="0" fontId="9" fillId="9" borderId="0" xfId="0" applyFont="1" applyFill="1" applyBorder="1" applyProtection="1"/>
    <xf numFmtId="0" fontId="9" fillId="9" borderId="0" xfId="0" applyFont="1" applyFill="1" applyProtection="1"/>
    <xf numFmtId="0" fontId="9" fillId="9" borderId="27" xfId="0" applyFont="1" applyFill="1" applyBorder="1" applyProtection="1"/>
    <xf numFmtId="0" fontId="9" fillId="9" borderId="23" xfId="0" applyFont="1" applyFill="1" applyBorder="1" applyAlignment="1" applyProtection="1">
      <alignment vertical="center"/>
    </xf>
    <xf numFmtId="0" fontId="9" fillId="9" borderId="23" xfId="0" applyFont="1" applyFill="1" applyBorder="1" applyAlignment="1" applyProtection="1">
      <alignment horizontal="center" vertical="center"/>
    </xf>
    <xf numFmtId="0" fontId="9" fillId="9" borderId="24" xfId="0" applyFont="1" applyFill="1" applyBorder="1" applyProtection="1"/>
    <xf numFmtId="0" fontId="35" fillId="9" borderId="0" xfId="0" applyFont="1" applyFill="1" applyBorder="1" applyAlignment="1" applyProtection="1">
      <alignment vertical="center"/>
    </xf>
    <xf numFmtId="0" fontId="9" fillId="9" borderId="26" xfId="0" applyFont="1" applyFill="1" applyBorder="1" applyProtection="1"/>
    <xf numFmtId="0" fontId="35" fillId="9" borderId="26" xfId="0" applyFont="1" applyFill="1" applyBorder="1" applyAlignment="1" applyProtection="1">
      <alignment vertical="center"/>
    </xf>
    <xf numFmtId="0" fontId="9" fillId="9" borderId="16" xfId="0" applyFont="1" applyFill="1" applyBorder="1" applyProtection="1"/>
    <xf numFmtId="0" fontId="35" fillId="9" borderId="22" xfId="0" applyFont="1" applyFill="1" applyBorder="1" applyAlignment="1" applyProtection="1">
      <alignment vertical="center"/>
    </xf>
    <xf numFmtId="0" fontId="35" fillId="9" borderId="22" xfId="0" applyFont="1" applyFill="1" applyBorder="1" applyAlignment="1" applyProtection="1">
      <alignment horizontal="center" vertical="center"/>
    </xf>
    <xf numFmtId="0" fontId="35" fillId="9" borderId="17" xfId="0" applyFont="1" applyFill="1" applyBorder="1" applyAlignment="1" applyProtection="1">
      <alignment vertical="center"/>
    </xf>
    <xf numFmtId="0" fontId="24" fillId="0" borderId="0" xfId="0" applyFont="1" applyProtection="1"/>
    <xf numFmtId="0" fontId="9" fillId="9" borderId="27" xfId="0" applyFont="1" applyFill="1" applyBorder="1"/>
    <xf numFmtId="0" fontId="9" fillId="9" borderId="15" xfId="0" applyFont="1" applyFill="1" applyBorder="1"/>
    <xf numFmtId="0" fontId="9" fillId="9" borderId="24" xfId="0" applyFont="1" applyFill="1" applyBorder="1"/>
    <xf numFmtId="0" fontId="9" fillId="9" borderId="26" xfId="0" applyFont="1" applyFill="1" applyBorder="1"/>
    <xf numFmtId="0" fontId="9" fillId="9" borderId="16" xfId="0" applyFont="1" applyFill="1" applyBorder="1"/>
    <xf numFmtId="0" fontId="35" fillId="9" borderId="22" xfId="0" applyFont="1" applyFill="1" applyBorder="1" applyAlignment="1">
      <alignment vertical="center"/>
    </xf>
    <xf numFmtId="0" fontId="35" fillId="9" borderId="22" xfId="0" applyFont="1" applyFill="1" applyBorder="1" applyAlignment="1">
      <alignment horizontal="center" vertical="center"/>
    </xf>
    <xf numFmtId="0" fontId="9" fillId="9" borderId="17" xfId="0" applyFont="1" applyFill="1" applyBorder="1"/>
    <xf numFmtId="0" fontId="35" fillId="9" borderId="23" xfId="0" applyFont="1" applyFill="1" applyBorder="1"/>
    <xf numFmtId="0" fontId="35" fillId="9" borderId="23" xfId="0" applyFont="1" applyFill="1" applyBorder="1" applyAlignment="1">
      <alignment horizontal="center"/>
    </xf>
    <xf numFmtId="0" fontId="9" fillId="10" borderId="0" xfId="0" applyFont="1" applyFill="1" applyBorder="1" applyProtection="1"/>
    <xf numFmtId="0" fontId="1" fillId="13" borderId="0" xfId="0" applyFont="1" applyFill="1" applyProtection="1">
      <protection hidden="1"/>
    </xf>
    <xf numFmtId="0" fontId="2" fillId="0" borderId="0" xfId="0" applyFont="1" applyAlignment="1" applyProtection="1">
      <alignment horizontal="left"/>
      <protection hidden="1"/>
    </xf>
    <xf numFmtId="0" fontId="2" fillId="0" borderId="0" xfId="0" applyFont="1" applyAlignment="1" applyProtection="1">
      <alignment horizontal="center"/>
      <protection hidden="1"/>
    </xf>
    <xf numFmtId="0" fontId="22" fillId="0" borderId="0" xfId="0" applyFont="1" applyAlignment="1" applyProtection="1">
      <alignment horizontal="center"/>
      <protection hidden="1"/>
    </xf>
    <xf numFmtId="0" fontId="2" fillId="11" borderId="0" xfId="0" applyFont="1" applyFill="1" applyProtection="1">
      <protection hidden="1"/>
    </xf>
    <xf numFmtId="164" fontId="29" fillId="0" borderId="0" xfId="0" applyNumberFormat="1" applyFont="1" applyAlignment="1" applyProtection="1">
      <alignment horizontal="center"/>
      <protection hidden="1"/>
    </xf>
    <xf numFmtId="0" fontId="2" fillId="2" borderId="0" xfId="0" applyFont="1" applyFill="1" applyAlignment="1" applyProtection="1">
      <alignment horizontal="center"/>
      <protection hidden="1"/>
    </xf>
    <xf numFmtId="0" fontId="2" fillId="2" borderId="0" xfId="0" applyFont="1" applyFill="1" applyProtection="1">
      <protection hidden="1"/>
    </xf>
    <xf numFmtId="0" fontId="2" fillId="4" borderId="0" xfId="0" applyFont="1" applyFill="1" applyAlignment="1" applyProtection="1">
      <alignment horizontal="center"/>
      <protection hidden="1"/>
    </xf>
    <xf numFmtId="0" fontId="2" fillId="5" borderId="0" xfId="0" applyFont="1" applyFill="1" applyAlignment="1" applyProtection="1">
      <alignment horizontal="center"/>
      <protection hidden="1"/>
    </xf>
    <xf numFmtId="0" fontId="2" fillId="5" borderId="0" xfId="0" applyFont="1" applyFill="1" applyProtection="1">
      <protection hidden="1"/>
    </xf>
    <xf numFmtId="2" fontId="6" fillId="0" borderId="0" xfId="3" applyNumberFormat="1" applyFont="1" applyAlignment="1">
      <alignment horizontal="center"/>
    </xf>
    <xf numFmtId="2" fontId="6" fillId="0" borderId="0" xfId="3" applyNumberFormat="1" applyFont="1"/>
    <xf numFmtId="2" fontId="9" fillId="0" borderId="0" xfId="3" applyNumberFormat="1"/>
    <xf numFmtId="1" fontId="6" fillId="0" borderId="0" xfId="3" applyNumberFormat="1" applyFont="1" applyAlignment="1">
      <alignment horizontal="center"/>
    </xf>
    <xf numFmtId="1" fontId="6" fillId="0" borderId="0" xfId="3" applyNumberFormat="1" applyFont="1" applyAlignment="1">
      <alignment horizontal="center" vertical="center"/>
    </xf>
    <xf numFmtId="4" fontId="9" fillId="0" borderId="0" xfId="3" applyNumberFormat="1"/>
    <xf numFmtId="1" fontId="6" fillId="0" borderId="0" xfId="3" applyNumberFormat="1" applyFont="1"/>
    <xf numFmtId="4" fontId="0" fillId="0" borderId="0" xfId="0" applyNumberFormat="1"/>
    <xf numFmtId="0" fontId="3" fillId="9" borderId="23" xfId="0" applyFont="1" applyFill="1" applyBorder="1" applyAlignment="1" applyProtection="1">
      <alignment vertical="center"/>
    </xf>
    <xf numFmtId="0" fontId="9" fillId="9" borderId="15" xfId="0" applyFont="1" applyFill="1" applyBorder="1" applyProtection="1"/>
    <xf numFmtId="0" fontId="0" fillId="9" borderId="0" xfId="0" applyFill="1"/>
    <xf numFmtId="0" fontId="0" fillId="9" borderId="0" xfId="0" applyFill="1" applyBorder="1" applyProtection="1"/>
    <xf numFmtId="0" fontId="0" fillId="9" borderId="0" xfId="0" applyFill="1" applyProtection="1"/>
    <xf numFmtId="0" fontId="6" fillId="9" borderId="0" xfId="0" applyFont="1" applyFill="1" applyAlignment="1" applyProtection="1">
      <alignment vertical="center"/>
    </xf>
    <xf numFmtId="0" fontId="9" fillId="9" borderId="0" xfId="0" applyFont="1" applyFill="1" applyAlignment="1" applyProtection="1">
      <alignment horizontal="center" vertical="center"/>
    </xf>
    <xf numFmtId="0" fontId="9" fillId="9" borderId="0" xfId="0" applyFont="1" applyFill="1" applyAlignment="1" applyProtection="1">
      <alignment vertical="center"/>
    </xf>
    <xf numFmtId="0" fontId="35" fillId="9" borderId="0" xfId="0" applyFont="1" applyFill="1" applyAlignment="1" applyProtection="1">
      <alignment vertical="center"/>
    </xf>
    <xf numFmtId="0" fontId="35" fillId="9" borderId="0" xfId="0" applyFont="1" applyFill="1" applyProtection="1"/>
    <xf numFmtId="0" fontId="35" fillId="9" borderId="0" xfId="0" applyFont="1" applyFill="1" applyAlignment="1" applyProtection="1">
      <alignment horizontal="center"/>
    </xf>
    <xf numFmtId="0" fontId="9" fillId="0" borderId="0" xfId="0" applyFont="1" applyBorder="1" applyProtection="1"/>
    <xf numFmtId="0" fontId="9" fillId="9" borderId="23" xfId="0" applyFont="1" applyFill="1" applyBorder="1" applyProtection="1"/>
    <xf numFmtId="0" fontId="9" fillId="0" borderId="0" xfId="0" applyFont="1" applyProtection="1"/>
    <xf numFmtId="49" fontId="8" fillId="0" borderId="0" xfId="0" applyNumberFormat="1" applyFont="1" applyBorder="1" applyAlignment="1" applyProtection="1">
      <alignment horizontal="left"/>
    </xf>
    <xf numFmtId="0" fontId="6" fillId="2" borderId="0" xfId="0" applyFont="1" applyFill="1" applyProtection="1"/>
    <xf numFmtId="0" fontId="9" fillId="10" borderId="6" xfId="0" applyFont="1" applyFill="1" applyBorder="1" applyAlignment="1" applyProtection="1">
      <alignment horizontal="right"/>
    </xf>
    <xf numFmtId="0" fontId="3" fillId="0" borderId="0" xfId="0" applyFont="1" applyBorder="1" applyProtection="1"/>
    <xf numFmtId="0" fontId="6" fillId="0" borderId="0" xfId="0" applyFont="1" applyBorder="1" applyProtection="1"/>
    <xf numFmtId="0" fontId="9" fillId="0" borderId="0" xfId="0" applyFont="1" applyBorder="1" applyAlignment="1" applyProtection="1">
      <alignment horizontal="right"/>
    </xf>
    <xf numFmtId="0" fontId="8" fillId="0" borderId="0" xfId="0" applyFont="1" applyBorder="1" applyProtection="1"/>
    <xf numFmtId="0" fontId="7" fillId="0" borderId="0" xfId="0" applyFont="1" applyBorder="1" applyProtection="1"/>
    <xf numFmtId="0" fontId="9" fillId="0" borderId="0" xfId="0" applyFont="1" applyAlignment="1" applyProtection="1">
      <alignment horizontal="left"/>
    </xf>
    <xf numFmtId="0" fontId="9" fillId="0" borderId="0" xfId="0" quotePrefix="1" applyFont="1" applyProtection="1"/>
    <xf numFmtId="0" fontId="17" fillId="0" borderId="0" xfId="0" applyFont="1" applyProtection="1"/>
    <xf numFmtId="0" fontId="21" fillId="0" borderId="18" xfId="0" applyFont="1" applyFill="1" applyBorder="1" applyProtection="1"/>
    <xf numFmtId="0" fontId="5" fillId="0" borderId="0" xfId="0" applyFont="1" applyProtection="1"/>
    <xf numFmtId="0" fontId="4" fillId="0" borderId="0" xfId="0" applyFont="1" applyProtection="1"/>
    <xf numFmtId="0" fontId="4" fillId="0" borderId="0" xfId="0" applyFont="1" applyAlignment="1" applyProtection="1">
      <alignment horizontal="right"/>
    </xf>
    <xf numFmtId="4" fontId="4" fillId="0" borderId="0" xfId="0" applyNumberFormat="1" applyFont="1" applyAlignment="1" applyProtection="1">
      <alignment horizontal="right"/>
    </xf>
    <xf numFmtId="0" fontId="37" fillId="0" borderId="0" xfId="0" applyFont="1" applyFill="1" applyBorder="1" applyProtection="1"/>
    <xf numFmtId="0" fontId="37" fillId="0" borderId="0" xfId="0" applyFont="1" applyProtection="1"/>
    <xf numFmtId="0" fontId="6" fillId="0" borderId="0" xfId="0" applyFont="1" applyProtection="1"/>
    <xf numFmtId="0" fontId="6" fillId="0" borderId="0" xfId="0" applyFont="1" applyAlignment="1" applyProtection="1">
      <alignment horizontal="left"/>
    </xf>
    <xf numFmtId="0" fontId="9" fillId="0" borderId="0" xfId="0" applyFont="1" applyAlignment="1" applyProtection="1">
      <alignment shrinkToFit="1"/>
    </xf>
    <xf numFmtId="0" fontId="11" fillId="0" borderId="0" xfId="0" applyFont="1" applyAlignment="1" applyProtection="1">
      <alignment horizontal="center"/>
    </xf>
    <xf numFmtId="0" fontId="11" fillId="0" borderId="0" xfId="0" applyFont="1" applyAlignment="1" applyProtection="1">
      <alignment horizontal="right"/>
    </xf>
    <xf numFmtId="0" fontId="9" fillId="0" borderId="1" xfId="0" applyFont="1" applyBorder="1" applyProtection="1"/>
    <xf numFmtId="0" fontId="9" fillId="0" borderId="2" xfId="0" applyFont="1" applyBorder="1" applyProtection="1"/>
    <xf numFmtId="0" fontId="9" fillId="0" borderId="9" xfId="0" applyFont="1" applyBorder="1" applyProtection="1"/>
    <xf numFmtId="0" fontId="9" fillId="0" borderId="1" xfId="0" applyFont="1" applyFill="1" applyBorder="1" applyProtection="1"/>
    <xf numFmtId="0" fontId="9" fillId="10" borderId="2" xfId="0" applyFont="1" applyFill="1" applyBorder="1" applyAlignment="1" applyProtection="1">
      <alignment horizontal="right"/>
    </xf>
    <xf numFmtId="0" fontId="9" fillId="10" borderId="9" xfId="0" applyFont="1" applyFill="1" applyBorder="1" applyAlignment="1" applyProtection="1">
      <alignment horizontal="right"/>
    </xf>
    <xf numFmtId="166" fontId="6" fillId="10" borderId="1" xfId="0" applyNumberFormat="1" applyFont="1" applyFill="1" applyBorder="1" applyProtection="1"/>
    <xf numFmtId="166" fontId="6" fillId="10" borderId="2" xfId="0" applyNumberFormat="1" applyFont="1" applyFill="1" applyBorder="1" applyAlignment="1" applyProtection="1">
      <alignment horizontal="right"/>
    </xf>
    <xf numFmtId="0" fontId="6" fillId="10" borderId="9" xfId="0" applyFont="1" applyFill="1" applyBorder="1" applyAlignment="1" applyProtection="1">
      <alignment horizontal="right"/>
    </xf>
    <xf numFmtId="0" fontId="9" fillId="0" borderId="0" xfId="0" applyFont="1" applyAlignment="1" applyProtection="1">
      <alignment horizontal="right"/>
    </xf>
    <xf numFmtId="4" fontId="9" fillId="0" borderId="0" xfId="0" applyNumberFormat="1" applyFont="1" applyAlignment="1" applyProtection="1">
      <alignment horizontal="right"/>
    </xf>
    <xf numFmtId="165" fontId="20" fillId="2" borderId="12" xfId="1" applyNumberFormat="1" applyFont="1" applyFill="1" applyBorder="1" applyProtection="1"/>
    <xf numFmtId="165" fontId="20" fillId="2" borderId="13" xfId="1" applyNumberFormat="1" applyFont="1" applyFill="1" applyBorder="1" applyAlignment="1" applyProtection="1">
      <alignment shrinkToFit="1"/>
    </xf>
    <xf numFmtId="0" fontId="9" fillId="0" borderId="1" xfId="0" applyFont="1" applyBorder="1" applyAlignment="1" applyProtection="1">
      <alignment horizontal="left"/>
    </xf>
    <xf numFmtId="0" fontId="13" fillId="0" borderId="2" xfId="0" applyFont="1" applyBorder="1" applyProtection="1"/>
    <xf numFmtId="0" fontId="13" fillId="0" borderId="9" xfId="0" applyFont="1" applyBorder="1" applyProtection="1"/>
    <xf numFmtId="0" fontId="11" fillId="0" borderId="0" xfId="0" applyFont="1" applyAlignment="1" applyProtection="1"/>
    <xf numFmtId="0" fontId="6" fillId="0" borderId="0" xfId="0" applyFont="1" applyAlignment="1" applyProtection="1">
      <alignment vertical="center"/>
    </xf>
    <xf numFmtId="0" fontId="11" fillId="0" borderId="0" xfId="0" applyFont="1" applyProtection="1"/>
    <xf numFmtId="169" fontId="11" fillId="0" borderId="0" xfId="0" applyNumberFormat="1" applyFont="1" applyAlignment="1" applyProtection="1">
      <alignment horizontal="right"/>
    </xf>
    <xf numFmtId="168" fontId="11" fillId="0" borderId="0" xfId="0" applyNumberFormat="1" applyFont="1" applyAlignment="1" applyProtection="1">
      <alignment horizontal="right"/>
    </xf>
    <xf numFmtId="165" fontId="25" fillId="2" borderId="13" xfId="1" applyNumberFormat="1" applyFont="1" applyFill="1" applyBorder="1" applyAlignment="1" applyProtection="1">
      <alignment shrinkToFit="1"/>
    </xf>
    <xf numFmtId="1" fontId="24" fillId="10" borderId="1" xfId="0" applyNumberFormat="1" applyFont="1" applyFill="1" applyBorder="1" applyProtection="1"/>
    <xf numFmtId="1" fontId="24" fillId="10" borderId="9" xfId="0" applyNumberFormat="1" applyFont="1" applyFill="1" applyBorder="1" applyProtection="1"/>
    <xf numFmtId="0" fontId="37" fillId="2" borderId="0" xfId="0" applyFont="1" applyFill="1" applyBorder="1" applyAlignment="1" applyProtection="1">
      <alignment horizontal="center"/>
    </xf>
    <xf numFmtId="0" fontId="6" fillId="0" borderId="0" xfId="0" applyFont="1" applyAlignment="1" applyProtection="1">
      <alignment horizontal="center"/>
    </xf>
    <xf numFmtId="0" fontId="6" fillId="0" borderId="0" xfId="0" applyFont="1" applyAlignment="1" applyProtection="1">
      <alignment horizontal="right"/>
    </xf>
    <xf numFmtId="0" fontId="43" fillId="0" borderId="0" xfId="0" applyFont="1" applyAlignment="1" applyProtection="1">
      <alignment horizontal="right"/>
    </xf>
    <xf numFmtId="0" fontId="6" fillId="0" borderId="0" xfId="0" applyFont="1" applyAlignment="1" applyProtection="1"/>
    <xf numFmtId="0" fontId="43" fillId="0" borderId="0" xfId="0" applyFont="1" applyAlignment="1" applyProtection="1">
      <alignment horizontal="right" vertical="top"/>
    </xf>
    <xf numFmtId="0" fontId="9" fillId="10" borderId="6" xfId="0" applyFont="1" applyFill="1" applyBorder="1" applyProtection="1"/>
    <xf numFmtId="0" fontId="9" fillId="10" borderId="10" xfId="0" applyFont="1" applyFill="1" applyBorder="1" applyProtection="1"/>
    <xf numFmtId="1" fontId="9" fillId="10" borderId="6" xfId="0" applyNumberFormat="1" applyFont="1" applyFill="1" applyBorder="1" applyAlignment="1" applyProtection="1">
      <alignment horizontal="right"/>
    </xf>
    <xf numFmtId="1" fontId="9" fillId="10" borderId="3" xfId="0" applyNumberFormat="1" applyFont="1" applyFill="1" applyBorder="1" applyAlignment="1" applyProtection="1">
      <alignment horizontal="right"/>
    </xf>
    <xf numFmtId="0" fontId="9" fillId="10" borderId="7" xfId="0" applyFont="1" applyFill="1" applyBorder="1" applyProtection="1"/>
    <xf numFmtId="1" fontId="9" fillId="10" borderId="7" xfId="0" applyNumberFormat="1" applyFont="1" applyFill="1" applyBorder="1" applyAlignment="1" applyProtection="1">
      <alignment horizontal="right"/>
    </xf>
    <xf numFmtId="1" fontId="9" fillId="10" borderId="4" xfId="0" applyNumberFormat="1" applyFont="1" applyFill="1" applyBorder="1" applyAlignment="1" applyProtection="1">
      <alignment horizontal="right"/>
    </xf>
    <xf numFmtId="0" fontId="22" fillId="0" borderId="0" xfId="0" applyFont="1" applyProtection="1"/>
    <xf numFmtId="165" fontId="23" fillId="2" borderId="0" xfId="1" applyNumberFormat="1" applyFont="1" applyFill="1" applyBorder="1" applyProtection="1"/>
    <xf numFmtId="165" fontId="23" fillId="2" borderId="13" xfId="1" applyNumberFormat="1" applyFont="1" applyFill="1" applyBorder="1" applyAlignment="1" applyProtection="1">
      <alignment horizontal="center"/>
    </xf>
    <xf numFmtId="165" fontId="20" fillId="10" borderId="14" xfId="1" applyNumberFormat="1" applyFont="1" applyFill="1" applyBorder="1" applyProtection="1"/>
    <xf numFmtId="0" fontId="22" fillId="10" borderId="14" xfId="0" applyFont="1" applyFill="1" applyBorder="1" applyAlignment="1" applyProtection="1">
      <alignment shrinkToFit="1"/>
    </xf>
    <xf numFmtId="165" fontId="37" fillId="2" borderId="0" xfId="0" applyNumberFormat="1" applyFont="1" applyFill="1" applyBorder="1" applyAlignment="1" applyProtection="1">
      <alignment horizontal="center"/>
    </xf>
    <xf numFmtId="167" fontId="22" fillId="0" borderId="0" xfId="0" applyNumberFormat="1" applyFont="1" applyProtection="1"/>
    <xf numFmtId="0" fontId="9" fillId="10" borderId="8" xfId="0" applyFont="1" applyFill="1" applyBorder="1" applyProtection="1"/>
    <xf numFmtId="0" fontId="9" fillId="10" borderId="11" xfId="0" applyFont="1" applyFill="1" applyBorder="1" applyProtection="1"/>
    <xf numFmtId="1" fontId="9" fillId="10" borderId="8" xfId="0" applyNumberFormat="1" applyFont="1" applyFill="1" applyBorder="1" applyAlignment="1" applyProtection="1">
      <alignment horizontal="right"/>
    </xf>
    <xf numFmtId="1" fontId="9" fillId="10" borderId="5" xfId="0" applyNumberFormat="1" applyFont="1" applyFill="1" applyBorder="1" applyAlignment="1" applyProtection="1">
      <alignment horizontal="right"/>
    </xf>
    <xf numFmtId="0" fontId="19" fillId="0" borderId="0" xfId="0" applyFont="1" applyBorder="1" applyProtection="1"/>
    <xf numFmtId="0" fontId="19" fillId="0" borderId="0" xfId="0" applyFont="1" applyBorder="1" applyAlignment="1" applyProtection="1">
      <alignment horizontal="right"/>
    </xf>
    <xf numFmtId="1" fontId="19" fillId="0" borderId="0" xfId="0" applyNumberFormat="1" applyFont="1" applyBorder="1" applyAlignment="1" applyProtection="1">
      <alignment horizontal="right"/>
    </xf>
    <xf numFmtId="0" fontId="19" fillId="0" borderId="0" xfId="0" applyFont="1" applyBorder="1" applyAlignment="1" applyProtection="1">
      <alignment horizontal="center"/>
    </xf>
    <xf numFmtId="0" fontId="19" fillId="0" borderId="0" xfId="0" applyFont="1" applyAlignment="1" applyProtection="1">
      <alignment horizontal="center"/>
    </xf>
    <xf numFmtId="1" fontId="6" fillId="10" borderId="7" xfId="0" applyNumberFormat="1" applyFont="1" applyFill="1" applyBorder="1" applyAlignment="1" applyProtection="1">
      <alignment horizontal="right"/>
    </xf>
    <xf numFmtId="1" fontId="6" fillId="10" borderId="4" xfId="0" applyNumberFormat="1" applyFont="1" applyFill="1" applyBorder="1" applyAlignment="1" applyProtection="1">
      <alignment horizontal="right"/>
    </xf>
    <xf numFmtId="0" fontId="9" fillId="0" borderId="2" xfId="0" applyFont="1" applyFill="1" applyBorder="1" applyProtection="1"/>
    <xf numFmtId="0" fontId="9" fillId="0" borderId="19" xfId="0" applyFont="1" applyBorder="1" applyAlignment="1" applyProtection="1">
      <alignment horizontal="left" shrinkToFit="1"/>
    </xf>
    <xf numFmtId="0" fontId="9" fillId="0" borderId="1" xfId="0" applyFont="1" applyBorder="1" applyAlignment="1" applyProtection="1">
      <alignment horizontal="right"/>
    </xf>
    <xf numFmtId="0" fontId="9" fillId="0" borderId="2" xfId="0" applyFont="1" applyBorder="1" applyAlignment="1" applyProtection="1">
      <alignment horizontal="left"/>
    </xf>
    <xf numFmtId="0" fontId="9" fillId="0" borderId="2" xfId="0" applyFont="1" applyBorder="1" applyAlignment="1" applyProtection="1">
      <alignment horizontal="right"/>
    </xf>
    <xf numFmtId="0" fontId="26" fillId="0" borderId="0" xfId="0" applyFont="1" applyProtection="1"/>
    <xf numFmtId="0" fontId="6" fillId="10" borderId="8" xfId="0" applyFont="1" applyFill="1" applyBorder="1" applyAlignment="1" applyProtection="1">
      <alignment horizontal="right"/>
    </xf>
    <xf numFmtId="1" fontId="9" fillId="0" borderId="0" xfId="0" applyNumberFormat="1" applyFont="1" applyProtection="1"/>
    <xf numFmtId="0" fontId="6" fillId="0" borderId="0" xfId="0" applyFont="1" applyFill="1" applyAlignment="1" applyProtection="1"/>
    <xf numFmtId="0" fontId="9" fillId="0" borderId="0" xfId="0" applyFont="1" applyFill="1" applyProtection="1"/>
    <xf numFmtId="0" fontId="9" fillId="0" borderId="0" xfId="0" applyFont="1" applyFill="1" applyAlignment="1" applyProtection="1">
      <alignment horizontal="right"/>
    </xf>
    <xf numFmtId="4" fontId="9" fillId="0" borderId="0" xfId="0" applyNumberFormat="1" applyFont="1" applyFill="1" applyAlignment="1" applyProtection="1">
      <alignment horizontal="right"/>
    </xf>
    <xf numFmtId="0" fontId="6" fillId="0" borderId="0" xfId="0" applyFont="1" applyFill="1" applyProtection="1"/>
    <xf numFmtId="0" fontId="9" fillId="0" borderId="0" xfId="0" applyFont="1" applyFill="1" applyBorder="1" applyProtection="1"/>
    <xf numFmtId="0" fontId="9" fillId="9" borderId="0" xfId="0" applyFont="1" applyFill="1" applyAlignment="1" applyProtection="1">
      <alignment horizontal="left"/>
    </xf>
    <xf numFmtId="0" fontId="9" fillId="9" borderId="0" xfId="0" applyFont="1" applyFill="1" applyAlignment="1" applyProtection="1">
      <alignment horizontal="left" vertical="center"/>
    </xf>
    <xf numFmtId="166" fontId="9" fillId="10" borderId="1" xfId="0" applyNumberFormat="1" applyFont="1" applyFill="1" applyBorder="1" applyProtection="1"/>
    <xf numFmtId="166" fontId="9" fillId="10" borderId="2" xfId="0" applyNumberFormat="1" applyFont="1" applyFill="1" applyBorder="1" applyAlignment="1" applyProtection="1">
      <alignment horizontal="right"/>
    </xf>
    <xf numFmtId="0" fontId="9" fillId="10" borderId="9" xfId="0" applyNumberFormat="1" applyFont="1" applyFill="1" applyBorder="1" applyAlignment="1" applyProtection="1">
      <alignment horizontal="right"/>
    </xf>
    <xf numFmtId="0" fontId="9" fillId="10" borderId="0" xfId="0" applyFont="1" applyFill="1" applyAlignment="1" applyProtection="1">
      <alignment shrinkToFit="1"/>
    </xf>
    <xf numFmtId="0" fontId="35" fillId="9" borderId="24" xfId="0" applyFont="1" applyFill="1" applyBorder="1" applyAlignment="1" applyProtection="1">
      <alignment vertical="center"/>
    </xf>
    <xf numFmtId="0" fontId="35" fillId="9" borderId="27" xfId="0" applyFont="1" applyFill="1" applyBorder="1"/>
    <xf numFmtId="0" fontId="35" fillId="9" borderId="15" xfId="0" applyFont="1" applyFill="1" applyBorder="1"/>
    <xf numFmtId="0" fontId="35" fillId="9" borderId="24" xfId="0" applyFont="1" applyFill="1" applyBorder="1"/>
    <xf numFmtId="0" fontId="35" fillId="9" borderId="26" xfId="0" applyFont="1" applyFill="1" applyBorder="1"/>
    <xf numFmtId="0" fontId="35" fillId="9" borderId="16" xfId="0" applyFont="1" applyFill="1" applyBorder="1"/>
    <xf numFmtId="0" fontId="35" fillId="9" borderId="17" xfId="0" applyFont="1" applyFill="1" applyBorder="1"/>
    <xf numFmtId="0" fontId="9" fillId="5" borderId="0" xfId="0" applyFont="1" applyFill="1" applyAlignment="1" applyProtection="1">
      <alignment horizontal="left"/>
    </xf>
    <xf numFmtId="0" fontId="35" fillId="5" borderId="0" xfId="0" applyFont="1" applyFill="1" applyProtection="1"/>
    <xf numFmtId="0" fontId="6" fillId="9" borderId="0" xfId="0" applyFont="1" applyFill="1" applyAlignment="1" applyProtection="1">
      <alignment vertical="center"/>
      <protection hidden="1"/>
    </xf>
    <xf numFmtId="0" fontId="1" fillId="9" borderId="0" xfId="0" applyFont="1" applyFill="1"/>
    <xf numFmtId="0" fontId="0" fillId="9" borderId="0" xfId="0" applyFont="1" applyFill="1"/>
    <xf numFmtId="0" fontId="38" fillId="9" borderId="0" xfId="0" applyFont="1" applyFill="1" applyAlignment="1" applyProtection="1">
      <alignment wrapText="1"/>
    </xf>
    <xf numFmtId="0" fontId="0" fillId="6" borderId="13" xfId="0" applyFill="1" applyBorder="1" applyAlignment="1"/>
    <xf numFmtId="1" fontId="35" fillId="12" borderId="0" xfId="0" applyNumberFormat="1" applyFont="1" applyFill="1" applyAlignment="1" applyProtection="1">
      <alignment horizontal="left" vertical="center"/>
      <protection locked="0"/>
    </xf>
    <xf numFmtId="0" fontId="36" fillId="0" borderId="0" xfId="0" applyFont="1" applyProtection="1"/>
    <xf numFmtId="0" fontId="6" fillId="14" borderId="8" xfId="0" applyFont="1" applyFill="1" applyBorder="1" applyAlignment="1" applyProtection="1">
      <alignment horizontal="right"/>
    </xf>
    <xf numFmtId="0" fontId="4" fillId="0" borderId="0" xfId="0" applyFont="1" applyBorder="1" applyAlignment="1" applyProtection="1">
      <alignment horizontal="right"/>
    </xf>
    <xf numFmtId="0" fontId="0" fillId="9" borderId="27" xfId="0" applyFill="1" applyBorder="1" applyProtection="1"/>
    <xf numFmtId="0" fontId="0" fillId="9" borderId="23" xfId="0" applyFill="1" applyBorder="1" applyProtection="1"/>
    <xf numFmtId="0" fontId="0" fillId="9" borderId="15" xfId="0" applyFill="1" applyBorder="1" applyProtection="1"/>
    <xf numFmtId="0" fontId="0" fillId="9" borderId="24" xfId="0" applyFill="1" applyBorder="1" applyProtection="1"/>
    <xf numFmtId="0" fontId="0" fillId="9" borderId="26" xfId="0" applyFill="1" applyBorder="1" applyProtection="1"/>
    <xf numFmtId="0" fontId="5" fillId="9" borderId="24" xfId="0" applyFont="1" applyFill="1" applyBorder="1" applyAlignment="1" applyProtection="1">
      <alignment vertical="top" wrapText="1"/>
    </xf>
    <xf numFmtId="0" fontId="5" fillId="9" borderId="26" xfId="0" applyFont="1" applyFill="1" applyBorder="1" applyAlignment="1" applyProtection="1">
      <alignment vertical="top" wrapText="1"/>
    </xf>
    <xf numFmtId="0" fontId="0" fillId="9" borderId="16" xfId="0" applyFill="1" applyBorder="1" applyProtection="1"/>
    <xf numFmtId="0" fontId="0" fillId="9" borderId="22" xfId="0" applyFill="1" applyBorder="1" applyProtection="1"/>
    <xf numFmtId="0" fontId="0" fillId="9" borderId="17" xfId="0" applyFill="1" applyBorder="1" applyProtection="1"/>
    <xf numFmtId="0" fontId="5" fillId="9" borderId="0" xfId="0" applyFont="1" applyFill="1" applyAlignment="1" applyProtection="1">
      <alignment vertical="top" wrapText="1"/>
    </xf>
    <xf numFmtId="0" fontId="35" fillId="9" borderId="0" xfId="0" applyFont="1" applyFill="1" applyAlignment="1" applyProtection="1">
      <alignment horizontal="right" vertical="top" wrapText="1"/>
    </xf>
    <xf numFmtId="0" fontId="0" fillId="9" borderId="0" xfId="0" applyFont="1" applyFill="1" applyAlignment="1" applyProtection="1">
      <alignment horizontal="left" vertical="top" wrapText="1"/>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pplyProtection="1">
      <alignment horizontal="center" vertical="center"/>
    </xf>
    <xf numFmtId="0" fontId="9" fillId="9" borderId="0" xfId="0" applyFont="1" applyFill="1" applyAlignment="1">
      <alignment horizontal="left"/>
    </xf>
    <xf numFmtId="0" fontId="3" fillId="9" borderId="0" xfId="0" applyFont="1" applyFill="1" applyAlignment="1" applyProtection="1">
      <alignment horizontal="left" vertical="center"/>
      <protection hidden="1"/>
    </xf>
    <xf numFmtId="0" fontId="9" fillId="9" borderId="0" xfId="0" applyFont="1" applyFill="1" applyAlignment="1">
      <alignment horizontal="left" vertical="center"/>
    </xf>
    <xf numFmtId="0" fontId="6" fillId="0" borderId="0" xfId="0" applyFont="1" applyAlignment="1">
      <alignment vertical="center"/>
    </xf>
    <xf numFmtId="0" fontId="35" fillId="9" borderId="0" xfId="0" applyFont="1" applyFill="1"/>
    <xf numFmtId="0" fontId="35" fillId="5" borderId="0" xfId="0" applyFont="1" applyFill="1"/>
    <xf numFmtId="0" fontId="6" fillId="5" borderId="0" xfId="0" applyFont="1" applyFill="1" applyAlignment="1">
      <alignment vertical="center"/>
    </xf>
    <xf numFmtId="0" fontId="35" fillId="5" borderId="0" xfId="0" applyFont="1" applyFill="1" applyAlignment="1">
      <alignment vertical="center"/>
    </xf>
    <xf numFmtId="0" fontId="35" fillId="5" borderId="0" xfId="0" applyFont="1" applyFill="1" applyAlignment="1">
      <alignment horizontal="center" vertical="center"/>
    </xf>
    <xf numFmtId="0" fontId="9" fillId="9" borderId="0" xfId="0" applyFont="1" applyFill="1"/>
    <xf numFmtId="0" fontId="35" fillId="9" borderId="0" xfId="0" applyFont="1" applyFill="1" applyAlignment="1">
      <alignment vertical="center"/>
    </xf>
    <xf numFmtId="0" fontId="35" fillId="9" borderId="0" xfId="0" applyFont="1" applyFill="1" applyAlignment="1">
      <alignment horizontal="center" vertical="center"/>
    </xf>
    <xf numFmtId="0" fontId="9" fillId="5" borderId="0" xfId="0" applyFont="1" applyFill="1" applyAlignment="1">
      <alignment horizontal="left"/>
    </xf>
    <xf numFmtId="0" fontId="9" fillId="9" borderId="27" xfId="0" applyFont="1" applyFill="1" applyBorder="1" applyAlignment="1">
      <alignment horizontal="left"/>
    </xf>
    <xf numFmtId="0" fontId="9" fillId="9" borderId="23" xfId="0" applyFont="1" applyFill="1" applyBorder="1" applyAlignment="1">
      <alignment horizontal="left" vertical="center"/>
    </xf>
    <xf numFmtId="0" fontId="17" fillId="9" borderId="23" xfId="0" applyFont="1" applyFill="1" applyBorder="1" applyAlignment="1" applyProtection="1">
      <alignment horizontal="left" vertical="center"/>
      <protection hidden="1"/>
    </xf>
    <xf numFmtId="0" fontId="9" fillId="9" borderId="15" xfId="0" applyFont="1" applyFill="1" applyBorder="1" applyAlignment="1">
      <alignment horizontal="left" vertical="center"/>
    </xf>
    <xf numFmtId="0" fontId="9" fillId="9" borderId="24" xfId="0" applyFont="1" applyFill="1" applyBorder="1" applyAlignment="1">
      <alignment horizontal="left"/>
    </xf>
    <xf numFmtId="0" fontId="6" fillId="9" borderId="0" xfId="0" applyFont="1" applyFill="1" applyAlignment="1" applyProtection="1">
      <alignment horizontal="left" vertical="center"/>
      <protection hidden="1"/>
    </xf>
    <xf numFmtId="0" fontId="9" fillId="9" borderId="26" xfId="0" applyFont="1" applyFill="1" applyBorder="1" applyAlignment="1">
      <alignment horizontal="left" vertical="center"/>
    </xf>
    <xf numFmtId="0" fontId="35" fillId="9" borderId="0" xfId="0" applyFont="1" applyFill="1" applyAlignment="1">
      <alignment horizontal="left" vertical="center"/>
    </xf>
    <xf numFmtId="0" fontId="17" fillId="9" borderId="0" xfId="0" applyFont="1" applyFill="1" applyAlignment="1" applyProtection="1">
      <alignment horizontal="left" vertical="center"/>
      <protection hidden="1"/>
    </xf>
    <xf numFmtId="0" fontId="35" fillId="9" borderId="26" xfId="0" applyFont="1" applyFill="1" applyBorder="1" applyAlignment="1">
      <alignment horizontal="left" vertical="center"/>
    </xf>
    <xf numFmtId="14" fontId="35" fillId="10" borderId="0" xfId="0" applyNumberFormat="1" applyFont="1" applyFill="1" applyAlignment="1">
      <alignment horizontal="left" vertical="center"/>
    </xf>
    <xf numFmtId="0" fontId="9" fillId="9" borderId="16" xfId="0" applyFont="1" applyFill="1" applyBorder="1" applyAlignment="1">
      <alignment horizontal="left"/>
    </xf>
    <xf numFmtId="0" fontId="35" fillId="9" borderId="22" xfId="0" applyFont="1" applyFill="1" applyBorder="1" applyAlignment="1">
      <alignment horizontal="left"/>
    </xf>
    <xf numFmtId="0" fontId="35" fillId="9" borderId="17" xfId="0" applyFont="1" applyFill="1" applyBorder="1" applyAlignment="1">
      <alignment horizontal="left"/>
    </xf>
    <xf numFmtId="0" fontId="35" fillId="9" borderId="0" xfId="0" applyFont="1" applyFill="1" applyAlignment="1">
      <alignment horizontal="left"/>
    </xf>
    <xf numFmtId="0" fontId="35" fillId="9" borderId="23" xfId="0" applyFont="1" applyFill="1" applyBorder="1" applyAlignment="1">
      <alignment horizontal="left"/>
    </xf>
    <xf numFmtId="0" fontId="35" fillId="9" borderId="15" xfId="0" applyFont="1" applyFill="1" applyBorder="1" applyAlignment="1">
      <alignment horizontal="left"/>
    </xf>
    <xf numFmtId="14" fontId="35" fillId="9" borderId="26" xfId="0" applyNumberFormat="1" applyFont="1" applyFill="1" applyBorder="1" applyAlignment="1">
      <alignment horizontal="left" vertical="center"/>
    </xf>
    <xf numFmtId="0" fontId="35" fillId="9" borderId="26" xfId="0" applyFont="1" applyFill="1" applyBorder="1" applyAlignment="1">
      <alignment vertical="center"/>
    </xf>
    <xf numFmtId="0" fontId="35" fillId="9" borderId="22" xfId="0" applyFont="1" applyFill="1" applyBorder="1" applyAlignment="1">
      <alignment horizontal="left" wrapText="1"/>
    </xf>
    <xf numFmtId="0" fontId="35" fillId="9" borderId="0" xfId="0" applyFont="1" applyFill="1" applyAlignment="1">
      <alignment horizontal="left" wrapText="1"/>
    </xf>
    <xf numFmtId="0" fontId="35" fillId="9" borderId="23" xfId="0" applyFont="1" applyFill="1" applyBorder="1" applyAlignment="1">
      <alignment vertical="center"/>
    </xf>
    <xf numFmtId="0" fontId="35" fillId="9" borderId="23" xfId="0" applyFont="1" applyFill="1" applyBorder="1" applyAlignment="1">
      <alignment horizontal="center" vertical="center"/>
    </xf>
    <xf numFmtId="0" fontId="35" fillId="9" borderId="15" xfId="0" applyFont="1" applyFill="1" applyBorder="1" applyAlignment="1">
      <alignment vertical="center"/>
    </xf>
    <xf numFmtId="0" fontId="6" fillId="9" borderId="0" xfId="0" applyFont="1" applyFill="1"/>
    <xf numFmtId="0" fontId="24" fillId="9" borderId="0" xfId="0" applyFont="1" applyFill="1" applyAlignment="1">
      <alignment horizontal="left" vertical="top"/>
    </xf>
    <xf numFmtId="14" fontId="35" fillId="9" borderId="0" xfId="0" applyNumberFormat="1" applyFont="1" applyFill="1" applyAlignment="1">
      <alignment horizontal="left" vertical="center"/>
    </xf>
    <xf numFmtId="0" fontId="35" fillId="0" borderId="0" xfId="0" applyFont="1" applyAlignment="1">
      <alignment vertical="center"/>
    </xf>
    <xf numFmtId="1" fontId="35" fillId="10" borderId="0" xfId="0" applyNumberFormat="1" applyFont="1" applyFill="1" applyAlignment="1">
      <alignment horizontal="center" vertical="center"/>
    </xf>
    <xf numFmtId="0" fontId="35" fillId="10" borderId="0" xfId="0" applyFont="1" applyFill="1" applyAlignment="1">
      <alignment horizontal="center" vertical="center"/>
    </xf>
    <xf numFmtId="170" fontId="35" fillId="9" borderId="0" xfId="0" applyNumberFormat="1" applyFont="1" applyFill="1" applyAlignment="1">
      <alignment horizontal="center" vertical="center"/>
    </xf>
    <xf numFmtId="0" fontId="35" fillId="9" borderId="17" xfId="0" applyFont="1" applyFill="1" applyBorder="1" applyAlignment="1">
      <alignment vertical="center"/>
    </xf>
    <xf numFmtId="0" fontId="35" fillId="9" borderId="0" xfId="0" applyFont="1" applyFill="1" applyAlignment="1">
      <alignment horizontal="center"/>
    </xf>
    <xf numFmtId="0" fontId="44" fillId="9" borderId="0" xfId="0" applyFont="1" applyFill="1" applyBorder="1" applyAlignment="1" applyProtection="1">
      <alignment horizontal="center"/>
    </xf>
    <xf numFmtId="0" fontId="5" fillId="9" borderId="0" xfId="0" applyFont="1" applyFill="1" applyBorder="1" applyAlignment="1" applyProtection="1">
      <alignment vertical="top" wrapText="1"/>
    </xf>
    <xf numFmtId="0" fontId="1" fillId="9" borderId="0" xfId="0" applyFont="1" applyFill="1" applyProtection="1"/>
    <xf numFmtId="0" fontId="9" fillId="15" borderId="0" xfId="0" applyFont="1" applyFill="1"/>
    <xf numFmtId="0" fontId="9" fillId="15" borderId="0" xfId="0" applyFont="1" applyFill="1" applyAlignment="1">
      <alignment horizontal="center" vertical="center"/>
    </xf>
    <xf numFmtId="0" fontId="9" fillId="15" borderId="0" xfId="0" applyFont="1" applyFill="1" applyAlignment="1">
      <alignment vertical="center"/>
    </xf>
    <xf numFmtId="0" fontId="9" fillId="15" borderId="27" xfId="0" applyFont="1" applyFill="1" applyBorder="1"/>
    <xf numFmtId="0" fontId="9" fillId="15" borderId="23" xfId="0" applyFont="1" applyFill="1" applyBorder="1" applyAlignment="1">
      <alignment vertical="center"/>
    </xf>
    <xf numFmtId="0" fontId="9" fillId="15" borderId="23" xfId="0" applyFont="1" applyFill="1" applyBorder="1" applyAlignment="1">
      <alignment horizontal="center" vertical="center"/>
    </xf>
    <xf numFmtId="0" fontId="9" fillId="15" borderId="24" xfId="0" applyFont="1" applyFill="1" applyBorder="1"/>
    <xf numFmtId="0" fontId="6" fillId="15" borderId="0" xfId="0" applyFont="1" applyFill="1" applyAlignment="1" applyProtection="1">
      <alignment vertical="center"/>
      <protection hidden="1"/>
    </xf>
    <xf numFmtId="0" fontId="9" fillId="15" borderId="26" xfId="0" applyFont="1" applyFill="1" applyBorder="1" applyAlignment="1">
      <alignment vertical="center"/>
    </xf>
    <xf numFmtId="0" fontId="9" fillId="15" borderId="26" xfId="0" applyFont="1" applyFill="1" applyBorder="1"/>
    <xf numFmtId="0" fontId="35" fillId="15" borderId="26" xfId="0" applyFont="1" applyFill="1" applyBorder="1" applyAlignment="1">
      <alignment vertical="center"/>
    </xf>
    <xf numFmtId="0" fontId="35" fillId="15" borderId="26" xfId="0" applyFont="1" applyFill="1" applyBorder="1" applyAlignment="1">
      <alignment horizontal="center" vertical="center"/>
    </xf>
    <xf numFmtId="0" fontId="9" fillId="15" borderId="0" xfId="0" applyFont="1" applyFill="1" applyAlignment="1">
      <alignment horizontal="left"/>
    </xf>
    <xf numFmtId="0" fontId="9" fillId="15" borderId="16" xfId="0" applyFont="1" applyFill="1" applyBorder="1"/>
    <xf numFmtId="0" fontId="35" fillId="15" borderId="22" xfId="0" applyFont="1" applyFill="1" applyBorder="1" applyAlignment="1">
      <alignment vertical="center"/>
    </xf>
    <xf numFmtId="0" fontId="35" fillId="15" borderId="22" xfId="0" applyFont="1" applyFill="1" applyBorder="1" applyAlignment="1">
      <alignment horizontal="center" vertical="center"/>
    </xf>
    <xf numFmtId="0" fontId="35" fillId="15" borderId="17" xfId="0" applyFont="1" applyFill="1" applyBorder="1" applyAlignment="1">
      <alignment vertical="center"/>
    </xf>
    <xf numFmtId="0" fontId="35" fillId="15" borderId="0" xfId="0" applyFont="1" applyFill="1"/>
    <xf numFmtId="0" fontId="35" fillId="15" borderId="0" xfId="0" applyFont="1" applyFill="1" applyAlignment="1">
      <alignment horizontal="center"/>
    </xf>
    <xf numFmtId="0" fontId="35" fillId="15" borderId="23" xfId="0" applyFont="1" applyFill="1" applyBorder="1"/>
    <xf numFmtId="0" fontId="35" fillId="15" borderId="23" xfId="0" applyFont="1" applyFill="1" applyBorder="1" applyAlignment="1">
      <alignment horizontal="center"/>
    </xf>
    <xf numFmtId="0" fontId="35" fillId="15" borderId="15" xfId="0" applyFont="1" applyFill="1" applyBorder="1"/>
    <xf numFmtId="0" fontId="35" fillId="15" borderId="0" xfId="0" applyFont="1" applyFill="1" applyAlignment="1">
      <alignment vertical="center"/>
    </xf>
    <xf numFmtId="0" fontId="35" fillId="15" borderId="0" xfId="0" applyFont="1" applyFill="1" applyAlignment="1">
      <alignment horizontal="center" vertical="center"/>
    </xf>
    <xf numFmtId="9" fontId="35" fillId="15" borderId="0" xfId="0" applyNumberFormat="1" applyFont="1" applyFill="1" applyAlignment="1">
      <alignment vertical="center"/>
    </xf>
    <xf numFmtId="9" fontId="35" fillId="15" borderId="0" xfId="0" applyNumberFormat="1" applyFont="1" applyFill="1" applyAlignment="1">
      <alignment horizontal="center" vertical="center"/>
    </xf>
    <xf numFmtId="0" fontId="35" fillId="15" borderId="22" xfId="0" applyFont="1" applyFill="1" applyBorder="1" applyAlignment="1">
      <alignment horizontal="center"/>
    </xf>
    <xf numFmtId="0" fontId="9" fillId="15" borderId="15" xfId="0" applyFont="1" applyFill="1" applyBorder="1"/>
    <xf numFmtId="0" fontId="35" fillId="15" borderId="0" xfId="0" applyFont="1" applyFill="1" applyAlignment="1">
      <alignment vertical="top" wrapText="1"/>
    </xf>
    <xf numFmtId="0" fontId="9" fillId="15" borderId="17" xfId="0" applyFont="1" applyFill="1" applyBorder="1"/>
    <xf numFmtId="0" fontId="24" fillId="15" borderId="0" xfId="0" applyFont="1" applyFill="1" applyAlignment="1">
      <alignment vertical="center"/>
    </xf>
    <xf numFmtId="0" fontId="9" fillId="9" borderId="23" xfId="0" applyFont="1" applyFill="1" applyBorder="1" applyAlignment="1">
      <alignment vertical="center"/>
    </xf>
    <xf numFmtId="0" fontId="3" fillId="9" borderId="23" xfId="0" applyFont="1" applyFill="1" applyBorder="1" applyAlignment="1">
      <alignment vertical="center"/>
    </xf>
    <xf numFmtId="0" fontId="9" fillId="9" borderId="23" xfId="0" applyFont="1" applyFill="1" applyBorder="1" applyAlignment="1">
      <alignment horizontal="center" vertical="center"/>
    </xf>
    <xf numFmtId="0" fontId="6" fillId="9" borderId="0" xfId="0" applyFont="1" applyFill="1" applyAlignment="1">
      <alignment vertical="center"/>
    </xf>
    <xf numFmtId="0" fontId="9" fillId="9" borderId="0" xfId="0" applyFont="1" applyFill="1" applyAlignment="1">
      <alignment vertical="center"/>
    </xf>
    <xf numFmtId="0" fontId="9" fillId="9" borderId="0" xfId="0" applyFont="1" applyFill="1" applyAlignment="1">
      <alignment horizontal="center" vertical="center"/>
    </xf>
    <xf numFmtId="0" fontId="9" fillId="9" borderId="26" xfId="0" applyFont="1" applyFill="1" applyBorder="1" applyAlignment="1">
      <alignment vertical="center"/>
    </xf>
    <xf numFmtId="0" fontId="6" fillId="15" borderId="0" xfId="0" applyFont="1" applyFill="1"/>
    <xf numFmtId="0" fontId="3" fillId="15" borderId="23" xfId="0" applyFont="1" applyFill="1" applyBorder="1" applyAlignment="1">
      <alignment vertical="center"/>
    </xf>
    <xf numFmtId="0" fontId="9" fillId="15" borderId="23" xfId="0" applyFont="1" applyFill="1" applyBorder="1"/>
    <xf numFmtId="0" fontId="6" fillId="15" borderId="0" xfId="0" applyFont="1" applyFill="1" applyAlignment="1">
      <alignment vertical="center"/>
    </xf>
    <xf numFmtId="0" fontId="3" fillId="15" borderId="0" xfId="0" applyFont="1" applyFill="1" applyAlignment="1">
      <alignment vertical="center"/>
    </xf>
    <xf numFmtId="0" fontId="54" fillId="15" borderId="0" xfId="0" applyFont="1" applyFill="1"/>
    <xf numFmtId="0" fontId="35" fillId="15" borderId="0" xfId="0" applyFont="1" applyFill="1" applyAlignment="1">
      <alignment vertical="top"/>
    </xf>
    <xf numFmtId="0" fontId="9" fillId="15" borderId="0" xfId="0" applyFont="1" applyFill="1" applyProtection="1">
      <protection hidden="1"/>
    </xf>
    <xf numFmtId="0" fontId="54" fillId="15" borderId="0" xfId="0" applyFont="1" applyFill="1" applyAlignment="1">
      <alignment horizontal="left" vertical="center"/>
    </xf>
    <xf numFmtId="0" fontId="9" fillId="15" borderId="13" xfId="0" applyFont="1" applyFill="1" applyBorder="1" applyAlignment="1">
      <alignment horizontal="center"/>
    </xf>
    <xf numFmtId="0" fontId="9" fillId="18" borderId="13" xfId="0" applyFont="1" applyFill="1" applyBorder="1" applyAlignment="1">
      <alignment horizontal="center"/>
    </xf>
    <xf numFmtId="0" fontId="5" fillId="9" borderId="0" xfId="0" applyFont="1" applyFill="1" applyAlignment="1">
      <alignment vertical="center"/>
    </xf>
    <xf numFmtId="1" fontId="35" fillId="10" borderId="0" xfId="0" applyNumberFormat="1" applyFont="1" applyFill="1" applyAlignment="1">
      <alignment horizontal="left" vertical="center"/>
    </xf>
    <xf numFmtId="0" fontId="45" fillId="9" borderId="0" xfId="0" applyFont="1" applyFill="1" applyAlignment="1">
      <alignment vertical="center"/>
    </xf>
    <xf numFmtId="0" fontId="35" fillId="9" borderId="0" xfId="0" applyFont="1" applyFill="1" applyAlignment="1">
      <alignment horizontal="left" vertical="top"/>
    </xf>
    <xf numFmtId="0" fontId="17" fillId="9" borderId="0" xfId="0" applyFont="1" applyFill="1" applyAlignment="1">
      <alignment vertical="center"/>
    </xf>
    <xf numFmtId="0" fontId="35" fillId="9" borderId="0" xfId="0" applyFont="1" applyFill="1" applyAlignment="1">
      <alignment horizontal="left" vertical="top" wrapText="1"/>
    </xf>
    <xf numFmtId="0" fontId="35" fillId="9" borderId="0" xfId="0" applyFont="1" applyFill="1" applyAlignment="1">
      <alignment horizontal="left" vertical="top" wrapText="1"/>
    </xf>
    <xf numFmtId="0" fontId="35" fillId="9" borderId="0" xfId="0" applyFont="1" applyFill="1" applyAlignment="1">
      <alignment vertical="top" wrapText="1"/>
    </xf>
    <xf numFmtId="0" fontId="0" fillId="0" borderId="0" xfId="0" applyAlignment="1">
      <alignment vertical="center"/>
    </xf>
    <xf numFmtId="0" fontId="40" fillId="9" borderId="0" xfId="0" applyFont="1" applyFill="1" applyAlignment="1">
      <alignment vertical="center"/>
    </xf>
    <xf numFmtId="0" fontId="34" fillId="9" borderId="0" xfId="0" applyFont="1" applyFill="1" applyAlignment="1">
      <alignment vertical="center"/>
    </xf>
    <xf numFmtId="0" fontId="24" fillId="9" borderId="0" xfId="0" applyFont="1" applyFill="1" applyAlignment="1">
      <alignment vertical="center"/>
    </xf>
    <xf numFmtId="0" fontId="24" fillId="9" borderId="0" xfId="0" applyFont="1" applyFill="1"/>
    <xf numFmtId="14" fontId="35" fillId="9" borderId="0" xfId="0" applyNumberFormat="1" applyFont="1" applyFill="1" applyAlignment="1">
      <alignment horizontal="center" vertical="center"/>
    </xf>
    <xf numFmtId="0" fontId="33" fillId="0" borderId="22" xfId="0" applyFont="1" applyBorder="1" applyAlignment="1">
      <alignment vertical="center"/>
    </xf>
    <xf numFmtId="0" fontId="35" fillId="9" borderId="22" xfId="0" applyFont="1" applyFill="1" applyBorder="1"/>
    <xf numFmtId="0" fontId="9" fillId="9" borderId="0" xfId="0" applyFont="1" applyFill="1" applyAlignment="1">
      <alignment wrapText="1"/>
    </xf>
    <xf numFmtId="0" fontId="0" fillId="15" borderId="0" xfId="0" applyFill="1"/>
    <xf numFmtId="0" fontId="3" fillId="15" borderId="0" xfId="0" applyFont="1" applyFill="1" applyAlignment="1" applyProtection="1">
      <alignment horizontal="left" vertical="center"/>
      <protection hidden="1"/>
    </xf>
    <xf numFmtId="0" fontId="9" fillId="15" borderId="0" xfId="0" applyFont="1" applyFill="1" applyAlignment="1">
      <alignment horizontal="left" vertical="center"/>
    </xf>
    <xf numFmtId="0" fontId="35" fillId="18" borderId="0" xfId="0" applyFont="1" applyFill="1"/>
    <xf numFmtId="0" fontId="6" fillId="18" borderId="0" xfId="0" applyFont="1" applyFill="1" applyAlignment="1">
      <alignment vertical="center"/>
    </xf>
    <xf numFmtId="0" fontId="35" fillId="18" borderId="0" xfId="0" applyFont="1" applyFill="1" applyAlignment="1">
      <alignment vertical="center"/>
    </xf>
    <xf numFmtId="0" fontId="35" fillId="18" borderId="0" xfId="0" applyFont="1" applyFill="1" applyAlignment="1">
      <alignment horizontal="center" vertical="center"/>
    </xf>
    <xf numFmtId="0" fontId="35" fillId="15" borderId="27" xfId="0" applyFont="1" applyFill="1" applyBorder="1"/>
    <xf numFmtId="0" fontId="35" fillId="15" borderId="23" xfId="0" applyFont="1" applyFill="1" applyBorder="1" applyAlignment="1">
      <alignment vertical="center"/>
    </xf>
    <xf numFmtId="0" fontId="35" fillId="15" borderId="23" xfId="0" applyFont="1" applyFill="1" applyBorder="1" applyAlignment="1">
      <alignment horizontal="center" vertical="center"/>
    </xf>
    <xf numFmtId="0" fontId="35" fillId="15" borderId="24" xfId="0" applyFont="1" applyFill="1" applyBorder="1"/>
    <xf numFmtId="0" fontId="35" fillId="15" borderId="26" xfId="0" applyFont="1" applyFill="1" applyBorder="1"/>
    <xf numFmtId="0" fontId="35" fillId="15" borderId="16" xfId="0" applyFont="1" applyFill="1" applyBorder="1"/>
    <xf numFmtId="0" fontId="35" fillId="15" borderId="17" xfId="0" applyFont="1" applyFill="1" applyBorder="1"/>
    <xf numFmtId="14" fontId="35" fillId="15" borderId="0" xfId="0" applyNumberFormat="1" applyFont="1" applyFill="1" applyAlignment="1">
      <alignment horizontal="center" vertical="center"/>
    </xf>
    <xf numFmtId="0" fontId="35" fillId="0" borderId="0" xfId="0" applyFont="1"/>
    <xf numFmtId="0" fontId="9" fillId="15" borderId="0" xfId="0" applyFont="1" applyFill="1" applyAlignment="1">
      <alignment wrapText="1"/>
    </xf>
    <xf numFmtId="0" fontId="35" fillId="15" borderId="22" xfId="0" applyFont="1" applyFill="1" applyBorder="1"/>
    <xf numFmtId="0" fontId="35" fillId="15" borderId="15" xfId="0" applyFont="1" applyFill="1" applyBorder="1" applyAlignment="1">
      <alignment vertical="center"/>
    </xf>
    <xf numFmtId="0" fontId="35" fillId="15" borderId="22" xfId="0" applyFont="1" applyFill="1" applyBorder="1" applyAlignment="1">
      <alignment horizontal="left" wrapText="1"/>
    </xf>
    <xf numFmtId="0" fontId="34" fillId="9" borderId="23" xfId="0" applyFont="1" applyFill="1" applyBorder="1" applyAlignment="1">
      <alignment vertical="center"/>
    </xf>
    <xf numFmtId="0" fontId="35" fillId="9" borderId="27" xfId="0" applyFont="1" applyFill="1" applyBorder="1" applyAlignment="1">
      <alignment vertical="center"/>
    </xf>
    <xf numFmtId="0" fontId="35" fillId="9" borderId="24" xfId="0" applyFont="1" applyFill="1" applyBorder="1" applyAlignment="1">
      <alignment vertical="center"/>
    </xf>
    <xf numFmtId="14" fontId="35" fillId="9" borderId="22" xfId="0" applyNumberFormat="1" applyFont="1" applyFill="1" applyBorder="1" applyAlignment="1">
      <alignment horizontal="center" vertical="center"/>
    </xf>
    <xf numFmtId="0" fontId="35" fillId="9" borderId="22" xfId="0" applyFont="1" applyFill="1" applyBorder="1" applyAlignment="1">
      <alignment horizontal="center"/>
    </xf>
    <xf numFmtId="0" fontId="5" fillId="15" borderId="0" xfId="0" applyFont="1" applyFill="1" applyAlignment="1">
      <alignment vertical="center"/>
    </xf>
    <xf numFmtId="0" fontId="5" fillId="15" borderId="27" xfId="0" applyFont="1" applyFill="1" applyBorder="1" applyAlignment="1">
      <alignment vertical="center"/>
    </xf>
    <xf numFmtId="0" fontId="5" fillId="15" borderId="24" xfId="0" applyFont="1" applyFill="1" applyBorder="1" applyAlignment="1">
      <alignment vertical="center"/>
    </xf>
    <xf numFmtId="0" fontId="17" fillId="15" borderId="0" xfId="0" applyFont="1" applyFill="1" applyAlignment="1">
      <alignment vertical="center"/>
    </xf>
    <xf numFmtId="0" fontId="35" fillId="15" borderId="0" xfId="0" applyFont="1" applyFill="1" applyAlignment="1">
      <alignment horizontal="left" vertical="center" indent="1"/>
    </xf>
    <xf numFmtId="0" fontId="35" fillId="15" borderId="0" xfId="0" applyFont="1" applyFill="1" applyAlignment="1">
      <alignment horizontal="left" vertical="center" indent="2"/>
    </xf>
    <xf numFmtId="0" fontId="0" fillId="10" borderId="27" xfId="0" applyFill="1" applyBorder="1" applyProtection="1"/>
    <xf numFmtId="0" fontId="0" fillId="10" borderId="23" xfId="0" applyFill="1" applyBorder="1" applyProtection="1"/>
    <xf numFmtId="0" fontId="0" fillId="10" borderId="15" xfId="0" applyFill="1" applyBorder="1" applyProtection="1"/>
    <xf numFmtId="0" fontId="0" fillId="10" borderId="24" xfId="0" applyFill="1" applyBorder="1" applyProtection="1"/>
    <xf numFmtId="0" fontId="0" fillId="10" borderId="26" xfId="0" applyFill="1" applyBorder="1" applyProtection="1"/>
    <xf numFmtId="0" fontId="0" fillId="10" borderId="0" xfId="0" applyFill="1" applyBorder="1" applyProtection="1"/>
    <xf numFmtId="0" fontId="0" fillId="10" borderId="16" xfId="0" applyFill="1" applyBorder="1" applyProtection="1"/>
    <xf numFmtId="0" fontId="0" fillId="10" borderId="22" xfId="0" applyFill="1" applyBorder="1" applyProtection="1"/>
    <xf numFmtId="0" fontId="0" fillId="10" borderId="17" xfId="0" applyFill="1" applyBorder="1" applyProtection="1"/>
    <xf numFmtId="0" fontId="3" fillId="9" borderId="0" xfId="0" applyFont="1" applyFill="1" applyAlignment="1">
      <alignment vertical="center"/>
    </xf>
    <xf numFmtId="0" fontId="11" fillId="9" borderId="22" xfId="0" applyFont="1" applyFill="1" applyBorder="1" applyAlignment="1">
      <alignment horizontal="right" vertical="top"/>
    </xf>
    <xf numFmtId="1" fontId="35" fillId="9" borderId="0" xfId="0" applyNumberFormat="1" applyFont="1" applyFill="1" applyAlignment="1">
      <alignment horizontal="center" vertical="center"/>
    </xf>
    <xf numFmtId="0" fontId="3" fillId="9" borderId="0" xfId="0" applyFont="1" applyFill="1" applyAlignment="1" applyProtection="1">
      <alignment vertical="center"/>
      <protection hidden="1"/>
    </xf>
    <xf numFmtId="0" fontId="0" fillId="9" borderId="0" xfId="0" applyFill="1" applyAlignment="1">
      <alignment horizontal="center" vertical="center"/>
    </xf>
    <xf numFmtId="0" fontId="0" fillId="9" borderId="0" xfId="0" applyFill="1" applyAlignment="1">
      <alignment vertical="center"/>
    </xf>
    <xf numFmtId="0" fontId="3" fillId="9" borderId="23" xfId="0" applyFont="1" applyFill="1" applyBorder="1" applyAlignment="1" applyProtection="1">
      <alignment vertical="center"/>
      <protection hidden="1"/>
    </xf>
    <xf numFmtId="0" fontId="35" fillId="9" borderId="0" xfId="0" applyFont="1" applyFill="1" applyAlignment="1" applyProtection="1">
      <alignment vertical="center"/>
      <protection hidden="1"/>
    </xf>
    <xf numFmtId="0" fontId="17" fillId="9" borderId="0" xfId="0" applyFont="1" applyFill="1" applyAlignment="1" applyProtection="1">
      <alignment vertical="center"/>
      <protection hidden="1"/>
    </xf>
    <xf numFmtId="0" fontId="24" fillId="9" borderId="22" xfId="0" applyFont="1" applyFill="1" applyBorder="1"/>
    <xf numFmtId="0" fontId="24" fillId="9" borderId="0" xfId="0" applyFont="1" applyFill="1" applyAlignment="1">
      <alignment vertical="top"/>
    </xf>
    <xf numFmtId="0" fontId="35" fillId="0" borderId="22" xfId="0" applyFont="1" applyBorder="1" applyAlignment="1">
      <alignment vertical="center"/>
    </xf>
    <xf numFmtId="0" fontId="9" fillId="0" borderId="0" xfId="0" applyFont="1"/>
    <xf numFmtId="0" fontId="0" fillId="9" borderId="0" xfId="0" applyFont="1" applyFill="1" applyBorder="1" applyAlignment="1" applyProtection="1">
      <alignment horizontal="left" vertical="top" wrapText="1"/>
    </xf>
    <xf numFmtId="0" fontId="0" fillId="9" borderId="26" xfId="0" applyFont="1" applyFill="1" applyBorder="1" applyAlignment="1" applyProtection="1">
      <alignment horizontal="left" vertical="top" wrapText="1"/>
    </xf>
    <xf numFmtId="0" fontId="0" fillId="9" borderId="24" xfId="0" applyFont="1" applyFill="1" applyBorder="1" applyAlignment="1" applyProtection="1">
      <alignment horizontal="left" vertical="top" wrapText="1"/>
    </xf>
    <xf numFmtId="0" fontId="0" fillId="9" borderId="16" xfId="0" applyFont="1" applyFill="1" applyBorder="1" applyAlignment="1" applyProtection="1">
      <alignment horizontal="left" vertical="top" wrapText="1"/>
    </xf>
    <xf numFmtId="0" fontId="0" fillId="9" borderId="22" xfId="0" applyFont="1" applyFill="1" applyBorder="1" applyAlignment="1" applyProtection="1">
      <alignment horizontal="left" vertical="top" wrapText="1"/>
    </xf>
    <xf numFmtId="0" fontId="5" fillId="9" borderId="0" xfId="0" applyFont="1" applyFill="1" applyAlignment="1" applyProtection="1">
      <alignment vertical="center"/>
    </xf>
    <xf numFmtId="0" fontId="3" fillId="9" borderId="0" xfId="0" applyFont="1" applyFill="1" applyAlignment="1" applyProtection="1">
      <alignment horizontal="left" vertical="center" wrapText="1"/>
    </xf>
    <xf numFmtId="0" fontId="6" fillId="5" borderId="0" xfId="0" applyFont="1" applyFill="1" applyAlignment="1" applyProtection="1">
      <alignment vertical="center"/>
    </xf>
    <xf numFmtId="0" fontId="35" fillId="5" borderId="0" xfId="0" applyFont="1" applyFill="1" applyAlignment="1" applyProtection="1">
      <alignment vertical="center"/>
    </xf>
    <xf numFmtId="0" fontId="35" fillId="5" borderId="0" xfId="0" applyFont="1" applyFill="1" applyAlignment="1" applyProtection="1">
      <alignment horizontal="center" vertical="center"/>
    </xf>
    <xf numFmtId="0" fontId="35" fillId="9" borderId="0" xfId="0" applyFont="1" applyFill="1" applyAlignment="1" applyProtection="1">
      <alignment horizontal="left" vertical="center"/>
    </xf>
    <xf numFmtId="0" fontId="35" fillId="0" borderId="0" xfId="0" applyFont="1" applyAlignment="1" applyProtection="1">
      <alignment vertical="center"/>
    </xf>
    <xf numFmtId="0" fontId="38" fillId="9" borderId="0" xfId="0" applyFont="1" applyFill="1" applyProtection="1"/>
    <xf numFmtId="0" fontId="35" fillId="9" borderId="24" xfId="0" applyFont="1" applyFill="1" applyBorder="1" applyAlignment="1" applyProtection="1">
      <alignment horizontal="center" vertical="center"/>
    </xf>
    <xf numFmtId="170" fontId="35" fillId="9" borderId="24" xfId="0" applyNumberFormat="1" applyFont="1" applyFill="1" applyBorder="1" applyAlignment="1" applyProtection="1">
      <alignment horizontal="center" vertical="center"/>
    </xf>
    <xf numFmtId="170" fontId="35" fillId="9" borderId="16" xfId="0" applyNumberFormat="1" applyFont="1" applyFill="1" applyBorder="1" applyAlignment="1" applyProtection="1">
      <alignment horizontal="center" vertical="center"/>
    </xf>
    <xf numFmtId="0" fontId="35" fillId="9" borderId="16" xfId="0" applyFont="1" applyFill="1" applyBorder="1" applyAlignment="1" applyProtection="1">
      <alignment vertical="center"/>
    </xf>
    <xf numFmtId="0" fontId="4" fillId="9" borderId="0" xfId="0" applyFont="1" applyFill="1" applyAlignment="1" applyProtection="1">
      <alignment horizontal="left" vertical="top" wrapText="1"/>
    </xf>
    <xf numFmtId="0" fontId="35" fillId="9" borderId="0" xfId="0" applyFont="1" applyFill="1" applyAlignment="1">
      <alignment horizontal="left" wrapText="1"/>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xf>
    <xf numFmtId="0" fontId="35" fillId="15" borderId="0" xfId="0" applyFont="1" applyFill="1" applyAlignment="1">
      <alignment horizontal="center" vertical="center"/>
    </xf>
    <xf numFmtId="0" fontId="35" fillId="15" borderId="22" xfId="0" applyFont="1" applyFill="1" applyBorder="1" applyAlignment="1">
      <alignment horizontal="center"/>
    </xf>
    <xf numFmtId="49" fontId="35" fillId="9" borderId="0" xfId="0" applyNumberFormat="1" applyFont="1" applyFill="1" applyAlignment="1">
      <alignment vertical="center"/>
    </xf>
    <xf numFmtId="49" fontId="35" fillId="12" borderId="0" xfId="0" applyNumberFormat="1" applyFont="1" applyFill="1" applyAlignment="1" applyProtection="1">
      <alignment horizontal="left" vertical="center"/>
      <protection locked="0"/>
    </xf>
    <xf numFmtId="0" fontId="41" fillId="9" borderId="0" xfId="0" applyFont="1" applyFill="1" applyAlignment="1">
      <alignment vertical="center"/>
    </xf>
    <xf numFmtId="0" fontId="55" fillId="9" borderId="0" xfId="0" applyFont="1" applyFill="1" applyAlignment="1">
      <alignment horizontal="center" vertical="center"/>
    </xf>
    <xf numFmtId="0" fontId="9" fillId="9" borderId="0" xfId="0" applyFont="1" applyFill="1" applyBorder="1"/>
    <xf numFmtId="0" fontId="35" fillId="9" borderId="0" xfId="0" applyFont="1" applyFill="1" applyBorder="1" applyAlignment="1">
      <alignment vertical="center"/>
    </xf>
    <xf numFmtId="0" fontId="35" fillId="9" borderId="0" xfId="0" applyFont="1" applyFill="1" applyBorder="1" applyAlignment="1">
      <alignment horizontal="center" vertical="center"/>
    </xf>
    <xf numFmtId="0" fontId="6" fillId="9" borderId="0" xfId="0" applyFont="1" applyFill="1" applyBorder="1" applyAlignment="1">
      <alignment vertical="center"/>
    </xf>
    <xf numFmtId="0" fontId="35" fillId="9" borderId="0" xfId="0" applyFont="1" applyFill="1" applyBorder="1" applyAlignment="1">
      <alignment horizontal="left" vertical="top"/>
    </xf>
    <xf numFmtId="0" fontId="6" fillId="9" borderId="0" xfId="0" applyFont="1" applyFill="1" applyBorder="1" applyAlignment="1" applyProtection="1">
      <alignment horizontal="left" vertical="center"/>
      <protection hidden="1"/>
    </xf>
    <xf numFmtId="0" fontId="9" fillId="9" borderId="0" xfId="0" applyFont="1" applyFill="1" applyBorder="1" applyAlignment="1">
      <alignment horizontal="left" vertical="center"/>
    </xf>
    <xf numFmtId="0" fontId="35" fillId="9" borderId="0" xfId="0" applyFont="1" applyFill="1" applyBorder="1" applyAlignment="1">
      <alignment horizontal="left" vertical="center"/>
    </xf>
    <xf numFmtId="0" fontId="9" fillId="9" borderId="0" xfId="0" applyFont="1" applyFill="1" applyBorder="1" applyAlignment="1">
      <alignment vertical="center"/>
    </xf>
    <xf numFmtId="0" fontId="17" fillId="9" borderId="0" xfId="0" applyFont="1" applyFill="1" applyBorder="1" applyAlignment="1">
      <alignment vertical="center"/>
    </xf>
    <xf numFmtId="0" fontId="45" fillId="9" borderId="0" xfId="0" applyFont="1" applyFill="1" applyBorder="1" applyAlignment="1">
      <alignment vertical="center"/>
    </xf>
    <xf numFmtId="0" fontId="9" fillId="9" borderId="0" xfId="0" applyFont="1" applyFill="1" applyBorder="1" applyAlignment="1">
      <alignment horizontal="left"/>
    </xf>
    <xf numFmtId="0" fontId="35" fillId="9" borderId="0" xfId="0" applyFont="1" applyFill="1" applyBorder="1" applyAlignment="1">
      <alignment horizontal="left" vertical="center" wrapText="1"/>
    </xf>
    <xf numFmtId="0" fontId="0" fillId="9" borderId="0" xfId="0" applyFill="1" applyBorder="1"/>
    <xf numFmtId="0" fontId="45" fillId="9" borderId="0" xfId="0" applyFont="1" applyFill="1" applyBorder="1" applyAlignment="1">
      <alignment horizontal="left" vertical="top" wrapText="1"/>
    </xf>
    <xf numFmtId="0" fontId="35" fillId="9" borderId="0" xfId="0" applyFont="1" applyFill="1" applyAlignment="1">
      <alignment horizontal="center" vertical="center"/>
    </xf>
    <xf numFmtId="0" fontId="9" fillId="9" borderId="0" xfId="0" applyFont="1" applyFill="1" applyAlignment="1">
      <alignment vertical="top" wrapText="1"/>
    </xf>
    <xf numFmtId="0" fontId="35" fillId="9" borderId="0" xfId="0" applyFont="1" applyFill="1" applyAlignment="1">
      <alignment vertical="top"/>
    </xf>
    <xf numFmtId="0" fontId="9" fillId="9" borderId="13" xfId="0" applyFont="1" applyFill="1" applyBorder="1" applyAlignment="1">
      <alignment horizontal="center"/>
    </xf>
    <xf numFmtId="0" fontId="9" fillId="5" borderId="13" xfId="0" applyFont="1" applyFill="1" applyBorder="1" applyAlignment="1">
      <alignment horizontal="center"/>
    </xf>
    <xf numFmtId="0" fontId="9" fillId="5" borderId="12" xfId="0" applyFont="1" applyFill="1" applyBorder="1" applyProtection="1">
      <protection hidden="1"/>
    </xf>
    <xf numFmtId="0" fontId="9" fillId="5" borderId="28" xfId="0" applyFont="1" applyFill="1" applyBorder="1" applyProtection="1">
      <protection hidden="1"/>
    </xf>
    <xf numFmtId="0" fontId="9" fillId="5" borderId="14" xfId="0" applyFont="1" applyFill="1" applyBorder="1" applyProtection="1">
      <protection hidden="1"/>
    </xf>
    <xf numFmtId="0" fontId="9" fillId="9" borderId="0" xfId="0" applyFont="1" applyFill="1" applyProtection="1">
      <protection hidden="1"/>
    </xf>
    <xf numFmtId="0" fontId="9" fillId="9" borderId="13" xfId="0" applyFont="1" applyFill="1" applyBorder="1" applyAlignment="1" applyProtection="1">
      <alignment horizontal="center"/>
      <protection hidden="1"/>
    </xf>
    <xf numFmtId="0" fontId="9" fillId="5" borderId="13" xfId="0" applyFont="1" applyFill="1" applyBorder="1" applyAlignment="1" applyProtection="1">
      <alignment horizontal="center"/>
      <protection hidden="1"/>
    </xf>
    <xf numFmtId="14" fontId="35" fillId="10" borderId="0" xfId="0" applyNumberFormat="1" applyFont="1" applyFill="1" applyAlignment="1" applyProtection="1">
      <alignment horizontal="left" vertical="center"/>
    </xf>
    <xf numFmtId="2" fontId="35" fillId="10" borderId="0" xfId="0" applyNumberFormat="1" applyFont="1" applyFill="1" applyAlignment="1">
      <alignment horizontal="center" vertical="center"/>
    </xf>
    <xf numFmtId="0" fontId="21" fillId="12" borderId="12" xfId="0" applyFont="1" applyFill="1" applyBorder="1" applyAlignment="1" applyProtection="1">
      <alignment horizontal="center"/>
    </xf>
    <xf numFmtId="166" fontId="9" fillId="12" borderId="1" xfId="0" applyNumberFormat="1" applyFont="1" applyFill="1" applyBorder="1" applyProtection="1"/>
    <xf numFmtId="166" fontId="9" fillId="12" borderId="2" xfId="0" applyNumberFormat="1" applyFont="1" applyFill="1" applyBorder="1" applyAlignment="1" applyProtection="1">
      <alignment horizontal="right"/>
    </xf>
    <xf numFmtId="0" fontId="9" fillId="12" borderId="9" xfId="0" applyFont="1" applyFill="1" applyBorder="1" applyAlignment="1" applyProtection="1">
      <alignment horizontal="right"/>
    </xf>
    <xf numFmtId="0" fontId="21" fillId="12" borderId="13" xfId="0" applyFont="1" applyFill="1" applyBorder="1" applyAlignment="1" applyProtection="1">
      <alignment horizontal="center"/>
    </xf>
    <xf numFmtId="0" fontId="9" fillId="12" borderId="6" xfId="0" applyFont="1" applyFill="1" applyBorder="1" applyAlignment="1" applyProtection="1">
      <alignment horizontal="right"/>
    </xf>
    <xf numFmtId="0" fontId="9" fillId="12" borderId="10" xfId="0" applyFont="1" applyFill="1" applyBorder="1" applyAlignment="1" applyProtection="1">
      <alignment horizontal="center"/>
    </xf>
    <xf numFmtId="0" fontId="9" fillId="12" borderId="7" xfId="0" applyFont="1" applyFill="1" applyBorder="1" applyAlignment="1" applyProtection="1">
      <alignment horizontal="right"/>
    </xf>
    <xf numFmtId="0" fontId="9" fillId="12" borderId="0" xfId="0" applyFont="1" applyFill="1" applyBorder="1" applyAlignment="1" applyProtection="1">
      <alignment horizontal="center"/>
    </xf>
    <xf numFmtId="0" fontId="9" fillId="12" borderId="0" xfId="0" applyFont="1" applyFill="1" applyAlignment="1" applyProtection="1">
      <alignment horizontal="center"/>
    </xf>
    <xf numFmtId="0" fontId="9" fillId="12" borderId="8" xfId="0" applyFont="1" applyFill="1" applyBorder="1" applyAlignment="1" applyProtection="1">
      <alignment horizontal="right"/>
    </xf>
    <xf numFmtId="0" fontId="9" fillId="12" borderId="11" xfId="0" applyFont="1" applyFill="1" applyBorder="1" applyAlignment="1" applyProtection="1">
      <alignment horizontal="center"/>
    </xf>
    <xf numFmtId="0" fontId="9" fillId="12" borderId="7" xfId="0" applyFont="1" applyFill="1" applyBorder="1" applyAlignment="1" applyProtection="1">
      <alignment horizontal="left" shrinkToFit="1"/>
    </xf>
    <xf numFmtId="9" fontId="9" fillId="12" borderId="20" xfId="0" applyNumberFormat="1" applyFont="1" applyFill="1" applyBorder="1" applyAlignment="1" applyProtection="1">
      <alignment horizontal="right"/>
    </xf>
    <xf numFmtId="0" fontId="9" fillId="12" borderId="20" xfId="0" applyFont="1" applyFill="1" applyBorder="1" applyAlignment="1" applyProtection="1">
      <alignment horizontal="center"/>
    </xf>
    <xf numFmtId="9" fontId="9" fillId="12" borderId="21" xfId="0" applyNumberFormat="1" applyFont="1" applyFill="1" applyBorder="1" applyAlignment="1" applyProtection="1">
      <alignment horizontal="center"/>
    </xf>
    <xf numFmtId="0" fontId="9" fillId="12" borderId="21" xfId="0" applyFont="1" applyFill="1" applyBorder="1" applyAlignment="1" applyProtection="1">
      <alignment horizontal="center"/>
    </xf>
    <xf numFmtId="0" fontId="9" fillId="12" borderId="19" xfId="0" applyFont="1" applyFill="1" applyBorder="1" applyAlignment="1" applyProtection="1">
      <alignment horizontal="left" shrinkToFit="1"/>
    </xf>
    <xf numFmtId="0" fontId="9" fillId="12" borderId="6" xfId="0" applyFont="1" applyFill="1" applyBorder="1" applyAlignment="1" applyProtection="1">
      <alignment horizontal="right" shrinkToFit="1"/>
    </xf>
    <xf numFmtId="1" fontId="9" fillId="12" borderId="3" xfId="0" applyNumberFormat="1" applyFont="1" applyFill="1" applyBorder="1" applyAlignment="1" applyProtection="1">
      <alignment horizontal="right"/>
    </xf>
    <xf numFmtId="0" fontId="9" fillId="12" borderId="1" xfId="0" applyFont="1" applyFill="1" applyBorder="1" applyAlignment="1" applyProtection="1">
      <alignment horizontal="right" shrinkToFit="1"/>
    </xf>
    <xf numFmtId="1" fontId="9" fillId="12" borderId="9" xfId="0" applyNumberFormat="1" applyFont="1" applyFill="1" applyBorder="1" applyAlignment="1" applyProtection="1">
      <alignment horizontal="right"/>
    </xf>
    <xf numFmtId="14" fontId="9" fillId="12" borderId="0" xfId="0" applyNumberFormat="1" applyFont="1" applyFill="1" applyAlignment="1" applyProtection="1">
      <alignment horizontal="left"/>
    </xf>
    <xf numFmtId="0" fontId="6" fillId="0" borderId="0" xfId="0" applyFont="1" applyAlignment="1" applyProtection="1">
      <alignment vertical="center" wrapText="1"/>
    </xf>
    <xf numFmtId="0" fontId="1" fillId="9" borderId="26" xfId="0" applyFont="1" applyFill="1" applyBorder="1" applyAlignment="1" applyProtection="1"/>
    <xf numFmtId="0" fontId="9" fillId="15" borderId="0" xfId="0" applyFont="1" applyFill="1" applyProtection="1"/>
    <xf numFmtId="0" fontId="3" fillId="15" borderId="0" xfId="0" applyFont="1" applyFill="1" applyProtection="1"/>
    <xf numFmtId="0" fontId="6" fillId="15" borderId="0" xfId="0" applyFont="1" applyFill="1" applyProtection="1"/>
    <xf numFmtId="0" fontId="9" fillId="15" borderId="0" xfId="0" applyFont="1" applyFill="1" applyAlignment="1" applyProtection="1">
      <alignment horizontal="right"/>
    </xf>
    <xf numFmtId="0" fontId="9" fillId="15" borderId="27" xfId="0" applyFont="1" applyFill="1" applyBorder="1" applyProtection="1"/>
    <xf numFmtId="0" fontId="9" fillId="15" borderId="23" xfId="0" applyFont="1" applyFill="1" applyBorder="1" applyAlignment="1" applyProtection="1">
      <alignment vertical="center"/>
    </xf>
    <xf numFmtId="0" fontId="3" fillId="15" borderId="23" xfId="0" applyFont="1" applyFill="1" applyBorder="1" applyAlignment="1" applyProtection="1">
      <alignment vertical="center"/>
    </xf>
    <xf numFmtId="0" fontId="9" fillId="15" borderId="23" xfId="0" applyFont="1" applyFill="1" applyBorder="1" applyAlignment="1" applyProtection="1">
      <alignment horizontal="center" vertical="center"/>
    </xf>
    <xf numFmtId="0" fontId="9" fillId="15" borderId="23" xfId="0" applyFont="1" applyFill="1" applyBorder="1" applyProtection="1"/>
    <xf numFmtId="0" fontId="9" fillId="15" borderId="15" xfId="0" applyFont="1" applyFill="1" applyBorder="1" applyProtection="1"/>
    <xf numFmtId="0" fontId="9" fillId="15" borderId="24" xfId="0" applyFont="1" applyFill="1" applyBorder="1" applyProtection="1"/>
    <xf numFmtId="0" fontId="6" fillId="15" borderId="0" xfId="0" applyFont="1" applyFill="1" applyAlignment="1" applyProtection="1">
      <alignment vertical="center"/>
    </xf>
    <xf numFmtId="0" fontId="9" fillId="15" borderId="0" xfId="0" applyFont="1" applyFill="1" applyAlignment="1" applyProtection="1">
      <alignment vertical="center"/>
    </xf>
    <xf numFmtId="0" fontId="9" fillId="15" borderId="0" xfId="0" applyFont="1" applyFill="1" applyAlignment="1" applyProtection="1">
      <alignment horizontal="center" vertical="center"/>
    </xf>
    <xf numFmtId="0" fontId="9" fillId="15" borderId="26" xfId="0" applyFont="1" applyFill="1" applyBorder="1" applyProtection="1"/>
    <xf numFmtId="0" fontId="35" fillId="15" borderId="0" xfId="0" applyFont="1" applyFill="1" applyAlignment="1" applyProtection="1">
      <alignment vertical="center"/>
    </xf>
    <xf numFmtId="0" fontId="35" fillId="15" borderId="0" xfId="0" applyFont="1" applyFill="1" applyAlignment="1" applyProtection="1">
      <alignment horizontal="center" vertical="center"/>
    </xf>
    <xf numFmtId="0" fontId="9" fillId="15" borderId="16" xfId="0" applyFont="1" applyFill="1" applyBorder="1" applyProtection="1"/>
    <xf numFmtId="0" fontId="35" fillId="15" borderId="22" xfId="0" applyFont="1" applyFill="1" applyBorder="1" applyAlignment="1" applyProtection="1">
      <alignment vertical="center"/>
    </xf>
    <xf numFmtId="0" fontId="35" fillId="15" borderId="22" xfId="0" applyFont="1" applyFill="1" applyBorder="1" applyAlignment="1" applyProtection="1">
      <alignment horizontal="center" vertical="center"/>
    </xf>
    <xf numFmtId="0" fontId="9" fillId="15" borderId="22" xfId="0" applyFont="1" applyFill="1" applyBorder="1" applyProtection="1"/>
    <xf numFmtId="0" fontId="9" fillId="15" borderId="17" xfId="0" applyFont="1" applyFill="1" applyBorder="1" applyProtection="1"/>
    <xf numFmtId="0" fontId="9" fillId="15" borderId="27" xfId="0" applyFont="1" applyFill="1" applyBorder="1" applyAlignment="1" applyProtection="1">
      <alignment vertical="center"/>
    </xf>
    <xf numFmtId="0" fontId="9" fillId="15" borderId="15" xfId="0" applyFont="1" applyFill="1" applyBorder="1" applyAlignment="1" applyProtection="1">
      <alignment vertical="center"/>
    </xf>
    <xf numFmtId="0" fontId="9" fillId="15" borderId="24" xfId="0" applyFont="1" applyFill="1" applyBorder="1" applyAlignment="1" applyProtection="1">
      <alignment vertical="center"/>
    </xf>
    <xf numFmtId="0" fontId="9" fillId="15" borderId="26" xfId="0" applyFont="1" applyFill="1" applyBorder="1" applyAlignment="1" applyProtection="1">
      <alignment vertical="center"/>
    </xf>
    <xf numFmtId="0" fontId="11" fillId="15" borderId="0" xfId="0" applyFont="1" applyFill="1" applyAlignment="1" applyProtection="1">
      <alignment vertical="center"/>
    </xf>
    <xf numFmtId="0" fontId="52" fillId="15" borderId="0" xfId="0" applyFont="1" applyFill="1" applyAlignment="1" applyProtection="1">
      <alignment vertical="center"/>
    </xf>
    <xf numFmtId="0" fontId="9" fillId="15" borderId="16" xfId="0" applyFont="1" applyFill="1" applyBorder="1" applyAlignment="1" applyProtection="1">
      <alignment vertical="center"/>
    </xf>
    <xf numFmtId="0" fontId="9" fillId="15" borderId="22" xfId="0" applyFont="1" applyFill="1" applyBorder="1" applyAlignment="1" applyProtection="1">
      <alignment vertical="center"/>
    </xf>
    <xf numFmtId="0" fontId="9" fillId="15" borderId="17" xfId="0" applyFont="1" applyFill="1" applyBorder="1" applyAlignment="1" applyProtection="1">
      <alignment vertical="center"/>
    </xf>
    <xf numFmtId="0" fontId="9" fillId="9" borderId="27" xfId="0" applyFont="1" applyFill="1" applyBorder="1" applyAlignment="1" applyProtection="1">
      <alignment vertical="center"/>
    </xf>
    <xf numFmtId="0" fontId="9" fillId="9" borderId="15" xfId="0" applyFont="1" applyFill="1" applyBorder="1" applyAlignment="1" applyProtection="1">
      <alignment vertical="center"/>
    </xf>
    <xf numFmtId="0" fontId="9" fillId="9" borderId="24" xfId="0" applyFont="1" applyFill="1" applyBorder="1" applyAlignment="1" applyProtection="1">
      <alignment vertical="center"/>
    </xf>
    <xf numFmtId="0" fontId="9" fillId="9" borderId="26" xfId="0" applyFont="1" applyFill="1" applyBorder="1" applyAlignment="1" applyProtection="1">
      <alignment vertical="center"/>
    </xf>
    <xf numFmtId="0" fontId="9" fillId="9" borderId="16" xfId="0" applyFont="1" applyFill="1" applyBorder="1" applyAlignment="1" applyProtection="1">
      <alignment vertical="center"/>
    </xf>
    <xf numFmtId="0" fontId="9" fillId="9" borderId="22" xfId="0" applyFont="1" applyFill="1" applyBorder="1" applyAlignment="1" applyProtection="1">
      <alignment vertical="center"/>
    </xf>
    <xf numFmtId="0" fontId="9" fillId="9" borderId="17" xfId="0" applyFont="1" applyFill="1" applyBorder="1" applyAlignment="1" applyProtection="1">
      <alignment vertical="center"/>
    </xf>
    <xf numFmtId="0" fontId="9" fillId="21" borderId="0" xfId="0" applyFont="1" applyFill="1" applyAlignment="1" applyProtection="1">
      <alignment vertical="center"/>
    </xf>
    <xf numFmtId="0" fontId="3" fillId="15" borderId="0" xfId="0" applyFont="1" applyFill="1" applyAlignment="1" applyProtection="1">
      <alignment vertical="center"/>
    </xf>
    <xf numFmtId="0" fontId="9" fillId="20" borderId="26" xfId="0" applyFont="1" applyFill="1" applyBorder="1" applyAlignment="1" applyProtection="1">
      <alignment vertical="center"/>
    </xf>
    <xf numFmtId="0" fontId="52" fillId="15" borderId="0" xfId="0" applyFont="1" applyFill="1" applyProtection="1"/>
    <xf numFmtId="0" fontId="17" fillId="15" borderId="0" xfId="0" applyFont="1" applyFill="1" applyProtection="1"/>
    <xf numFmtId="49" fontId="8" fillId="15" borderId="0" xfId="0" applyNumberFormat="1" applyFont="1" applyFill="1" applyAlignment="1" applyProtection="1">
      <alignment horizontal="left"/>
    </xf>
    <xf numFmtId="0" fontId="9" fillId="15" borderId="0" xfId="0" applyFont="1" applyFill="1" applyAlignment="1" applyProtection="1">
      <alignment vertical="center" wrapText="1"/>
    </xf>
    <xf numFmtId="0" fontId="0" fillId="10" borderId="27" xfId="0" applyFont="1" applyFill="1" applyBorder="1" applyProtection="1"/>
    <xf numFmtId="0" fontId="0" fillId="10" borderId="23" xfId="0" applyFont="1" applyFill="1" applyBorder="1" applyProtection="1"/>
    <xf numFmtId="0" fontId="0" fillId="10" borderId="15" xfId="0" applyFont="1" applyFill="1" applyBorder="1" applyProtection="1"/>
    <xf numFmtId="0" fontId="0" fillId="10" borderId="24" xfId="0" applyFont="1" applyFill="1" applyBorder="1" applyProtection="1"/>
    <xf numFmtId="0" fontId="0" fillId="10" borderId="26" xfId="0" applyFont="1" applyFill="1" applyBorder="1" applyProtection="1"/>
    <xf numFmtId="0" fontId="0" fillId="10" borderId="0" xfId="0" applyFont="1" applyFill="1" applyBorder="1" applyProtection="1"/>
    <xf numFmtId="0" fontId="35" fillId="9" borderId="0" xfId="0" applyFont="1" applyFill="1" applyAlignment="1">
      <alignment horizontal="center" vertical="center"/>
    </xf>
    <xf numFmtId="0" fontId="55" fillId="9" borderId="0" xfId="0" applyFont="1" applyFill="1" applyAlignment="1">
      <alignment horizontal="center" vertical="center"/>
    </xf>
    <xf numFmtId="0" fontId="42" fillId="9" borderId="0" xfId="0" applyFont="1" applyFill="1"/>
    <xf numFmtId="0" fontId="55" fillId="9" borderId="0" xfId="0" applyFont="1" applyFill="1" applyAlignment="1">
      <alignment vertical="center"/>
    </xf>
    <xf numFmtId="0" fontId="9" fillId="12" borderId="0" xfId="0" quotePrefix="1" applyFont="1" applyFill="1" applyAlignment="1" applyProtection="1">
      <alignment horizontal="left" shrinkToFit="1"/>
    </xf>
    <xf numFmtId="0" fontId="6" fillId="0" borderId="7" xfId="0" applyFont="1" applyFill="1" applyBorder="1" applyAlignment="1" applyProtection="1">
      <alignment horizontal="center"/>
    </xf>
    <xf numFmtId="1" fontId="9" fillId="10" borderId="0" xfId="0" applyNumberFormat="1" applyFont="1" applyFill="1" applyBorder="1" applyAlignment="1" applyProtection="1">
      <alignment horizontal="right"/>
    </xf>
    <xf numFmtId="1" fontId="9" fillId="10" borderId="11" xfId="0" applyNumberFormat="1" applyFont="1" applyFill="1" applyBorder="1" applyAlignment="1" applyProtection="1">
      <alignment horizontal="right"/>
    </xf>
    <xf numFmtId="0" fontId="6" fillId="0" borderId="0" xfId="0" applyFont="1" applyFill="1" applyBorder="1" applyAlignment="1" applyProtection="1">
      <alignment horizontal="center"/>
    </xf>
    <xf numFmtId="0" fontId="9" fillId="14" borderId="8" xfId="0" applyFont="1" applyFill="1" applyBorder="1" applyAlignment="1" applyProtection="1">
      <alignment horizontal="right"/>
    </xf>
    <xf numFmtId="0" fontId="9" fillId="14" borderId="11" xfId="0" applyFont="1" applyFill="1" applyBorder="1" applyAlignment="1" applyProtection="1">
      <alignment horizontal="right"/>
    </xf>
    <xf numFmtId="0" fontId="35" fillId="12" borderId="0" xfId="0" applyFont="1" applyFill="1" applyBorder="1" applyAlignment="1" applyProtection="1">
      <alignment horizontal="center" vertical="center"/>
      <protection locked="0"/>
    </xf>
    <xf numFmtId="0" fontId="35" fillId="15" borderId="0" xfId="0" applyFont="1" applyFill="1" applyAlignment="1">
      <alignment horizontal="left" vertical="center"/>
    </xf>
    <xf numFmtId="14" fontId="35" fillId="12" borderId="0" xfId="0" applyNumberFormat="1" applyFont="1" applyFill="1" applyBorder="1" applyAlignment="1" applyProtection="1">
      <alignment horizontal="center" vertical="center"/>
      <protection locked="0"/>
    </xf>
    <xf numFmtId="0" fontId="35" fillId="9" borderId="0" xfId="0" applyFont="1" applyFill="1" applyBorder="1"/>
    <xf numFmtId="0" fontId="35" fillId="9" borderId="0" xfId="0" applyFont="1" applyFill="1" applyBorder="1" applyAlignment="1">
      <alignment horizontal="center"/>
    </xf>
    <xf numFmtId="0" fontId="24" fillId="9" borderId="0" xfId="0" applyFont="1" applyFill="1" applyBorder="1"/>
    <xf numFmtId="14" fontId="35" fillId="9" borderId="0" xfId="0" applyNumberFormat="1" applyFont="1" applyFill="1" applyBorder="1" applyAlignment="1">
      <alignment horizontal="center" vertical="center"/>
    </xf>
    <xf numFmtId="0" fontId="9" fillId="9" borderId="0" xfId="0" applyFont="1" applyFill="1" applyBorder="1" applyAlignment="1">
      <alignment horizontal="center" vertical="center"/>
    </xf>
    <xf numFmtId="1" fontId="35" fillId="10" borderId="0" xfId="0" applyNumberFormat="1" applyFont="1" applyFill="1" applyBorder="1" applyAlignment="1">
      <alignment horizontal="left" vertical="center"/>
    </xf>
    <xf numFmtId="1" fontId="35" fillId="12" borderId="0" xfId="0" applyNumberFormat="1" applyFont="1" applyFill="1" applyBorder="1" applyAlignment="1" applyProtection="1">
      <alignment horizontal="left" vertical="center"/>
      <protection locked="0"/>
    </xf>
    <xf numFmtId="14" fontId="35" fillId="10" borderId="0" xfId="0" applyNumberFormat="1" applyFont="1" applyFill="1" applyBorder="1" applyAlignment="1" applyProtection="1">
      <alignment horizontal="left" vertical="center"/>
    </xf>
    <xf numFmtId="0" fontId="35" fillId="9" borderId="0" xfId="0" applyFont="1" applyFill="1" applyBorder="1" applyAlignment="1">
      <alignment vertical="top" wrapText="1"/>
    </xf>
    <xf numFmtId="0" fontId="0" fillId="0" borderId="0" xfId="0" applyBorder="1" applyAlignment="1">
      <alignment vertical="center"/>
    </xf>
    <xf numFmtId="0" fontId="40" fillId="9" borderId="0" xfId="0" applyFont="1" applyFill="1" applyBorder="1" applyAlignment="1">
      <alignment vertical="center"/>
    </xf>
    <xf numFmtId="0" fontId="34" fillId="9" borderId="0" xfId="0" applyFont="1" applyFill="1" applyBorder="1" applyAlignment="1">
      <alignment vertical="center"/>
    </xf>
    <xf numFmtId="0" fontId="24" fillId="9" borderId="0" xfId="0" applyFont="1" applyFill="1" applyBorder="1" applyAlignment="1">
      <alignment vertical="center"/>
    </xf>
    <xf numFmtId="0" fontId="6" fillId="9" borderId="0" xfId="0" applyFont="1" applyFill="1" applyBorder="1"/>
    <xf numFmtId="0" fontId="35" fillId="15" borderId="0" xfId="0" applyFont="1" applyFill="1" applyAlignment="1">
      <alignment horizontal="left" vertical="center"/>
    </xf>
    <xf numFmtId="0" fontId="35" fillId="9" borderId="0" xfId="0" applyFont="1" applyFill="1" applyAlignment="1">
      <alignment horizontal="left" vertical="center"/>
    </xf>
    <xf numFmtId="0" fontId="35" fillId="9" borderId="0" xfId="0" applyFont="1" applyFill="1" applyAlignment="1">
      <alignment horizontal="left" vertical="center" indent="2"/>
    </xf>
    <xf numFmtId="0" fontId="35" fillId="9" borderId="0" xfId="0" applyFont="1" applyFill="1" applyAlignment="1">
      <alignment horizontal="left" vertical="center" indent="3"/>
    </xf>
    <xf numFmtId="0" fontId="35" fillId="9" borderId="0" xfId="0" applyFont="1" applyFill="1" applyAlignment="1">
      <alignment horizontal="left" vertical="center" indent="4"/>
    </xf>
    <xf numFmtId="0" fontId="35" fillId="9" borderId="0" xfId="0" applyFont="1" applyFill="1" applyAlignment="1">
      <alignment horizontal="left" vertical="center"/>
    </xf>
    <xf numFmtId="2" fontId="35" fillId="10" borderId="0" xfId="0" applyNumberFormat="1" applyFont="1" applyFill="1" applyBorder="1" applyAlignment="1">
      <alignment horizontal="center" vertical="center"/>
    </xf>
    <xf numFmtId="0" fontId="55" fillId="9" borderId="0" xfId="0" applyFont="1" applyFill="1" applyAlignment="1">
      <alignment horizontal="center" vertical="center"/>
    </xf>
    <xf numFmtId="0" fontId="6" fillId="9" borderId="0" xfId="0" applyFont="1" applyFill="1" applyBorder="1" applyAlignment="1">
      <alignment horizontal="left" vertical="center"/>
    </xf>
    <xf numFmtId="0" fontId="35" fillId="9" borderId="0" xfId="0" applyFont="1" applyFill="1" applyAlignment="1">
      <alignment horizontal="center" vertical="center"/>
    </xf>
    <xf numFmtId="0" fontId="35" fillId="15" borderId="0" xfId="0" applyFont="1" applyFill="1" applyAlignment="1">
      <alignment horizontal="center" vertical="center"/>
    </xf>
    <xf numFmtId="0" fontId="6" fillId="15" borderId="0" xfId="0" applyFont="1" applyFill="1" applyAlignment="1">
      <alignment horizontal="left" vertical="center"/>
    </xf>
    <xf numFmtId="0" fontId="35" fillId="10" borderId="0" xfId="0" applyFont="1" applyFill="1" applyAlignment="1" applyProtection="1">
      <alignment horizontal="left" vertical="center"/>
    </xf>
    <xf numFmtId="0" fontId="35" fillId="9" borderId="0" xfId="0" applyFont="1" applyFill="1" applyBorder="1" applyAlignment="1" applyProtection="1">
      <alignment horizontal="center" vertical="center"/>
    </xf>
    <xf numFmtId="0" fontId="34" fillId="9" borderId="0" xfId="0" applyFont="1" applyFill="1" applyAlignment="1">
      <alignment horizontal="center" vertical="center"/>
    </xf>
    <xf numFmtId="0" fontId="0" fillId="22" borderId="27" xfId="0" applyFill="1" applyBorder="1" applyProtection="1"/>
    <xf numFmtId="0" fontId="0" fillId="22" borderId="23" xfId="0" applyFill="1" applyBorder="1" applyProtection="1"/>
    <xf numFmtId="0" fontId="0" fillId="22" borderId="15" xfId="0" applyFill="1" applyBorder="1" applyProtection="1"/>
    <xf numFmtId="0" fontId="0" fillId="22" borderId="24" xfId="0" applyFill="1" applyBorder="1" applyProtection="1"/>
    <xf numFmtId="0" fontId="0" fillId="22" borderId="26" xfId="0" applyFill="1" applyBorder="1" applyProtection="1"/>
    <xf numFmtId="0" fontId="0" fillId="22" borderId="0" xfId="0" applyFill="1" applyBorder="1" applyProtection="1"/>
    <xf numFmtId="0" fontId="0" fillId="22" borderId="16" xfId="0" applyFill="1" applyBorder="1" applyProtection="1"/>
    <xf numFmtId="0" fontId="0" fillId="22" borderId="22" xfId="0" applyFill="1" applyBorder="1" applyProtection="1"/>
    <xf numFmtId="0" fontId="0" fillId="22" borderId="17" xfId="0" applyFill="1" applyBorder="1" applyProtection="1"/>
    <xf numFmtId="0" fontId="0" fillId="23" borderId="27" xfId="0" applyFill="1" applyBorder="1" applyProtection="1"/>
    <xf numFmtId="0" fontId="0" fillId="23" borderId="23" xfId="0" applyFill="1" applyBorder="1" applyProtection="1"/>
    <xf numFmtId="0" fontId="0" fillId="23" borderId="15" xfId="0" applyFill="1" applyBorder="1" applyProtection="1"/>
    <xf numFmtId="0" fontId="0" fillId="23" borderId="24" xfId="0" applyFill="1" applyBorder="1" applyProtection="1"/>
    <xf numFmtId="0" fontId="0" fillId="23" borderId="26" xfId="0" applyFill="1" applyBorder="1" applyProtection="1"/>
    <xf numFmtId="0" fontId="0" fillId="23" borderId="0" xfId="0" applyFill="1" applyBorder="1" applyProtection="1"/>
    <xf numFmtId="0" fontId="0" fillId="23" borderId="16" xfId="0" applyFill="1" applyBorder="1" applyProtection="1"/>
    <xf numFmtId="0" fontId="0" fillId="23" borderId="22" xfId="0" applyFill="1" applyBorder="1" applyProtection="1"/>
    <xf numFmtId="0" fontId="0" fillId="23" borderId="17" xfId="0" applyFill="1" applyBorder="1" applyProtection="1"/>
    <xf numFmtId="0" fontId="0" fillId="7" borderId="27" xfId="0" applyFill="1" applyBorder="1" applyProtection="1"/>
    <xf numFmtId="0" fontId="0" fillId="7" borderId="23" xfId="0" applyFill="1" applyBorder="1" applyProtection="1"/>
    <xf numFmtId="0" fontId="0" fillId="7" borderId="15" xfId="0" applyFill="1" applyBorder="1" applyProtection="1"/>
    <xf numFmtId="0" fontId="0" fillId="7" borderId="24" xfId="0" applyFill="1" applyBorder="1" applyProtection="1"/>
    <xf numFmtId="0" fontId="0" fillId="7" borderId="26" xfId="0" applyFill="1" applyBorder="1" applyProtection="1"/>
    <xf numFmtId="0" fontId="0" fillId="7" borderId="0" xfId="0" applyFill="1" applyBorder="1" applyProtection="1"/>
    <xf numFmtId="0" fontId="0" fillId="7" borderId="16" xfId="0" applyFill="1" applyBorder="1" applyProtection="1"/>
    <xf numFmtId="0" fontId="0" fillId="7" borderId="22" xfId="0" applyFill="1" applyBorder="1" applyProtection="1"/>
    <xf numFmtId="0" fontId="0" fillId="7" borderId="17" xfId="0" applyFill="1" applyBorder="1" applyProtection="1"/>
    <xf numFmtId="0" fontId="0" fillId="12" borderId="27" xfId="0" applyFill="1" applyBorder="1" applyProtection="1"/>
    <xf numFmtId="0" fontId="0" fillId="12" borderId="15" xfId="0" applyFill="1" applyBorder="1" applyProtection="1"/>
    <xf numFmtId="0" fontId="0" fillId="12" borderId="24" xfId="0" applyFill="1" applyBorder="1" applyProtection="1"/>
    <xf numFmtId="0" fontId="0" fillId="12" borderId="26" xfId="0" applyFill="1" applyBorder="1" applyProtection="1"/>
    <xf numFmtId="0" fontId="0" fillId="12" borderId="16" xfId="0" applyFill="1" applyBorder="1" applyProtection="1"/>
    <xf numFmtId="0" fontId="0" fillId="12" borderId="22" xfId="0" applyFill="1" applyBorder="1" applyProtection="1"/>
    <xf numFmtId="0" fontId="0" fillId="12" borderId="17" xfId="0" applyFill="1" applyBorder="1" applyProtection="1"/>
    <xf numFmtId="0" fontId="35" fillId="9" borderId="0" xfId="0" applyFont="1" applyFill="1" applyBorder="1" applyProtection="1"/>
    <xf numFmtId="0" fontId="35" fillId="9" borderId="0" xfId="0" applyFont="1" applyFill="1" applyBorder="1" applyAlignment="1" applyProtection="1">
      <alignment horizontal="center"/>
    </xf>
    <xf numFmtId="0" fontId="4" fillId="9" borderId="0" xfId="0" applyFont="1" applyFill="1" applyBorder="1" applyAlignment="1" applyProtection="1">
      <alignment horizontal="left" vertical="top" wrapText="1"/>
    </xf>
    <xf numFmtId="40" fontId="35" fillId="10" borderId="0" xfId="1" applyFont="1" applyFill="1" applyAlignment="1" applyProtection="1">
      <alignment vertical="center"/>
    </xf>
    <xf numFmtId="14" fontId="35" fillId="12" borderId="0" xfId="0" applyNumberFormat="1" applyFont="1" applyFill="1" applyBorder="1" applyAlignment="1" applyProtection="1">
      <alignment horizontal="left" vertical="center"/>
      <protection locked="0"/>
    </xf>
    <xf numFmtId="0" fontId="45" fillId="9" borderId="0" xfId="0" applyFont="1" applyFill="1" applyBorder="1" applyAlignment="1">
      <alignment horizontal="left" vertical="top" wrapText="1"/>
    </xf>
    <xf numFmtId="1" fontId="35" fillId="10" borderId="0" xfId="0" applyNumberFormat="1" applyFont="1" applyFill="1" applyAlignment="1" applyProtection="1">
      <alignment horizontal="left" vertical="center"/>
    </xf>
    <xf numFmtId="0" fontId="35" fillId="9" borderId="0" xfId="0" applyFont="1" applyFill="1" applyAlignment="1">
      <alignment horizontal="center" vertical="center"/>
    </xf>
    <xf numFmtId="0" fontId="35" fillId="9" borderId="0" xfId="0" applyFont="1" applyFill="1" applyBorder="1" applyAlignment="1">
      <alignment horizontal="left" vertical="center"/>
    </xf>
    <xf numFmtId="0" fontId="35" fillId="15" borderId="0" xfId="0" applyFont="1" applyFill="1" applyAlignment="1">
      <alignment horizontal="center" vertical="center"/>
    </xf>
    <xf numFmtId="0" fontId="35" fillId="15" borderId="0" xfId="0" applyFont="1" applyFill="1" applyAlignment="1">
      <alignment horizontal="left" vertical="center"/>
    </xf>
    <xf numFmtId="0" fontId="35" fillId="9" borderId="0" xfId="0" applyFont="1" applyFill="1" applyBorder="1" applyAlignment="1">
      <alignment horizontal="left" vertical="center" wrapText="1"/>
    </xf>
    <xf numFmtId="0" fontId="35" fillId="9" borderId="0" xfId="0" applyFont="1" applyFill="1" applyBorder="1" applyAlignment="1" applyProtection="1">
      <alignment horizontal="left" vertical="center"/>
    </xf>
    <xf numFmtId="38" fontId="35" fillId="10" borderId="0" xfId="1" applyNumberFormat="1" applyFont="1" applyFill="1" applyAlignment="1" applyProtection="1">
      <alignment vertical="center"/>
    </xf>
    <xf numFmtId="38" fontId="35" fillId="9" borderId="0" xfId="0" applyNumberFormat="1" applyFont="1" applyFill="1" applyBorder="1" applyAlignment="1" applyProtection="1">
      <alignment vertical="center"/>
    </xf>
    <xf numFmtId="0" fontId="9" fillId="9" borderId="13" xfId="0" applyFont="1" applyFill="1" applyBorder="1" applyAlignment="1" applyProtection="1">
      <alignment horizontal="center"/>
    </xf>
    <xf numFmtId="0" fontId="6" fillId="9" borderId="12" xfId="0" applyFont="1" applyFill="1" applyBorder="1" applyAlignment="1" applyProtection="1">
      <alignment horizontal="left"/>
    </xf>
    <xf numFmtId="0" fontId="6" fillId="9" borderId="13" xfId="0" applyFont="1" applyFill="1" applyBorder="1" applyAlignment="1" applyProtection="1">
      <alignment horizontal="center"/>
    </xf>
    <xf numFmtId="0" fontId="6" fillId="9" borderId="13" xfId="0" applyFont="1" applyFill="1" applyBorder="1" applyProtection="1"/>
    <xf numFmtId="40" fontId="35" fillId="10" borderId="0" xfId="1" applyNumberFormat="1" applyFont="1" applyFill="1" applyAlignment="1" applyProtection="1">
      <alignment vertical="center"/>
    </xf>
    <xf numFmtId="10" fontId="34" fillId="10" borderId="0" xfId="5" applyNumberFormat="1" applyFont="1" applyFill="1" applyAlignment="1" applyProtection="1">
      <alignment vertical="center"/>
    </xf>
    <xf numFmtId="0" fontId="35" fillId="9" borderId="0" xfId="0" applyFont="1" applyFill="1" applyAlignment="1">
      <alignment horizontal="left" vertical="center" indent="1"/>
    </xf>
    <xf numFmtId="0" fontId="35" fillId="15" borderId="0" xfId="0" applyFont="1" applyFill="1" applyAlignment="1">
      <alignment horizontal="center" vertical="center"/>
    </xf>
    <xf numFmtId="14" fontId="0" fillId="9" borderId="0" xfId="0" applyNumberFormat="1" applyFont="1" applyFill="1"/>
    <xf numFmtId="0" fontId="0" fillId="9" borderId="0" xfId="0" applyFont="1" applyFill="1" applyAlignment="1">
      <alignment horizontal="center"/>
    </xf>
    <xf numFmtId="0" fontId="1" fillId="9" borderId="0" xfId="0" applyFont="1" applyFill="1" applyAlignment="1">
      <alignment horizontal="center" vertical="center" wrapText="1"/>
    </xf>
    <xf numFmtId="0" fontId="1" fillId="9" borderId="0" xfId="0" applyFont="1" applyFill="1" applyAlignment="1">
      <alignment horizontal="right"/>
    </xf>
    <xf numFmtId="0" fontId="0" fillId="9" borderId="16" xfId="0" applyFont="1" applyFill="1" applyBorder="1"/>
    <xf numFmtId="0" fontId="35" fillId="15" borderId="0" xfId="0" applyFont="1" applyFill="1" applyAlignment="1">
      <alignment vertical="center" wrapText="1"/>
    </xf>
    <xf numFmtId="0" fontId="35" fillId="15" borderId="0" xfId="0" applyFont="1" applyFill="1" applyAlignment="1">
      <alignment horizontal="right" vertical="center" wrapText="1"/>
    </xf>
    <xf numFmtId="0" fontId="35" fillId="9" borderId="0" xfId="0" applyFont="1" applyFill="1" applyBorder="1" applyAlignment="1" applyProtection="1">
      <alignment horizontal="left" vertical="center"/>
      <protection hidden="1"/>
    </xf>
    <xf numFmtId="0" fontId="35" fillId="15" borderId="0" xfId="0" applyFont="1" applyFill="1" applyAlignment="1">
      <alignment horizontal="right" vertical="center"/>
    </xf>
    <xf numFmtId="0" fontId="24" fillId="15" borderId="0" xfId="0" applyFont="1" applyFill="1"/>
    <xf numFmtId="0" fontId="45" fillId="9" borderId="0" xfId="0" applyFont="1" applyFill="1" applyAlignment="1">
      <alignment horizontal="left" vertical="top" indent="1"/>
    </xf>
    <xf numFmtId="0" fontId="6" fillId="9" borderId="0" xfId="0" applyFont="1" applyFill="1" applyBorder="1" applyAlignment="1" applyProtection="1">
      <alignment horizontal="center"/>
    </xf>
    <xf numFmtId="0" fontId="9" fillId="9" borderId="0" xfId="0" applyFont="1" applyFill="1" applyBorder="1" applyAlignment="1" applyProtection="1">
      <alignment horizontal="center"/>
    </xf>
    <xf numFmtId="0" fontId="0" fillId="9" borderId="23" xfId="0" applyFont="1" applyFill="1" applyBorder="1"/>
    <xf numFmtId="0" fontId="0" fillId="9" borderId="0" xfId="0" applyFont="1" applyFill="1" applyBorder="1"/>
    <xf numFmtId="0" fontId="0" fillId="9" borderId="22" xfId="0" applyFont="1" applyFill="1" applyBorder="1"/>
    <xf numFmtId="14" fontId="0" fillId="10" borderId="0" xfId="0" applyNumberFormat="1" applyFont="1" applyFill="1"/>
    <xf numFmtId="0" fontId="0" fillId="10" borderId="0" xfId="0" applyFont="1" applyFill="1" applyAlignment="1">
      <alignment horizontal="center"/>
    </xf>
    <xf numFmtId="0" fontId="0" fillId="10" borderId="0" xfId="0" applyFont="1" applyFill="1"/>
    <xf numFmtId="14" fontId="0" fillId="10" borderId="0" xfId="0" applyNumberFormat="1" applyFont="1" applyFill="1" applyAlignment="1">
      <alignment horizontal="right" vertical="center" wrapText="1"/>
    </xf>
    <xf numFmtId="0" fontId="1" fillId="9" borderId="24" xfId="0" applyFont="1" applyFill="1" applyBorder="1" applyAlignment="1">
      <alignment horizontal="left" vertical="center" indent="1"/>
    </xf>
    <xf numFmtId="0" fontId="0" fillId="9" borderId="24" xfId="0" applyFont="1" applyFill="1" applyBorder="1" applyAlignment="1">
      <alignment horizontal="left" indent="1"/>
    </xf>
    <xf numFmtId="0" fontId="0" fillId="9" borderId="0" xfId="0" applyFont="1" applyFill="1" applyAlignment="1">
      <alignment horizontal="right"/>
    </xf>
    <xf numFmtId="0" fontId="0" fillId="9" borderId="15" xfId="0" applyFont="1" applyFill="1" applyBorder="1" applyAlignment="1">
      <alignment horizontal="right"/>
    </xf>
    <xf numFmtId="0" fontId="0" fillId="9" borderId="26" xfId="0" applyFont="1" applyFill="1" applyBorder="1" applyAlignment="1">
      <alignment horizontal="right"/>
    </xf>
    <xf numFmtId="2" fontId="0" fillId="9" borderId="26" xfId="1" applyNumberFormat="1" applyFont="1" applyFill="1" applyBorder="1" applyAlignment="1">
      <alignment horizontal="right" indent="2"/>
    </xf>
    <xf numFmtId="2" fontId="0" fillId="9" borderId="26" xfId="0" applyNumberFormat="1" applyFont="1" applyFill="1" applyBorder="1" applyAlignment="1">
      <alignment horizontal="right" indent="2"/>
    </xf>
    <xf numFmtId="0" fontId="0" fillId="9" borderId="17" xfId="0" applyFont="1" applyFill="1" applyBorder="1" applyAlignment="1">
      <alignment horizontal="right"/>
    </xf>
    <xf numFmtId="0" fontId="9" fillId="9" borderId="0" xfId="0" applyFont="1" applyFill="1" applyAlignment="1" applyProtection="1">
      <alignment horizontal="right"/>
    </xf>
    <xf numFmtId="0" fontId="35" fillId="9" borderId="0" xfId="0" applyFont="1" applyFill="1" applyAlignment="1">
      <alignment horizontal="left" wrapText="1"/>
    </xf>
    <xf numFmtId="0" fontId="35" fillId="9" borderId="0" xfId="0" applyFont="1" applyFill="1" applyAlignment="1">
      <alignment horizontal="left" vertical="center" indent="2"/>
    </xf>
    <xf numFmtId="0" fontId="35" fillId="9" borderId="0" xfId="0" applyFont="1" applyFill="1" applyAlignment="1">
      <alignment horizontal="center" vertical="center"/>
    </xf>
    <xf numFmtId="0" fontId="35" fillId="9" borderId="0" xfId="0" applyFont="1" applyFill="1" applyAlignment="1">
      <alignment horizontal="left" vertical="center" indent="4"/>
    </xf>
    <xf numFmtId="0" fontId="35" fillId="9" borderId="0" xfId="0" applyFont="1" applyFill="1" applyAlignment="1">
      <alignment horizontal="left" vertical="center" indent="1"/>
    </xf>
    <xf numFmtId="0" fontId="35" fillId="9" borderId="0" xfId="0" applyFont="1" applyFill="1" applyAlignment="1">
      <alignment horizontal="left" vertical="center"/>
    </xf>
    <xf numFmtId="0" fontId="35" fillId="15" borderId="0" xfId="0" applyFont="1" applyFill="1" applyAlignment="1">
      <alignment horizontal="left" vertical="center"/>
    </xf>
    <xf numFmtId="0" fontId="35" fillId="9" borderId="0" xfId="0" applyFont="1" applyFill="1" applyBorder="1" applyAlignment="1">
      <alignment horizontal="left" vertical="center" wrapText="1"/>
    </xf>
    <xf numFmtId="0" fontId="0" fillId="9" borderId="0" xfId="0" applyFill="1" applyBorder="1" applyAlignment="1" applyProtection="1">
      <alignment horizontal="left" indent="1"/>
    </xf>
    <xf numFmtId="0" fontId="0" fillId="9" borderId="27" xfId="0" applyFont="1" applyFill="1" applyBorder="1"/>
    <xf numFmtId="0" fontId="35" fillId="15" borderId="0" xfId="0" applyFont="1" applyFill="1" applyAlignment="1">
      <alignment horizontal="center" vertical="center"/>
    </xf>
    <xf numFmtId="0" fontId="50" fillId="9" borderId="0" xfId="6" applyFont="1" applyFill="1" applyBorder="1" applyAlignment="1" applyProtection="1">
      <alignment vertical="center"/>
    </xf>
    <xf numFmtId="0" fontId="24" fillId="9" borderId="0" xfId="0" applyFont="1" applyFill="1" applyAlignment="1">
      <alignment horizontal="left" vertical="center"/>
    </xf>
    <xf numFmtId="2" fontId="6" fillId="0" borderId="0" xfId="3" applyNumberFormat="1" applyFont="1" applyAlignment="1">
      <alignment horizontal="left"/>
    </xf>
    <xf numFmtId="0" fontId="35" fillId="15" borderId="0" xfId="0" applyFont="1" applyFill="1" applyAlignment="1">
      <alignment horizontal="left"/>
    </xf>
    <xf numFmtId="0" fontId="56" fillId="10" borderId="0" xfId="6" applyFont="1" applyFill="1" applyBorder="1" applyAlignment="1" applyProtection="1">
      <alignment vertical="center" wrapText="1"/>
    </xf>
    <xf numFmtId="0" fontId="35" fillId="0" borderId="0" xfId="0" applyFont="1" applyAlignment="1">
      <alignment horizontal="left" vertical="center" indent="1"/>
    </xf>
    <xf numFmtId="0" fontId="35" fillId="0" borderId="0" xfId="0" applyFont="1" applyAlignment="1">
      <alignment horizontal="left" vertical="center" indent="5"/>
    </xf>
    <xf numFmtId="0" fontId="35" fillId="0" borderId="0" xfId="0" applyFont="1" applyAlignment="1">
      <alignment horizontal="left" vertical="center" indent="6"/>
    </xf>
    <xf numFmtId="0" fontId="35" fillId="9" borderId="0" xfId="0" applyFont="1" applyFill="1" applyAlignment="1">
      <alignment horizontal="left" vertical="center" indent="6"/>
    </xf>
    <xf numFmtId="0" fontId="34" fillId="9" borderId="0" xfId="0" applyFont="1" applyFill="1" applyAlignment="1">
      <alignment horizontal="left" vertical="center" indent="3"/>
    </xf>
    <xf numFmtId="0" fontId="34" fillId="9" borderId="0" xfId="0" applyFont="1" applyFill="1" applyAlignment="1">
      <alignment horizontal="left" vertical="center" indent="5"/>
    </xf>
    <xf numFmtId="0" fontId="41" fillId="9" borderId="0" xfId="0" applyFont="1" applyFill="1" applyAlignment="1">
      <alignment horizontal="left" vertical="center" indent="2"/>
    </xf>
    <xf numFmtId="0" fontId="41" fillId="9" borderId="0" xfId="0" applyFont="1" applyFill="1" applyAlignment="1">
      <alignment horizontal="left" vertical="center" indent="3"/>
    </xf>
    <xf numFmtId="0" fontId="41" fillId="9" borderId="0" xfId="0" applyFont="1" applyFill="1" applyAlignment="1">
      <alignment horizontal="left" vertical="center" indent="5"/>
    </xf>
    <xf numFmtId="0" fontId="35" fillId="9" borderId="0" xfId="0" applyFont="1" applyFill="1" applyAlignment="1">
      <alignment horizontal="left" vertical="center" indent="7"/>
    </xf>
    <xf numFmtId="0" fontId="35" fillId="15" borderId="0" xfId="0" applyFont="1" applyFill="1" applyAlignment="1">
      <alignment horizontal="left" indent="1"/>
    </xf>
    <xf numFmtId="0" fontId="35" fillId="15" borderId="24" xfId="0" applyFont="1" applyFill="1" applyBorder="1" applyAlignment="1">
      <alignment horizontal="left" indent="1"/>
    </xf>
    <xf numFmtId="0" fontId="35" fillId="15" borderId="24" xfId="0" applyFont="1" applyFill="1" applyBorder="1" applyAlignment="1">
      <alignment horizontal="left" vertical="center" indent="1"/>
    </xf>
    <xf numFmtId="0" fontId="11" fillId="9" borderId="0" xfId="0" applyFont="1" applyFill="1" applyAlignment="1">
      <alignment horizontal="left" vertical="top"/>
    </xf>
    <xf numFmtId="0" fontId="35" fillId="9" borderId="0" xfId="0" applyFont="1" applyFill="1" applyBorder="1" applyAlignment="1">
      <alignment horizontal="left" vertical="center" indent="1"/>
    </xf>
    <xf numFmtId="0" fontId="35" fillId="9" borderId="24" xfId="0" applyFont="1" applyFill="1" applyBorder="1" applyAlignment="1">
      <alignment horizontal="left" vertical="center" indent="2"/>
    </xf>
    <xf numFmtId="0" fontId="24" fillId="9" borderId="24" xfId="0" applyFont="1" applyFill="1" applyBorder="1" applyAlignment="1">
      <alignment horizontal="left" vertical="top" indent="2"/>
    </xf>
    <xf numFmtId="0" fontId="24" fillId="9" borderId="0" xfId="0" applyFont="1" applyFill="1" applyBorder="1" applyAlignment="1">
      <alignment horizontal="left" vertical="center" wrapText="1"/>
    </xf>
    <xf numFmtId="0" fontId="35" fillId="9" borderId="24" xfId="0" applyFont="1" applyFill="1" applyBorder="1" applyAlignment="1">
      <alignment horizontal="left" indent="2"/>
    </xf>
    <xf numFmtId="0" fontId="45" fillId="9" borderId="0" xfId="0" applyFont="1" applyFill="1" applyBorder="1" applyAlignment="1">
      <alignment horizontal="left" vertical="center" indent="3"/>
    </xf>
    <xf numFmtId="0" fontId="24" fillId="15" borderId="0" xfId="0" applyFont="1" applyFill="1" applyAlignment="1">
      <alignment horizontal="left" vertical="center" indent="2"/>
    </xf>
    <xf numFmtId="0" fontId="35" fillId="15" borderId="24" xfId="0" applyFont="1" applyFill="1" applyBorder="1" applyAlignment="1">
      <alignment horizontal="left" vertical="center" indent="2"/>
    </xf>
    <xf numFmtId="0" fontId="35" fillId="15" borderId="24" xfId="0" applyFont="1" applyFill="1" applyBorder="1" applyAlignment="1">
      <alignment horizontal="left" vertical="center" wrapText="1" indent="2"/>
    </xf>
    <xf numFmtId="0" fontId="24" fillId="15" borderId="24" xfId="0" applyFont="1" applyFill="1" applyBorder="1" applyAlignment="1">
      <alignment horizontal="left" vertical="center" indent="2"/>
    </xf>
    <xf numFmtId="0" fontId="9" fillId="15" borderId="24" xfId="0" applyFont="1" applyFill="1" applyBorder="1" applyAlignment="1">
      <alignment horizontal="left" indent="2"/>
    </xf>
    <xf numFmtId="0" fontId="45" fillId="9" borderId="0" xfId="0" applyFont="1" applyFill="1" applyBorder="1" applyAlignment="1">
      <alignment horizontal="left" vertical="center" indent="4"/>
    </xf>
    <xf numFmtId="0" fontId="0" fillId="9" borderId="0" xfId="0" applyFill="1" applyAlignment="1">
      <alignment horizontal="left" indent="2"/>
    </xf>
    <xf numFmtId="0" fontId="9" fillId="9" borderId="0" xfId="0" applyFont="1" applyFill="1" applyAlignment="1"/>
    <xf numFmtId="0" fontId="41" fillId="9" borderId="0" xfId="0" applyFont="1" applyFill="1" applyAlignment="1">
      <alignment horizontal="left" vertical="center" indent="6"/>
    </xf>
    <xf numFmtId="0" fontId="35" fillId="9" borderId="0" xfId="0" applyFont="1" applyFill="1" applyAlignment="1" applyProtection="1">
      <alignment horizontal="left" vertical="center" indent="1"/>
    </xf>
    <xf numFmtId="0" fontId="35" fillId="9" borderId="0" xfId="0" applyFont="1" applyFill="1" applyBorder="1" applyAlignment="1" applyProtection="1">
      <alignment horizontal="left" vertical="center" indent="1"/>
    </xf>
    <xf numFmtId="0" fontId="35" fillId="9" borderId="0" xfId="0" applyFont="1" applyFill="1" applyBorder="1" applyAlignment="1" applyProtection="1">
      <alignment horizontal="left" indent="1"/>
    </xf>
    <xf numFmtId="0" fontId="35" fillId="9" borderId="0" xfId="0" applyFont="1" applyFill="1" applyAlignment="1" applyProtection="1">
      <alignment horizontal="left" indent="1"/>
    </xf>
    <xf numFmtId="0" fontId="9" fillId="9" borderId="0" xfId="0" applyFont="1" applyFill="1" applyAlignment="1" applyProtection="1">
      <alignment horizontal="left" indent="1"/>
    </xf>
    <xf numFmtId="0" fontId="34" fillId="9" borderId="0" xfId="0" applyFont="1" applyFill="1" applyBorder="1" applyAlignment="1" applyProtection="1">
      <alignment horizontal="left" vertical="center" indent="1"/>
    </xf>
    <xf numFmtId="0" fontId="35" fillId="0" borderId="0" xfId="0" applyFont="1" applyAlignment="1" applyProtection="1">
      <alignment horizontal="left" vertical="center"/>
    </xf>
    <xf numFmtId="0" fontId="35" fillId="15" borderId="0" xfId="0" applyFont="1" applyFill="1" applyAlignment="1" applyProtection="1">
      <alignment horizontal="left" vertical="center" indent="1"/>
    </xf>
    <xf numFmtId="0" fontId="9" fillId="15" borderId="0" xfId="0" applyFont="1" applyFill="1" applyAlignment="1" applyProtection="1">
      <alignment horizontal="left" indent="1"/>
    </xf>
    <xf numFmtId="0" fontId="35" fillId="9" borderId="24" xfId="0" applyFont="1" applyFill="1" applyBorder="1" applyAlignment="1" applyProtection="1">
      <alignment horizontal="left" vertical="center" indent="2"/>
    </xf>
    <xf numFmtId="0" fontId="35" fillId="15" borderId="24" xfId="0" applyFont="1" applyFill="1" applyBorder="1" applyAlignment="1" applyProtection="1">
      <alignment horizontal="left" vertical="center" indent="2"/>
    </xf>
    <xf numFmtId="0" fontId="52" fillId="15" borderId="0" xfId="0" applyFont="1" applyFill="1" applyAlignment="1" applyProtection="1">
      <alignment horizontal="left" vertical="center" indent="2"/>
    </xf>
    <xf numFmtId="0" fontId="9" fillId="15" borderId="0" xfId="0" applyFont="1" applyFill="1" applyAlignment="1" applyProtection="1">
      <alignment horizontal="left" vertical="center" indent="2"/>
    </xf>
    <xf numFmtId="0" fontId="35" fillId="9" borderId="0" xfId="0" applyFont="1" applyFill="1" applyBorder="1" applyAlignment="1">
      <alignment horizontal="left" vertical="top" indent="6"/>
    </xf>
    <xf numFmtId="0" fontId="61" fillId="10" borderId="0" xfId="0" applyFont="1" applyFill="1" applyBorder="1" applyProtection="1"/>
    <xf numFmtId="0" fontId="9" fillId="9" borderId="24" xfId="0" applyFont="1" applyFill="1" applyBorder="1" applyAlignment="1">
      <alignment horizontal="left" vertical="center" indent="2"/>
    </xf>
    <xf numFmtId="0" fontId="35" fillId="9" borderId="0" xfId="0" applyFont="1" applyFill="1" applyBorder="1" applyAlignment="1" applyProtection="1">
      <alignment horizontal="left" vertical="center" wrapText="1" indent="2"/>
      <protection hidden="1"/>
    </xf>
    <xf numFmtId="0" fontId="35" fillId="9" borderId="26" xfId="0" applyFont="1" applyFill="1" applyBorder="1" applyAlignment="1" applyProtection="1">
      <alignment horizontal="left" vertical="center" wrapText="1" indent="2"/>
      <protection hidden="1"/>
    </xf>
    <xf numFmtId="0" fontId="35" fillId="9" borderId="24" xfId="0" applyFont="1" applyFill="1" applyBorder="1" applyAlignment="1" applyProtection="1">
      <alignment horizontal="left" vertical="center" wrapText="1" indent="2"/>
      <protection hidden="1"/>
    </xf>
    <xf numFmtId="0" fontId="35" fillId="9" borderId="0" xfId="0" applyFont="1" applyFill="1" applyBorder="1" applyAlignment="1">
      <alignment horizontal="left" vertical="center"/>
    </xf>
    <xf numFmtId="0" fontId="9" fillId="0" borderId="0" xfId="0" applyFont="1" applyBorder="1" applyAlignment="1" applyProtection="1">
      <alignment shrinkToFit="1"/>
    </xf>
    <xf numFmtId="10" fontId="35" fillId="12" borderId="0" xfId="5" applyNumberFormat="1" applyFont="1" applyFill="1" applyBorder="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Border="1" applyAlignment="1">
      <alignment horizontal="center" vertical="center"/>
    </xf>
    <xf numFmtId="0" fontId="35" fillId="9" borderId="0" xfId="0" applyFont="1" applyFill="1" applyAlignment="1">
      <alignment horizontal="center" vertical="center"/>
    </xf>
    <xf numFmtId="0" fontId="35" fillId="9" borderId="0" xfId="0" applyFont="1" applyFill="1" applyAlignment="1">
      <alignment horizontal="left" vertical="center" indent="1"/>
    </xf>
    <xf numFmtId="0" fontId="35" fillId="15" borderId="0" xfId="0" applyFont="1" applyFill="1" applyAlignment="1">
      <alignment horizontal="left" vertical="center"/>
    </xf>
    <xf numFmtId="0" fontId="24" fillId="9" borderId="0" xfId="0" applyFont="1" applyFill="1" applyBorder="1" applyAlignment="1" applyProtection="1">
      <alignment horizontal="left" vertical="top"/>
    </xf>
    <xf numFmtId="0" fontId="35" fillId="0" borderId="0" xfId="0" applyFont="1" applyAlignment="1">
      <alignment horizontal="left" vertical="center"/>
    </xf>
    <xf numFmtId="0" fontId="35" fillId="15" borderId="0" xfId="0" applyFont="1" applyFill="1" applyAlignment="1">
      <alignment horizontal="left" vertical="center" indent="6"/>
    </xf>
    <xf numFmtId="0" fontId="35" fillId="9" borderId="0" xfId="0" applyFont="1" applyFill="1" applyAlignment="1">
      <alignment horizontal="right" vertical="center"/>
    </xf>
    <xf numFmtId="0" fontId="41" fillId="9" borderId="0" xfId="0" applyFont="1" applyFill="1" applyAlignment="1">
      <alignment horizontal="left" vertical="center" indent="7"/>
    </xf>
    <xf numFmtId="0" fontId="35" fillId="9" borderId="0" xfId="0" applyFont="1" applyFill="1" applyBorder="1" applyAlignment="1">
      <alignment horizontal="left" vertical="center" indent="2"/>
    </xf>
    <xf numFmtId="0" fontId="9" fillId="9" borderId="0" xfId="0" applyFont="1" applyFill="1" applyBorder="1" applyAlignment="1">
      <alignment horizontal="center"/>
    </xf>
    <xf numFmtId="0" fontId="35" fillId="9" borderId="24" xfId="0" applyFont="1" applyFill="1" applyBorder="1" applyAlignment="1">
      <alignment horizontal="left" vertical="center" indent="1"/>
    </xf>
    <xf numFmtId="0" fontId="24" fillId="9" borderId="24" xfId="0" applyFont="1" applyFill="1" applyBorder="1" applyAlignment="1">
      <alignment horizontal="left" vertical="top" indent="1"/>
    </xf>
    <xf numFmtId="0" fontId="35" fillId="9" borderId="24" xfId="0" applyFont="1" applyFill="1" applyBorder="1" applyAlignment="1">
      <alignment horizontal="left" indent="1"/>
    </xf>
    <xf numFmtId="0" fontId="2" fillId="9" borderId="24" xfId="2" applyFill="1" applyBorder="1" applyAlignment="1">
      <alignment horizontal="left" indent="2"/>
    </xf>
    <xf numFmtId="0" fontId="2" fillId="9" borderId="24" xfId="2" applyFill="1" applyBorder="1" applyAlignment="1">
      <alignment horizontal="left" indent="1"/>
    </xf>
    <xf numFmtId="0" fontId="1" fillId="9" borderId="24" xfId="2" applyFont="1" applyFill="1" applyBorder="1" applyAlignment="1">
      <alignment horizontal="left" indent="2"/>
    </xf>
    <xf numFmtId="0" fontId="2" fillId="9" borderId="24" xfId="2" applyFill="1" applyBorder="1"/>
    <xf numFmtId="10" fontId="1" fillId="9" borderId="26" xfId="5" applyNumberFormat="1" applyFont="1" applyFill="1" applyBorder="1" applyAlignment="1">
      <alignment horizontal="right" indent="2"/>
    </xf>
    <xf numFmtId="2" fontId="1" fillId="9" borderId="26" xfId="0" applyNumberFormat="1" applyFont="1" applyFill="1" applyBorder="1" applyAlignment="1">
      <alignment horizontal="right" indent="2"/>
    </xf>
    <xf numFmtId="171" fontId="1" fillId="9" borderId="26" xfId="0" applyNumberFormat="1" applyFont="1" applyFill="1" applyBorder="1" applyAlignment="1">
      <alignment horizontal="right" indent="2"/>
    </xf>
    <xf numFmtId="49" fontId="35" fillId="12" borderId="0" xfId="0" applyNumberFormat="1"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35" fillId="10" borderId="0" xfId="0" applyFont="1" applyFill="1" applyAlignment="1">
      <alignment horizontal="left" vertical="center"/>
    </xf>
    <xf numFmtId="14" fontId="35" fillId="16" borderId="0" xfId="0" applyNumberFormat="1" applyFont="1" applyFill="1" applyAlignment="1" applyProtection="1">
      <alignment horizontal="left" vertical="center"/>
      <protection locked="0"/>
    </xf>
    <xf numFmtId="0" fontId="35" fillId="16" borderId="0" xfId="0" applyFont="1" applyFill="1" applyAlignment="1" applyProtection="1">
      <alignment horizontal="left" vertical="center"/>
      <protection locked="0"/>
    </xf>
    <xf numFmtId="0" fontId="35" fillId="17" borderId="0" xfId="0" applyFont="1" applyFill="1" applyAlignment="1">
      <alignment horizontal="left" vertical="center"/>
    </xf>
    <xf numFmtId="0" fontId="55" fillId="9" borderId="0" xfId="0" applyFont="1" applyFill="1" applyAlignment="1">
      <alignment horizontal="center" vertical="center"/>
    </xf>
    <xf numFmtId="0" fontId="35" fillId="9" borderId="0" xfId="0" applyFont="1" applyFill="1" applyAlignment="1">
      <alignment horizontal="center" vertical="center"/>
    </xf>
    <xf numFmtId="0" fontId="35" fillId="9" borderId="0" xfId="0" applyFont="1" applyFill="1" applyBorder="1" applyAlignment="1">
      <alignment horizontal="left" wrapText="1"/>
    </xf>
    <xf numFmtId="2" fontId="35" fillId="12" borderId="0" xfId="0" applyNumberFormat="1" applyFont="1" applyFill="1" applyBorder="1" applyAlignment="1" applyProtection="1">
      <alignment horizontal="left" vertical="center"/>
      <protection locked="0"/>
    </xf>
    <xf numFmtId="49" fontId="24" fillId="12" borderId="0" xfId="0" applyNumberFormat="1" applyFont="1" applyFill="1" applyBorder="1" applyAlignment="1" applyProtection="1">
      <alignment horizontal="left" vertical="center"/>
      <protection locked="0"/>
    </xf>
    <xf numFmtId="49" fontId="35" fillId="12" borderId="0" xfId="0" applyNumberFormat="1" applyFont="1" applyFill="1" applyBorder="1" applyAlignment="1" applyProtection="1">
      <alignment horizontal="left" vertical="center"/>
      <protection locked="0"/>
    </xf>
    <xf numFmtId="10" fontId="35" fillId="16" borderId="0" xfId="5" applyNumberFormat="1" applyFont="1" applyFill="1" applyAlignment="1" applyProtection="1">
      <alignment horizontal="left" vertical="center"/>
      <protection locked="0"/>
    </xf>
    <xf numFmtId="2" fontId="35" fillId="16" borderId="0" xfId="1" applyNumberFormat="1" applyFont="1" applyFill="1" applyAlignment="1" applyProtection="1">
      <alignment horizontal="left" vertical="center"/>
      <protection locked="0"/>
    </xf>
    <xf numFmtId="40" fontId="35" fillId="24" borderId="0" xfId="1" applyFont="1" applyFill="1" applyAlignment="1" applyProtection="1">
      <alignment horizontal="left" vertical="center"/>
    </xf>
    <xf numFmtId="10" fontId="35" fillId="24" borderId="0" xfId="5" applyNumberFormat="1" applyFont="1" applyFill="1" applyAlignment="1" applyProtection="1">
      <alignment horizontal="left" vertical="center"/>
    </xf>
    <xf numFmtId="40" fontId="35" fillId="16" borderId="0" xfId="1" applyFont="1" applyFill="1" applyAlignment="1" applyProtection="1">
      <alignment horizontal="left" vertical="center"/>
      <protection locked="0"/>
    </xf>
    <xf numFmtId="2" fontId="35" fillId="16" borderId="0" xfId="0" applyNumberFormat="1" applyFont="1" applyFill="1" applyAlignment="1" applyProtection="1">
      <alignment horizontal="left" vertical="center"/>
      <protection locked="0"/>
    </xf>
    <xf numFmtId="49" fontId="35" fillId="16" borderId="0" xfId="0" applyNumberFormat="1" applyFont="1" applyFill="1" applyAlignment="1" applyProtection="1">
      <alignment horizontal="left" vertical="center"/>
      <protection locked="0"/>
    </xf>
    <xf numFmtId="0" fontId="0" fillId="6" borderId="0" xfId="0" applyFill="1" applyBorder="1" applyAlignment="1">
      <alignment horizontal="center"/>
    </xf>
    <xf numFmtId="0" fontId="45" fillId="9" borderId="0" xfId="0" applyFont="1" applyFill="1"/>
    <xf numFmtId="4" fontId="35" fillId="10" borderId="0" xfId="1" applyNumberFormat="1" applyFont="1" applyFill="1" applyAlignment="1">
      <alignment vertical="center"/>
    </xf>
    <xf numFmtId="0" fontId="24" fillId="9" borderId="0" xfId="0" applyFont="1" applyFill="1" applyAlignment="1" applyProtection="1">
      <alignment horizontal="left" vertical="center"/>
      <protection hidden="1"/>
    </xf>
    <xf numFmtId="0" fontId="2" fillId="21" borderId="0" xfId="0" applyFont="1" applyFill="1" applyProtection="1">
      <protection hidden="1"/>
    </xf>
    <xf numFmtId="0" fontId="6" fillId="8" borderId="0" xfId="3" applyNumberFormat="1" applyFont="1" applyFill="1"/>
    <xf numFmtId="164" fontId="45" fillId="0" borderId="0" xfId="0" applyNumberFormat="1" applyFont="1" applyProtection="1">
      <protection hidden="1"/>
    </xf>
    <xf numFmtId="164" fontId="45" fillId="0" borderId="0" xfId="0" applyNumberFormat="1" applyFont="1" applyAlignment="1" applyProtection="1">
      <alignment horizontal="left"/>
      <protection hidden="1"/>
    </xf>
    <xf numFmtId="2" fontId="2" fillId="6" borderId="0" xfId="0" applyNumberFormat="1" applyFont="1" applyFill="1" applyAlignment="1" applyProtection="1">
      <alignment horizontal="right" vertical="center"/>
      <protection hidden="1"/>
    </xf>
    <xf numFmtId="0" fontId="2" fillId="0" borderId="0" xfId="0" applyFont="1" applyFill="1" applyProtection="1">
      <protection hidden="1"/>
    </xf>
    <xf numFmtId="0" fontId="2" fillId="6" borderId="0" xfId="0" applyFont="1" applyFill="1" applyAlignment="1" applyProtection="1">
      <alignment horizontal="left"/>
      <protection hidden="1"/>
    </xf>
    <xf numFmtId="0" fontId="2" fillId="23" borderId="0" xfId="0" applyFont="1" applyFill="1" applyProtection="1">
      <protection hidden="1"/>
    </xf>
    <xf numFmtId="0" fontId="2" fillId="23" borderId="0" xfId="0" applyFont="1" applyFill="1" applyAlignment="1" applyProtection="1">
      <alignment horizontal="left"/>
      <protection hidden="1"/>
    </xf>
    <xf numFmtId="0" fontId="2" fillId="23" borderId="0" xfId="0" applyFont="1" applyFill="1" applyAlignment="1" applyProtection="1">
      <alignment horizontal="center"/>
      <protection hidden="1"/>
    </xf>
    <xf numFmtId="164" fontId="45" fillId="23" borderId="0" xfId="0" applyNumberFormat="1" applyFont="1" applyFill="1" applyProtection="1">
      <protection hidden="1"/>
    </xf>
    <xf numFmtId="0" fontId="22" fillId="23" borderId="0" xfId="0" applyFont="1" applyFill="1" applyAlignment="1" applyProtection="1">
      <alignment horizontal="center"/>
      <protection hidden="1"/>
    </xf>
    <xf numFmtId="165" fontId="22" fillId="23" borderId="0" xfId="1" applyNumberFormat="1" applyFont="1" applyFill="1" applyAlignment="1" applyProtection="1">
      <alignment horizontal="center"/>
      <protection hidden="1"/>
    </xf>
    <xf numFmtId="164" fontId="45" fillId="23" borderId="0" xfId="0" applyNumberFormat="1" applyFont="1" applyFill="1" applyAlignment="1" applyProtection="1">
      <alignment horizontal="left"/>
      <protection hidden="1"/>
    </xf>
    <xf numFmtId="0" fontId="45" fillId="5" borderId="0" xfId="0" applyFont="1" applyFill="1" applyProtection="1">
      <protection hidden="1"/>
    </xf>
    <xf numFmtId="164" fontId="45" fillId="5" borderId="0" xfId="0" applyNumberFormat="1" applyFont="1" applyFill="1" applyAlignment="1" applyProtection="1">
      <alignment horizontal="left"/>
      <protection hidden="1"/>
    </xf>
    <xf numFmtId="0" fontId="2" fillId="0" borderId="0" xfId="0" applyFont="1" applyFill="1" applyAlignment="1" applyProtection="1">
      <alignment horizontal="left"/>
      <protection hidden="1"/>
    </xf>
    <xf numFmtId="0" fontId="2" fillId="0" borderId="0" xfId="0" applyFont="1" applyFill="1" applyAlignment="1" applyProtection="1">
      <alignment horizontal="center"/>
      <protection hidden="1"/>
    </xf>
    <xf numFmtId="164" fontId="45" fillId="0" borderId="0" xfId="0" applyNumberFormat="1" applyFont="1" applyFill="1" applyProtection="1">
      <protection hidden="1"/>
    </xf>
    <xf numFmtId="0" fontId="22" fillId="0" borderId="0" xfId="0" applyFont="1" applyFill="1" applyAlignment="1" applyProtection="1">
      <alignment horizontal="center"/>
      <protection hidden="1"/>
    </xf>
    <xf numFmtId="164" fontId="45" fillId="0" borderId="0" xfId="0" applyNumberFormat="1" applyFont="1" applyFill="1" applyAlignment="1" applyProtection="1">
      <alignment horizontal="left"/>
      <protection hidden="1"/>
    </xf>
    <xf numFmtId="0" fontId="2" fillId="21" borderId="0" xfId="0" applyFont="1" applyFill="1" applyAlignment="1" applyProtection="1">
      <alignment horizontal="left"/>
      <protection hidden="1"/>
    </xf>
    <xf numFmtId="0" fontId="2" fillId="21" borderId="0" xfId="0" applyFont="1" applyFill="1" applyAlignment="1" applyProtection="1">
      <alignment horizontal="center"/>
      <protection hidden="1"/>
    </xf>
    <xf numFmtId="164" fontId="45" fillId="21" borderId="0" xfId="0" applyNumberFormat="1" applyFont="1" applyFill="1" applyProtection="1">
      <protection hidden="1"/>
    </xf>
    <xf numFmtId="0" fontId="22" fillId="21" borderId="0" xfId="0" applyFont="1" applyFill="1" applyAlignment="1" applyProtection="1">
      <alignment horizontal="center"/>
      <protection hidden="1"/>
    </xf>
    <xf numFmtId="165" fontId="22" fillId="21" borderId="0" xfId="1" applyNumberFormat="1" applyFont="1" applyFill="1" applyAlignment="1" applyProtection="1">
      <alignment horizontal="center"/>
      <protection hidden="1"/>
    </xf>
    <xf numFmtId="164" fontId="45" fillId="21" borderId="0" xfId="0" applyNumberFormat="1" applyFont="1" applyFill="1" applyAlignment="1" applyProtection="1">
      <alignment horizontal="left"/>
      <protection hidden="1"/>
    </xf>
    <xf numFmtId="0" fontId="45" fillId="2" borderId="0" xfId="0" applyFont="1" applyFill="1" applyProtection="1">
      <protection hidden="1"/>
    </xf>
    <xf numFmtId="164" fontId="45" fillId="2" borderId="0" xfId="0" applyNumberFormat="1" applyFont="1" applyFill="1" applyAlignment="1" applyProtection="1">
      <alignment horizontal="left"/>
      <protection hidden="1"/>
    </xf>
    <xf numFmtId="0" fontId="45" fillId="4" borderId="0" xfId="0" applyFont="1" applyFill="1" applyProtection="1">
      <protection hidden="1"/>
    </xf>
    <xf numFmtId="164" fontId="45" fillId="4" borderId="0" xfId="0" applyNumberFormat="1" applyFont="1" applyFill="1" applyAlignment="1" applyProtection="1">
      <alignment horizontal="left"/>
      <protection hidden="1"/>
    </xf>
    <xf numFmtId="0" fontId="45" fillId="21" borderId="0" xfId="0" applyFont="1" applyFill="1" applyProtection="1">
      <protection hidden="1"/>
    </xf>
    <xf numFmtId="0" fontId="2" fillId="11" borderId="0" xfId="0" applyFont="1" applyFill="1" applyAlignment="1" applyProtection="1">
      <alignment horizontal="left"/>
      <protection hidden="1"/>
    </xf>
    <xf numFmtId="0" fontId="37" fillId="0" borderId="0" xfId="0" applyFont="1" applyAlignment="1" applyProtection="1">
      <alignment horizontal="right"/>
    </xf>
    <xf numFmtId="0" fontId="37" fillId="0" borderId="0" xfId="0" applyFont="1" applyAlignment="1" applyProtection="1">
      <alignment horizontal="center"/>
    </xf>
    <xf numFmtId="0" fontId="37" fillId="0" borderId="0" xfId="0" applyFont="1" applyAlignment="1" applyProtection="1">
      <alignment horizontal="center"/>
      <protection hidden="1"/>
    </xf>
    <xf numFmtId="1" fontId="37" fillId="0" borderId="0" xfId="0" applyNumberFormat="1" applyFont="1" applyAlignment="1" applyProtection="1">
      <alignment horizontal="center"/>
    </xf>
    <xf numFmtId="0" fontId="37" fillId="0" borderId="0" xfId="0" quotePrefix="1" applyFont="1" applyAlignment="1" applyProtection="1">
      <alignment horizontal="center"/>
    </xf>
    <xf numFmtId="0" fontId="37" fillId="2" borderId="0" xfId="0" applyNumberFormat="1" applyFont="1" applyFill="1" applyBorder="1" applyAlignment="1" applyProtection="1">
      <alignment horizontal="center"/>
    </xf>
    <xf numFmtId="0" fontId="37" fillId="0" borderId="0" xfId="0" applyFont="1" applyBorder="1" applyProtection="1"/>
    <xf numFmtId="0" fontId="37" fillId="2" borderId="0" xfId="0" applyNumberFormat="1" applyFont="1" applyFill="1" applyAlignment="1" applyProtection="1">
      <alignment horizontal="center"/>
    </xf>
    <xf numFmtId="49" fontId="37" fillId="0" borderId="24" xfId="0" applyNumberFormat="1" applyFont="1" applyBorder="1" applyAlignment="1" applyProtection="1">
      <alignment horizontal="center"/>
    </xf>
    <xf numFmtId="49" fontId="37" fillId="0" borderId="26" xfId="0" applyNumberFormat="1" applyFont="1" applyBorder="1" applyAlignment="1" applyProtection="1">
      <alignment horizontal="center"/>
    </xf>
    <xf numFmtId="49" fontId="37" fillId="0" borderId="16" xfId="0" applyNumberFormat="1" applyFont="1" applyBorder="1" applyAlignment="1" applyProtection="1">
      <alignment horizontal="center"/>
    </xf>
    <xf numFmtId="49" fontId="37" fillId="0" borderId="17" xfId="0" applyNumberFormat="1" applyFont="1" applyBorder="1" applyAlignment="1" applyProtection="1">
      <alignment horizontal="center"/>
    </xf>
    <xf numFmtId="0" fontId="21" fillId="0" borderId="0" xfId="0" applyFont="1" applyFill="1" applyBorder="1" applyProtection="1"/>
    <xf numFmtId="0" fontId="21" fillId="3" borderId="12" xfId="0" applyFont="1" applyFill="1" applyBorder="1" applyProtection="1"/>
    <xf numFmtId="0" fontId="21" fillId="3" borderId="14" xfId="0" applyFont="1" applyFill="1" applyBorder="1" applyProtection="1"/>
    <xf numFmtId="49" fontId="37" fillId="0" borderId="0" xfId="0" applyNumberFormat="1" applyFont="1" applyBorder="1" applyAlignment="1" applyProtection="1">
      <alignment horizontal="center"/>
    </xf>
    <xf numFmtId="0" fontId="9" fillId="0" borderId="0" xfId="0" quotePrefix="1" applyFont="1" applyProtection="1">
      <protection hidden="1"/>
    </xf>
    <xf numFmtId="0" fontId="9" fillId="12" borderId="19" xfId="0" applyFont="1" applyFill="1" applyBorder="1" applyAlignment="1" applyProtection="1">
      <alignment horizontal="right" shrinkToFit="1"/>
    </xf>
    <xf numFmtId="0" fontId="6" fillId="0" borderId="8" xfId="0" applyFont="1" applyFill="1" applyBorder="1" applyAlignment="1" applyProtection="1">
      <alignment horizontal="center"/>
    </xf>
    <xf numFmtId="0" fontId="6" fillId="0" borderId="11" xfId="0" applyFont="1" applyFill="1" applyBorder="1" applyAlignment="1" applyProtection="1">
      <alignment horizontal="center"/>
    </xf>
    <xf numFmtId="1" fontId="9" fillId="12" borderId="2" xfId="0" applyNumberFormat="1" applyFont="1" applyFill="1" applyBorder="1" applyAlignment="1" applyProtection="1">
      <alignment horizontal="right"/>
    </xf>
    <xf numFmtId="0" fontId="37" fillId="0" borderId="29" xfId="0" applyFont="1" applyBorder="1" applyAlignment="1" applyProtection="1">
      <alignment horizontal="right"/>
    </xf>
    <xf numFmtId="165" fontId="64" fillId="2" borderId="29" xfId="1" applyNumberFormat="1" applyFont="1" applyFill="1" applyBorder="1" applyAlignment="1" applyProtection="1">
      <alignment shrinkToFit="1"/>
    </xf>
    <xf numFmtId="0" fontId="37" fillId="0" borderId="29" xfId="0" applyFont="1" applyBorder="1" applyProtection="1"/>
    <xf numFmtId="0" fontId="35" fillId="9" borderId="26" xfId="0" applyFont="1" applyFill="1" applyBorder="1" applyAlignment="1">
      <alignment vertical="top" wrapText="1"/>
    </xf>
    <xf numFmtId="1" fontId="35" fillId="9" borderId="0" xfId="0" applyNumberFormat="1" applyFont="1" applyFill="1" applyAlignment="1" applyProtection="1">
      <alignment horizontal="center" vertical="center"/>
    </xf>
    <xf numFmtId="0" fontId="35" fillId="9" borderId="0" xfId="0" applyFont="1" applyFill="1" applyAlignment="1" applyProtection="1">
      <alignment horizontal="left" vertical="center" indent="2"/>
    </xf>
    <xf numFmtId="0" fontId="9" fillId="9" borderId="30" xfId="0" applyFont="1" applyFill="1" applyBorder="1"/>
    <xf numFmtId="0" fontId="35" fillId="9" borderId="31" xfId="0" applyFont="1" applyFill="1" applyBorder="1" applyAlignment="1">
      <alignment vertical="center"/>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xf>
    <xf numFmtId="0" fontId="35" fillId="9" borderId="0" xfId="0" applyFont="1" applyFill="1" applyBorder="1" applyAlignment="1">
      <alignment horizontal="center" vertical="center"/>
    </xf>
    <xf numFmtId="0" fontId="35" fillId="9" borderId="0" xfId="0" applyFont="1" applyFill="1" applyAlignment="1">
      <alignment horizontal="center" vertical="center"/>
    </xf>
    <xf numFmtId="0" fontId="35" fillId="12" borderId="0" xfId="0"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15" borderId="0" xfId="0" applyFont="1" applyFill="1" applyAlignment="1">
      <alignment horizontal="center" vertical="center"/>
    </xf>
    <xf numFmtId="0" fontId="35" fillId="9" borderId="0" xfId="0" applyFont="1" applyFill="1" applyAlignment="1">
      <alignment horizontal="left" vertical="center"/>
    </xf>
    <xf numFmtId="1" fontId="35" fillId="9" borderId="0" xfId="0" applyNumberFormat="1" applyFont="1" applyFill="1" applyAlignment="1" applyProtection="1">
      <alignment vertical="center"/>
    </xf>
    <xf numFmtId="0" fontId="0" fillId="6" borderId="0" xfId="0" applyFill="1"/>
    <xf numFmtId="0" fontId="66" fillId="9" borderId="0" xfId="0" applyFont="1" applyFill="1" applyAlignment="1" applyProtection="1">
      <alignment vertical="top" wrapText="1"/>
    </xf>
    <xf numFmtId="0" fontId="35" fillId="9" borderId="0" xfId="0" applyFont="1" applyFill="1" applyAlignment="1">
      <alignment horizontal="right" indent="1"/>
    </xf>
    <xf numFmtId="0" fontId="0" fillId="0" borderId="0" xfId="0" applyAlignment="1">
      <alignment horizontal="left"/>
    </xf>
    <xf numFmtId="0" fontId="69" fillId="0" borderId="0" xfId="0" applyFont="1" applyAlignment="1">
      <alignment horizontal="center"/>
    </xf>
    <xf numFmtId="0" fontId="69" fillId="0" borderId="0" xfId="0" applyFont="1"/>
    <xf numFmtId="0" fontId="55" fillId="9" borderId="0" xfId="0" applyFont="1" applyFill="1" applyAlignment="1" applyProtection="1">
      <alignment vertical="top" wrapText="1"/>
    </xf>
    <xf numFmtId="0" fontId="55" fillId="9" borderId="0" xfId="0" applyFont="1" applyFill="1"/>
    <xf numFmtId="1" fontId="35" fillId="9" borderId="0" xfId="0" applyNumberFormat="1" applyFont="1" applyFill="1" applyAlignment="1" applyProtection="1">
      <alignment horizontal="left" vertical="center"/>
    </xf>
    <xf numFmtId="0" fontId="41" fillId="9" borderId="26" xfId="0" applyFont="1" applyFill="1" applyBorder="1" applyAlignment="1">
      <alignment vertical="center"/>
    </xf>
    <xf numFmtId="0" fontId="35" fillId="9" borderId="0" xfId="0" applyFont="1" applyFill="1" applyAlignment="1">
      <alignment horizontal="right" vertical="center" indent="1"/>
    </xf>
    <xf numFmtId="0" fontId="58" fillId="9" borderId="0" xfId="0" applyFont="1" applyFill="1"/>
    <xf numFmtId="0" fontId="35" fillId="9" borderId="0" xfId="1" applyNumberFormat="1" applyFont="1" applyFill="1" applyAlignment="1">
      <alignment horizontal="right" vertical="center"/>
    </xf>
    <xf numFmtId="0" fontId="35" fillId="9" borderId="0" xfId="1" applyNumberFormat="1" applyFont="1" applyFill="1" applyAlignment="1">
      <alignment horizontal="right" vertical="center" indent="1"/>
    </xf>
    <xf numFmtId="0" fontId="71" fillId="9" borderId="0" xfId="6" applyFont="1" applyFill="1" applyBorder="1" applyAlignment="1" applyProtection="1">
      <alignment vertical="center"/>
    </xf>
    <xf numFmtId="0" fontId="35" fillId="9" borderId="0" xfId="1" applyNumberFormat="1" applyFont="1" applyFill="1" applyBorder="1" applyAlignment="1" applyProtection="1">
      <alignment horizontal="right" vertical="center"/>
    </xf>
    <xf numFmtId="0" fontId="55" fillId="15" borderId="0" xfId="0" applyFont="1" applyFill="1"/>
    <xf numFmtId="0" fontId="55" fillId="15" borderId="0" xfId="0" applyFont="1" applyFill="1" applyAlignment="1">
      <alignment horizontal="left" vertical="top"/>
    </xf>
    <xf numFmtId="0" fontId="38" fillId="9" borderId="0" xfId="0" applyFont="1" applyFill="1"/>
    <xf numFmtId="14" fontId="35" fillId="12" borderId="0" xfId="0" applyNumberFormat="1" applyFont="1" applyFill="1" applyAlignment="1" applyProtection="1">
      <alignment horizontal="center" vertical="center"/>
      <protection locked="0" hidden="1"/>
    </xf>
    <xf numFmtId="0" fontId="35" fillId="12" borderId="0" xfId="0" applyFont="1" applyFill="1" applyAlignment="1" applyProtection="1">
      <alignment horizontal="center" vertical="center"/>
      <protection locked="0" hidden="1"/>
    </xf>
    <xf numFmtId="0" fontId="35" fillId="12" borderId="0" xfId="1" applyNumberFormat="1" applyFont="1" applyFill="1" applyAlignment="1" applyProtection="1">
      <alignment horizontal="center" vertical="center"/>
      <protection locked="0" hidden="1"/>
    </xf>
    <xf numFmtId="0" fontId="35" fillId="12" borderId="0" xfId="0" applyFont="1" applyFill="1" applyAlignment="1" applyProtection="1">
      <alignment horizontal="center"/>
      <protection locked="0" hidden="1"/>
    </xf>
    <xf numFmtId="0" fontId="35" fillId="12" borderId="0" xfId="0" applyFont="1" applyFill="1" applyAlignment="1" applyProtection="1">
      <alignment horizontal="left" vertical="center" indent="3"/>
      <protection locked="0"/>
    </xf>
    <xf numFmtId="0" fontId="35" fillId="12" borderId="0" xfId="1" applyNumberFormat="1" applyFont="1" applyFill="1" applyBorder="1" applyAlignment="1" applyProtection="1">
      <alignment horizontal="right" vertical="center"/>
      <protection locked="0" hidden="1"/>
    </xf>
    <xf numFmtId="0" fontId="35" fillId="12" borderId="0" xfId="0" applyFont="1" applyFill="1" applyAlignment="1" applyProtection="1">
      <alignment horizontal="left" vertical="center" indent="6"/>
      <protection locked="0"/>
    </xf>
    <xf numFmtId="0" fontId="24" fillId="9" borderId="0" xfId="0" applyFont="1" applyFill="1" applyAlignment="1">
      <alignment horizontal="left"/>
    </xf>
    <xf numFmtId="0" fontId="43" fillId="9" borderId="0" xfId="0" applyFont="1" applyFill="1" applyAlignment="1" applyProtection="1">
      <alignment horizontal="left" vertical="center"/>
      <protection hidden="1"/>
    </xf>
    <xf numFmtId="0" fontId="72" fillId="9" borderId="0" xfId="0" applyFont="1" applyFill="1"/>
    <xf numFmtId="0" fontId="9" fillId="29" borderId="32" xfId="0" applyFont="1" applyFill="1" applyBorder="1" applyProtection="1"/>
    <xf numFmtId="0" fontId="6" fillId="29" borderId="33" xfId="0" applyFont="1" applyFill="1" applyBorder="1" applyProtection="1"/>
    <xf numFmtId="0" fontId="9" fillId="29" borderId="33" xfId="0" applyFont="1" applyFill="1" applyBorder="1" applyAlignment="1" applyProtection="1">
      <alignment horizontal="center"/>
    </xf>
    <xf numFmtId="0" fontId="6" fillId="29" borderId="33" xfId="0" applyFont="1" applyFill="1" applyBorder="1" applyAlignment="1" applyProtection="1">
      <alignment horizontal="center"/>
    </xf>
    <xf numFmtId="0" fontId="9" fillId="29" borderId="34" xfId="0" applyFont="1" applyFill="1" applyBorder="1" applyAlignment="1" applyProtection="1">
      <alignment horizontal="center"/>
    </xf>
    <xf numFmtId="0" fontId="9" fillId="29" borderId="35" xfId="0" applyFont="1" applyFill="1" applyBorder="1" applyProtection="1"/>
    <xf numFmtId="0" fontId="9" fillId="29" borderId="0" xfId="0" applyFont="1" applyFill="1" applyBorder="1" applyProtection="1"/>
    <xf numFmtId="0" fontId="9" fillId="29" borderId="0" xfId="0" applyFont="1" applyFill="1" applyBorder="1" applyAlignment="1" applyProtection="1">
      <alignment horizontal="center"/>
    </xf>
    <xf numFmtId="0" fontId="9" fillId="29" borderId="36" xfId="0" applyFont="1" applyFill="1" applyBorder="1" applyAlignment="1" applyProtection="1">
      <alignment horizontal="center"/>
    </xf>
    <xf numFmtId="0" fontId="9" fillId="29" borderId="35" xfId="0" applyFont="1" applyFill="1" applyBorder="1" applyAlignment="1" applyProtection="1"/>
    <xf numFmtId="0" fontId="9" fillId="29" borderId="0" xfId="0" applyFont="1" applyFill="1" applyBorder="1" applyAlignment="1" applyProtection="1"/>
    <xf numFmtId="0" fontId="74" fillId="29" borderId="35" xfId="0" applyFont="1" applyFill="1" applyBorder="1" applyProtection="1"/>
    <xf numFmtId="0" fontId="74" fillId="29" borderId="0" xfId="0" applyFont="1" applyFill="1" applyBorder="1" applyProtection="1"/>
    <xf numFmtId="0" fontId="74" fillId="29" borderId="0" xfId="0" applyFont="1" applyFill="1" applyBorder="1" applyAlignment="1" applyProtection="1">
      <alignment horizontal="center"/>
    </xf>
    <xf numFmtId="0" fontId="74" fillId="29" borderId="36" xfId="0" applyFont="1" applyFill="1" applyBorder="1" applyAlignment="1" applyProtection="1">
      <alignment horizontal="center"/>
    </xf>
    <xf numFmtId="0" fontId="74" fillId="9" borderId="35" xfId="0" applyFont="1" applyFill="1" applyBorder="1" applyProtection="1"/>
    <xf numFmtId="0" fontId="74" fillId="9" borderId="0" xfId="0" applyFont="1" applyFill="1" applyBorder="1" applyProtection="1"/>
    <xf numFmtId="0" fontId="74" fillId="9" borderId="0" xfId="0" applyFont="1" applyFill="1" applyBorder="1" applyAlignment="1" applyProtection="1">
      <alignment horizontal="center"/>
    </xf>
    <xf numFmtId="0" fontId="74" fillId="9" borderId="36" xfId="0" applyFont="1" applyFill="1" applyBorder="1" applyAlignment="1" applyProtection="1">
      <alignment horizontal="center"/>
    </xf>
    <xf numFmtId="0" fontId="35" fillId="9" borderId="35" xfId="0" applyFont="1" applyFill="1" applyBorder="1" applyAlignment="1" applyProtection="1">
      <alignment vertical="top" wrapText="1"/>
    </xf>
    <xf numFmtId="0" fontId="35" fillId="9" borderId="0" xfId="0" applyFont="1" applyFill="1" applyBorder="1" applyAlignment="1" applyProtection="1">
      <alignment vertical="top" wrapText="1"/>
    </xf>
    <xf numFmtId="0" fontId="74" fillId="9" borderId="0" xfId="0" applyFont="1" applyFill="1" applyProtection="1"/>
    <xf numFmtId="0" fontId="35" fillId="9" borderId="0" xfId="0" applyFont="1" applyFill="1" applyBorder="1" applyAlignment="1" applyProtection="1">
      <alignment horizontal="center" vertical="top" wrapText="1"/>
    </xf>
    <xf numFmtId="0" fontId="35" fillId="9" borderId="36" xfId="0" applyFont="1" applyFill="1" applyBorder="1" applyAlignment="1" applyProtection="1">
      <alignment horizontal="center" vertical="top" wrapText="1"/>
    </xf>
    <xf numFmtId="1" fontId="35" fillId="9" borderId="0" xfId="0" applyNumberFormat="1" applyFont="1" applyFill="1" applyBorder="1" applyAlignment="1" applyProtection="1">
      <alignment horizontal="center" vertical="top" wrapText="1"/>
    </xf>
    <xf numFmtId="0" fontId="35" fillId="30" borderId="35" xfId="0" applyFont="1" applyFill="1" applyBorder="1" applyAlignment="1" applyProtection="1">
      <alignment vertical="top" wrapText="1"/>
    </xf>
    <xf numFmtId="0" fontId="34" fillId="30" borderId="0" xfId="0" applyFont="1" applyFill="1" applyBorder="1" applyAlignment="1" applyProtection="1">
      <alignment vertical="top" wrapText="1"/>
    </xf>
    <xf numFmtId="0" fontId="74" fillId="30" borderId="0" xfId="0" applyFont="1" applyFill="1" applyBorder="1" applyAlignment="1" applyProtection="1">
      <alignment horizontal="center"/>
    </xf>
    <xf numFmtId="0" fontId="34" fillId="30" borderId="0" xfId="0" applyFont="1" applyFill="1" applyBorder="1" applyAlignment="1" applyProtection="1">
      <alignment horizontal="center" vertical="top" wrapText="1"/>
    </xf>
    <xf numFmtId="0" fontId="35" fillId="30" borderId="0" xfId="0" applyFont="1" applyFill="1" applyBorder="1" applyAlignment="1" applyProtection="1">
      <alignment horizontal="center" vertical="top" wrapText="1"/>
    </xf>
    <xf numFmtId="0" fontId="35" fillId="30" borderId="36" xfId="0" applyFont="1" applyFill="1" applyBorder="1" applyAlignment="1" applyProtection="1">
      <alignment horizontal="center" vertical="top" wrapText="1"/>
    </xf>
    <xf numFmtId="0" fontId="35" fillId="30" borderId="0" xfId="0" applyFont="1" applyFill="1" applyBorder="1" applyAlignment="1" applyProtection="1">
      <alignment vertical="top" wrapText="1"/>
    </xf>
    <xf numFmtId="0" fontId="74" fillId="30" borderId="35" xfId="0" applyFont="1" applyFill="1" applyBorder="1" applyProtection="1"/>
    <xf numFmtId="0" fontId="74" fillId="30" borderId="36" xfId="0" applyFont="1" applyFill="1" applyBorder="1" applyAlignment="1" applyProtection="1">
      <alignment horizontal="center"/>
    </xf>
    <xf numFmtId="0" fontId="74" fillId="22" borderId="35" xfId="0" applyFont="1" applyFill="1" applyBorder="1" applyProtection="1"/>
    <xf numFmtId="0" fontId="75" fillId="22" borderId="0" xfId="0" applyFont="1" applyFill="1" applyBorder="1" applyProtection="1"/>
    <xf numFmtId="0" fontId="75" fillId="22" borderId="0" xfId="0" applyFont="1" applyFill="1" applyBorder="1" applyAlignment="1" applyProtection="1">
      <alignment horizontal="center"/>
    </xf>
    <xf numFmtId="0" fontId="75" fillId="22" borderId="36" xfId="0" applyFont="1" applyFill="1" applyBorder="1" applyAlignment="1" applyProtection="1">
      <alignment horizontal="center"/>
    </xf>
    <xf numFmtId="0" fontId="74" fillId="22" borderId="0" xfId="0" applyFont="1" applyFill="1" applyBorder="1" applyProtection="1"/>
    <xf numFmtId="0" fontId="74" fillId="22" borderId="0" xfId="0" applyFont="1" applyFill="1" applyBorder="1" applyAlignment="1" applyProtection="1">
      <alignment horizontal="center"/>
    </xf>
    <xf numFmtId="0" fontId="74" fillId="22" borderId="36" xfId="0" applyFont="1" applyFill="1" applyBorder="1" applyAlignment="1" applyProtection="1">
      <alignment horizontal="center"/>
    </xf>
    <xf numFmtId="0" fontId="74" fillId="22" borderId="36" xfId="0" applyFont="1" applyFill="1" applyBorder="1" applyProtection="1"/>
    <xf numFmtId="0" fontId="9" fillId="22" borderId="35" xfId="0" applyFont="1" applyFill="1" applyBorder="1" applyProtection="1"/>
    <xf numFmtId="0" fontId="9" fillId="22" borderId="0" xfId="0" applyFont="1" applyFill="1" applyBorder="1" applyProtection="1"/>
    <xf numFmtId="0" fontId="9" fillId="22" borderId="36" xfId="0" applyFont="1" applyFill="1" applyBorder="1" applyProtection="1"/>
    <xf numFmtId="0" fontId="9" fillId="22" borderId="37" xfId="0" applyFont="1" applyFill="1" applyBorder="1" applyProtection="1"/>
    <xf numFmtId="0" fontId="9" fillId="22" borderId="38" xfId="0" applyFont="1" applyFill="1" applyBorder="1" applyProtection="1"/>
    <xf numFmtId="0" fontId="9" fillId="22" borderId="39" xfId="0" applyFont="1" applyFill="1" applyBorder="1" applyAlignment="1" applyProtection="1">
      <alignment horizontal="center"/>
    </xf>
    <xf numFmtId="0" fontId="35" fillId="9" borderId="0" xfId="0" applyFont="1" applyFill="1" applyBorder="1" applyAlignment="1" applyProtection="1">
      <alignment horizontal="left" vertical="top" wrapText="1"/>
    </xf>
    <xf numFmtId="0" fontId="9" fillId="15" borderId="0" xfId="0" applyFont="1" applyFill="1" applyAlignment="1">
      <alignment horizontal="center"/>
    </xf>
    <xf numFmtId="0" fontId="6" fillId="15" borderId="0" xfId="0" applyFont="1" applyFill="1" applyAlignment="1">
      <alignment horizontal="center"/>
    </xf>
    <xf numFmtId="1" fontId="9" fillId="15" borderId="0" xfId="0" applyNumberFormat="1" applyFont="1" applyFill="1"/>
    <xf numFmtId="0" fontId="8" fillId="9" borderId="0" xfId="0" applyFont="1" applyFill="1"/>
    <xf numFmtId="0" fontId="9" fillId="9" borderId="0" xfId="0" quotePrefix="1" applyFont="1" applyFill="1"/>
    <xf numFmtId="0" fontId="35" fillId="0" borderId="0" xfId="0" applyFont="1" applyFill="1" applyAlignment="1">
      <alignment vertical="top" wrapText="1"/>
    </xf>
    <xf numFmtId="0" fontId="9" fillId="12" borderId="7" xfId="0" applyFont="1" applyFill="1" applyBorder="1" applyAlignment="1" applyProtection="1">
      <alignment horizontal="left" shrinkToFit="1"/>
    </xf>
    <xf numFmtId="0" fontId="9" fillId="12" borderId="8" xfId="0" applyFont="1" applyFill="1" applyBorder="1" applyAlignment="1" applyProtection="1">
      <alignment horizontal="left" shrinkToFit="1"/>
    </xf>
    <xf numFmtId="9" fontId="9" fillId="12" borderId="21" xfId="0" applyNumberFormat="1" applyFont="1" applyFill="1" applyBorder="1" applyAlignment="1" applyProtection="1">
      <alignment horizontal="right"/>
    </xf>
    <xf numFmtId="0" fontId="35" fillId="9" borderId="0" xfId="0" applyFont="1" applyFill="1" applyAlignment="1">
      <alignment horizontal="left" wrapText="1"/>
    </xf>
    <xf numFmtId="0" fontId="35" fillId="9" borderId="0" xfId="0" applyFont="1" applyFill="1" applyBorder="1" applyAlignment="1">
      <alignment horizontal="left" vertical="center"/>
    </xf>
    <xf numFmtId="0" fontId="45" fillId="9" borderId="0" xfId="0" applyFont="1" applyFill="1" applyBorder="1" applyAlignment="1">
      <alignment horizontal="left" vertical="top" wrapText="1"/>
    </xf>
    <xf numFmtId="0" fontId="35" fillId="9" borderId="0" xfId="0" applyFont="1" applyFill="1" applyBorder="1" applyAlignment="1">
      <alignment horizontal="center" vertical="center"/>
    </xf>
    <xf numFmtId="14" fontId="35" fillId="12" borderId="0" xfId="0" applyNumberFormat="1" applyFont="1" applyFill="1" applyBorder="1" applyAlignment="1" applyProtection="1">
      <alignment horizontal="left" vertical="center"/>
      <protection locked="0"/>
    </xf>
    <xf numFmtId="0" fontId="35" fillId="9" borderId="0" xfId="0" applyFont="1" applyFill="1" applyAlignment="1">
      <alignment horizontal="center" vertical="center"/>
    </xf>
    <xf numFmtId="0" fontId="55" fillId="9" borderId="0" xfId="0" applyFont="1" applyFill="1" applyAlignment="1">
      <alignment horizontal="center" vertical="center"/>
    </xf>
    <xf numFmtId="0" fontId="35" fillId="12" borderId="0" xfId="0" applyFont="1" applyFill="1" applyAlignment="1" applyProtection="1">
      <alignment horizontal="left" vertical="center"/>
      <protection locked="0"/>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indent="1"/>
    </xf>
    <xf numFmtId="0" fontId="35" fillId="9" borderId="0" xfId="0" applyFont="1" applyFill="1" applyBorder="1" applyAlignment="1">
      <alignment horizontal="left" vertical="center" wrapText="1"/>
    </xf>
    <xf numFmtId="0" fontId="35" fillId="9" borderId="0" xfId="0" applyFont="1" applyFill="1" applyAlignment="1">
      <alignment horizontal="left" vertical="center"/>
    </xf>
    <xf numFmtId="0" fontId="11" fillId="9" borderId="0" xfId="0" applyFont="1" applyFill="1" applyAlignment="1">
      <alignment vertical="top"/>
    </xf>
    <xf numFmtId="0" fontId="61" fillId="9" borderId="0" xfId="0" applyFont="1" applyFill="1" applyBorder="1" applyProtection="1"/>
    <xf numFmtId="0" fontId="0" fillId="31" borderId="27" xfId="0" applyFill="1" applyBorder="1" applyProtection="1"/>
    <xf numFmtId="0" fontId="0" fillId="31" borderId="15" xfId="0" applyFill="1" applyBorder="1" applyProtection="1"/>
    <xf numFmtId="0" fontId="0" fillId="31" borderId="24" xfId="0" applyFill="1" applyBorder="1" applyProtection="1"/>
    <xf numFmtId="0" fontId="0" fillId="31" borderId="26" xfId="0" applyFill="1" applyBorder="1" applyProtection="1"/>
    <xf numFmtId="0" fontId="0" fillId="31" borderId="16" xfId="0" applyFill="1" applyBorder="1" applyProtection="1"/>
    <xf numFmtId="0" fontId="0" fillId="31" borderId="17" xfId="0" applyFill="1" applyBorder="1" applyProtection="1"/>
    <xf numFmtId="0" fontId="1" fillId="9" borderId="0" xfId="0" applyFont="1" applyFill="1" applyBorder="1" applyAlignment="1" applyProtection="1">
      <alignment vertical="center" wrapText="1"/>
    </xf>
    <xf numFmtId="0" fontId="60" fillId="9" borderId="0" xfId="6" applyFont="1" applyFill="1" applyBorder="1" applyAlignment="1" applyProtection="1">
      <alignment vertical="center" wrapText="1"/>
    </xf>
    <xf numFmtId="0" fontId="59" fillId="9" borderId="0" xfId="6" applyFont="1" applyFill="1" applyBorder="1" applyAlignment="1" applyProtection="1">
      <alignment vertical="center" wrapText="1"/>
    </xf>
    <xf numFmtId="0" fontId="55" fillId="9" borderId="0" xfId="0" applyFont="1" applyFill="1" applyAlignment="1">
      <alignment horizontal="left" vertical="top"/>
    </xf>
    <xf numFmtId="0" fontId="9" fillId="15" borderId="0" xfId="0" applyFont="1" applyFill="1" applyAlignment="1" applyProtection="1">
      <alignment horizontal="right" vertical="center"/>
    </xf>
    <xf numFmtId="0" fontId="9" fillId="27" borderId="0" xfId="0" applyFont="1" applyFill="1" applyAlignment="1" applyProtection="1">
      <alignment horizontal="right" vertical="center"/>
    </xf>
    <xf numFmtId="0" fontId="35" fillId="9" borderId="0" xfId="0" applyFont="1" applyFill="1" applyBorder="1" applyAlignment="1">
      <alignment horizontal="right" vertical="center" indent="1"/>
    </xf>
    <xf numFmtId="0" fontId="0" fillId="9" borderId="0" xfId="0" applyFill="1" applyAlignment="1">
      <alignment horizontal="left"/>
    </xf>
    <xf numFmtId="0" fontId="35" fillId="9" borderId="0" xfId="0" applyFont="1" applyFill="1" applyAlignment="1">
      <alignment horizontal="center" vertical="center"/>
    </xf>
    <xf numFmtId="0" fontId="35" fillId="9" borderId="0" xfId="0" applyFont="1" applyFill="1" applyAlignment="1">
      <alignment horizontal="left" wrapText="1"/>
    </xf>
    <xf numFmtId="49" fontId="35" fillId="12" borderId="0" xfId="0" applyNumberFormat="1" applyFont="1" applyFill="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55" fillId="9" borderId="0" xfId="0" applyFont="1" applyFill="1" applyAlignment="1">
      <alignment horizontal="center" vertical="center"/>
    </xf>
    <xf numFmtId="14" fontId="35" fillId="12" borderId="0" xfId="0" applyNumberFormat="1" applyFont="1" applyFill="1" applyAlignment="1" applyProtection="1">
      <alignment horizontal="left" vertical="center"/>
      <protection locked="0"/>
    </xf>
    <xf numFmtId="0" fontId="35" fillId="9" borderId="0" xfId="0" applyFont="1" applyFill="1" applyAlignment="1">
      <alignment horizontal="left" vertical="center" indent="2"/>
    </xf>
    <xf numFmtId="0" fontId="35" fillId="9" borderId="0" xfId="0" applyFont="1" applyFill="1" applyAlignment="1">
      <alignment horizontal="left" vertical="center"/>
    </xf>
    <xf numFmtId="1" fontId="35" fillId="10" borderId="0" xfId="0" applyNumberFormat="1" applyFont="1" applyFill="1" applyAlignment="1">
      <alignment horizontal="left" vertical="center"/>
    </xf>
    <xf numFmtId="0" fontId="35" fillId="9" borderId="0" xfId="0" applyFont="1" applyFill="1" applyAlignment="1">
      <alignment horizontal="left" vertical="center" indent="2"/>
    </xf>
    <xf numFmtId="9" fontId="35" fillId="15" borderId="0" xfId="0" applyNumberFormat="1" applyFont="1" applyFill="1" applyAlignment="1">
      <alignment horizontal="center" vertical="center"/>
    </xf>
    <xf numFmtId="0" fontId="35" fillId="9" borderId="0" xfId="0" applyFont="1" applyFill="1" applyAlignment="1">
      <alignment horizontal="left" vertical="center"/>
    </xf>
    <xf numFmtId="0" fontId="76" fillId="9" borderId="0" xfId="0" applyFont="1" applyFill="1" applyBorder="1" applyAlignment="1">
      <alignment vertical="top"/>
    </xf>
    <xf numFmtId="0" fontId="76" fillId="9" borderId="0" xfId="0" applyFont="1" applyFill="1" applyAlignment="1">
      <alignment vertical="top"/>
    </xf>
    <xf numFmtId="0" fontId="0" fillId="6" borderId="13" xfId="0" applyFill="1" applyBorder="1"/>
    <xf numFmtId="0" fontId="0" fillId="31" borderId="0" xfId="0" applyFill="1" applyBorder="1" applyProtection="1"/>
    <xf numFmtId="0" fontId="1" fillId="9" borderId="0" xfId="0" applyFont="1" applyFill="1" applyBorder="1" applyAlignment="1" applyProtection="1">
      <alignment vertical="center"/>
    </xf>
    <xf numFmtId="0" fontId="1" fillId="31" borderId="22" xfId="0" applyFont="1" applyFill="1" applyBorder="1" applyAlignment="1" applyProtection="1">
      <alignment vertical="center"/>
    </xf>
    <xf numFmtId="0" fontId="35" fillId="9" borderId="0" xfId="0" applyFont="1" applyFill="1" applyAlignment="1">
      <alignment horizontal="right" vertical="top" wrapText="1" indent="1"/>
    </xf>
    <xf numFmtId="0" fontId="35" fillId="9" borderId="0" xfId="0" applyFont="1" applyFill="1" applyAlignment="1">
      <alignment horizontal="left" vertical="top" wrapText="1" indent="2"/>
    </xf>
    <xf numFmtId="0" fontId="24" fillId="9" borderId="0" xfId="0" applyFont="1" applyFill="1" applyAlignment="1">
      <alignment horizontal="left" vertical="center" wrapText="1"/>
    </xf>
    <xf numFmtId="0" fontId="76" fillId="9" borderId="0" xfId="0" applyFont="1" applyFill="1" applyAlignment="1">
      <alignment vertical="center"/>
    </xf>
    <xf numFmtId="2" fontId="35" fillId="27" borderId="0" xfId="0" applyNumberFormat="1" applyFont="1" applyFill="1" applyAlignment="1" applyProtection="1">
      <alignment horizontal="left" vertical="center"/>
    </xf>
    <xf numFmtId="0" fontId="76" fillId="9" borderId="24" xfId="0" applyFont="1" applyFill="1" applyBorder="1" applyAlignment="1">
      <alignment horizontal="left" vertical="center" indent="1"/>
    </xf>
    <xf numFmtId="0" fontId="38" fillId="9" borderId="26" xfId="0" applyFont="1" applyFill="1" applyBorder="1"/>
    <xf numFmtId="0" fontId="35" fillId="9" borderId="0" xfId="0" applyFont="1" applyFill="1" applyAlignment="1">
      <alignment horizontal="right" vertical="top" indent="1"/>
    </xf>
    <xf numFmtId="0" fontId="11" fillId="9" borderId="0" xfId="0" applyFont="1" applyFill="1" applyAlignment="1">
      <alignment horizontal="center" vertical="center"/>
    </xf>
    <xf numFmtId="0" fontId="35" fillId="9" borderId="0" xfId="0" applyFont="1" applyFill="1" applyAlignment="1">
      <alignment horizontal="left" vertical="top" indent="2"/>
    </xf>
    <xf numFmtId="0" fontId="11" fillId="9" borderId="0" xfId="0" applyFont="1" applyFill="1" applyAlignment="1">
      <alignment horizontal="right" vertical="center"/>
    </xf>
    <xf numFmtId="0" fontId="11" fillId="9" borderId="0" xfId="0" applyFont="1" applyFill="1" applyAlignment="1">
      <alignment horizontal="right"/>
    </xf>
    <xf numFmtId="0" fontId="11" fillId="15" borderId="0" xfId="0" applyFont="1" applyFill="1" applyAlignment="1">
      <alignment horizontal="right"/>
    </xf>
    <xf numFmtId="0" fontId="11" fillId="9" borderId="0" xfId="0" applyFont="1" applyFill="1" applyAlignment="1" applyProtection="1">
      <alignment horizontal="right"/>
    </xf>
    <xf numFmtId="0" fontId="11" fillId="0" borderId="0" xfId="0" applyFont="1" applyBorder="1" applyAlignment="1" applyProtection="1">
      <alignment horizontal="right"/>
    </xf>
    <xf numFmtId="0" fontId="11" fillId="15" borderId="0" xfId="0" applyFont="1" applyFill="1" applyAlignment="1" applyProtection="1">
      <alignment horizontal="right"/>
    </xf>
    <xf numFmtId="0" fontId="41" fillId="15" borderId="26" xfId="0" applyFont="1" applyFill="1" applyBorder="1"/>
    <xf numFmtId="0" fontId="35" fillId="10" borderId="0" xfId="1" applyNumberFormat="1" applyFont="1" applyFill="1" applyAlignment="1">
      <alignment horizontal="left" vertical="center"/>
    </xf>
    <xf numFmtId="49" fontId="35" fillId="12" borderId="0" xfId="0" applyNumberFormat="1" applyFont="1" applyFill="1" applyAlignment="1" applyProtection="1">
      <alignment horizontal="left" vertical="center"/>
      <protection locked="0"/>
    </xf>
    <xf numFmtId="0" fontId="35" fillId="12" borderId="0" xfId="0" applyFont="1" applyFill="1" applyBorder="1" applyAlignment="1" applyProtection="1">
      <alignment horizontal="left" vertical="center"/>
      <protection locked="0"/>
    </xf>
    <xf numFmtId="0" fontId="35" fillId="10" borderId="0" xfId="0" applyFont="1" applyFill="1" applyBorder="1" applyAlignment="1">
      <alignment horizontal="left" vertical="center"/>
    </xf>
    <xf numFmtId="14" fontId="35" fillId="12" borderId="0" xfId="0" applyNumberFormat="1" applyFont="1" applyFill="1" applyBorder="1" applyAlignment="1" applyProtection="1">
      <alignment horizontal="left" vertical="center"/>
      <protection locked="0"/>
    </xf>
    <xf numFmtId="0" fontId="35" fillId="12" borderId="0" xfId="0" applyFont="1" applyFill="1" applyAlignment="1" applyProtection="1">
      <alignment horizontal="left" vertical="center"/>
      <protection locked="0"/>
    </xf>
    <xf numFmtId="0" fontId="35" fillId="10" borderId="0" xfId="0" applyFont="1" applyFill="1" applyAlignment="1">
      <alignment horizontal="left" vertical="center"/>
    </xf>
    <xf numFmtId="14" fontId="35" fillId="12" borderId="0" xfId="0" applyNumberFormat="1" applyFont="1" applyFill="1" applyAlignment="1" applyProtection="1">
      <alignment horizontal="left" vertical="center"/>
      <protection locked="0"/>
    </xf>
    <xf numFmtId="0" fontId="35" fillId="16" borderId="0" xfId="0" applyFont="1" applyFill="1" applyAlignment="1" applyProtection="1">
      <alignment horizontal="left" vertical="center"/>
      <protection locked="0"/>
    </xf>
    <xf numFmtId="14" fontId="35" fillId="16" borderId="0" xfId="0" applyNumberFormat="1" applyFont="1" applyFill="1" applyAlignment="1" applyProtection="1">
      <alignment horizontal="left" vertical="center"/>
      <protection locked="0"/>
    </xf>
    <xf numFmtId="2" fontId="35" fillId="12" borderId="0" xfId="0" applyNumberFormat="1" applyFont="1" applyFill="1" applyAlignment="1" applyProtection="1">
      <alignment horizontal="left" vertical="center"/>
      <protection locked="0"/>
    </xf>
    <xf numFmtId="1" fontId="35" fillId="10" borderId="0" xfId="0" applyNumberFormat="1" applyFont="1" applyFill="1" applyAlignment="1">
      <alignment horizontal="left" vertical="center"/>
    </xf>
    <xf numFmtId="0" fontId="35" fillId="17" borderId="0" xfId="0" applyFont="1" applyFill="1" applyAlignment="1">
      <alignment horizontal="left" vertical="center"/>
    </xf>
    <xf numFmtId="0" fontId="35" fillId="10" borderId="0" xfId="0" applyFont="1" applyFill="1" applyAlignment="1" applyProtection="1">
      <alignment horizontal="left" vertical="center"/>
    </xf>
    <xf numFmtId="10" fontId="35" fillId="10" borderId="0" xfId="5" applyNumberFormat="1" applyFont="1" applyFill="1" applyBorder="1" applyAlignment="1">
      <alignment horizontal="left" vertical="center"/>
    </xf>
    <xf numFmtId="0" fontId="35" fillId="10" borderId="0" xfId="0" applyNumberFormat="1" applyFont="1" applyFill="1" applyAlignment="1">
      <alignment horizontal="left" vertical="center"/>
    </xf>
    <xf numFmtId="0" fontId="35" fillId="10" borderId="0" xfId="1" applyNumberFormat="1" applyFont="1" applyFill="1" applyBorder="1" applyAlignment="1" applyProtection="1">
      <alignment horizontal="left" vertical="center"/>
    </xf>
    <xf numFmtId="38" fontId="35" fillId="10" borderId="0" xfId="1" applyNumberFormat="1" applyFont="1" applyFill="1" applyAlignment="1" applyProtection="1">
      <alignment horizontal="left" vertical="center"/>
    </xf>
    <xf numFmtId="40" fontId="35" fillId="10" borderId="0" xfId="1" applyNumberFormat="1" applyFont="1" applyFill="1" applyAlignment="1" applyProtection="1">
      <alignment horizontal="left" vertical="center"/>
    </xf>
    <xf numFmtId="0" fontId="35" fillId="12" borderId="0" xfId="0" applyFont="1" applyFill="1" applyAlignment="1" applyProtection="1">
      <alignment horizontal="left" vertical="center"/>
    </xf>
    <xf numFmtId="9" fontId="35" fillId="12" borderId="0" xfId="5" applyFont="1" applyFill="1" applyAlignment="1" applyProtection="1">
      <alignment horizontal="left" vertical="center"/>
    </xf>
    <xf numFmtId="49" fontId="24" fillId="12" borderId="0" xfId="0" applyNumberFormat="1" applyFont="1" applyFill="1" applyAlignment="1" applyProtection="1">
      <alignment horizontal="left" vertical="center"/>
      <protection locked="0"/>
    </xf>
    <xf numFmtId="0" fontId="9" fillId="12" borderId="0" xfId="0" applyFont="1" applyFill="1" applyAlignment="1" applyProtection="1">
      <alignment horizontal="left" vertical="center"/>
      <protection locked="0"/>
    </xf>
    <xf numFmtId="14" fontId="35" fillId="16" borderId="0" xfId="0" applyNumberFormat="1" applyFont="1" applyFill="1" applyAlignment="1" applyProtection="1">
      <alignment vertical="center"/>
      <protection locked="0"/>
    </xf>
    <xf numFmtId="49" fontId="35" fillId="16" borderId="0" xfId="1" applyNumberFormat="1" applyFont="1" applyFill="1" applyBorder="1" applyAlignment="1" applyProtection="1">
      <alignment vertical="center"/>
      <protection locked="0"/>
    </xf>
    <xf numFmtId="4" fontId="35" fillId="12" borderId="0" xfId="0" applyNumberFormat="1" applyFont="1" applyFill="1" applyAlignment="1" applyProtection="1">
      <alignment horizontal="left" vertical="center"/>
      <protection locked="0"/>
    </xf>
    <xf numFmtId="0" fontId="9" fillId="26" borderId="0" xfId="0" applyFont="1" applyFill="1" applyAlignment="1" applyProtection="1">
      <alignment horizontal="left" vertical="center"/>
      <protection locked="0"/>
    </xf>
    <xf numFmtId="0" fontId="41" fillId="9" borderId="26" xfId="0" applyFont="1" applyFill="1" applyBorder="1" applyAlignment="1" applyProtection="1">
      <alignment vertical="center"/>
      <protection locked="0"/>
    </xf>
    <xf numFmtId="0" fontId="38" fillId="9" borderId="26" xfId="0" applyFont="1" applyFill="1" applyBorder="1" applyProtection="1">
      <protection locked="0"/>
    </xf>
    <xf numFmtId="0" fontId="77" fillId="9" borderId="26" xfId="0" applyFont="1" applyFill="1" applyBorder="1" applyAlignment="1" applyProtection="1">
      <alignment vertical="top"/>
      <protection locked="0"/>
    </xf>
    <xf numFmtId="14" fontId="35" fillId="27" borderId="0" xfId="0" applyNumberFormat="1" applyFont="1" applyFill="1" applyAlignment="1" applyProtection="1">
      <alignment horizontal="left" vertical="center"/>
    </xf>
    <xf numFmtId="0" fontId="9" fillId="9" borderId="0" xfId="0" applyFont="1" applyFill="1" applyAlignment="1">
      <alignment horizontal="right" vertical="center" indent="1"/>
    </xf>
    <xf numFmtId="0" fontId="74" fillId="15" borderId="26" xfId="0" applyFont="1" applyFill="1" applyBorder="1" applyAlignment="1" applyProtection="1">
      <alignment vertical="center"/>
    </xf>
    <xf numFmtId="0" fontId="9" fillId="15" borderId="0" xfId="0" applyFont="1" applyFill="1" applyAlignment="1" applyProtection="1">
      <alignment horizontal="right" vertical="center" indent="1"/>
    </xf>
    <xf numFmtId="0" fontId="9" fillId="27" borderId="0" xfId="0" applyFont="1" applyFill="1" applyAlignment="1">
      <alignment vertical="center"/>
    </xf>
    <xf numFmtId="0" fontId="78" fillId="15" borderId="26" xfId="0" applyFont="1" applyFill="1" applyBorder="1" applyAlignment="1" applyProtection="1">
      <alignment vertical="center"/>
    </xf>
    <xf numFmtId="0" fontId="79" fillId="9" borderId="0" xfId="0" applyFont="1" applyFill="1" applyAlignment="1">
      <alignment horizontal="left"/>
    </xf>
    <xf numFmtId="0" fontId="79" fillId="9" borderId="0" xfId="0" applyFont="1" applyFill="1"/>
    <xf numFmtId="0" fontId="9" fillId="26" borderId="0" xfId="0" applyFont="1" applyFill="1" applyProtection="1">
      <protection locked="0"/>
    </xf>
    <xf numFmtId="0" fontId="74" fillId="15" borderId="0" xfId="0" applyFont="1" applyFill="1" applyAlignment="1" applyProtection="1">
      <alignment vertical="center"/>
      <protection locked="0"/>
    </xf>
    <xf numFmtId="0" fontId="42" fillId="27" borderId="0" xfId="0" applyFont="1" applyFill="1" applyAlignment="1" applyProtection="1">
      <alignment vertical="center"/>
      <protection locked="0"/>
    </xf>
    <xf numFmtId="0" fontId="35" fillId="12" borderId="0" xfId="1" applyNumberFormat="1" applyFont="1" applyFill="1" applyBorder="1" applyAlignment="1" applyProtection="1">
      <alignment horizontal="left" vertical="center"/>
      <protection locked="0" hidden="1"/>
    </xf>
    <xf numFmtId="0" fontId="9" fillId="27" borderId="26" xfId="0" applyFont="1" applyFill="1" applyBorder="1" applyAlignment="1" applyProtection="1">
      <alignment vertical="center"/>
    </xf>
    <xf numFmtId="0" fontId="35" fillId="15" borderId="0" xfId="0" applyFont="1" applyFill="1" applyAlignment="1">
      <alignment horizontal="left" vertical="top" wrapText="1"/>
    </xf>
    <xf numFmtId="0" fontId="45" fillId="9" borderId="0" xfId="0" applyFont="1" applyFill="1" applyAlignment="1" applyProtection="1">
      <alignment horizontal="right" vertical="top"/>
    </xf>
    <xf numFmtId="0" fontId="80" fillId="9" borderId="0" xfId="0" applyFont="1" applyFill="1"/>
    <xf numFmtId="0" fontId="42" fillId="27" borderId="0" xfId="0" applyFont="1" applyFill="1" applyAlignment="1" applyProtection="1">
      <alignment vertical="center"/>
    </xf>
    <xf numFmtId="0" fontId="35" fillId="15" borderId="0" xfId="0" applyFont="1" applyFill="1" applyAlignment="1">
      <alignment horizontal="center" vertical="top" wrapText="1"/>
    </xf>
    <xf numFmtId="0" fontId="74" fillId="9" borderId="0" xfId="0" applyFont="1" applyFill="1"/>
    <xf numFmtId="4" fontId="35" fillId="10" borderId="0" xfId="1" applyNumberFormat="1" applyFont="1" applyFill="1" applyAlignment="1">
      <alignment horizontal="left" vertical="center"/>
    </xf>
    <xf numFmtId="4" fontId="35" fillId="10" borderId="0" xfId="1" applyNumberFormat="1" applyFont="1" applyFill="1" applyBorder="1" applyAlignment="1" applyProtection="1">
      <alignment horizontal="left" vertical="center"/>
    </xf>
    <xf numFmtId="0" fontId="56" fillId="9" borderId="27" xfId="6" applyFont="1" applyFill="1" applyBorder="1" applyAlignment="1" applyProtection="1">
      <alignment horizontal="center" vertical="center" wrapText="1"/>
    </xf>
    <xf numFmtId="0" fontId="56" fillId="9" borderId="23" xfId="6" applyFont="1" applyFill="1" applyBorder="1" applyAlignment="1" applyProtection="1">
      <alignment horizontal="center" vertical="center" wrapText="1"/>
    </xf>
    <xf numFmtId="0" fontId="56" fillId="9" borderId="15" xfId="6" applyFont="1" applyFill="1" applyBorder="1" applyAlignment="1" applyProtection="1">
      <alignment horizontal="center" vertical="center" wrapText="1"/>
    </xf>
    <xf numFmtId="0" fontId="56" fillId="9" borderId="24" xfId="6" applyFont="1" applyFill="1" applyBorder="1" applyAlignment="1" applyProtection="1">
      <alignment horizontal="center" vertical="center" wrapText="1"/>
    </xf>
    <xf numFmtId="0" fontId="56" fillId="9" borderId="0" xfId="6" applyFont="1" applyFill="1" applyBorder="1" applyAlignment="1" applyProtection="1">
      <alignment horizontal="center" vertical="center" wrapText="1"/>
    </xf>
    <xf numFmtId="0" fontId="56" fillId="9" borderId="26" xfId="6" applyFont="1" applyFill="1" applyBorder="1" applyAlignment="1" applyProtection="1">
      <alignment horizontal="center" vertical="center" wrapText="1"/>
    </xf>
    <xf numFmtId="0" fontId="56" fillId="9" borderId="16" xfId="6" applyFont="1" applyFill="1" applyBorder="1" applyAlignment="1" applyProtection="1">
      <alignment horizontal="center" vertical="center" wrapText="1"/>
    </xf>
    <xf numFmtId="0" fontId="56" fillId="9" borderId="22" xfId="6" applyFont="1" applyFill="1" applyBorder="1" applyAlignment="1" applyProtection="1">
      <alignment horizontal="center" vertical="center" wrapText="1"/>
    </xf>
    <xf numFmtId="0" fontId="56" fillId="9" borderId="17" xfId="6" applyFont="1" applyFill="1" applyBorder="1" applyAlignment="1" applyProtection="1">
      <alignment horizontal="center" vertical="center" wrapText="1"/>
    </xf>
    <xf numFmtId="0" fontId="59" fillId="9" borderId="27" xfId="6" applyFont="1" applyFill="1" applyBorder="1" applyAlignment="1" applyProtection="1">
      <alignment horizontal="center" vertical="center" wrapText="1"/>
    </xf>
    <xf numFmtId="0" fontId="59" fillId="9" borderId="23" xfId="6" applyFont="1" applyFill="1" applyBorder="1" applyAlignment="1" applyProtection="1">
      <alignment horizontal="center" vertical="center" wrapText="1"/>
    </xf>
    <xf numFmtId="0" fontId="59" fillId="9" borderId="15" xfId="6" applyFont="1" applyFill="1" applyBorder="1" applyAlignment="1" applyProtection="1">
      <alignment horizontal="center" vertical="center" wrapText="1"/>
    </xf>
    <xf numFmtId="0" fontId="59" fillId="9" borderId="24" xfId="6" applyFont="1" applyFill="1" applyBorder="1" applyAlignment="1" applyProtection="1">
      <alignment horizontal="center" vertical="center" wrapText="1"/>
    </xf>
    <xf numFmtId="0" fontId="59" fillId="9" borderId="0" xfId="6" applyFont="1" applyFill="1" applyBorder="1" applyAlignment="1" applyProtection="1">
      <alignment horizontal="center" vertical="center" wrapText="1"/>
    </xf>
    <xf numFmtId="0" fontId="59" fillId="9" borderId="26" xfId="6" applyFont="1" applyFill="1" applyBorder="1" applyAlignment="1" applyProtection="1">
      <alignment horizontal="center" vertical="center" wrapText="1"/>
    </xf>
    <xf numFmtId="0" fontId="59" fillId="9" borderId="16" xfId="6" applyFont="1" applyFill="1" applyBorder="1" applyAlignment="1" applyProtection="1">
      <alignment horizontal="center" vertical="center" wrapText="1"/>
    </xf>
    <xf numFmtId="0" fontId="59" fillId="9" borderId="22" xfId="6" applyFont="1" applyFill="1" applyBorder="1" applyAlignment="1" applyProtection="1">
      <alignment horizontal="center" vertical="center" wrapText="1"/>
    </xf>
    <xf numFmtId="0" fontId="59" fillId="9" borderId="17" xfId="6" applyFont="1" applyFill="1" applyBorder="1" applyAlignment="1" applyProtection="1">
      <alignment horizontal="center" vertical="center" wrapText="1"/>
    </xf>
    <xf numFmtId="0" fontId="45" fillId="9" borderId="0" xfId="0" applyFont="1" applyFill="1" applyAlignment="1" applyProtection="1">
      <alignment horizontal="left" vertical="top" wrapText="1"/>
      <protection hidden="1"/>
    </xf>
    <xf numFmtId="0" fontId="50" fillId="10" borderId="27" xfId="6" applyFont="1" applyFill="1" applyBorder="1" applyAlignment="1" applyProtection="1">
      <alignment horizontal="center" vertical="center" wrapText="1"/>
    </xf>
    <xf numFmtId="0" fontId="50" fillId="10" borderId="23" xfId="6" applyFont="1" applyFill="1" applyBorder="1" applyAlignment="1" applyProtection="1">
      <alignment horizontal="center" vertical="center" wrapText="1"/>
    </xf>
    <xf numFmtId="0" fontId="50" fillId="10" borderId="15" xfId="6" applyFont="1" applyFill="1" applyBorder="1" applyAlignment="1" applyProtection="1">
      <alignment horizontal="center" vertical="center" wrapText="1"/>
    </xf>
    <xf numFmtId="0" fontId="50" fillId="10" borderId="16" xfId="6" applyFont="1" applyFill="1" applyBorder="1" applyAlignment="1" applyProtection="1">
      <alignment horizontal="center" vertical="center" wrapText="1"/>
    </xf>
    <xf numFmtId="0" fontId="50" fillId="10" borderId="22" xfId="6" applyFont="1" applyFill="1" applyBorder="1" applyAlignment="1" applyProtection="1">
      <alignment horizontal="center" vertical="center" wrapText="1"/>
    </xf>
    <xf numFmtId="0" fontId="50" fillId="10" borderId="17" xfId="6" applyFont="1" applyFill="1" applyBorder="1" applyAlignment="1" applyProtection="1">
      <alignment horizontal="center" vertical="center" wrapText="1"/>
    </xf>
    <xf numFmtId="0" fontId="50" fillId="9" borderId="27" xfId="6" applyFont="1" applyFill="1" applyBorder="1" applyAlignment="1" applyProtection="1">
      <alignment horizontal="center" vertical="center" wrapText="1"/>
    </xf>
    <xf numFmtId="0" fontId="50" fillId="9" borderId="15" xfId="6" applyFont="1" applyFill="1" applyBorder="1" applyAlignment="1" applyProtection="1">
      <alignment horizontal="center" vertical="center" wrapText="1"/>
    </xf>
    <xf numFmtId="0" fontId="50" fillId="9" borderId="16" xfId="6" applyFont="1" applyFill="1" applyBorder="1" applyAlignment="1" applyProtection="1">
      <alignment horizontal="center" vertical="center" wrapText="1"/>
    </xf>
    <xf numFmtId="0" fontId="50" fillId="9" borderId="17" xfId="6" applyFont="1" applyFill="1" applyBorder="1" applyAlignment="1" applyProtection="1">
      <alignment horizontal="center" vertical="center" wrapText="1"/>
    </xf>
    <xf numFmtId="0" fontId="32" fillId="10" borderId="0" xfId="0" applyFont="1" applyFill="1" applyBorder="1" applyAlignment="1" applyProtection="1">
      <alignment horizontal="center" vertical="center"/>
    </xf>
    <xf numFmtId="0" fontId="50" fillId="9" borderId="23" xfId="6" applyFont="1" applyFill="1" applyBorder="1" applyAlignment="1" applyProtection="1">
      <alignment horizontal="center" vertical="center" wrapText="1"/>
    </xf>
    <xf numFmtId="0" fontId="50" fillId="9" borderId="22" xfId="6" applyFont="1" applyFill="1" applyBorder="1" applyAlignment="1" applyProtection="1">
      <alignment horizontal="center" vertical="center" wrapText="1"/>
    </xf>
    <xf numFmtId="0" fontId="0" fillId="9" borderId="27" xfId="0" applyFill="1" applyBorder="1" applyAlignment="1" applyProtection="1">
      <alignment horizontal="left" vertical="center" wrapText="1" indent="3"/>
    </xf>
    <xf numFmtId="0" fontId="0" fillId="9" borderId="23" xfId="0" applyFill="1" applyBorder="1" applyAlignment="1" applyProtection="1">
      <alignment horizontal="left" vertical="center" wrapText="1" indent="3"/>
    </xf>
    <xf numFmtId="0" fontId="0" fillId="9" borderId="15" xfId="0" applyFill="1" applyBorder="1" applyAlignment="1" applyProtection="1">
      <alignment horizontal="left" vertical="center" wrapText="1" indent="3"/>
    </xf>
    <xf numFmtId="0" fontId="0" fillId="9" borderId="24" xfId="0" applyFill="1" applyBorder="1" applyAlignment="1" applyProtection="1">
      <alignment horizontal="left" vertical="center" wrapText="1" indent="3"/>
    </xf>
    <xf numFmtId="0" fontId="0" fillId="9" borderId="0" xfId="0" applyFill="1" applyBorder="1" applyAlignment="1" applyProtection="1">
      <alignment horizontal="left" vertical="center" wrapText="1" indent="3"/>
    </xf>
    <xf numFmtId="0" fontId="0" fillId="9" borderId="26" xfId="0" applyFill="1" applyBorder="1" applyAlignment="1" applyProtection="1">
      <alignment horizontal="left" vertical="center" wrapText="1" indent="3"/>
    </xf>
    <xf numFmtId="0" fontId="0" fillId="9" borderId="16" xfId="0" applyFill="1" applyBorder="1" applyAlignment="1" applyProtection="1">
      <alignment horizontal="left" vertical="center" wrapText="1" indent="3"/>
    </xf>
    <xf numFmtId="0" fontId="0" fillId="9" borderId="22" xfId="0" applyFill="1" applyBorder="1" applyAlignment="1" applyProtection="1">
      <alignment horizontal="left" vertical="center" wrapText="1" indent="3"/>
    </xf>
    <xf numFmtId="0" fontId="0" fillId="9" borderId="17" xfId="0" applyFill="1" applyBorder="1" applyAlignment="1" applyProtection="1">
      <alignment horizontal="left" vertical="center" wrapText="1" indent="3"/>
    </xf>
    <xf numFmtId="0" fontId="0" fillId="9" borderId="27" xfId="0" applyFont="1" applyFill="1" applyBorder="1" applyAlignment="1" applyProtection="1">
      <alignment horizontal="center" vertical="center" wrapText="1"/>
    </xf>
    <xf numFmtId="0" fontId="0" fillId="9" borderId="23" xfId="0" applyFont="1" applyFill="1" applyBorder="1" applyAlignment="1" applyProtection="1">
      <alignment horizontal="center" vertical="center" wrapText="1"/>
    </xf>
    <xf numFmtId="0" fontId="0" fillId="9" borderId="15" xfId="0" applyFont="1" applyFill="1" applyBorder="1" applyAlignment="1" applyProtection="1">
      <alignment horizontal="center" vertical="center" wrapText="1"/>
    </xf>
    <xf numFmtId="0" fontId="0" fillId="9" borderId="24" xfId="0" applyFont="1" applyFill="1" applyBorder="1" applyAlignment="1" applyProtection="1">
      <alignment horizontal="center" vertical="center" wrapText="1"/>
    </xf>
    <xf numFmtId="0" fontId="0" fillId="9" borderId="0" xfId="0" applyFont="1" applyFill="1" applyBorder="1" applyAlignment="1" applyProtection="1">
      <alignment horizontal="center" vertical="center" wrapText="1"/>
    </xf>
    <xf numFmtId="0" fontId="0" fillId="9" borderId="26" xfId="0" applyFont="1" applyFill="1" applyBorder="1" applyAlignment="1" applyProtection="1">
      <alignment horizontal="center" vertical="center" wrapText="1"/>
    </xf>
    <xf numFmtId="0" fontId="0" fillId="9" borderId="16" xfId="0" applyFont="1" applyFill="1" applyBorder="1" applyAlignment="1" applyProtection="1">
      <alignment horizontal="center" vertical="center" wrapText="1"/>
    </xf>
    <xf numFmtId="0" fontId="0" fillId="9" borderId="22" xfId="0" applyFont="1" applyFill="1" applyBorder="1" applyAlignment="1" applyProtection="1">
      <alignment horizontal="center" vertical="center" wrapText="1"/>
    </xf>
    <xf numFmtId="0" fontId="0" fillId="9" borderId="17" xfId="0" applyFont="1" applyFill="1" applyBorder="1" applyAlignment="1" applyProtection="1">
      <alignment horizontal="center" vertical="center" wrapText="1"/>
    </xf>
    <xf numFmtId="0" fontId="1" fillId="12" borderId="23" xfId="0" applyFont="1" applyFill="1" applyBorder="1" applyAlignment="1" applyProtection="1">
      <alignment horizontal="center" vertical="center" wrapText="1"/>
    </xf>
    <xf numFmtId="0" fontId="1" fillId="12" borderId="23" xfId="0" applyFont="1" applyFill="1" applyBorder="1" applyAlignment="1" applyProtection="1">
      <alignment horizontal="center" vertical="center"/>
    </xf>
    <xf numFmtId="0" fontId="1" fillId="12" borderId="0" xfId="0" applyFont="1" applyFill="1" applyBorder="1" applyAlignment="1" applyProtection="1">
      <alignment horizontal="center" vertical="center"/>
    </xf>
    <xf numFmtId="0" fontId="1" fillId="12" borderId="22" xfId="0" applyFont="1" applyFill="1" applyBorder="1" applyAlignment="1" applyProtection="1">
      <alignment horizontal="center" vertical="center"/>
    </xf>
    <xf numFmtId="0" fontId="1" fillId="9" borderId="0" xfId="0" applyFont="1" applyFill="1" applyBorder="1" applyAlignment="1" applyProtection="1">
      <alignment horizontal="center"/>
    </xf>
    <xf numFmtId="0" fontId="1" fillId="7" borderId="0" xfId="0" applyFont="1" applyFill="1" applyBorder="1" applyAlignment="1" applyProtection="1">
      <alignment horizontal="center"/>
    </xf>
    <xf numFmtId="0" fontId="0" fillId="12" borderId="0" xfId="0" applyFill="1" applyBorder="1" applyAlignment="1" applyProtection="1">
      <alignment horizontal="left" vertical="top"/>
      <protection locked="0"/>
    </xf>
    <xf numFmtId="14" fontId="0" fillId="12" borderId="0" xfId="0" applyNumberFormat="1" applyFill="1" applyBorder="1" applyAlignment="1" applyProtection="1">
      <alignment horizontal="left"/>
      <protection locked="0"/>
    </xf>
    <xf numFmtId="0" fontId="1" fillId="23" borderId="0" xfId="0" applyFont="1" applyFill="1" applyBorder="1" applyAlignment="1" applyProtection="1">
      <alignment horizontal="center"/>
    </xf>
    <xf numFmtId="0" fontId="44" fillId="9" borderId="24" xfId="0" applyFont="1" applyFill="1" applyBorder="1" applyAlignment="1" applyProtection="1">
      <alignment horizontal="center" vertical="center"/>
    </xf>
    <xf numFmtId="0" fontId="44" fillId="9" borderId="0" xfId="0" applyFont="1" applyFill="1" applyBorder="1" applyAlignment="1" applyProtection="1">
      <alignment horizontal="center" vertical="center"/>
    </xf>
    <xf numFmtId="0" fontId="44" fillId="9" borderId="26" xfId="0" applyFont="1" applyFill="1" applyBorder="1" applyAlignment="1" applyProtection="1">
      <alignment horizontal="center" vertical="center"/>
    </xf>
    <xf numFmtId="49" fontId="0" fillId="12" borderId="0" xfId="0" applyNumberFormat="1" applyFill="1" applyBorder="1" applyAlignment="1" applyProtection="1">
      <alignment horizontal="left" vertical="top"/>
      <protection locked="0"/>
    </xf>
    <xf numFmtId="0" fontId="0" fillId="12" borderId="0" xfId="0" applyFill="1" applyAlignment="1" applyProtection="1">
      <alignment horizontal="left"/>
      <protection locked="0"/>
    </xf>
    <xf numFmtId="0" fontId="1" fillId="22" borderId="0" xfId="0" applyFont="1" applyFill="1" applyBorder="1" applyAlignment="1" applyProtection="1">
      <alignment horizontal="center"/>
    </xf>
    <xf numFmtId="0" fontId="32" fillId="9" borderId="0" xfId="0" applyFont="1" applyFill="1" applyBorder="1" applyAlignment="1" applyProtection="1">
      <alignment horizontal="center" vertical="center"/>
    </xf>
    <xf numFmtId="0" fontId="1" fillId="9" borderId="0" xfId="0" applyFont="1" applyFill="1" applyAlignment="1" applyProtection="1">
      <alignment horizontal="center"/>
    </xf>
    <xf numFmtId="0" fontId="0" fillId="9" borderId="0" xfId="0" applyFill="1" applyBorder="1"/>
    <xf numFmtId="0" fontId="1" fillId="10" borderId="24" xfId="0" applyFont="1" applyFill="1" applyBorder="1" applyAlignment="1" applyProtection="1">
      <alignment horizontal="center" vertical="center" wrapText="1"/>
    </xf>
    <xf numFmtId="0" fontId="1" fillId="10" borderId="0" xfId="0" applyFont="1" applyFill="1" applyBorder="1" applyAlignment="1" applyProtection="1">
      <alignment horizontal="center" vertical="center" wrapText="1"/>
    </xf>
    <xf numFmtId="0" fontId="1" fillId="10" borderId="26" xfId="0" applyFont="1" applyFill="1" applyBorder="1" applyAlignment="1" applyProtection="1">
      <alignment horizontal="center" vertical="center" wrapText="1"/>
    </xf>
    <xf numFmtId="0" fontId="1" fillId="31" borderId="23" xfId="0" applyFont="1" applyFill="1" applyBorder="1" applyAlignment="1" applyProtection="1">
      <alignment horizontal="center" vertical="center" wrapText="1"/>
    </xf>
    <xf numFmtId="0" fontId="1" fillId="31" borderId="23" xfId="0" applyFont="1" applyFill="1" applyBorder="1" applyAlignment="1" applyProtection="1">
      <alignment horizontal="center" vertical="center"/>
    </xf>
    <xf numFmtId="0" fontId="1" fillId="31" borderId="0" xfId="0" applyFont="1" applyFill="1" applyBorder="1" applyAlignment="1" applyProtection="1">
      <alignment horizontal="center" vertical="center"/>
    </xf>
    <xf numFmtId="0" fontId="1" fillId="9" borderId="27" xfId="6" applyFont="1" applyFill="1" applyBorder="1" applyAlignment="1" applyProtection="1">
      <alignment horizontal="center" vertical="center" wrapText="1"/>
    </xf>
    <xf numFmtId="0" fontId="1" fillId="9" borderId="23" xfId="6" applyFont="1" applyFill="1" applyBorder="1" applyAlignment="1" applyProtection="1">
      <alignment horizontal="center" vertical="center" wrapText="1"/>
    </xf>
    <xf numFmtId="0" fontId="1" fillId="9" borderId="15" xfId="6" applyFont="1" applyFill="1" applyBorder="1" applyAlignment="1" applyProtection="1">
      <alignment horizontal="center" vertical="center" wrapText="1"/>
    </xf>
    <xf numFmtId="0" fontId="1" fillId="9" borderId="16" xfId="6" applyFont="1" applyFill="1" applyBorder="1" applyAlignment="1" applyProtection="1">
      <alignment horizontal="center" vertical="center" wrapText="1"/>
    </xf>
    <xf numFmtId="0" fontId="1" fillId="9" borderId="22" xfId="6" applyFont="1" applyFill="1" applyBorder="1" applyAlignment="1" applyProtection="1">
      <alignment horizontal="center" vertical="center" wrapText="1"/>
    </xf>
    <xf numFmtId="0" fontId="1" fillId="9" borderId="17" xfId="6" applyFont="1" applyFill="1" applyBorder="1" applyAlignment="1" applyProtection="1">
      <alignment horizontal="center" vertical="center" wrapText="1"/>
    </xf>
    <xf numFmtId="0" fontId="1" fillId="9" borderId="24" xfId="0" applyFont="1" applyFill="1" applyBorder="1" applyAlignment="1" applyProtection="1">
      <alignment horizontal="center"/>
    </xf>
    <xf numFmtId="0" fontId="1" fillId="9" borderId="26" xfId="0" applyFont="1" applyFill="1" applyBorder="1" applyAlignment="1" applyProtection="1">
      <alignment horizontal="center"/>
    </xf>
    <xf numFmtId="0" fontId="55" fillId="9" borderId="0" xfId="0" applyFont="1" applyFill="1" applyAlignment="1" applyProtection="1">
      <alignment horizontal="left" vertical="top"/>
    </xf>
    <xf numFmtId="0" fontId="35" fillId="8" borderId="0" xfId="0" applyFont="1" applyFill="1" applyBorder="1" applyAlignment="1">
      <alignment horizontal="left" vertical="top" wrapText="1"/>
    </xf>
    <xf numFmtId="0" fontId="35" fillId="12" borderId="0" xfId="0" applyFont="1" applyFill="1" applyAlignment="1" applyProtection="1">
      <alignment horizontal="left" vertical="center"/>
      <protection locked="0"/>
    </xf>
    <xf numFmtId="0" fontId="35" fillId="12" borderId="0" xfId="0" applyFont="1" applyFill="1" applyAlignment="1" applyProtection="1">
      <alignment horizontal="left" vertical="center" wrapText="1"/>
      <protection locked="0"/>
    </xf>
    <xf numFmtId="0" fontId="35" fillId="12" borderId="0" xfId="0" applyFont="1" applyFill="1" applyAlignment="1" applyProtection="1">
      <alignment horizontal="left"/>
      <protection locked="0"/>
    </xf>
    <xf numFmtId="0" fontId="35" fillId="12" borderId="0" xfId="0" applyFont="1" applyFill="1" applyBorder="1" applyAlignment="1" applyProtection="1">
      <alignment horizontal="left" vertical="center"/>
      <protection locked="0"/>
    </xf>
    <xf numFmtId="14" fontId="35" fillId="12" borderId="0" xfId="0" applyNumberFormat="1" applyFont="1" applyFill="1" applyBorder="1" applyAlignment="1" applyProtection="1">
      <alignment horizontal="left" vertical="center"/>
      <protection locked="0"/>
    </xf>
    <xf numFmtId="0" fontId="6" fillId="9" borderId="0" xfId="0" applyFont="1" applyFill="1" applyBorder="1" applyAlignment="1">
      <alignment horizontal="left" vertical="center"/>
    </xf>
    <xf numFmtId="1" fontId="35" fillId="10" borderId="0" xfId="0" applyNumberFormat="1" applyFont="1" applyFill="1" applyAlignment="1" applyProtection="1">
      <alignment horizontal="left" vertical="center"/>
    </xf>
    <xf numFmtId="0" fontId="35" fillId="9" borderId="0" xfId="0" applyFont="1" applyFill="1" applyAlignment="1">
      <alignment horizontal="center" vertical="center"/>
    </xf>
    <xf numFmtId="0" fontId="4" fillId="0" borderId="0" xfId="0" applyFont="1" applyAlignment="1">
      <alignment horizontal="left" vertical="top" wrapText="1"/>
    </xf>
    <xf numFmtId="0" fontId="3" fillId="0" borderId="0" xfId="0" applyFont="1" applyAlignment="1">
      <alignment horizontal="left" vertical="center" wrapText="1"/>
    </xf>
    <xf numFmtId="0" fontId="35" fillId="10" borderId="0" xfId="0" applyFont="1" applyFill="1" applyBorder="1" applyAlignment="1">
      <alignment horizontal="left" vertical="center"/>
    </xf>
    <xf numFmtId="0" fontId="35" fillId="12" borderId="0" xfId="0" applyFont="1" applyFill="1" applyBorder="1" applyAlignment="1" applyProtection="1">
      <alignment horizontal="left" vertical="center" wrapText="1"/>
      <protection locked="0"/>
    </xf>
    <xf numFmtId="0" fontId="76" fillId="9" borderId="0" xfId="0" applyFont="1" applyFill="1" applyBorder="1" applyAlignment="1">
      <alignment horizontal="center" vertical="top" wrapText="1"/>
    </xf>
    <xf numFmtId="0" fontId="76" fillId="9" borderId="0" xfId="0" applyFont="1" applyFill="1" applyBorder="1" applyAlignment="1">
      <alignment horizontal="center" vertical="top"/>
    </xf>
    <xf numFmtId="0" fontId="50" fillId="10" borderId="27" xfId="6" applyFont="1" applyFill="1" applyBorder="1" applyAlignment="1" applyProtection="1">
      <alignment horizontal="center" vertical="center"/>
    </xf>
    <xf numFmtId="0" fontId="50" fillId="10" borderId="15" xfId="6" applyFont="1" applyFill="1" applyBorder="1" applyAlignment="1" applyProtection="1">
      <alignment horizontal="center" vertical="center"/>
    </xf>
    <xf numFmtId="0" fontId="50" fillId="10" borderId="16" xfId="6" applyFont="1" applyFill="1" applyBorder="1" applyAlignment="1" applyProtection="1">
      <alignment horizontal="center" vertical="center"/>
    </xf>
    <xf numFmtId="0" fontId="50" fillId="10" borderId="17" xfId="6" applyFont="1" applyFill="1" applyBorder="1" applyAlignment="1" applyProtection="1">
      <alignment horizontal="center" vertical="center"/>
    </xf>
    <xf numFmtId="0" fontId="45" fillId="12" borderId="0" xfId="0" applyFont="1" applyFill="1" applyBorder="1" applyAlignment="1" applyProtection="1">
      <alignment horizontal="left" vertical="center"/>
      <protection locked="0"/>
    </xf>
    <xf numFmtId="0" fontId="35" fillId="9" borderId="0" xfId="0" applyFont="1" applyFill="1" applyBorder="1" applyAlignment="1">
      <alignment horizontal="right" vertical="center" indent="1"/>
    </xf>
    <xf numFmtId="0" fontId="45" fillId="9" borderId="0" xfId="0" applyFont="1" applyFill="1" applyBorder="1" applyAlignment="1">
      <alignment horizontal="right" vertical="top" wrapText="1" indent="1"/>
    </xf>
    <xf numFmtId="0" fontId="35" fillId="9" borderId="0" xfId="0" applyFont="1" applyFill="1" applyBorder="1" applyAlignment="1">
      <alignment horizontal="left" vertical="top" wrapText="1"/>
    </xf>
    <xf numFmtId="0" fontId="35" fillId="9" borderId="0" xfId="0" applyFont="1" applyFill="1" applyBorder="1" applyAlignment="1">
      <alignment horizontal="right" vertical="top" wrapText="1" indent="1"/>
    </xf>
    <xf numFmtId="0" fontId="35" fillId="9" borderId="0" xfId="0" applyFont="1" applyFill="1" applyBorder="1" applyAlignment="1">
      <alignment horizontal="left" vertical="center" indent="1"/>
    </xf>
    <xf numFmtId="0" fontId="35" fillId="9" borderId="26" xfId="0" applyFont="1" applyFill="1" applyBorder="1" applyAlignment="1">
      <alignment horizontal="left" vertical="center" indent="1"/>
    </xf>
    <xf numFmtId="0" fontId="76" fillId="9" borderId="0" xfId="0" applyFont="1" applyFill="1" applyBorder="1" applyAlignment="1">
      <alignment horizontal="right" vertical="top"/>
    </xf>
    <xf numFmtId="0" fontId="66" fillId="9" borderId="0" xfId="0" applyFont="1" applyFill="1" applyAlignment="1" applyProtection="1">
      <alignment horizontal="left" vertical="top" wrapText="1"/>
    </xf>
    <xf numFmtId="0" fontId="35" fillId="9" borderId="0" xfId="1" applyNumberFormat="1" applyFont="1" applyFill="1" applyAlignment="1">
      <alignment horizontal="center" vertical="center"/>
    </xf>
    <xf numFmtId="0" fontId="35" fillId="10" borderId="0" xfId="1" applyNumberFormat="1" applyFont="1" applyFill="1" applyAlignment="1">
      <alignment horizontal="left" vertical="center"/>
    </xf>
    <xf numFmtId="0" fontId="35" fillId="9" borderId="0" xfId="0" applyFont="1" applyFill="1" applyAlignment="1">
      <alignment horizontal="left" wrapText="1"/>
    </xf>
    <xf numFmtId="0" fontId="6" fillId="9" borderId="0" xfId="0" applyFont="1" applyFill="1" applyAlignment="1">
      <alignment horizontal="left" vertical="center"/>
    </xf>
    <xf numFmtId="49" fontId="35" fillId="12" borderId="0" xfId="0" applyNumberFormat="1" applyFont="1" applyFill="1" applyAlignment="1" applyProtection="1">
      <alignment horizontal="left" vertical="center"/>
      <protection locked="0"/>
    </xf>
    <xf numFmtId="0" fontId="70" fillId="9" borderId="0" xfId="0" applyFont="1" applyFill="1" applyAlignment="1" applyProtection="1">
      <alignment horizontal="left" vertical="top" wrapText="1"/>
    </xf>
    <xf numFmtId="0" fontId="55" fillId="9" borderId="0" xfId="0" applyFont="1" applyFill="1" applyAlignment="1" applyProtection="1">
      <alignment horizontal="left" vertical="top" wrapText="1"/>
    </xf>
    <xf numFmtId="0" fontId="3" fillId="9" borderId="0" xfId="0" applyFont="1" applyFill="1" applyAlignment="1">
      <alignment vertical="center" wrapText="1"/>
    </xf>
    <xf numFmtId="0" fontId="35" fillId="10" borderId="0" xfId="0" applyFont="1" applyFill="1" applyBorder="1" applyAlignment="1">
      <alignment vertical="center"/>
    </xf>
    <xf numFmtId="0" fontId="76" fillId="9" borderId="0" xfId="0" applyFont="1" applyFill="1" applyAlignment="1">
      <alignment horizontal="center" vertical="top"/>
    </xf>
    <xf numFmtId="0" fontId="76" fillId="9" borderId="0" xfId="0" applyFont="1" applyFill="1" applyAlignment="1">
      <alignment horizontal="right" vertical="top"/>
    </xf>
    <xf numFmtId="0" fontId="55" fillId="9" borderId="0" xfId="0" applyFont="1" applyFill="1" applyAlignment="1">
      <alignment horizontal="center" vertical="center"/>
    </xf>
    <xf numFmtId="0" fontId="55" fillId="9" borderId="0" xfId="0" applyFont="1" applyFill="1" applyAlignment="1">
      <alignment horizontal="left" vertical="top" wrapText="1"/>
    </xf>
    <xf numFmtId="0" fontId="55" fillId="9" borderId="0" xfId="0" applyFont="1" applyFill="1" applyAlignment="1">
      <alignment horizontal="left"/>
    </xf>
    <xf numFmtId="0" fontId="70" fillId="9" borderId="0" xfId="0" applyFont="1" applyFill="1" applyAlignment="1">
      <alignment horizontal="left" vertical="top"/>
    </xf>
    <xf numFmtId="0" fontId="35" fillId="9" borderId="0" xfId="0" applyFont="1" applyFill="1" applyAlignment="1">
      <alignment horizontal="left" vertical="top" wrapText="1"/>
    </xf>
    <xf numFmtId="0" fontId="35" fillId="9" borderId="0" xfId="0" applyFont="1" applyFill="1" applyAlignment="1">
      <alignment horizontal="left" vertical="center" indent="1"/>
    </xf>
    <xf numFmtId="0" fontId="35" fillId="9" borderId="0" xfId="0" applyFont="1" applyFill="1" applyAlignment="1">
      <alignment horizontal="left" vertical="top" wrapText="1" indent="1"/>
    </xf>
    <xf numFmtId="0" fontId="76" fillId="9" borderId="0" xfId="0" applyFont="1" applyFill="1" applyAlignment="1">
      <alignment horizontal="center" vertical="top" wrapText="1"/>
    </xf>
    <xf numFmtId="0" fontId="35" fillId="10" borderId="0" xfId="0" applyFont="1" applyFill="1" applyAlignment="1">
      <alignment horizontal="left" vertical="center"/>
    </xf>
    <xf numFmtId="14" fontId="35" fillId="12" borderId="0" xfId="0" applyNumberFormat="1" applyFont="1" applyFill="1" applyAlignment="1" applyProtection="1">
      <alignment horizontal="left" vertical="center"/>
      <protection locked="0"/>
    </xf>
    <xf numFmtId="0" fontId="45" fillId="9" borderId="0" xfId="0" applyFont="1" applyFill="1" applyAlignment="1">
      <alignment horizontal="left" vertical="top" wrapText="1"/>
    </xf>
    <xf numFmtId="0" fontId="45" fillId="12" borderId="0" xfId="0" applyFont="1" applyFill="1" applyAlignment="1" applyProtection="1">
      <alignment horizontal="left" vertical="center" wrapText="1"/>
      <protection locked="0"/>
    </xf>
    <xf numFmtId="0" fontId="55" fillId="9" borderId="0" xfId="0" applyFont="1" applyFill="1" applyAlignment="1">
      <alignment horizontal="left" vertical="top"/>
    </xf>
    <xf numFmtId="0" fontId="35" fillId="9" borderId="0" xfId="0" applyFont="1" applyFill="1" applyAlignment="1">
      <alignment horizontal="left" vertical="center" indent="2"/>
    </xf>
    <xf numFmtId="49" fontId="35" fillId="10" borderId="0" xfId="0" applyNumberFormat="1" applyFont="1" applyFill="1" applyBorder="1" applyAlignment="1">
      <alignment horizontal="left" vertical="center"/>
    </xf>
    <xf numFmtId="0" fontId="35" fillId="12" borderId="0" xfId="0" applyFont="1" applyFill="1" applyAlignment="1" applyProtection="1">
      <alignment horizontal="center"/>
      <protection locked="0"/>
    </xf>
    <xf numFmtId="0" fontId="9" fillId="12" borderId="0" xfId="0" applyFont="1" applyFill="1" applyAlignment="1" applyProtection="1">
      <alignment horizontal="left" vertical="center"/>
      <protection locked="0"/>
    </xf>
    <xf numFmtId="0" fontId="35" fillId="8" borderId="0" xfId="0" applyFont="1" applyFill="1" applyAlignment="1">
      <alignment horizontal="left" vertical="top" wrapText="1"/>
    </xf>
    <xf numFmtId="0" fontId="35" fillId="12" borderId="0" xfId="0" applyNumberFormat="1" applyFont="1" applyFill="1" applyAlignment="1" applyProtection="1">
      <alignment horizontal="left" vertical="center"/>
      <protection locked="0"/>
    </xf>
    <xf numFmtId="2" fontId="35" fillId="12" borderId="0" xfId="0" applyNumberFormat="1" applyFont="1" applyFill="1" applyAlignment="1" applyProtection="1">
      <alignment horizontal="left" vertical="center"/>
      <protection locked="0"/>
    </xf>
    <xf numFmtId="0" fontId="55" fillId="9" borderId="0" xfId="0" applyFont="1" applyFill="1" applyAlignment="1">
      <alignment horizontal="left" wrapText="1"/>
    </xf>
    <xf numFmtId="0" fontId="35" fillId="9" borderId="0" xfId="0" applyFont="1" applyFill="1" applyBorder="1" applyAlignment="1">
      <alignment horizontal="left" wrapText="1"/>
    </xf>
    <xf numFmtId="0" fontId="35" fillId="16" borderId="0" xfId="0" applyFont="1" applyFill="1" applyAlignment="1" applyProtection="1">
      <alignment horizontal="left" vertical="top" wrapText="1"/>
      <protection locked="0"/>
    </xf>
    <xf numFmtId="14" fontId="35" fillId="16" borderId="0" xfId="0" applyNumberFormat="1" applyFont="1" applyFill="1" applyAlignment="1" applyProtection="1">
      <alignment horizontal="left" vertical="center"/>
      <protection locked="0"/>
    </xf>
    <xf numFmtId="0" fontId="35" fillId="15" borderId="0" xfId="0" applyFont="1" applyFill="1" applyAlignment="1">
      <alignment horizontal="left" vertical="center"/>
    </xf>
    <xf numFmtId="0" fontId="35" fillId="15" borderId="0" xfId="0" applyFont="1" applyFill="1" applyAlignment="1">
      <alignment horizontal="center" vertical="center"/>
    </xf>
    <xf numFmtId="0" fontId="35" fillId="16" borderId="0" xfId="0" applyFont="1" applyFill="1" applyAlignment="1" applyProtection="1">
      <alignment horizontal="left" vertical="center" wrapText="1"/>
      <protection locked="0"/>
    </xf>
    <xf numFmtId="0" fontId="6" fillId="15" borderId="0" xfId="0" applyFont="1" applyFill="1" applyAlignment="1">
      <alignment horizontal="left" vertical="center"/>
    </xf>
    <xf numFmtId="4" fontId="35" fillId="10" borderId="0" xfId="1" applyNumberFormat="1" applyFont="1" applyFill="1" applyAlignment="1">
      <alignment horizontal="left" vertical="center"/>
    </xf>
    <xf numFmtId="0" fontId="35" fillId="15" borderId="0" xfId="0" applyFont="1" applyFill="1" applyAlignment="1">
      <alignment horizontal="left" vertical="center" wrapText="1"/>
    </xf>
    <xf numFmtId="9" fontId="35" fillId="15" borderId="0" xfId="0" applyNumberFormat="1" applyFont="1" applyFill="1" applyAlignment="1">
      <alignment horizontal="center" vertical="center"/>
    </xf>
    <xf numFmtId="0" fontId="35" fillId="16" borderId="0" xfId="0" applyFont="1" applyFill="1" applyAlignment="1" applyProtection="1">
      <alignment horizontal="left" vertical="center"/>
      <protection locked="0"/>
    </xf>
    <xf numFmtId="0" fontId="35" fillId="15" borderId="0" xfId="0" applyFont="1" applyFill="1" applyAlignment="1">
      <alignment horizontal="left" wrapText="1"/>
    </xf>
    <xf numFmtId="0" fontId="55" fillId="15" borderId="0" xfId="0" applyFont="1" applyFill="1" applyAlignment="1">
      <alignment horizontal="left" vertical="top" wrapText="1"/>
    </xf>
    <xf numFmtId="0" fontId="55" fillId="15" borderId="0" xfId="0" applyFont="1" applyFill="1" applyAlignment="1">
      <alignment horizontal="left" vertical="top"/>
    </xf>
    <xf numFmtId="0" fontId="35" fillId="26" borderId="0" xfId="0" applyFont="1" applyFill="1" applyAlignment="1" applyProtection="1">
      <alignment horizontal="left" vertical="center"/>
      <protection locked="0"/>
    </xf>
    <xf numFmtId="0" fontId="70" fillId="15" borderId="0" xfId="0" applyFont="1" applyFill="1" applyAlignment="1">
      <alignment horizontal="left" vertical="top"/>
    </xf>
    <xf numFmtId="0" fontId="35" fillId="9" borderId="0" xfId="0" applyFont="1" applyFill="1" applyAlignment="1">
      <alignment horizontal="left" vertical="center"/>
    </xf>
    <xf numFmtId="0" fontId="35" fillId="9" borderId="0" xfId="0" applyFont="1" applyFill="1" applyBorder="1" applyAlignment="1">
      <alignment horizontal="left" vertical="center" wrapText="1"/>
    </xf>
    <xf numFmtId="0" fontId="24" fillId="9" borderId="0" xfId="0" applyFont="1" applyFill="1" applyAlignment="1">
      <alignment horizontal="left" vertical="top" wrapText="1"/>
    </xf>
    <xf numFmtId="1" fontId="35" fillId="12" borderId="0" xfId="1" applyNumberFormat="1" applyFont="1" applyFill="1" applyAlignment="1" applyProtection="1">
      <alignment horizontal="left" vertical="center"/>
      <protection locked="0"/>
    </xf>
    <xf numFmtId="0" fontId="24" fillId="9" borderId="22" xfId="0" applyFont="1" applyFill="1" applyBorder="1" applyAlignment="1">
      <alignment horizontal="left" vertical="top"/>
    </xf>
    <xf numFmtId="0" fontId="35" fillId="9" borderId="0" xfId="0" applyFont="1" applyFill="1" applyBorder="1" applyAlignment="1">
      <alignment horizontal="left" vertical="center" wrapText="1" indent="4"/>
    </xf>
    <xf numFmtId="0" fontId="50" fillId="10" borderId="13" xfId="6" applyFont="1" applyFill="1" applyBorder="1" applyAlignment="1" applyProtection="1">
      <alignment horizontal="center" vertical="center"/>
    </xf>
    <xf numFmtId="0" fontId="50" fillId="10" borderId="24" xfId="6" applyFont="1" applyFill="1" applyBorder="1" applyAlignment="1" applyProtection="1">
      <alignment horizontal="center" vertical="center"/>
    </xf>
    <xf numFmtId="0" fontId="50" fillId="10" borderId="26" xfId="6" applyFont="1" applyFill="1" applyBorder="1" applyAlignment="1" applyProtection="1">
      <alignment horizontal="center" vertical="center"/>
    </xf>
    <xf numFmtId="0" fontId="35" fillId="9" borderId="0" xfId="0" applyFont="1" applyFill="1" applyBorder="1" applyAlignment="1">
      <alignment horizontal="left" vertical="top" indent="5"/>
    </xf>
    <xf numFmtId="0" fontId="35" fillId="9" borderId="26" xfId="0" applyFont="1" applyFill="1" applyBorder="1" applyAlignment="1">
      <alignment horizontal="left" vertical="top" indent="5"/>
    </xf>
    <xf numFmtId="0" fontId="35" fillId="9" borderId="24" xfId="0" applyFont="1" applyFill="1" applyBorder="1" applyAlignment="1" applyProtection="1">
      <alignment horizontal="left" vertical="center" wrapText="1" indent="2"/>
      <protection hidden="1"/>
    </xf>
    <xf numFmtId="0" fontId="35" fillId="9" borderId="0" xfId="0" applyFont="1" applyFill="1" applyBorder="1" applyAlignment="1" applyProtection="1">
      <alignment horizontal="left" vertical="center" wrapText="1" indent="2"/>
      <protection hidden="1"/>
    </xf>
    <xf numFmtId="0" fontId="35" fillId="9" borderId="26" xfId="0" applyFont="1" applyFill="1" applyBorder="1" applyAlignment="1" applyProtection="1">
      <alignment horizontal="left" vertical="center" wrapText="1" indent="2"/>
      <protection hidden="1"/>
    </xf>
    <xf numFmtId="0" fontId="35" fillId="15" borderId="0" xfId="0" applyFont="1" applyFill="1" applyAlignment="1">
      <alignment horizontal="center" vertical="center" wrapText="1"/>
    </xf>
    <xf numFmtId="14" fontId="35" fillId="24" borderId="0" xfId="0" applyNumberFormat="1" applyFont="1" applyFill="1" applyAlignment="1" applyProtection="1">
      <alignment horizontal="left" vertical="center"/>
    </xf>
    <xf numFmtId="0" fontId="35" fillId="17" borderId="0" xfId="0" applyFont="1" applyFill="1" applyAlignment="1">
      <alignment horizontal="left" vertical="center"/>
    </xf>
    <xf numFmtId="0" fontId="35" fillId="15" borderId="24" xfId="0" applyFont="1" applyFill="1" applyBorder="1" applyAlignment="1">
      <alignment horizontal="left" indent="1"/>
    </xf>
    <xf numFmtId="0" fontId="35" fillId="15" borderId="0" xfId="0" applyFont="1" applyFill="1" applyBorder="1" applyAlignment="1">
      <alignment horizontal="left" indent="1"/>
    </xf>
    <xf numFmtId="0" fontId="35" fillId="16" borderId="0" xfId="0" applyFont="1" applyFill="1" applyAlignment="1" applyProtection="1">
      <alignment horizontal="left"/>
      <protection locked="0"/>
    </xf>
    <xf numFmtId="49" fontId="35" fillId="16" borderId="0" xfId="0" applyNumberFormat="1" applyFont="1" applyFill="1" applyAlignment="1" applyProtection="1">
      <alignment horizontal="left" vertical="center"/>
      <protection locked="0"/>
    </xf>
    <xf numFmtId="1" fontId="35" fillId="10" borderId="0" xfId="0" applyNumberFormat="1" applyFont="1" applyFill="1" applyAlignment="1">
      <alignment horizontal="left" vertical="center"/>
    </xf>
    <xf numFmtId="0" fontId="50" fillId="10" borderId="23" xfId="6" applyFont="1" applyFill="1" applyBorder="1" applyAlignment="1" applyProtection="1">
      <alignment horizontal="center" vertical="center"/>
    </xf>
    <xf numFmtId="0" fontId="50" fillId="10" borderId="22" xfId="6" applyFont="1" applyFill="1" applyBorder="1" applyAlignment="1" applyProtection="1">
      <alignment horizontal="center" vertical="center"/>
    </xf>
    <xf numFmtId="0" fontId="58" fillId="9" borderId="0" xfId="0" applyFont="1" applyFill="1" applyBorder="1" applyAlignment="1">
      <alignment horizontal="center"/>
    </xf>
    <xf numFmtId="2" fontId="35" fillId="12" borderId="0" xfId="0" applyNumberFormat="1" applyFont="1" applyFill="1" applyBorder="1" applyAlignment="1" applyProtection="1">
      <alignment horizontal="left" vertical="center"/>
      <protection locked="0"/>
    </xf>
    <xf numFmtId="0" fontId="3" fillId="9" borderId="0" xfId="0" applyFont="1" applyFill="1" applyAlignment="1" applyProtection="1">
      <alignment horizontal="left" vertical="center" wrapText="1"/>
    </xf>
    <xf numFmtId="0" fontId="35" fillId="10" borderId="0" xfId="0" applyFont="1" applyFill="1" applyAlignment="1" applyProtection="1">
      <alignment horizontal="left" vertical="center"/>
    </xf>
    <xf numFmtId="0" fontId="1" fillId="9" borderId="0" xfId="0" applyFont="1" applyFill="1" applyAlignment="1">
      <alignment horizontal="center" vertical="center"/>
    </xf>
    <xf numFmtId="0" fontId="58" fillId="9" borderId="26" xfId="0" applyFont="1" applyFill="1" applyBorder="1" applyAlignment="1">
      <alignment horizontal="center"/>
    </xf>
    <xf numFmtId="0" fontId="4" fillId="9" borderId="0" xfId="0" applyFont="1" applyFill="1" applyAlignment="1" applyProtection="1">
      <alignment horizontal="left" vertical="top" wrapText="1"/>
    </xf>
    <xf numFmtId="44" fontId="35" fillId="10" borderId="0" xfId="4" applyFont="1" applyFill="1" applyBorder="1" applyAlignment="1" applyProtection="1">
      <alignment horizontal="left" vertical="center"/>
    </xf>
    <xf numFmtId="0" fontId="6" fillId="9" borderId="24" xfId="0" applyFont="1" applyFill="1" applyBorder="1" applyAlignment="1" applyProtection="1">
      <alignment horizontal="center"/>
    </xf>
    <xf numFmtId="0" fontId="6" fillId="9" borderId="0" xfId="0" applyFont="1" applyFill="1" applyBorder="1" applyAlignment="1" applyProtection="1">
      <alignment horizontal="center"/>
    </xf>
    <xf numFmtId="0" fontId="6" fillId="9" borderId="26" xfId="0" applyFont="1" applyFill="1" applyBorder="1" applyAlignment="1" applyProtection="1">
      <alignment horizontal="center"/>
    </xf>
    <xf numFmtId="0" fontId="35" fillId="9" borderId="24" xfId="0" applyFont="1" applyFill="1" applyBorder="1" applyAlignment="1" applyProtection="1">
      <alignment horizontal="center" vertical="center"/>
    </xf>
    <xf numFmtId="0" fontId="35" fillId="9" borderId="0" xfId="0" applyFont="1" applyFill="1" applyBorder="1" applyAlignment="1" applyProtection="1">
      <alignment horizontal="center" vertical="center"/>
    </xf>
    <xf numFmtId="0" fontId="9" fillId="0" borderId="1" xfId="0" applyFont="1" applyBorder="1" applyAlignment="1" applyProtection="1">
      <alignment horizontal="right" shrinkToFit="1"/>
    </xf>
    <xf numFmtId="0" fontId="9" fillId="0" borderId="2" xfId="0" applyFont="1" applyBorder="1" applyAlignment="1" applyProtection="1">
      <alignment horizontal="right" shrinkToFit="1"/>
    </xf>
    <xf numFmtId="0" fontId="9" fillId="0" borderId="9" xfId="0" applyFont="1" applyBorder="1" applyAlignment="1" applyProtection="1">
      <alignment horizontal="right" shrinkToFit="1"/>
    </xf>
    <xf numFmtId="1" fontId="9" fillId="12" borderId="1" xfId="0" applyNumberFormat="1" applyFont="1" applyFill="1" applyBorder="1" applyAlignment="1" applyProtection="1">
      <alignment horizontal="center"/>
    </xf>
    <xf numFmtId="1" fontId="9" fillId="12" borderId="9" xfId="0" applyNumberFormat="1" applyFont="1" applyFill="1" applyBorder="1" applyAlignment="1" applyProtection="1">
      <alignment horizontal="center"/>
    </xf>
    <xf numFmtId="4" fontId="6" fillId="10" borderId="1" xfId="1" applyNumberFormat="1" applyFont="1" applyFill="1" applyBorder="1" applyAlignment="1" applyProtection="1">
      <alignment horizontal="center"/>
    </xf>
    <xf numFmtId="4" fontId="6" fillId="10" borderId="9" xfId="1" applyNumberFormat="1" applyFont="1" applyFill="1" applyBorder="1" applyAlignment="1" applyProtection="1">
      <alignment horizontal="center"/>
    </xf>
    <xf numFmtId="0" fontId="9" fillId="12" borderId="8" xfId="0" applyFont="1" applyFill="1" applyBorder="1" applyAlignment="1" applyProtection="1">
      <alignment horizontal="left" wrapText="1" shrinkToFit="1"/>
    </xf>
    <xf numFmtId="0" fontId="9" fillId="12" borderId="11" xfId="0" applyFont="1" applyFill="1" applyBorder="1" applyAlignment="1" applyProtection="1">
      <alignment horizontal="left" shrinkToFit="1"/>
    </xf>
    <xf numFmtId="0" fontId="9" fillId="12" borderId="5" xfId="0" applyFont="1" applyFill="1" applyBorder="1" applyAlignment="1" applyProtection="1">
      <alignment horizontal="left" shrinkToFit="1"/>
    </xf>
    <xf numFmtId="0" fontId="9" fillId="10" borderId="6" xfId="0" applyFont="1" applyFill="1" applyBorder="1" applyAlignment="1" applyProtection="1">
      <alignment horizontal="left" shrinkToFit="1"/>
    </xf>
    <xf numFmtId="0" fontId="9" fillId="10" borderId="10" xfId="0" applyFont="1" applyFill="1" applyBorder="1" applyAlignment="1" applyProtection="1">
      <alignment horizontal="left" shrinkToFit="1"/>
    </xf>
    <xf numFmtId="0" fontId="9" fillId="10" borderId="3" xfId="0" applyFont="1" applyFill="1" applyBorder="1" applyAlignment="1" applyProtection="1">
      <alignment horizontal="left" shrinkToFit="1"/>
    </xf>
    <xf numFmtId="0" fontId="9" fillId="10" borderId="1" xfId="0" applyFont="1" applyFill="1" applyBorder="1" applyAlignment="1" applyProtection="1">
      <alignment horizontal="left" shrinkToFit="1"/>
      <protection hidden="1"/>
    </xf>
    <xf numFmtId="0" fontId="9" fillId="10" borderId="2" xfId="0" applyFont="1" applyFill="1" applyBorder="1" applyAlignment="1" applyProtection="1">
      <alignment horizontal="left" shrinkToFit="1"/>
      <protection hidden="1"/>
    </xf>
    <xf numFmtId="0" fontId="9" fillId="10" borderId="9" xfId="0" applyFont="1" applyFill="1" applyBorder="1" applyAlignment="1" applyProtection="1">
      <alignment horizontal="left" shrinkToFit="1"/>
      <protection hidden="1"/>
    </xf>
    <xf numFmtId="0" fontId="22" fillId="0" borderId="1" xfId="0" applyFont="1" applyBorder="1" applyAlignment="1" applyProtection="1">
      <alignment horizontal="right" shrinkToFit="1"/>
    </xf>
    <xf numFmtId="0" fontId="22" fillId="0" borderId="2" xfId="0" applyFont="1" applyBorder="1" applyAlignment="1" applyProtection="1">
      <alignment horizontal="right" shrinkToFit="1"/>
    </xf>
    <xf numFmtId="0" fontId="22" fillId="0" borderId="9" xfId="0" applyFont="1" applyBorder="1" applyAlignment="1" applyProtection="1">
      <alignment horizontal="right" shrinkToFit="1"/>
    </xf>
    <xf numFmtId="2" fontId="21" fillId="10" borderId="1" xfId="0" applyNumberFormat="1" applyFont="1" applyFill="1" applyBorder="1" applyAlignment="1" applyProtection="1">
      <alignment horizontal="center"/>
    </xf>
    <xf numFmtId="2" fontId="21" fillId="10" borderId="9" xfId="0" applyNumberFormat="1" applyFont="1" applyFill="1" applyBorder="1" applyAlignment="1" applyProtection="1">
      <alignment horizontal="center"/>
    </xf>
    <xf numFmtId="0" fontId="62" fillId="0" borderId="0" xfId="0" applyFont="1" applyBorder="1" applyAlignment="1" applyProtection="1">
      <alignment horizontal="left" vertical="top" wrapText="1"/>
    </xf>
    <xf numFmtId="49" fontId="65" fillId="0" borderId="27" xfId="0" applyNumberFormat="1" applyFont="1" applyBorder="1" applyAlignment="1" applyProtection="1">
      <alignment horizontal="center"/>
    </xf>
    <xf numFmtId="49" fontId="65" fillId="0" borderId="15" xfId="0" applyNumberFormat="1" applyFont="1" applyBorder="1" applyAlignment="1" applyProtection="1">
      <alignment horizontal="center"/>
    </xf>
    <xf numFmtId="165" fontId="25" fillId="10" borderId="12" xfId="1" applyNumberFormat="1" applyFont="1" applyFill="1" applyBorder="1" applyAlignment="1" applyProtection="1">
      <alignment horizontal="left" shrinkToFit="1"/>
    </xf>
    <xf numFmtId="165" fontId="25" fillId="10" borderId="14" xfId="1" applyNumberFormat="1" applyFont="1" applyFill="1" applyBorder="1" applyAlignment="1" applyProtection="1">
      <alignment horizontal="left" shrinkToFit="1"/>
    </xf>
    <xf numFmtId="49" fontId="9" fillId="12" borderId="0" xfId="0" applyNumberFormat="1" applyFont="1" applyFill="1" applyAlignment="1" applyProtection="1"/>
    <xf numFmtId="0" fontId="9" fillId="0" borderId="0" xfId="0" applyFont="1" applyAlignment="1" applyProtection="1">
      <alignment horizontal="right"/>
    </xf>
    <xf numFmtId="0" fontId="9" fillId="0" borderId="4" xfId="0" applyFont="1" applyBorder="1" applyAlignment="1" applyProtection="1">
      <alignment horizontal="right"/>
    </xf>
    <xf numFmtId="0" fontId="9" fillId="12" borderId="6" xfId="0" applyFont="1" applyFill="1" applyBorder="1" applyAlignment="1" applyProtection="1">
      <alignment horizontal="left" shrinkToFit="1"/>
    </xf>
    <xf numFmtId="0" fontId="9" fillId="12" borderId="10" xfId="0" applyFont="1" applyFill="1" applyBorder="1" applyAlignment="1" applyProtection="1">
      <alignment horizontal="left" shrinkToFit="1"/>
    </xf>
    <xf numFmtId="0" fontId="9" fillId="12" borderId="3" xfId="0" applyFont="1" applyFill="1" applyBorder="1" applyAlignment="1" applyProtection="1">
      <alignment horizontal="left" shrinkToFit="1"/>
    </xf>
    <xf numFmtId="0" fontId="9" fillId="12" borderId="7" xfId="0" applyFont="1" applyFill="1" applyBorder="1" applyAlignment="1" applyProtection="1">
      <alignment horizontal="left" shrinkToFit="1"/>
    </xf>
    <xf numFmtId="0" fontId="9" fillId="12" borderId="0" xfId="0" applyFont="1" applyFill="1" applyAlignment="1" applyProtection="1">
      <alignment horizontal="left" shrinkToFit="1"/>
    </xf>
    <xf numFmtId="0" fontId="9" fillId="12" borderId="4" xfId="0" applyFont="1" applyFill="1" applyBorder="1" applyAlignment="1" applyProtection="1">
      <alignment horizontal="left" shrinkToFit="1"/>
    </xf>
    <xf numFmtId="0" fontId="9" fillId="12" borderId="8" xfId="0" applyFont="1" applyFill="1" applyBorder="1" applyAlignment="1" applyProtection="1">
      <alignment horizontal="left" shrinkToFit="1"/>
    </xf>
    <xf numFmtId="2" fontId="9" fillId="0" borderId="6" xfId="0" applyNumberFormat="1" applyFont="1" applyBorder="1" applyAlignment="1" applyProtection="1">
      <alignment horizontal="center" vertical="center" wrapText="1"/>
    </xf>
    <xf numFmtId="2" fontId="9" fillId="0" borderId="10" xfId="0" applyNumberFormat="1" applyFont="1" applyBorder="1" applyAlignment="1" applyProtection="1">
      <alignment horizontal="center" vertical="center" wrapText="1"/>
    </xf>
    <xf numFmtId="2" fontId="9" fillId="0" borderId="7" xfId="0" applyNumberFormat="1" applyFont="1" applyBorder="1" applyAlignment="1" applyProtection="1">
      <alignment horizontal="center" vertical="center" wrapText="1"/>
    </xf>
    <xf numFmtId="2" fontId="9" fillId="0" borderId="0" xfId="0" applyNumberFormat="1" applyFont="1" applyBorder="1" applyAlignment="1" applyProtection="1">
      <alignment horizontal="center" vertical="center" wrapText="1"/>
    </xf>
    <xf numFmtId="4" fontId="81" fillId="10" borderId="1" xfId="1" applyNumberFormat="1" applyFont="1" applyFill="1" applyBorder="1" applyAlignment="1" applyProtection="1">
      <alignment horizontal="center"/>
    </xf>
    <xf numFmtId="4" fontId="81" fillId="10" borderId="9" xfId="1" applyNumberFormat="1" applyFont="1" applyFill="1" applyBorder="1" applyAlignment="1" applyProtection="1">
      <alignment horizontal="center"/>
    </xf>
    <xf numFmtId="0" fontId="9" fillId="0" borderId="1" xfId="0" quotePrefix="1" applyFont="1" applyBorder="1" applyAlignment="1" applyProtection="1">
      <alignment horizontal="right"/>
    </xf>
    <xf numFmtId="0" fontId="9" fillId="0" borderId="2" xfId="0" quotePrefix="1" applyFont="1" applyBorder="1" applyAlignment="1" applyProtection="1">
      <alignment horizontal="right"/>
    </xf>
    <xf numFmtId="0" fontId="9" fillId="0" borderId="9" xfId="0" quotePrefix="1" applyFont="1" applyBorder="1" applyAlignment="1" applyProtection="1">
      <alignment horizontal="right"/>
    </xf>
    <xf numFmtId="0" fontId="13" fillId="0" borderId="1" xfId="0" applyFont="1" applyBorder="1" applyAlignment="1" applyProtection="1">
      <alignment horizontal="left" shrinkToFit="1"/>
    </xf>
    <xf numFmtId="0" fontId="13" fillId="0" borderId="2" xfId="0" applyFont="1" applyBorder="1" applyAlignment="1" applyProtection="1">
      <alignment horizontal="left" shrinkToFit="1"/>
    </xf>
    <xf numFmtId="0" fontId="13" fillId="0" borderId="9" xfId="0" applyFont="1" applyBorder="1" applyAlignment="1" applyProtection="1">
      <alignment horizontal="left" shrinkToFit="1"/>
    </xf>
    <xf numFmtId="0" fontId="35" fillId="0" borderId="0" xfId="0" applyFont="1" applyAlignment="1" applyProtection="1">
      <alignment horizontal="left" shrinkToFit="1"/>
    </xf>
    <xf numFmtId="0" fontId="9" fillId="18" borderId="0" xfId="0" applyFont="1" applyFill="1" applyAlignment="1" applyProtection="1">
      <alignment horizontal="left" vertical="center"/>
    </xf>
    <xf numFmtId="0" fontId="35" fillId="12" borderId="0" xfId="0" applyFont="1" applyFill="1" applyAlignment="1" applyProtection="1">
      <alignment horizontal="left" vertical="top" wrapText="1"/>
      <protection locked="0"/>
    </xf>
    <xf numFmtId="1" fontId="6" fillId="17" borderId="0" xfId="3" applyNumberFormat="1" applyFont="1" applyFill="1" applyAlignment="1" applyProtection="1">
      <alignment horizontal="center" vertical="center"/>
    </xf>
    <xf numFmtId="4" fontId="6" fillId="17" borderId="0" xfId="1" applyNumberFormat="1" applyFont="1" applyFill="1" applyBorder="1" applyAlignment="1" applyProtection="1">
      <alignment horizontal="left" vertical="center"/>
    </xf>
    <xf numFmtId="10" fontId="6" fillId="17" borderId="0" xfId="5" applyNumberFormat="1" applyFont="1" applyFill="1" applyBorder="1" applyAlignment="1" applyProtection="1">
      <alignment horizontal="center" vertical="center"/>
    </xf>
    <xf numFmtId="0" fontId="3" fillId="15" borderId="0" xfId="0" applyFont="1" applyFill="1" applyAlignment="1" applyProtection="1">
      <alignment horizontal="left" vertical="top" wrapText="1"/>
    </xf>
    <xf numFmtId="0" fontId="35" fillId="17" borderId="0" xfId="0" applyFont="1" applyFill="1" applyAlignment="1" applyProtection="1">
      <alignment horizontal="left" vertical="center"/>
    </xf>
    <xf numFmtId="1" fontId="6" fillId="18" borderId="0" xfId="3" applyNumberFormat="1" applyFont="1" applyFill="1" applyAlignment="1" applyProtection="1">
      <alignment horizontal="center" vertical="center"/>
    </xf>
    <xf numFmtId="4" fontId="6" fillId="18" borderId="0" xfId="1" applyNumberFormat="1" applyFont="1" applyFill="1" applyBorder="1" applyAlignment="1" applyProtection="1">
      <alignment horizontal="left" vertical="center"/>
    </xf>
    <xf numFmtId="14" fontId="35" fillId="17" borderId="0" xfId="0" applyNumberFormat="1" applyFont="1" applyFill="1" applyAlignment="1" applyProtection="1">
      <alignment horizontal="left" vertical="center"/>
    </xf>
    <xf numFmtId="0" fontId="74" fillId="19" borderId="0" xfId="0" applyFont="1" applyFill="1" applyAlignment="1" applyProtection="1">
      <alignment horizontal="left" vertical="center"/>
    </xf>
    <xf numFmtId="4" fontId="9" fillId="16" borderId="0" xfId="1" applyNumberFormat="1" applyFont="1" applyFill="1" applyBorder="1" applyAlignment="1" applyProtection="1">
      <alignment horizontal="left" vertical="center"/>
      <protection locked="0"/>
    </xf>
    <xf numFmtId="0" fontId="9" fillId="19" borderId="0" xfId="0" applyFont="1" applyFill="1" applyAlignment="1" applyProtection="1">
      <alignment horizontal="left" vertical="center"/>
    </xf>
    <xf numFmtId="1" fontId="52" fillId="17" borderId="0" xfId="3" applyNumberFormat="1" applyFont="1" applyFill="1" applyAlignment="1" applyProtection="1">
      <alignment horizontal="center" vertical="center"/>
    </xf>
    <xf numFmtId="4" fontId="52" fillId="17" borderId="0" xfId="1" applyNumberFormat="1" applyFont="1" applyFill="1" applyBorder="1" applyAlignment="1" applyProtection="1">
      <alignment horizontal="left" vertical="center"/>
    </xf>
    <xf numFmtId="49" fontId="9" fillId="26" borderId="0" xfId="0" applyNumberFormat="1" applyFont="1" applyFill="1" applyAlignment="1" applyProtection="1">
      <alignment horizontal="left" vertical="center"/>
    </xf>
    <xf numFmtId="0" fontId="35" fillId="12" borderId="0" xfId="0" applyFont="1" applyFill="1" applyAlignment="1" applyProtection="1">
      <alignment horizontal="left" vertical="top"/>
      <protection locked="0"/>
    </xf>
    <xf numFmtId="0" fontId="35" fillId="15" borderId="0" xfId="0" applyFont="1" applyFill="1" applyAlignment="1" applyProtection="1">
      <alignment horizontal="left" vertical="center"/>
    </xf>
    <xf numFmtId="0" fontId="9" fillId="15" borderId="0" xfId="0" applyFont="1" applyFill="1" applyAlignment="1" applyProtection="1">
      <alignment horizontal="left" vertical="top" wrapText="1"/>
    </xf>
    <xf numFmtId="49" fontId="9" fillId="16" borderId="0" xfId="0" quotePrefix="1" applyNumberFormat="1" applyFont="1" applyFill="1" applyAlignment="1" applyProtection="1">
      <alignment horizontal="left" vertical="center"/>
    </xf>
    <xf numFmtId="0" fontId="9" fillId="17" borderId="0" xfId="0" applyFont="1" applyFill="1" applyAlignment="1" applyProtection="1">
      <alignment horizontal="center" vertical="center"/>
    </xf>
    <xf numFmtId="0" fontId="9" fillId="17" borderId="0" xfId="0" applyFont="1" applyFill="1" applyAlignment="1" applyProtection="1">
      <alignment horizontal="center" vertical="top" wrapText="1"/>
    </xf>
    <xf numFmtId="0" fontId="9" fillId="17" borderId="0" xfId="0" applyFont="1" applyFill="1" applyAlignment="1" applyProtection="1">
      <alignment horizontal="center" vertical="center" wrapText="1"/>
    </xf>
    <xf numFmtId="0" fontId="35" fillId="15" borderId="0" xfId="0" applyFont="1" applyFill="1" applyAlignment="1">
      <alignment horizontal="left" vertical="top" wrapText="1"/>
    </xf>
    <xf numFmtId="0" fontId="9" fillId="17" borderId="0" xfId="0" applyFont="1" applyFill="1" applyAlignment="1" applyProtection="1">
      <alignment horizontal="left" vertical="center"/>
    </xf>
    <xf numFmtId="0" fontId="9" fillId="27" borderId="0" xfId="0" applyFont="1" applyFill="1" applyAlignment="1" applyProtection="1">
      <alignment horizontal="center" vertical="center"/>
    </xf>
    <xf numFmtId="4" fontId="9" fillId="18" borderId="0" xfId="1" applyNumberFormat="1" applyFont="1" applyFill="1" applyBorder="1" applyAlignment="1" applyProtection="1">
      <alignment horizontal="left" vertical="center"/>
    </xf>
    <xf numFmtId="1" fontId="9" fillId="17" borderId="0" xfId="3" applyNumberFormat="1" applyFill="1" applyAlignment="1" applyProtection="1">
      <alignment horizontal="center" vertical="center"/>
    </xf>
    <xf numFmtId="0" fontId="9" fillId="27" borderId="0" xfId="0" applyFont="1" applyFill="1" applyAlignment="1" applyProtection="1">
      <alignment horizontal="left" vertical="center"/>
    </xf>
    <xf numFmtId="0" fontId="52" fillId="25" borderId="0" xfId="3" applyFont="1" applyFill="1" applyAlignment="1" applyProtection="1">
      <alignment horizontal="center" vertical="center"/>
    </xf>
    <xf numFmtId="40" fontId="73" fillId="27" borderId="0" xfId="1" applyFont="1" applyFill="1" applyBorder="1" applyAlignment="1" applyProtection="1">
      <alignment horizontal="left"/>
    </xf>
    <xf numFmtId="0" fontId="52" fillId="28" borderId="0" xfId="3" applyFont="1" applyFill="1" applyAlignment="1" applyProtection="1">
      <alignment horizontal="center" vertical="center"/>
    </xf>
    <xf numFmtId="170" fontId="9" fillId="16" borderId="0" xfId="1" applyNumberFormat="1" applyFont="1" applyFill="1" applyBorder="1" applyAlignment="1" applyProtection="1">
      <alignment horizontal="left" vertical="center"/>
      <protection locked="0"/>
    </xf>
    <xf numFmtId="0" fontId="0" fillId="5" borderId="12" xfId="0" applyFont="1" applyFill="1" applyBorder="1" applyAlignment="1">
      <alignment horizontal="left"/>
    </xf>
    <xf numFmtId="0" fontId="0" fillId="5" borderId="28" xfId="0" applyFont="1" applyFill="1" applyBorder="1" applyAlignment="1">
      <alignment horizontal="left"/>
    </xf>
    <xf numFmtId="0" fontId="0" fillId="5" borderId="14" xfId="0" applyFont="1" applyFill="1" applyBorder="1" applyAlignment="1">
      <alignment horizontal="left"/>
    </xf>
    <xf numFmtId="0" fontId="39" fillId="8" borderId="0" xfId="0" applyFont="1" applyFill="1" applyAlignment="1">
      <alignment horizontal="center" vertical="center" wrapText="1"/>
    </xf>
  </cellXfs>
  <cellStyles count="7">
    <cellStyle name="Komma" xfId="1" builtinId="3"/>
    <cellStyle name="Link" xfId="6" builtinId="8"/>
    <cellStyle name="Prozent" xfId="5" builtinId="5"/>
    <cellStyle name="Standard" xfId="0" builtinId="0"/>
    <cellStyle name="Standard 2" xfId="2" xr:uid="{00000000-0005-0000-0000-000004000000}"/>
    <cellStyle name="Standard_Lohntabellenrechner_BL_2010 2" xfId="3" xr:uid="{00000000-0005-0000-0000-000005000000}"/>
    <cellStyle name="Währung" xfId="4" builtinId="4"/>
  </cellStyles>
  <dxfs count="203">
    <dxf>
      <font>
        <color rgb="FF9C0006"/>
      </font>
      <fill>
        <patternFill>
          <bgColor rgb="FFFFC7CE"/>
        </patternFill>
      </fill>
    </dxf>
    <dxf>
      <font>
        <color theme="0"/>
      </font>
      <fill>
        <patternFill>
          <bgColor theme="0"/>
        </patternFill>
      </fill>
    </dxf>
    <dxf>
      <fill>
        <patternFill>
          <bgColor rgb="FFFFD757"/>
        </patternFill>
      </fill>
    </dxf>
    <dxf>
      <font>
        <color theme="0"/>
      </font>
      <fill>
        <patternFill>
          <bgColor theme="0"/>
        </patternFill>
      </fill>
    </dxf>
    <dxf>
      <font>
        <color theme="0"/>
      </font>
      <fill>
        <patternFill>
          <bgColor theme="0"/>
        </patternFill>
      </fill>
    </dxf>
    <dxf>
      <fill>
        <patternFill>
          <bgColor rgb="FFDA9694"/>
        </patternFill>
      </fill>
    </dxf>
    <dxf>
      <fill>
        <patternFill>
          <bgColor rgb="FF6EF2A3"/>
        </patternFill>
      </fill>
    </dxf>
    <dxf>
      <fill>
        <patternFill>
          <bgColor rgb="FFDA9694"/>
        </patternFill>
      </fill>
    </dxf>
    <dxf>
      <fill>
        <patternFill>
          <bgColor rgb="FF6EF2A3"/>
        </patternFill>
      </fill>
    </dxf>
    <dxf>
      <fill>
        <patternFill>
          <bgColor rgb="FFDA9694"/>
        </patternFill>
      </fill>
    </dxf>
    <dxf>
      <fill>
        <patternFill>
          <bgColor rgb="FF6EF2A3"/>
        </patternFill>
      </fill>
    </dxf>
    <dxf>
      <fill>
        <patternFill>
          <bgColor rgb="FFFFD757"/>
        </patternFill>
      </fill>
    </dxf>
    <dxf>
      <fill>
        <patternFill>
          <bgColor rgb="FFFFD757"/>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DA9694"/>
        </patternFill>
      </fill>
    </dxf>
    <dxf>
      <fill>
        <patternFill>
          <bgColor rgb="FFFFFFFF"/>
        </patternFill>
      </fill>
    </dxf>
    <dxf>
      <fill>
        <patternFill>
          <bgColor rgb="FF00B050"/>
        </patternFill>
      </fill>
    </dxf>
    <dxf>
      <fill>
        <patternFill>
          <bgColor rgb="FF6EF2A3"/>
        </patternFill>
      </fill>
    </dxf>
    <dxf>
      <font>
        <color theme="0"/>
      </font>
      <fill>
        <patternFill>
          <bgColor theme="0"/>
        </patternFill>
      </fill>
    </dxf>
    <dxf>
      <fill>
        <patternFill>
          <bgColor rgb="FFFFD757"/>
        </patternFill>
      </fill>
    </dxf>
    <dxf>
      <fill>
        <patternFill>
          <bgColor rgb="FFDA9694"/>
        </patternFill>
      </fill>
    </dxf>
    <dxf>
      <font>
        <color theme="0"/>
      </font>
      <fill>
        <patternFill>
          <bgColor theme="0"/>
        </patternFill>
      </fill>
    </dxf>
    <dxf>
      <fill>
        <patternFill>
          <bgColor rgb="FFDA9694"/>
        </patternFill>
      </fill>
    </dxf>
    <dxf>
      <fill>
        <patternFill>
          <bgColor rgb="FFFFD757"/>
        </patternFill>
      </fill>
    </dxf>
    <dxf>
      <fill>
        <patternFill>
          <bgColor rgb="FF6EF2A3"/>
        </patternFill>
      </fill>
    </dxf>
    <dxf>
      <fill>
        <patternFill>
          <bgColor rgb="FFDA9694"/>
        </patternFill>
      </fill>
    </dxf>
    <dxf>
      <fill>
        <patternFill>
          <bgColor rgb="FF6EF2A3"/>
        </patternFill>
      </fill>
    </dxf>
    <dxf>
      <fill>
        <patternFill>
          <bgColor rgb="FFDA9694"/>
        </patternFill>
      </fill>
    </dxf>
    <dxf>
      <fill>
        <patternFill>
          <bgColor rgb="FF6EF2A3"/>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FFFFFF"/>
        </patternFill>
      </fill>
    </dxf>
    <dxf>
      <fill>
        <patternFill>
          <bgColor rgb="FF6EF2A3"/>
        </patternFill>
      </fill>
    </dxf>
    <dxf>
      <fill>
        <patternFill>
          <bgColor rgb="FFFF0000"/>
        </patternFill>
      </fill>
    </dxf>
    <dxf>
      <font>
        <color theme="0"/>
      </font>
      <fill>
        <patternFill>
          <bgColor theme="0"/>
        </patternFill>
      </fill>
    </dxf>
    <dxf>
      <font>
        <color theme="0"/>
      </font>
      <fill>
        <patternFill>
          <bgColor theme="0"/>
        </patternFill>
      </fill>
    </dxf>
    <dxf>
      <fill>
        <patternFill>
          <bgColor rgb="FFDA9694"/>
        </patternFill>
      </fill>
    </dxf>
    <dxf>
      <fill>
        <patternFill>
          <bgColor rgb="FF6EF2A3"/>
        </patternFill>
      </fill>
    </dxf>
    <dxf>
      <fill>
        <patternFill>
          <bgColor rgb="FFDA9694"/>
        </patternFill>
      </fill>
    </dxf>
    <dxf>
      <fill>
        <patternFill>
          <bgColor rgb="FF6EF2A3"/>
        </patternFill>
      </fill>
    </dxf>
    <dxf>
      <font>
        <color theme="0"/>
      </font>
      <fill>
        <patternFill>
          <bgColor theme="0"/>
        </patternFill>
      </fill>
    </dxf>
    <dxf>
      <fill>
        <patternFill>
          <bgColor rgb="FFFFD757"/>
        </patternFill>
      </fill>
    </dxf>
    <dxf>
      <fill>
        <patternFill>
          <bgColor theme="0" tint="-0.14996795556505021"/>
        </patternFill>
      </fill>
    </dxf>
    <dxf>
      <fill>
        <patternFill>
          <bgColor rgb="FF6EF2A3"/>
        </patternFill>
      </fill>
    </dxf>
    <dxf>
      <fill>
        <patternFill>
          <bgColor rgb="FFFFD757"/>
        </patternFill>
      </fill>
    </dxf>
    <dxf>
      <fill>
        <patternFill>
          <bgColor rgb="FFFFD757"/>
        </patternFill>
      </fill>
    </dxf>
    <dxf>
      <fill>
        <patternFill>
          <bgColor theme="0"/>
        </patternFill>
      </fill>
    </dxf>
    <dxf>
      <fill>
        <patternFill>
          <bgColor rgb="FF00B050"/>
        </patternFill>
      </fill>
    </dxf>
    <dxf>
      <fill>
        <patternFill>
          <bgColor theme="0"/>
        </patternFill>
      </fill>
    </dxf>
    <dxf>
      <fill>
        <patternFill>
          <bgColor rgb="FF00B050"/>
        </patternFill>
      </fill>
    </dxf>
    <dxf>
      <fill>
        <patternFill>
          <bgColor rgb="FFFFFFFF"/>
        </patternFill>
      </fill>
    </dxf>
    <dxf>
      <fill>
        <patternFill>
          <bgColor rgb="FF6EF2A3"/>
        </patternFill>
      </fill>
    </dxf>
    <dxf>
      <fill>
        <patternFill>
          <bgColor rgb="FFFFD757"/>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ont>
        <color rgb="FFFF0000"/>
      </font>
    </dxf>
    <dxf>
      <font>
        <color theme="0" tint="-4.9989318521683403E-2"/>
      </font>
    </dxf>
    <dxf>
      <font>
        <color theme="0"/>
      </font>
    </dxf>
    <dxf>
      <font>
        <color theme="0"/>
      </font>
    </dxf>
    <dxf>
      <font>
        <color theme="0" tint="-4.9989318521683403E-2"/>
      </font>
    </dxf>
    <dxf>
      <font>
        <color theme="0"/>
      </font>
    </dxf>
    <dxf>
      <font>
        <color theme="0" tint="-4.9989318521683403E-2"/>
      </font>
    </dxf>
    <dxf>
      <font>
        <color theme="0" tint="-4.9989318521683403E-2"/>
      </font>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indexed="13"/>
        </patternFill>
      </fill>
    </dxf>
    <dxf>
      <fill>
        <patternFill>
          <bgColor indexed="22"/>
        </patternFill>
      </fill>
    </dxf>
    <dxf>
      <fill>
        <patternFill>
          <bgColor indexed="10"/>
        </patternFill>
      </fill>
    </dxf>
    <dxf>
      <fill>
        <patternFill>
          <bgColor indexed="10"/>
        </patternFill>
      </fill>
    </dxf>
    <dxf>
      <fill>
        <patternFill>
          <bgColor indexed="10"/>
        </patternFill>
      </fill>
    </dxf>
    <dxf>
      <fill>
        <patternFill>
          <bgColor indexed="13"/>
        </patternFill>
      </fill>
    </dxf>
    <dxf>
      <fill>
        <patternFill>
          <bgColor indexed="13"/>
        </patternFill>
      </fill>
    </dxf>
    <dxf>
      <font>
        <condense val="0"/>
        <extend val="0"/>
        <color indexed="8"/>
      </font>
      <fill>
        <patternFill>
          <bgColor indexed="22"/>
        </patternFill>
      </fill>
    </dxf>
    <dxf>
      <fill>
        <patternFill>
          <bgColor indexed="10"/>
        </patternFill>
      </fill>
    </dxf>
    <dxf>
      <fill>
        <patternFill>
          <bgColor rgb="FFDA9694"/>
        </patternFill>
      </fill>
    </dxf>
    <dxf>
      <font>
        <condense val="0"/>
        <extend val="0"/>
        <color indexed="9"/>
      </font>
      <fill>
        <patternFill>
          <bgColor indexed="9"/>
        </patternFill>
      </fill>
    </dxf>
    <dxf>
      <fill>
        <patternFill>
          <bgColor indexed="22"/>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ont>
        <color theme="0"/>
      </font>
      <fill>
        <patternFill>
          <bgColor rgb="FFFF0000"/>
        </patternFill>
      </fill>
      <border>
        <left/>
        <right/>
        <top/>
        <bottom/>
      </border>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ont>
        <color theme="0"/>
      </font>
    </dxf>
    <dxf>
      <font>
        <color theme="0"/>
      </font>
    </dxf>
    <dxf>
      <fill>
        <patternFill patternType="solid">
          <bgColor theme="0"/>
        </patternFill>
      </fill>
    </dxf>
    <dxf>
      <fill>
        <patternFill patternType="solid">
          <bgColor theme="0"/>
        </patternFill>
      </fill>
    </dxf>
    <dxf>
      <fill>
        <patternFill patternType="solid">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FF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
      <font>
        <color theme="0"/>
      </font>
      <fill>
        <patternFill>
          <bgColor theme="0"/>
        </patternFill>
      </fill>
    </dxf>
    <dxf>
      <font>
        <color theme="0"/>
      </font>
      <fill>
        <patternFill>
          <bgColor theme="0"/>
        </patternFill>
      </fill>
    </dxf>
    <dxf>
      <font>
        <color theme="0"/>
      </font>
      <fill>
        <patternFill>
          <bgColor theme="0"/>
        </patternFill>
      </fill>
    </dxf>
    <dxf>
      <font>
        <color theme="0"/>
      </font>
      <fill>
        <patternFill>
          <bgColor theme="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A9694"/>
      <color rgb="FF6EF2A3"/>
      <color rgb="FFFFD757"/>
      <color rgb="FFFFFFFF"/>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R$38" lockText="1" noThreeD="1"/>
</file>

<file path=xl/ctrlProps/ctrlProp12.xml><?xml version="1.0" encoding="utf-8"?>
<formControlPr xmlns="http://schemas.microsoft.com/office/spreadsheetml/2009/9/main" objectType="CheckBox" fmlaLink="$R$36" lockText="1" noThreeD="1"/>
</file>

<file path=xl/ctrlProps/ctrlProp13.xml><?xml version="1.0" encoding="utf-8"?>
<formControlPr xmlns="http://schemas.microsoft.com/office/spreadsheetml/2009/9/main" objectType="CheckBox" fmlaLink="$R$32" lockText="1" noThreeD="1"/>
</file>

<file path=xl/ctrlProps/ctrlProp14.xml><?xml version="1.0" encoding="utf-8"?>
<formControlPr xmlns="http://schemas.microsoft.com/office/spreadsheetml/2009/9/main" objectType="CheckBox" fmlaLink="$R$34"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fmlaLink="$R$55"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fmlaLink="$S$58"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2.png"/></Relationships>
</file>

<file path=xl/drawings/_rels/drawing18.xml.rels><?xml version="1.0" encoding="UTF-8" standalone="yes"?>
<Relationships xmlns="http://schemas.openxmlformats.org/package/2006/relationships"><Relationship Id="rId1" Type="http://schemas.openxmlformats.org/officeDocument/2006/relationships/image" Target="../media/image2.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29</xdr:col>
      <xdr:colOff>140970</xdr:colOff>
      <xdr:row>1</xdr:row>
      <xdr:rowOff>93344</xdr:rowOff>
    </xdr:from>
    <xdr:to>
      <xdr:col>35</xdr:col>
      <xdr:colOff>238469</xdr:colOff>
      <xdr:row>3</xdr:row>
      <xdr:rowOff>76199</xdr:rowOff>
    </xdr:to>
    <xdr:pic>
      <xdr:nvPicPr>
        <xdr:cNvPr id="2" name="Grafik 3">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533120" y="245744"/>
          <a:ext cx="2107274" cy="4400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8</xdr:col>
      <xdr:colOff>571500</xdr:colOff>
      <xdr:row>1</xdr:row>
      <xdr:rowOff>198120</xdr:rowOff>
    </xdr:from>
    <xdr:to>
      <xdr:col>11</xdr:col>
      <xdr:colOff>53340</xdr:colOff>
      <xdr:row>2</xdr:row>
      <xdr:rowOff>7620</xdr:rowOff>
    </xdr:to>
    <xdr:pic>
      <xdr:nvPicPr>
        <xdr:cNvPr id="2" name="Grafik 3">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00" y="274320"/>
          <a:ext cx="175831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3</xdr:col>
          <xdr:colOff>209550</xdr:colOff>
          <xdr:row>30</xdr:row>
          <xdr:rowOff>47625</xdr:rowOff>
        </xdr:from>
        <xdr:to>
          <xdr:col>5</xdr:col>
          <xdr:colOff>257175</xdr:colOff>
          <xdr:row>32</xdr:row>
          <xdr:rowOff>9525</xdr:rowOff>
        </xdr:to>
        <xdr:sp macro="" textlink="">
          <xdr:nvSpPr>
            <xdr:cNvPr id="463874" name="Check Box 2" hidden="1">
              <a:extLst>
                <a:ext uri="{63B3BB69-23CF-44E3-9099-C40C66FF867C}">
                  <a14:compatExt spid="_x0000_s463874"/>
                </a:ext>
                <a:ext uri="{FF2B5EF4-FFF2-40B4-BE49-F238E27FC236}">
                  <a16:creationId xmlns:a16="http://schemas.microsoft.com/office/drawing/2014/main" id="{00000000-0008-0000-0A00-0000021407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209550</xdr:colOff>
          <xdr:row>32</xdr:row>
          <xdr:rowOff>57150</xdr:rowOff>
        </xdr:from>
        <xdr:to>
          <xdr:col>5</xdr:col>
          <xdr:colOff>361950</xdr:colOff>
          <xdr:row>34</xdr:row>
          <xdr:rowOff>9525</xdr:rowOff>
        </xdr:to>
        <xdr:sp macro="" textlink="">
          <xdr:nvSpPr>
            <xdr:cNvPr id="463876" name="Check Box 4" hidden="1">
              <a:extLst>
                <a:ext uri="{63B3BB69-23CF-44E3-9099-C40C66FF867C}">
                  <a14:compatExt spid="_x0000_s463876"/>
                </a:ext>
                <a:ext uri="{FF2B5EF4-FFF2-40B4-BE49-F238E27FC236}">
                  <a16:creationId xmlns:a16="http://schemas.microsoft.com/office/drawing/2014/main" id="{00000000-0008-0000-0A00-0000041407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200025</xdr:colOff>
          <xdr:row>57</xdr:row>
          <xdr:rowOff>133350</xdr:rowOff>
        </xdr:from>
        <xdr:to>
          <xdr:col>6</xdr:col>
          <xdr:colOff>933450</xdr:colOff>
          <xdr:row>59</xdr:row>
          <xdr:rowOff>47625</xdr:rowOff>
        </xdr:to>
        <xdr:sp macro="" textlink="">
          <xdr:nvSpPr>
            <xdr:cNvPr id="381953" name="Check Box 1" hidden="1">
              <a:extLst>
                <a:ext uri="{63B3BB69-23CF-44E3-9099-C40C66FF867C}">
                  <a14:compatExt spid="_x0000_s381953"/>
                </a:ext>
                <a:ext uri="{FF2B5EF4-FFF2-40B4-BE49-F238E27FC236}">
                  <a16:creationId xmlns:a16="http://schemas.microsoft.com/office/drawing/2014/main" id="{00000000-0008-0000-0B00-000001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200025</xdr:colOff>
          <xdr:row>59</xdr:row>
          <xdr:rowOff>133350</xdr:rowOff>
        </xdr:from>
        <xdr:to>
          <xdr:col>5</xdr:col>
          <xdr:colOff>571500</xdr:colOff>
          <xdr:row>61</xdr:row>
          <xdr:rowOff>47625</xdr:rowOff>
        </xdr:to>
        <xdr:sp macro="" textlink="">
          <xdr:nvSpPr>
            <xdr:cNvPr id="381954" name="Check Box 2" hidden="1">
              <a:extLst>
                <a:ext uri="{63B3BB69-23CF-44E3-9099-C40C66FF867C}">
                  <a14:compatExt spid="_x0000_s381954"/>
                </a:ext>
                <a:ext uri="{FF2B5EF4-FFF2-40B4-BE49-F238E27FC236}">
                  <a16:creationId xmlns:a16="http://schemas.microsoft.com/office/drawing/2014/main" id="{00000000-0008-0000-0B00-000002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847725</xdr:colOff>
          <xdr:row>32</xdr:row>
          <xdr:rowOff>0</xdr:rowOff>
        </xdr:from>
        <xdr:to>
          <xdr:col>9</xdr:col>
          <xdr:colOff>704850</xdr:colOff>
          <xdr:row>33</xdr:row>
          <xdr:rowOff>19050</xdr:rowOff>
        </xdr:to>
        <xdr:sp macro="" textlink="">
          <xdr:nvSpPr>
            <xdr:cNvPr id="381958" name="Check Box 6" hidden="1">
              <a:extLst>
                <a:ext uri="{63B3BB69-23CF-44E3-9099-C40C66FF867C}">
                  <a14:compatExt spid="_x0000_s381958"/>
                </a:ext>
                <a:ext uri="{FF2B5EF4-FFF2-40B4-BE49-F238E27FC236}">
                  <a16:creationId xmlns:a16="http://schemas.microsoft.com/office/drawing/2014/main" id="{00000000-0008-0000-0B00-000006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53</xdr:row>
          <xdr:rowOff>9525</xdr:rowOff>
        </xdr:from>
        <xdr:to>
          <xdr:col>6</xdr:col>
          <xdr:colOff>1085850</xdr:colOff>
          <xdr:row>55</xdr:row>
          <xdr:rowOff>47625</xdr:rowOff>
        </xdr:to>
        <xdr:sp macro="" textlink="">
          <xdr:nvSpPr>
            <xdr:cNvPr id="381959" name="Check Box 7" hidden="1">
              <a:extLst>
                <a:ext uri="{63B3BB69-23CF-44E3-9099-C40C66FF867C}">
                  <a14:compatExt spid="_x0000_s381959"/>
                </a:ext>
                <a:ext uri="{FF2B5EF4-FFF2-40B4-BE49-F238E27FC236}">
                  <a16:creationId xmlns:a16="http://schemas.microsoft.com/office/drawing/2014/main" id="{00000000-0008-0000-0B00-000007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63</xdr:row>
          <xdr:rowOff>85725</xdr:rowOff>
        </xdr:from>
        <xdr:to>
          <xdr:col>7</xdr:col>
          <xdr:colOff>171450</xdr:colOff>
          <xdr:row>65</xdr:row>
          <xdr:rowOff>28575</xdr:rowOff>
        </xdr:to>
        <xdr:sp macro="" textlink="">
          <xdr:nvSpPr>
            <xdr:cNvPr id="381960" name="Check Box 8" hidden="1">
              <a:extLst>
                <a:ext uri="{63B3BB69-23CF-44E3-9099-C40C66FF867C}">
                  <a14:compatExt spid="_x0000_s381960"/>
                </a:ext>
                <a:ext uri="{FF2B5EF4-FFF2-40B4-BE49-F238E27FC236}">
                  <a16:creationId xmlns:a16="http://schemas.microsoft.com/office/drawing/2014/main" id="{00000000-0008-0000-0B00-000008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35</xdr:row>
          <xdr:rowOff>57150</xdr:rowOff>
        </xdr:from>
        <xdr:to>
          <xdr:col>6</xdr:col>
          <xdr:colOff>104775</xdr:colOff>
          <xdr:row>37</xdr:row>
          <xdr:rowOff>19050</xdr:rowOff>
        </xdr:to>
        <xdr:sp macro="" textlink="">
          <xdr:nvSpPr>
            <xdr:cNvPr id="381961" name="Check Box 9" hidden="1">
              <a:extLst>
                <a:ext uri="{63B3BB69-23CF-44E3-9099-C40C66FF867C}">
                  <a14:compatExt spid="_x0000_s381961"/>
                </a:ext>
                <a:ext uri="{FF2B5EF4-FFF2-40B4-BE49-F238E27FC236}">
                  <a16:creationId xmlns:a16="http://schemas.microsoft.com/office/drawing/2014/main" id="{00000000-0008-0000-0B00-000009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43</xdr:row>
          <xdr:rowOff>19050</xdr:rowOff>
        </xdr:from>
        <xdr:to>
          <xdr:col>8</xdr:col>
          <xdr:colOff>1114425</xdr:colOff>
          <xdr:row>45</xdr:row>
          <xdr:rowOff>57150</xdr:rowOff>
        </xdr:to>
        <xdr:sp macro="" textlink="">
          <xdr:nvSpPr>
            <xdr:cNvPr id="381962" name="Check Box 10" hidden="1">
              <a:extLst>
                <a:ext uri="{63B3BB69-23CF-44E3-9099-C40C66FF867C}">
                  <a14:compatExt spid="_x0000_s381962"/>
                </a:ext>
                <a:ext uri="{FF2B5EF4-FFF2-40B4-BE49-F238E27FC236}">
                  <a16:creationId xmlns:a16="http://schemas.microsoft.com/office/drawing/2014/main" id="{00000000-0008-0000-0B00-00000A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466725</xdr:colOff>
          <xdr:row>47</xdr:row>
          <xdr:rowOff>142875</xdr:rowOff>
        </xdr:from>
        <xdr:to>
          <xdr:col>10</xdr:col>
          <xdr:colOff>1190625</xdr:colOff>
          <xdr:row>49</xdr:row>
          <xdr:rowOff>19050</xdr:rowOff>
        </xdr:to>
        <xdr:sp macro="" textlink="">
          <xdr:nvSpPr>
            <xdr:cNvPr id="381963" name="Check Box 11" hidden="1">
              <a:extLst>
                <a:ext uri="{63B3BB69-23CF-44E3-9099-C40C66FF867C}">
                  <a14:compatExt spid="_x0000_s381963"/>
                </a:ext>
                <a:ext uri="{FF2B5EF4-FFF2-40B4-BE49-F238E27FC236}">
                  <a16:creationId xmlns:a16="http://schemas.microsoft.com/office/drawing/2014/main" id="{00000000-0008-0000-0B00-00000B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590550</xdr:colOff>
          <xdr:row>47</xdr:row>
          <xdr:rowOff>133350</xdr:rowOff>
        </xdr:from>
        <xdr:to>
          <xdr:col>7</xdr:col>
          <xdr:colOff>38100</xdr:colOff>
          <xdr:row>49</xdr:row>
          <xdr:rowOff>19050</xdr:rowOff>
        </xdr:to>
        <xdr:sp macro="" textlink="">
          <xdr:nvSpPr>
            <xdr:cNvPr id="381964" name="Check Box 12" hidden="1">
              <a:extLst>
                <a:ext uri="{63B3BB69-23CF-44E3-9099-C40C66FF867C}">
                  <a14:compatExt spid="_x0000_s381964"/>
                </a:ext>
                <a:ext uri="{FF2B5EF4-FFF2-40B4-BE49-F238E27FC236}">
                  <a16:creationId xmlns:a16="http://schemas.microsoft.com/office/drawing/2014/main" id="{00000000-0008-0000-0B00-00000C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17</xdr:row>
          <xdr:rowOff>76200</xdr:rowOff>
        </xdr:from>
        <xdr:to>
          <xdr:col>6</xdr:col>
          <xdr:colOff>771525</xdr:colOff>
          <xdr:row>19</xdr:row>
          <xdr:rowOff>28575</xdr:rowOff>
        </xdr:to>
        <xdr:sp macro="" textlink="">
          <xdr:nvSpPr>
            <xdr:cNvPr id="381966" name="Check Box 14" hidden="1">
              <a:extLst>
                <a:ext uri="{63B3BB69-23CF-44E3-9099-C40C66FF867C}">
                  <a14:compatExt spid="_x0000_s381966"/>
                </a:ext>
                <a:ext uri="{FF2B5EF4-FFF2-40B4-BE49-F238E27FC236}">
                  <a16:creationId xmlns:a16="http://schemas.microsoft.com/office/drawing/2014/main" id="{00000000-0008-0000-0B00-00000ED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337185</xdr:colOff>
      <xdr:row>1</xdr:row>
      <xdr:rowOff>104775</xdr:rowOff>
    </xdr:from>
    <xdr:to>
      <xdr:col>12</xdr:col>
      <xdr:colOff>7620</xdr:colOff>
      <xdr:row>2</xdr:row>
      <xdr:rowOff>5715</xdr:rowOff>
    </xdr:to>
    <xdr:pic>
      <xdr:nvPicPr>
        <xdr:cNvPr id="17" name="Grafik 3">
          <a:extLst>
            <a:ext uri="{FF2B5EF4-FFF2-40B4-BE49-F238E27FC236}">
              <a16:creationId xmlns:a16="http://schemas.microsoft.com/office/drawing/2014/main" id="{00000000-0008-0000-0B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52060" y="161925"/>
          <a:ext cx="1775460" cy="377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8</xdr:col>
      <xdr:colOff>895350</xdr:colOff>
      <xdr:row>1</xdr:row>
      <xdr:rowOff>20955</xdr:rowOff>
    </xdr:from>
    <xdr:to>
      <xdr:col>12</xdr:col>
      <xdr:colOff>46990</xdr:colOff>
      <xdr:row>3</xdr:row>
      <xdr:rowOff>40005</xdr:rowOff>
    </xdr:to>
    <xdr:pic>
      <xdr:nvPicPr>
        <xdr:cNvPr id="7" name="Grafik 3">
          <a:extLst>
            <a:ext uri="{FF2B5EF4-FFF2-40B4-BE49-F238E27FC236}">
              <a16:creationId xmlns:a16="http://schemas.microsoft.com/office/drawing/2014/main" id="{00000000-0008-0000-0C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52950" y="182880"/>
          <a:ext cx="175196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47625</xdr:colOff>
          <xdr:row>51</xdr:row>
          <xdr:rowOff>123825</xdr:rowOff>
        </xdr:from>
        <xdr:to>
          <xdr:col>10</xdr:col>
          <xdr:colOff>857250</xdr:colOff>
          <xdr:row>53</xdr:row>
          <xdr:rowOff>47625</xdr:rowOff>
        </xdr:to>
        <xdr:sp macro="" textlink="">
          <xdr:nvSpPr>
            <xdr:cNvPr id="366596" name="Check Box 4" hidden="1">
              <a:extLst>
                <a:ext uri="{63B3BB69-23CF-44E3-9099-C40C66FF867C}">
                  <a14:compatExt spid="_x0000_s366596"/>
                </a:ext>
                <a:ext uri="{FF2B5EF4-FFF2-40B4-BE49-F238E27FC236}">
                  <a16:creationId xmlns:a16="http://schemas.microsoft.com/office/drawing/2014/main" id="{00000000-0008-0000-0C00-0000049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57150</xdr:colOff>
          <xdr:row>59</xdr:row>
          <xdr:rowOff>133350</xdr:rowOff>
        </xdr:from>
        <xdr:to>
          <xdr:col>7</xdr:col>
          <xdr:colOff>104775</xdr:colOff>
          <xdr:row>61</xdr:row>
          <xdr:rowOff>38100</xdr:rowOff>
        </xdr:to>
        <xdr:sp macro="" textlink="">
          <xdr:nvSpPr>
            <xdr:cNvPr id="366597" name="Check Box 5" hidden="1">
              <a:extLst>
                <a:ext uri="{63B3BB69-23CF-44E3-9099-C40C66FF867C}">
                  <a14:compatExt spid="_x0000_s366597"/>
                </a:ext>
                <a:ext uri="{FF2B5EF4-FFF2-40B4-BE49-F238E27FC236}">
                  <a16:creationId xmlns:a16="http://schemas.microsoft.com/office/drawing/2014/main" id="{00000000-0008-0000-0C00-0000059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47625</xdr:colOff>
          <xdr:row>60</xdr:row>
          <xdr:rowOff>104775</xdr:rowOff>
        </xdr:from>
        <xdr:to>
          <xdr:col>7</xdr:col>
          <xdr:colOff>19050</xdr:colOff>
          <xdr:row>62</xdr:row>
          <xdr:rowOff>19050</xdr:rowOff>
        </xdr:to>
        <xdr:sp macro="" textlink="">
          <xdr:nvSpPr>
            <xdr:cNvPr id="402433" name="Check Box 1" hidden="1">
              <a:extLst>
                <a:ext uri="{63B3BB69-23CF-44E3-9099-C40C66FF867C}">
                  <a14:compatExt spid="_x0000_s402433"/>
                </a:ext>
                <a:ext uri="{FF2B5EF4-FFF2-40B4-BE49-F238E27FC236}">
                  <a16:creationId xmlns:a16="http://schemas.microsoft.com/office/drawing/2014/main" id="{00000000-0008-0000-0D00-000001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895350</xdr:colOff>
          <xdr:row>30</xdr:row>
          <xdr:rowOff>152400</xdr:rowOff>
        </xdr:from>
        <xdr:to>
          <xdr:col>11</xdr:col>
          <xdr:colOff>514350</xdr:colOff>
          <xdr:row>32</xdr:row>
          <xdr:rowOff>19050</xdr:rowOff>
        </xdr:to>
        <xdr:sp macro="" textlink="">
          <xdr:nvSpPr>
            <xdr:cNvPr id="402435" name="Check Box 3" hidden="1">
              <a:extLst>
                <a:ext uri="{63B3BB69-23CF-44E3-9099-C40C66FF867C}">
                  <a14:compatExt spid="_x0000_s402435"/>
                </a:ext>
                <a:ext uri="{FF2B5EF4-FFF2-40B4-BE49-F238E27FC236}">
                  <a16:creationId xmlns:a16="http://schemas.microsoft.com/office/drawing/2014/main" id="{00000000-0008-0000-0D00-000003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55</xdr:row>
          <xdr:rowOff>66675</xdr:rowOff>
        </xdr:from>
        <xdr:to>
          <xdr:col>7</xdr:col>
          <xdr:colOff>266700</xdr:colOff>
          <xdr:row>58</xdr:row>
          <xdr:rowOff>66675</xdr:rowOff>
        </xdr:to>
        <xdr:sp macro="" textlink="">
          <xdr:nvSpPr>
            <xdr:cNvPr id="402436" name="Check Box 4" hidden="1">
              <a:extLst>
                <a:ext uri="{63B3BB69-23CF-44E3-9099-C40C66FF867C}">
                  <a14:compatExt spid="_x0000_s402436"/>
                </a:ext>
                <a:ext uri="{FF2B5EF4-FFF2-40B4-BE49-F238E27FC236}">
                  <a16:creationId xmlns:a16="http://schemas.microsoft.com/office/drawing/2014/main" id="{00000000-0008-0000-0D00-000004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66</xdr:row>
          <xdr:rowOff>66675</xdr:rowOff>
        </xdr:from>
        <xdr:to>
          <xdr:col>9</xdr:col>
          <xdr:colOff>647700</xdr:colOff>
          <xdr:row>68</xdr:row>
          <xdr:rowOff>47625</xdr:rowOff>
        </xdr:to>
        <xdr:sp macro="" textlink="">
          <xdr:nvSpPr>
            <xdr:cNvPr id="402437" name="Check Box 5" hidden="1">
              <a:extLst>
                <a:ext uri="{63B3BB69-23CF-44E3-9099-C40C66FF867C}">
                  <a14:compatExt spid="_x0000_s402437"/>
                </a:ext>
                <a:ext uri="{FF2B5EF4-FFF2-40B4-BE49-F238E27FC236}">
                  <a16:creationId xmlns:a16="http://schemas.microsoft.com/office/drawing/2014/main" id="{00000000-0008-0000-0D00-000005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46</xdr:row>
          <xdr:rowOff>19050</xdr:rowOff>
        </xdr:from>
        <xdr:to>
          <xdr:col>9</xdr:col>
          <xdr:colOff>762000</xdr:colOff>
          <xdr:row>48</xdr:row>
          <xdr:rowOff>47625</xdr:rowOff>
        </xdr:to>
        <xdr:sp macro="" textlink="">
          <xdr:nvSpPr>
            <xdr:cNvPr id="402438" name="Check Box 6" hidden="1">
              <a:extLst>
                <a:ext uri="{63B3BB69-23CF-44E3-9099-C40C66FF867C}">
                  <a14:compatExt spid="_x0000_s402438"/>
                </a:ext>
                <a:ext uri="{FF2B5EF4-FFF2-40B4-BE49-F238E27FC236}">
                  <a16:creationId xmlns:a16="http://schemas.microsoft.com/office/drawing/2014/main" id="{00000000-0008-0000-0D00-000006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952500</xdr:colOff>
          <xdr:row>50</xdr:row>
          <xdr:rowOff>142875</xdr:rowOff>
        </xdr:from>
        <xdr:to>
          <xdr:col>11</xdr:col>
          <xdr:colOff>666750</xdr:colOff>
          <xdr:row>52</xdr:row>
          <xdr:rowOff>19050</xdr:rowOff>
        </xdr:to>
        <xdr:sp macro="" textlink="">
          <xdr:nvSpPr>
            <xdr:cNvPr id="402440" name="Check Box 8" hidden="1">
              <a:extLst>
                <a:ext uri="{63B3BB69-23CF-44E3-9099-C40C66FF867C}">
                  <a14:compatExt spid="_x0000_s402440"/>
                </a:ext>
                <a:ext uri="{FF2B5EF4-FFF2-40B4-BE49-F238E27FC236}">
                  <a16:creationId xmlns:a16="http://schemas.microsoft.com/office/drawing/2014/main" id="{00000000-0008-0000-0D00-000008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628650</xdr:colOff>
          <xdr:row>50</xdr:row>
          <xdr:rowOff>142875</xdr:rowOff>
        </xdr:from>
        <xdr:to>
          <xdr:col>7</xdr:col>
          <xdr:colOff>428625</xdr:colOff>
          <xdr:row>52</xdr:row>
          <xdr:rowOff>19050</xdr:rowOff>
        </xdr:to>
        <xdr:sp macro="" textlink="">
          <xdr:nvSpPr>
            <xdr:cNvPr id="402441" name="Check Box 9" hidden="1">
              <a:extLst>
                <a:ext uri="{63B3BB69-23CF-44E3-9099-C40C66FF867C}">
                  <a14:compatExt spid="_x0000_s402441"/>
                </a:ext>
                <a:ext uri="{FF2B5EF4-FFF2-40B4-BE49-F238E27FC236}">
                  <a16:creationId xmlns:a16="http://schemas.microsoft.com/office/drawing/2014/main" id="{00000000-0008-0000-0D00-000009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18</xdr:row>
          <xdr:rowOff>28575</xdr:rowOff>
        </xdr:from>
        <xdr:to>
          <xdr:col>9</xdr:col>
          <xdr:colOff>590550</xdr:colOff>
          <xdr:row>20</xdr:row>
          <xdr:rowOff>47625</xdr:rowOff>
        </xdr:to>
        <xdr:sp macro="" textlink="">
          <xdr:nvSpPr>
            <xdr:cNvPr id="402443" name="Check Box 11" hidden="1">
              <a:extLst>
                <a:ext uri="{63B3BB69-23CF-44E3-9099-C40C66FF867C}">
                  <a14:compatExt spid="_x0000_s402443"/>
                </a:ext>
                <a:ext uri="{FF2B5EF4-FFF2-40B4-BE49-F238E27FC236}">
                  <a16:creationId xmlns:a16="http://schemas.microsoft.com/office/drawing/2014/main" id="{00000000-0008-0000-0D00-00000B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editAs="oneCell">
    <xdr:from>
      <xdr:col>9</xdr:col>
      <xdr:colOff>969010</xdr:colOff>
      <xdr:row>0</xdr:row>
      <xdr:rowOff>102870</xdr:rowOff>
    </xdr:from>
    <xdr:to>
      <xdr:col>13</xdr:col>
      <xdr:colOff>3810</xdr:colOff>
      <xdr:row>2</xdr:row>
      <xdr:rowOff>137160</xdr:rowOff>
    </xdr:to>
    <xdr:pic>
      <xdr:nvPicPr>
        <xdr:cNvPr id="13" name="Grafik 3">
          <a:extLst>
            <a:ext uri="{FF2B5EF4-FFF2-40B4-BE49-F238E27FC236}">
              <a16:creationId xmlns:a16="http://schemas.microsoft.com/office/drawing/2014/main" id="{00000000-0008-0000-0D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18710" y="102870"/>
          <a:ext cx="1873250" cy="3771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3</xdr:col>
          <xdr:colOff>47625</xdr:colOff>
          <xdr:row>62</xdr:row>
          <xdr:rowOff>114300</xdr:rowOff>
        </xdr:from>
        <xdr:to>
          <xdr:col>5</xdr:col>
          <xdr:colOff>457200</xdr:colOff>
          <xdr:row>64</xdr:row>
          <xdr:rowOff>57150</xdr:rowOff>
        </xdr:to>
        <xdr:sp macro="" textlink="">
          <xdr:nvSpPr>
            <xdr:cNvPr id="402445" name="Check Box 13" hidden="1">
              <a:extLst>
                <a:ext uri="{63B3BB69-23CF-44E3-9099-C40C66FF867C}">
                  <a14:compatExt spid="_x0000_s402445"/>
                </a:ext>
                <a:ext uri="{FF2B5EF4-FFF2-40B4-BE49-F238E27FC236}">
                  <a16:creationId xmlns:a16="http://schemas.microsoft.com/office/drawing/2014/main" id="{00000000-0008-0000-0D00-00000D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952500</xdr:colOff>
          <xdr:row>43</xdr:row>
          <xdr:rowOff>0</xdr:rowOff>
        </xdr:from>
        <xdr:to>
          <xdr:col>11</xdr:col>
          <xdr:colOff>571500</xdr:colOff>
          <xdr:row>44</xdr:row>
          <xdr:rowOff>28575</xdr:rowOff>
        </xdr:to>
        <xdr:sp macro="" textlink="">
          <xdr:nvSpPr>
            <xdr:cNvPr id="402446" name="Check Box 14" hidden="1">
              <a:extLst>
                <a:ext uri="{63B3BB69-23CF-44E3-9099-C40C66FF867C}">
                  <a14:compatExt spid="_x0000_s402446"/>
                </a:ext>
                <a:ext uri="{FF2B5EF4-FFF2-40B4-BE49-F238E27FC236}">
                  <a16:creationId xmlns:a16="http://schemas.microsoft.com/office/drawing/2014/main" id="{00000000-0008-0000-0D00-00000E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34</xdr:row>
          <xdr:rowOff>57150</xdr:rowOff>
        </xdr:from>
        <xdr:to>
          <xdr:col>11</xdr:col>
          <xdr:colOff>609600</xdr:colOff>
          <xdr:row>36</xdr:row>
          <xdr:rowOff>57150</xdr:rowOff>
        </xdr:to>
        <xdr:sp macro="" textlink="">
          <xdr:nvSpPr>
            <xdr:cNvPr id="402447" name="Check Box 15" hidden="1">
              <a:extLst>
                <a:ext uri="{63B3BB69-23CF-44E3-9099-C40C66FF867C}">
                  <a14:compatExt spid="_x0000_s402447"/>
                </a:ext>
                <a:ext uri="{FF2B5EF4-FFF2-40B4-BE49-F238E27FC236}">
                  <a16:creationId xmlns:a16="http://schemas.microsoft.com/office/drawing/2014/main" id="{00000000-0008-0000-0D00-00000F24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8</xdr:col>
      <xdr:colOff>1130300</xdr:colOff>
      <xdr:row>0</xdr:row>
      <xdr:rowOff>116205</xdr:rowOff>
    </xdr:from>
    <xdr:to>
      <xdr:col>11</xdr:col>
      <xdr:colOff>165100</xdr:colOff>
      <xdr:row>2</xdr:row>
      <xdr:rowOff>74930</xdr:rowOff>
    </xdr:to>
    <xdr:pic>
      <xdr:nvPicPr>
        <xdr:cNvPr id="3" name="Grafik 3">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02175" y="116205"/>
          <a:ext cx="1749425"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266700</xdr:colOff>
          <xdr:row>45</xdr:row>
          <xdr:rowOff>104775</xdr:rowOff>
        </xdr:from>
        <xdr:to>
          <xdr:col>10</xdr:col>
          <xdr:colOff>742950</xdr:colOff>
          <xdr:row>47</xdr:row>
          <xdr:rowOff>19050</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0E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76200</xdr:colOff>
          <xdr:row>53</xdr:row>
          <xdr:rowOff>123825</xdr:rowOff>
        </xdr:from>
        <xdr:to>
          <xdr:col>7</xdr:col>
          <xdr:colOff>19050</xdr:colOff>
          <xdr:row>55</xdr:row>
          <xdr:rowOff>38100</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0E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editAs="oneCell">
    <xdr:from>
      <xdr:col>8</xdr:col>
      <xdr:colOff>1130300</xdr:colOff>
      <xdr:row>0</xdr:row>
      <xdr:rowOff>116205</xdr:rowOff>
    </xdr:from>
    <xdr:to>
      <xdr:col>11</xdr:col>
      <xdr:colOff>165100</xdr:colOff>
      <xdr:row>2</xdr:row>
      <xdr:rowOff>74930</xdr:rowOff>
    </xdr:to>
    <xdr:pic>
      <xdr:nvPicPr>
        <xdr:cNvPr id="2" name="Grafik 3">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78400" y="116205"/>
          <a:ext cx="1749425" cy="368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190500</xdr:colOff>
          <xdr:row>45</xdr:row>
          <xdr:rowOff>104775</xdr:rowOff>
        </xdr:from>
        <xdr:to>
          <xdr:col>10</xdr:col>
          <xdr:colOff>666750</xdr:colOff>
          <xdr:row>47</xdr:row>
          <xdr:rowOff>19050</xdr:rowOff>
        </xdr:to>
        <xdr:sp macro="" textlink="">
          <xdr:nvSpPr>
            <xdr:cNvPr id="421889" name="Check Box 1" hidden="1">
              <a:extLst>
                <a:ext uri="{63B3BB69-23CF-44E3-9099-C40C66FF867C}">
                  <a14:compatExt spid="_x0000_s421889"/>
                </a:ext>
                <a:ext uri="{FF2B5EF4-FFF2-40B4-BE49-F238E27FC236}">
                  <a16:creationId xmlns:a16="http://schemas.microsoft.com/office/drawing/2014/main" id="{00000000-0008-0000-0F00-00000170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4</xdr:col>
          <xdr:colOff>76200</xdr:colOff>
          <xdr:row>53</xdr:row>
          <xdr:rowOff>123825</xdr:rowOff>
        </xdr:from>
        <xdr:to>
          <xdr:col>6</xdr:col>
          <xdr:colOff>1133475</xdr:colOff>
          <xdr:row>55</xdr:row>
          <xdr:rowOff>38100</xdr:rowOff>
        </xdr:to>
        <xdr:sp macro="" textlink="">
          <xdr:nvSpPr>
            <xdr:cNvPr id="421890" name="Check Box 2" hidden="1">
              <a:extLst>
                <a:ext uri="{63B3BB69-23CF-44E3-9099-C40C66FF867C}">
                  <a14:compatExt spid="_x0000_s421890"/>
                </a:ext>
                <a:ext uri="{FF2B5EF4-FFF2-40B4-BE49-F238E27FC236}">
                  <a16:creationId xmlns:a16="http://schemas.microsoft.com/office/drawing/2014/main" id="{00000000-0008-0000-0F00-00000270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12</xdr:col>
      <xdr:colOff>533400</xdr:colOff>
      <xdr:row>1</xdr:row>
      <xdr:rowOff>38100</xdr:rowOff>
    </xdr:from>
    <xdr:to>
      <xdr:col>15</xdr:col>
      <xdr:colOff>91440</xdr:colOff>
      <xdr:row>1</xdr:row>
      <xdr:rowOff>419100</xdr:rowOff>
    </xdr:to>
    <xdr:pic>
      <xdr:nvPicPr>
        <xdr:cNvPr id="2" name="Grafik 3">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81600" y="990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10</xdr:col>
      <xdr:colOff>257175</xdr:colOff>
      <xdr:row>1</xdr:row>
      <xdr:rowOff>19050</xdr:rowOff>
    </xdr:from>
    <xdr:to>
      <xdr:col>12</xdr:col>
      <xdr:colOff>739140</xdr:colOff>
      <xdr:row>3</xdr:row>
      <xdr:rowOff>76200</xdr:rowOff>
    </xdr:to>
    <xdr:pic>
      <xdr:nvPicPr>
        <xdr:cNvPr id="3" name="Grafik 3">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72525" y="180975"/>
          <a:ext cx="176784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12</xdr:col>
      <xdr:colOff>533400</xdr:colOff>
      <xdr:row>1</xdr:row>
      <xdr:rowOff>38100</xdr:rowOff>
    </xdr:from>
    <xdr:to>
      <xdr:col>16</xdr:col>
      <xdr:colOff>198120</xdr:colOff>
      <xdr:row>1</xdr:row>
      <xdr:rowOff>419100</xdr:rowOff>
    </xdr:to>
    <xdr:pic>
      <xdr:nvPicPr>
        <xdr:cNvPr id="2" name="Grafik 3">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87240" y="990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7</xdr:col>
      <xdr:colOff>107577</xdr:colOff>
      <xdr:row>0</xdr:row>
      <xdr:rowOff>85612</xdr:rowOff>
    </xdr:from>
    <xdr:to>
      <xdr:col>10</xdr:col>
      <xdr:colOff>518347</xdr:colOff>
      <xdr:row>2</xdr:row>
      <xdr:rowOff>127746</xdr:rowOff>
    </xdr:to>
    <xdr:pic>
      <xdr:nvPicPr>
        <xdr:cNvPr id="2588" name="Grafik 3">
          <a:extLst>
            <a:ext uri="{FF2B5EF4-FFF2-40B4-BE49-F238E27FC236}">
              <a16:creationId xmlns:a16="http://schemas.microsoft.com/office/drawing/2014/main" id="{00000000-0008-0000-1300-00001C0A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74659" y="85612"/>
          <a:ext cx="1873512" cy="400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735330</xdr:colOff>
      <xdr:row>1</xdr:row>
      <xdr:rowOff>175260</xdr:rowOff>
    </xdr:from>
    <xdr:to>
      <xdr:col>12</xdr:col>
      <xdr:colOff>200273</xdr:colOff>
      <xdr:row>1</xdr:row>
      <xdr:rowOff>556260</xdr:rowOff>
    </xdr:to>
    <xdr:pic>
      <xdr:nvPicPr>
        <xdr:cNvPr id="2" name="Grafik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69180" y="232410"/>
          <a:ext cx="1769993"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19050</xdr:colOff>
          <xdr:row>30</xdr:row>
          <xdr:rowOff>171450</xdr:rowOff>
        </xdr:from>
        <xdr:to>
          <xdr:col>11</xdr:col>
          <xdr:colOff>781050</xdr:colOff>
          <xdr:row>32</xdr:row>
          <xdr:rowOff>47625</xdr:rowOff>
        </xdr:to>
        <xdr:sp macro="" textlink="">
          <xdr:nvSpPr>
            <xdr:cNvPr id="377861" name="Check Box 5" hidden="1">
              <a:extLst>
                <a:ext uri="{63B3BB69-23CF-44E3-9099-C40C66FF867C}">
                  <a14:compatExt spid="_x0000_s377861"/>
                </a:ext>
                <a:ext uri="{FF2B5EF4-FFF2-40B4-BE49-F238E27FC236}">
                  <a16:creationId xmlns:a16="http://schemas.microsoft.com/office/drawing/2014/main" id="{00000000-0008-0000-0200-000005C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editAs="oneCell">
    <xdr:from>
      <xdr:col>13</xdr:col>
      <xdr:colOff>167640</xdr:colOff>
      <xdr:row>1</xdr:row>
      <xdr:rowOff>15240</xdr:rowOff>
    </xdr:from>
    <xdr:to>
      <xdr:col>19</xdr:col>
      <xdr:colOff>129540</xdr:colOff>
      <xdr:row>1</xdr:row>
      <xdr:rowOff>396240</xdr:rowOff>
    </xdr:to>
    <xdr:pic>
      <xdr:nvPicPr>
        <xdr:cNvPr id="4" name="Grafik 3">
          <a:extLst>
            <a:ext uri="{FF2B5EF4-FFF2-40B4-BE49-F238E27FC236}">
              <a16:creationId xmlns:a16="http://schemas.microsoft.com/office/drawing/2014/main" id="{00000000-0008-0000-14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54780" y="21336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13</xdr:col>
      <xdr:colOff>281940</xdr:colOff>
      <xdr:row>1</xdr:row>
      <xdr:rowOff>7620</xdr:rowOff>
    </xdr:from>
    <xdr:to>
      <xdr:col>18</xdr:col>
      <xdr:colOff>228600</xdr:colOff>
      <xdr:row>1</xdr:row>
      <xdr:rowOff>388620</xdr:rowOff>
    </xdr:to>
    <xdr:pic>
      <xdr:nvPicPr>
        <xdr:cNvPr id="6" name="Grafik 3">
          <a:extLst>
            <a:ext uri="{FF2B5EF4-FFF2-40B4-BE49-F238E27FC236}">
              <a16:creationId xmlns:a16="http://schemas.microsoft.com/office/drawing/2014/main" id="{00000000-0008-0000-15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06240" y="18288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13</xdr:col>
      <xdr:colOff>274320</xdr:colOff>
      <xdr:row>1</xdr:row>
      <xdr:rowOff>15240</xdr:rowOff>
    </xdr:from>
    <xdr:to>
      <xdr:col>18</xdr:col>
      <xdr:colOff>163830</xdr:colOff>
      <xdr:row>1</xdr:row>
      <xdr:rowOff>396240</xdr:rowOff>
    </xdr:to>
    <xdr:pic>
      <xdr:nvPicPr>
        <xdr:cNvPr id="7" name="Grafik 3">
          <a:extLst>
            <a:ext uri="{FF2B5EF4-FFF2-40B4-BE49-F238E27FC236}">
              <a16:creationId xmlns:a16="http://schemas.microsoft.com/office/drawing/2014/main" id="{00000000-0008-0000-16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83380" y="19050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6</xdr:col>
      <xdr:colOff>1303020</xdr:colOff>
      <xdr:row>7</xdr:row>
      <xdr:rowOff>28588</xdr:rowOff>
    </xdr:from>
    <xdr:to>
      <xdr:col>12</xdr:col>
      <xdr:colOff>506730</xdr:colOff>
      <xdr:row>28</xdr:row>
      <xdr:rowOff>79795</xdr:rowOff>
    </xdr:to>
    <xdr:pic>
      <xdr:nvPicPr>
        <xdr:cNvPr id="3" name="Grafik 2">
          <a:extLst>
            <a:ext uri="{FF2B5EF4-FFF2-40B4-BE49-F238E27FC236}">
              <a16:creationId xmlns:a16="http://schemas.microsoft.com/office/drawing/2014/main" id="{00000000-0008-0000-17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57900" y="1148728"/>
          <a:ext cx="4686300" cy="3411627"/>
        </a:xfrm>
        <a:prstGeom prst="rect">
          <a:avLst/>
        </a:prstGeom>
      </xdr:spPr>
    </xdr:pic>
    <xdr:clientData/>
  </xdr:twoCellAnchor>
  <xdr:twoCellAnchor editAs="oneCell">
    <xdr:from>
      <xdr:col>1</xdr:col>
      <xdr:colOff>121920</xdr:colOff>
      <xdr:row>7</xdr:row>
      <xdr:rowOff>15240</xdr:rowOff>
    </xdr:from>
    <xdr:to>
      <xdr:col>6</xdr:col>
      <xdr:colOff>373745</xdr:colOff>
      <xdr:row>52</xdr:row>
      <xdr:rowOff>15864</xdr:rowOff>
    </xdr:to>
    <xdr:pic>
      <xdr:nvPicPr>
        <xdr:cNvPr id="4" name="Grafik 3">
          <a:extLst>
            <a:ext uri="{FF2B5EF4-FFF2-40B4-BE49-F238E27FC236}">
              <a16:creationId xmlns:a16="http://schemas.microsoft.com/office/drawing/2014/main" id="{00000000-0008-0000-1700-000004000000}"/>
            </a:ext>
          </a:extLst>
        </xdr:cNvPr>
        <xdr:cNvPicPr>
          <a:picLocks noChangeAspect="1"/>
        </xdr:cNvPicPr>
      </xdr:nvPicPr>
      <xdr:blipFill>
        <a:blip xmlns:r="http://schemas.openxmlformats.org/officeDocument/2006/relationships" r:embed="rId2"/>
        <a:stretch>
          <a:fillRect/>
        </a:stretch>
      </xdr:blipFill>
      <xdr:spPr>
        <a:xfrm>
          <a:off x="914400" y="1135380"/>
          <a:ext cx="4214225" cy="7201524"/>
        </a:xfrm>
        <a:prstGeom prst="rect">
          <a:avLst/>
        </a:prstGeom>
      </xdr:spPr>
    </xdr:pic>
    <xdr:clientData/>
  </xdr:twoCellAnchor>
  <xdr:twoCellAnchor editAs="oneCell">
    <xdr:from>
      <xdr:col>0</xdr:col>
      <xdr:colOff>754380</xdr:colOff>
      <xdr:row>57</xdr:row>
      <xdr:rowOff>144780</xdr:rowOff>
    </xdr:from>
    <xdr:to>
      <xdr:col>6</xdr:col>
      <xdr:colOff>922447</xdr:colOff>
      <xdr:row>80</xdr:row>
      <xdr:rowOff>53651</xdr:rowOff>
    </xdr:to>
    <xdr:pic>
      <xdr:nvPicPr>
        <xdr:cNvPr id="5" name="Grafik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3"/>
        <a:stretch>
          <a:fillRect/>
        </a:stretch>
      </xdr:blipFill>
      <xdr:spPr>
        <a:xfrm>
          <a:off x="754380" y="9265920"/>
          <a:ext cx="4922947" cy="358933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813435</xdr:colOff>
      <xdr:row>1</xdr:row>
      <xdr:rowOff>194310</xdr:rowOff>
    </xdr:from>
    <xdr:to>
      <xdr:col>11</xdr:col>
      <xdr:colOff>203835</xdr:colOff>
      <xdr:row>2</xdr:row>
      <xdr:rowOff>3810</xdr:rowOff>
    </xdr:to>
    <xdr:pic>
      <xdr:nvPicPr>
        <xdr:cNvPr id="5" name="Grafik 3">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3435" y="356235"/>
          <a:ext cx="17621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744855</xdr:colOff>
      <xdr:row>1</xdr:row>
      <xdr:rowOff>196215</xdr:rowOff>
    </xdr:from>
    <xdr:to>
      <xdr:col>12</xdr:col>
      <xdr:colOff>116205</xdr:colOff>
      <xdr:row>2</xdr:row>
      <xdr:rowOff>5715</xdr:rowOff>
    </xdr:to>
    <xdr:pic>
      <xdr:nvPicPr>
        <xdr:cNvPr id="2" name="Grafik 3">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26305" y="253365"/>
          <a:ext cx="17716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342900</xdr:colOff>
          <xdr:row>30</xdr:row>
          <xdr:rowOff>133350</xdr:rowOff>
        </xdr:from>
        <xdr:to>
          <xdr:col>11</xdr:col>
          <xdr:colOff>809625</xdr:colOff>
          <xdr:row>32</xdr:row>
          <xdr:rowOff>57150</xdr:rowOff>
        </xdr:to>
        <xdr:sp macro="" textlink="">
          <xdr:nvSpPr>
            <xdr:cNvPr id="382983" name="Check Box 7" hidden="1">
              <a:extLst>
                <a:ext uri="{63B3BB69-23CF-44E3-9099-C40C66FF867C}">
                  <a14:compatExt spid="_x0000_s382983"/>
                </a:ext>
                <a:ext uri="{FF2B5EF4-FFF2-40B4-BE49-F238E27FC236}">
                  <a16:creationId xmlns:a16="http://schemas.microsoft.com/office/drawing/2014/main" id="{00000000-0008-0000-0400-000007D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8</xdr:col>
      <xdr:colOff>817245</xdr:colOff>
      <xdr:row>1</xdr:row>
      <xdr:rowOff>205740</xdr:rowOff>
    </xdr:from>
    <xdr:to>
      <xdr:col>11</xdr:col>
      <xdr:colOff>133799</xdr:colOff>
      <xdr:row>2</xdr:row>
      <xdr:rowOff>15240</xdr:rowOff>
    </xdr:to>
    <xdr:pic>
      <xdr:nvPicPr>
        <xdr:cNvPr id="2" name="Grafik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3895" y="262890"/>
          <a:ext cx="1764479"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702945</xdr:colOff>
      <xdr:row>1</xdr:row>
      <xdr:rowOff>171450</xdr:rowOff>
    </xdr:from>
    <xdr:to>
      <xdr:col>13</xdr:col>
      <xdr:colOff>0</xdr:colOff>
      <xdr:row>1</xdr:row>
      <xdr:rowOff>552450</xdr:rowOff>
    </xdr:to>
    <xdr:pic>
      <xdr:nvPicPr>
        <xdr:cNvPr id="2" name="Grafik 3">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70095" y="228600"/>
          <a:ext cx="176403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8</xdr:col>
          <xdr:colOff>142875</xdr:colOff>
          <xdr:row>32</xdr:row>
          <xdr:rowOff>114300</xdr:rowOff>
        </xdr:from>
        <xdr:to>
          <xdr:col>11</xdr:col>
          <xdr:colOff>742950</xdr:colOff>
          <xdr:row>34</xdr:row>
          <xdr:rowOff>28575</xdr:rowOff>
        </xdr:to>
        <xdr:sp macro="" textlink="">
          <xdr:nvSpPr>
            <xdr:cNvPr id="385028" name="Check Box 4" hidden="1">
              <a:extLst>
                <a:ext uri="{63B3BB69-23CF-44E3-9099-C40C66FF867C}">
                  <a14:compatExt spid="_x0000_s385028"/>
                </a:ext>
                <a:ext uri="{FF2B5EF4-FFF2-40B4-BE49-F238E27FC236}">
                  <a16:creationId xmlns:a16="http://schemas.microsoft.com/office/drawing/2014/main" id="{00000000-0008-0000-0600-000004E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8</xdr:col>
      <xdr:colOff>571500</xdr:colOff>
      <xdr:row>1</xdr:row>
      <xdr:rowOff>198120</xdr:rowOff>
    </xdr:from>
    <xdr:to>
      <xdr:col>11</xdr:col>
      <xdr:colOff>53340</xdr:colOff>
      <xdr:row>2</xdr:row>
      <xdr:rowOff>7620</xdr:rowOff>
    </xdr:to>
    <xdr:pic>
      <xdr:nvPicPr>
        <xdr:cNvPr id="5" name="Grafik 3">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88180" y="358140"/>
          <a:ext cx="1828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8</xdr:col>
      <xdr:colOff>830580</xdr:colOff>
      <xdr:row>1</xdr:row>
      <xdr:rowOff>163830</xdr:rowOff>
    </xdr:from>
    <xdr:to>
      <xdr:col>12</xdr:col>
      <xdr:colOff>28350</xdr:colOff>
      <xdr:row>1</xdr:row>
      <xdr:rowOff>544830</xdr:rowOff>
    </xdr:to>
    <xdr:pic>
      <xdr:nvPicPr>
        <xdr:cNvPr id="2" name="Grafik 3">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97705" y="220980"/>
          <a:ext cx="176952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4</xdr:col>
          <xdr:colOff>28575</xdr:colOff>
          <xdr:row>36</xdr:row>
          <xdr:rowOff>123825</xdr:rowOff>
        </xdr:from>
        <xdr:to>
          <xdr:col>6</xdr:col>
          <xdr:colOff>219075</xdr:colOff>
          <xdr:row>38</xdr:row>
          <xdr:rowOff>38100</xdr:rowOff>
        </xdr:to>
        <xdr:sp macro="" textlink="">
          <xdr:nvSpPr>
            <xdr:cNvPr id="387077" name="Check Box 5" hidden="1">
              <a:extLst>
                <a:ext uri="{63B3BB69-23CF-44E3-9099-C40C66FF867C}">
                  <a14:compatExt spid="_x0000_s387077"/>
                </a:ext>
                <a:ext uri="{FF2B5EF4-FFF2-40B4-BE49-F238E27FC236}">
                  <a16:creationId xmlns:a16="http://schemas.microsoft.com/office/drawing/2014/main" id="{00000000-0008-0000-0800-000005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38</xdr:row>
          <xdr:rowOff>95250</xdr:rowOff>
        </xdr:from>
        <xdr:to>
          <xdr:col>8</xdr:col>
          <xdr:colOff>304800</xdr:colOff>
          <xdr:row>40</xdr:row>
          <xdr:rowOff>57150</xdr:rowOff>
        </xdr:to>
        <xdr:sp macro="" textlink="">
          <xdr:nvSpPr>
            <xdr:cNvPr id="387078" name="Check Box 6" hidden="1">
              <a:extLst>
                <a:ext uri="{63B3BB69-23CF-44E3-9099-C40C66FF867C}">
                  <a14:compatExt spid="_x0000_s387078"/>
                </a:ext>
                <a:ext uri="{FF2B5EF4-FFF2-40B4-BE49-F238E27FC236}">
                  <a16:creationId xmlns:a16="http://schemas.microsoft.com/office/drawing/2014/main" id="{00000000-0008-0000-0800-000006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36</xdr:row>
          <xdr:rowOff>123825</xdr:rowOff>
        </xdr:from>
        <xdr:to>
          <xdr:col>8</xdr:col>
          <xdr:colOff>723900</xdr:colOff>
          <xdr:row>38</xdr:row>
          <xdr:rowOff>38100</xdr:rowOff>
        </xdr:to>
        <xdr:sp macro="" textlink="">
          <xdr:nvSpPr>
            <xdr:cNvPr id="387079" name="Check Box 7" hidden="1">
              <a:extLst>
                <a:ext uri="{63B3BB69-23CF-44E3-9099-C40C66FF867C}">
                  <a14:compatExt spid="_x0000_s387079"/>
                </a:ext>
                <a:ext uri="{FF2B5EF4-FFF2-40B4-BE49-F238E27FC236}">
                  <a16:creationId xmlns:a16="http://schemas.microsoft.com/office/drawing/2014/main" id="{00000000-0008-0000-0800-000007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38</xdr:row>
          <xdr:rowOff>95250</xdr:rowOff>
        </xdr:from>
        <xdr:to>
          <xdr:col>6</xdr:col>
          <xdr:colOff>114300</xdr:colOff>
          <xdr:row>40</xdr:row>
          <xdr:rowOff>57150</xdr:rowOff>
        </xdr:to>
        <xdr:sp macro="" textlink="">
          <xdr:nvSpPr>
            <xdr:cNvPr id="387080" name="Check Box 8" hidden="1">
              <a:extLst>
                <a:ext uri="{63B3BB69-23CF-44E3-9099-C40C66FF867C}">
                  <a14:compatExt spid="_x0000_s387080"/>
                </a:ext>
                <a:ext uri="{FF2B5EF4-FFF2-40B4-BE49-F238E27FC236}">
                  <a16:creationId xmlns:a16="http://schemas.microsoft.com/office/drawing/2014/main" id="{00000000-0008-0000-0800-000008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36</xdr:row>
          <xdr:rowOff>123825</xdr:rowOff>
        </xdr:from>
        <xdr:to>
          <xdr:col>12</xdr:col>
          <xdr:colOff>19050</xdr:colOff>
          <xdr:row>38</xdr:row>
          <xdr:rowOff>38100</xdr:rowOff>
        </xdr:to>
        <xdr:sp macro="" textlink="">
          <xdr:nvSpPr>
            <xdr:cNvPr id="387081" name="Check Box 9" hidden="1">
              <a:extLst>
                <a:ext uri="{63B3BB69-23CF-44E3-9099-C40C66FF867C}">
                  <a14:compatExt spid="_x0000_s387081"/>
                </a:ext>
                <a:ext uri="{FF2B5EF4-FFF2-40B4-BE49-F238E27FC236}">
                  <a16:creationId xmlns:a16="http://schemas.microsoft.com/office/drawing/2014/main" id="{00000000-0008-0000-0800-000009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409575</xdr:colOff>
          <xdr:row>38</xdr:row>
          <xdr:rowOff>114300</xdr:rowOff>
        </xdr:from>
        <xdr:to>
          <xdr:col>12</xdr:col>
          <xdr:colOff>66675</xdr:colOff>
          <xdr:row>40</xdr:row>
          <xdr:rowOff>76200</xdr:rowOff>
        </xdr:to>
        <xdr:sp macro="" textlink="">
          <xdr:nvSpPr>
            <xdr:cNvPr id="387096" name="Check Box 24" hidden="1">
              <a:extLst>
                <a:ext uri="{63B3BB69-23CF-44E3-9099-C40C66FF867C}">
                  <a14:compatExt spid="_x0000_s387096"/>
                </a:ext>
                <a:ext uri="{FF2B5EF4-FFF2-40B4-BE49-F238E27FC236}">
                  <a16:creationId xmlns:a16="http://schemas.microsoft.com/office/drawing/2014/main" id="{00000000-0008-0000-0800-000018E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9</xdr:col>
      <xdr:colOff>579120</xdr:colOff>
      <xdr:row>1</xdr:row>
      <xdr:rowOff>228600</xdr:rowOff>
    </xdr:from>
    <xdr:to>
      <xdr:col>12</xdr:col>
      <xdr:colOff>114300</xdr:colOff>
      <xdr:row>2</xdr:row>
      <xdr:rowOff>38100</xdr:rowOff>
    </xdr:to>
    <xdr:pic>
      <xdr:nvPicPr>
        <xdr:cNvPr id="2" name="Grafik 3">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6270" y="285750"/>
          <a:ext cx="176403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absolute">
        <xdr:from>
          <xdr:col>3</xdr:col>
          <xdr:colOff>209550</xdr:colOff>
          <xdr:row>32</xdr:row>
          <xdr:rowOff>38100</xdr:rowOff>
        </xdr:from>
        <xdr:to>
          <xdr:col>6</xdr:col>
          <xdr:colOff>771525</xdr:colOff>
          <xdr:row>34</xdr:row>
          <xdr:rowOff>19050</xdr:rowOff>
        </xdr:to>
        <xdr:sp macro="" textlink="">
          <xdr:nvSpPr>
            <xdr:cNvPr id="462849" name="Check Box 1" hidden="1">
              <a:extLst>
                <a:ext uri="{63B3BB69-23CF-44E3-9099-C40C66FF867C}">
                  <a14:compatExt spid="_x0000_s462849"/>
                </a:ext>
                <a:ext uri="{FF2B5EF4-FFF2-40B4-BE49-F238E27FC236}">
                  <a16:creationId xmlns:a16="http://schemas.microsoft.com/office/drawing/2014/main" id="{00000000-0008-0000-0900-0000011007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200025</xdr:colOff>
          <xdr:row>36</xdr:row>
          <xdr:rowOff>47625</xdr:rowOff>
        </xdr:from>
        <xdr:to>
          <xdr:col>5</xdr:col>
          <xdr:colOff>180975</xdr:colOff>
          <xdr:row>38</xdr:row>
          <xdr:rowOff>19050</xdr:rowOff>
        </xdr:to>
        <xdr:sp macro="" textlink="">
          <xdr:nvSpPr>
            <xdr:cNvPr id="462852" name="Check Box 4" hidden="1">
              <a:extLst>
                <a:ext uri="{63B3BB69-23CF-44E3-9099-C40C66FF867C}">
                  <a14:compatExt spid="_x0000_s462852"/>
                </a:ext>
                <a:ext uri="{FF2B5EF4-FFF2-40B4-BE49-F238E27FC236}">
                  <a16:creationId xmlns:a16="http://schemas.microsoft.com/office/drawing/2014/main" id="{00000000-0008-0000-0900-0000041007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absolute">
        <xdr:from>
          <xdr:col>3</xdr:col>
          <xdr:colOff>200025</xdr:colOff>
          <xdr:row>34</xdr:row>
          <xdr:rowOff>19050</xdr:rowOff>
        </xdr:from>
        <xdr:to>
          <xdr:col>5</xdr:col>
          <xdr:colOff>409575</xdr:colOff>
          <xdr:row>36</xdr:row>
          <xdr:rowOff>28575</xdr:rowOff>
        </xdr:to>
        <xdr:sp macro="" textlink="">
          <xdr:nvSpPr>
            <xdr:cNvPr id="462853" name="Check Box 5" hidden="1">
              <a:extLst>
                <a:ext uri="{63B3BB69-23CF-44E3-9099-C40C66FF867C}">
                  <a14:compatExt spid="_x0000_s462853"/>
                </a:ext>
                <a:ext uri="{FF2B5EF4-FFF2-40B4-BE49-F238E27FC236}">
                  <a16:creationId xmlns:a16="http://schemas.microsoft.com/office/drawing/2014/main" id="{00000000-0008-0000-0900-0000051007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10.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1.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7.vml"/><Relationship Id="rId7" Type="http://schemas.openxmlformats.org/officeDocument/2006/relationships/ctrlProp" Target="../ctrlProps/ctrlProp18.xml"/><Relationship Id="rId12" Type="http://schemas.openxmlformats.org/officeDocument/2006/relationships/ctrlProp" Target="../ctrlProps/ctrlProp23.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3.bin"/><Relationship Id="rId5" Type="http://schemas.openxmlformats.org/officeDocument/2006/relationships/ctrlProp" Target="../ctrlProps/ctrlProp26.xml"/><Relationship Id="rId4"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9.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13.xml"/><Relationship Id="rId1" Type="http://schemas.openxmlformats.org/officeDocument/2006/relationships/printerSettings" Target="../printerSettings/printerSettings14.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4.xml"/><Relationship Id="rId1" Type="http://schemas.openxmlformats.org/officeDocument/2006/relationships/printerSettings" Target="../printerSettings/printerSettings15.bin"/><Relationship Id="rId5" Type="http://schemas.openxmlformats.org/officeDocument/2006/relationships/ctrlProp" Target="../ctrlProps/ctrlProp39.xml"/><Relationship Id="rId4"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5.xml"/><Relationship Id="rId1" Type="http://schemas.openxmlformats.org/officeDocument/2006/relationships/printerSettings" Target="../printerSettings/printerSettings16.bin"/><Relationship Id="rId5" Type="http://schemas.openxmlformats.org/officeDocument/2006/relationships/ctrlProp" Target="../ctrlProps/ctrlProp41.xml"/><Relationship Id="rId4" Type="http://schemas.openxmlformats.org/officeDocument/2006/relationships/ctrlProp" Target="../ctrlProps/ctrlProp40.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1.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3.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2.xml"/><Relationship Id="rId1" Type="http://schemas.openxmlformats.org/officeDocument/2006/relationships/printerSettings" Target="../printerSettings/printerSettings23.bin"/><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16.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trlProp" Target="../ctrlProps/ctrlProp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8.xml"/><Relationship Id="rId3" Type="http://schemas.openxmlformats.org/officeDocument/2006/relationships/vmlDrawing" Target="../drawings/vmlDrawing4.vml"/><Relationship Id="rId7" Type="http://schemas.openxmlformats.org/officeDocument/2006/relationships/ctrlProp" Target="../ctrlProps/ctrlProp7.xml"/><Relationship Id="rId2" Type="http://schemas.openxmlformats.org/officeDocument/2006/relationships/drawing" Target="../drawings/drawing8.xml"/><Relationship Id="rId1" Type="http://schemas.openxmlformats.org/officeDocument/2006/relationships/printerSettings" Target="../printerSettings/printerSettings9.bin"/><Relationship Id="rId6" Type="http://schemas.openxmlformats.org/officeDocument/2006/relationships/ctrlProp" Target="../ctrlProps/ctrlProp6.xml"/><Relationship Id="rId5" Type="http://schemas.openxmlformats.org/officeDocument/2006/relationships/ctrlProp" Target="../ctrlProps/ctrlProp5.xml"/><Relationship Id="rId4" Type="http://schemas.openxmlformats.org/officeDocument/2006/relationships/ctrlProp" Target="../ctrlProps/ctrlProp4.xml"/><Relationship Id="rId9" Type="http://schemas.openxmlformats.org/officeDocument/2006/relationships/ctrlProp" Target="../ctrlProps/ctrlProp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FFFF00"/>
  </sheetPr>
  <dimension ref="A1:U189"/>
  <sheetViews>
    <sheetView topLeftCell="A13" workbookViewId="0">
      <selection activeCell="D45" sqref="D45"/>
    </sheetView>
  </sheetViews>
  <sheetFormatPr baseColWidth="10" defaultRowHeight="12.75" x14ac:dyDescent="0.2"/>
  <cols>
    <col min="1" max="16384" width="11.42578125" style="91"/>
  </cols>
  <sheetData>
    <row r="1" spans="1:21" ht="15" x14ac:dyDescent="0.2">
      <c r="A1" s="930"/>
      <c r="B1" s="930"/>
      <c r="C1" s="930"/>
      <c r="D1" s="930"/>
      <c r="E1" s="930"/>
      <c r="F1" s="930"/>
      <c r="G1" s="930"/>
      <c r="H1" s="930"/>
      <c r="I1" s="930"/>
      <c r="J1" s="930"/>
      <c r="K1" s="930"/>
      <c r="L1" s="930"/>
      <c r="M1" s="930"/>
      <c r="N1" s="930"/>
      <c r="O1" s="930"/>
      <c r="P1" s="930"/>
      <c r="Q1" s="930"/>
      <c r="R1" s="930"/>
      <c r="S1" s="930"/>
      <c r="T1" s="930"/>
      <c r="U1" s="930"/>
    </row>
    <row r="2" spans="1:21" ht="15" x14ac:dyDescent="0.2">
      <c r="A2" s="930"/>
      <c r="B2" s="930" t="s">
        <v>1991</v>
      </c>
      <c r="C2" s="930"/>
      <c r="D2" s="930"/>
      <c r="E2" s="930"/>
      <c r="F2" s="930"/>
      <c r="G2" s="930"/>
      <c r="H2" s="930"/>
      <c r="I2" s="930"/>
      <c r="J2" s="930"/>
      <c r="K2" s="930"/>
      <c r="L2" s="930"/>
      <c r="M2" s="930"/>
      <c r="N2" s="930"/>
      <c r="O2" s="930"/>
      <c r="P2" s="930"/>
      <c r="Q2" s="930"/>
      <c r="R2" s="930"/>
      <c r="S2" s="930"/>
      <c r="T2" s="930"/>
      <c r="U2" s="930"/>
    </row>
    <row r="3" spans="1:21" ht="15" x14ac:dyDescent="0.2">
      <c r="A3" s="930"/>
      <c r="B3" s="930"/>
      <c r="C3" s="930"/>
      <c r="D3" s="930"/>
      <c r="E3" s="930"/>
      <c r="F3" s="930"/>
      <c r="G3" s="930"/>
      <c r="H3" s="930"/>
      <c r="I3" s="930"/>
      <c r="J3" s="930"/>
      <c r="K3" s="930"/>
      <c r="L3" s="930"/>
      <c r="M3" s="930"/>
      <c r="N3" s="930"/>
      <c r="O3" s="930"/>
      <c r="P3" s="930"/>
      <c r="Q3" s="930"/>
      <c r="R3" s="930"/>
      <c r="S3" s="930"/>
      <c r="T3" s="930"/>
      <c r="U3" s="930"/>
    </row>
    <row r="4" spans="1:21" ht="15" x14ac:dyDescent="0.2">
      <c r="A4" s="930"/>
      <c r="B4" s="272" t="s">
        <v>1993</v>
      </c>
      <c r="C4" s="244"/>
      <c r="D4" s="244"/>
      <c r="E4" s="244"/>
      <c r="F4" s="930"/>
      <c r="G4" s="930"/>
      <c r="H4" s="930"/>
      <c r="I4" s="930"/>
      <c r="J4" s="930"/>
      <c r="K4" s="930"/>
      <c r="L4" s="930"/>
      <c r="M4" s="930"/>
      <c r="N4" s="930"/>
      <c r="O4" s="930"/>
      <c r="P4" s="930"/>
      <c r="Q4" s="930"/>
      <c r="R4" s="930"/>
      <c r="S4" s="930"/>
      <c r="T4" s="930"/>
      <c r="U4" s="930"/>
    </row>
    <row r="5" spans="1:21" ht="15" x14ac:dyDescent="0.2">
      <c r="A5" s="930"/>
      <c r="B5" s="931" t="s">
        <v>1994</v>
      </c>
      <c r="C5" s="244"/>
      <c r="D5" s="244"/>
      <c r="E5" s="244"/>
      <c r="F5" s="930"/>
      <c r="G5" s="930"/>
      <c r="H5" s="930"/>
      <c r="I5" s="930"/>
      <c r="J5" s="930"/>
      <c r="K5" s="930"/>
      <c r="L5" s="930"/>
      <c r="M5" s="930"/>
      <c r="N5" s="930"/>
      <c r="O5" s="930"/>
      <c r="P5" s="930"/>
      <c r="Q5" s="930"/>
      <c r="R5" s="930"/>
      <c r="S5" s="930"/>
      <c r="T5" s="930"/>
      <c r="U5" s="930"/>
    </row>
    <row r="6" spans="1:21" ht="15" x14ac:dyDescent="0.2">
      <c r="A6" s="930"/>
      <c r="B6" s="931" t="s">
        <v>1995</v>
      </c>
      <c r="C6" s="244"/>
      <c r="D6" s="244"/>
      <c r="E6" s="244"/>
      <c r="F6" s="930"/>
      <c r="G6" s="930"/>
      <c r="H6" s="930"/>
      <c r="I6" s="930"/>
      <c r="J6" s="930"/>
      <c r="K6" s="930"/>
      <c r="L6" s="930"/>
      <c r="M6" s="930"/>
      <c r="N6" s="930"/>
      <c r="O6" s="930"/>
      <c r="P6" s="930"/>
      <c r="Q6" s="930"/>
      <c r="R6" s="930"/>
      <c r="S6" s="930"/>
      <c r="T6" s="930"/>
      <c r="U6" s="930"/>
    </row>
    <row r="7" spans="1:21" ht="15" x14ac:dyDescent="0.2">
      <c r="A7" s="930"/>
      <c r="B7" s="244"/>
      <c r="C7" s="244"/>
      <c r="D7" s="244"/>
      <c r="E7" s="244"/>
      <c r="F7" s="930"/>
      <c r="G7" s="930"/>
      <c r="H7" s="930"/>
      <c r="I7" s="930"/>
      <c r="J7" s="930"/>
      <c r="K7" s="930"/>
      <c r="L7" s="930"/>
      <c r="M7" s="930"/>
      <c r="N7" s="930"/>
      <c r="O7" s="930"/>
      <c r="P7" s="930"/>
      <c r="Q7" s="930"/>
      <c r="R7" s="930"/>
      <c r="S7" s="930"/>
      <c r="T7" s="930"/>
      <c r="U7" s="930"/>
    </row>
    <row r="8" spans="1:21" ht="15" x14ac:dyDescent="0.2">
      <c r="A8" s="930"/>
      <c r="B8" s="272" t="s">
        <v>1992</v>
      </c>
      <c r="C8" s="244"/>
      <c r="D8" s="244"/>
      <c r="E8" s="244"/>
      <c r="F8" s="930"/>
      <c r="G8" s="930"/>
      <c r="H8" s="930"/>
      <c r="I8" s="930"/>
      <c r="J8" s="930"/>
      <c r="K8" s="930"/>
      <c r="L8" s="930"/>
      <c r="M8" s="930"/>
      <c r="N8" s="930"/>
      <c r="O8" s="930"/>
      <c r="P8" s="930"/>
      <c r="Q8" s="930"/>
      <c r="R8" s="930"/>
      <c r="S8" s="930"/>
      <c r="T8" s="930"/>
      <c r="U8" s="930"/>
    </row>
    <row r="9" spans="1:21" ht="15" x14ac:dyDescent="0.2">
      <c r="A9" s="930"/>
      <c r="B9" s="931" t="s">
        <v>1998</v>
      </c>
      <c r="C9" s="244"/>
      <c r="D9" s="244"/>
      <c r="E9" s="244"/>
      <c r="F9" s="930"/>
      <c r="G9" s="930"/>
      <c r="H9" s="930"/>
      <c r="I9" s="930"/>
      <c r="J9" s="930"/>
      <c r="K9" s="930"/>
      <c r="L9" s="930"/>
      <c r="M9" s="930"/>
      <c r="N9" s="930"/>
      <c r="O9" s="930"/>
      <c r="P9" s="930"/>
      <c r="Q9" s="930"/>
      <c r="R9" s="930"/>
      <c r="S9" s="930"/>
      <c r="T9" s="930"/>
      <c r="U9" s="930"/>
    </row>
    <row r="10" spans="1:21" ht="15" x14ac:dyDescent="0.2">
      <c r="A10" s="930"/>
      <c r="B10" s="244"/>
      <c r="C10" s="244"/>
      <c r="D10" s="244"/>
      <c r="E10" s="244"/>
      <c r="F10" s="930"/>
      <c r="G10" s="930"/>
      <c r="H10" s="930"/>
      <c r="I10" s="930"/>
      <c r="J10" s="930"/>
      <c r="K10" s="930"/>
      <c r="L10" s="930"/>
      <c r="M10" s="930"/>
      <c r="N10" s="930"/>
      <c r="O10" s="930"/>
      <c r="P10" s="930"/>
      <c r="Q10" s="930"/>
      <c r="R10" s="930"/>
      <c r="S10" s="930"/>
      <c r="T10" s="930"/>
      <c r="U10" s="930"/>
    </row>
    <row r="11" spans="1:21" ht="15" x14ac:dyDescent="0.2">
      <c r="A11" s="930"/>
      <c r="B11" s="272" t="s">
        <v>1996</v>
      </c>
      <c r="C11" s="244"/>
      <c r="D11" s="244"/>
      <c r="E11" s="244"/>
      <c r="F11" s="930"/>
      <c r="G11" s="930"/>
      <c r="H11" s="930"/>
      <c r="I11" s="930"/>
      <c r="J11" s="930"/>
      <c r="K11" s="930"/>
      <c r="L11" s="930"/>
      <c r="M11" s="930"/>
      <c r="N11" s="930"/>
      <c r="O11" s="930"/>
      <c r="P11" s="930"/>
      <c r="Q11" s="930"/>
      <c r="R11" s="930"/>
      <c r="S11" s="930"/>
      <c r="T11" s="930"/>
      <c r="U11" s="930"/>
    </row>
    <row r="12" spans="1:21" ht="15" x14ac:dyDescent="0.2">
      <c r="A12" s="930"/>
      <c r="B12" s="931" t="s">
        <v>1997</v>
      </c>
      <c r="C12" s="244"/>
      <c r="D12" s="244"/>
      <c r="E12" s="244"/>
      <c r="F12" s="930"/>
      <c r="G12" s="930"/>
      <c r="H12" s="930"/>
      <c r="I12" s="930"/>
      <c r="J12" s="930"/>
      <c r="K12" s="930"/>
      <c r="L12" s="930"/>
      <c r="M12" s="930"/>
      <c r="N12" s="930"/>
      <c r="O12" s="930"/>
      <c r="P12" s="930"/>
      <c r="Q12" s="930"/>
      <c r="R12" s="930"/>
      <c r="S12" s="930"/>
      <c r="T12" s="930"/>
      <c r="U12" s="930"/>
    </row>
    <row r="13" spans="1:21" ht="15" x14ac:dyDescent="0.2">
      <c r="A13" s="930"/>
      <c r="B13" s="244"/>
      <c r="C13" s="244"/>
      <c r="D13" s="244"/>
      <c r="E13" s="244"/>
      <c r="F13" s="930"/>
      <c r="G13" s="930"/>
      <c r="H13" s="930"/>
      <c r="I13" s="930"/>
      <c r="J13" s="930"/>
      <c r="K13" s="930"/>
      <c r="L13" s="930"/>
      <c r="M13" s="930"/>
      <c r="N13" s="930"/>
      <c r="O13" s="930"/>
      <c r="P13" s="930"/>
      <c r="Q13" s="930"/>
      <c r="R13" s="930"/>
      <c r="S13" s="930"/>
      <c r="T13" s="930"/>
      <c r="U13" s="930"/>
    </row>
    <row r="14" spans="1:21" ht="15" x14ac:dyDescent="0.2">
      <c r="A14" s="930"/>
      <c r="B14" s="272" t="s">
        <v>2037</v>
      </c>
      <c r="C14" s="244"/>
      <c r="D14" s="244"/>
      <c r="E14" s="244"/>
      <c r="F14" s="930"/>
      <c r="G14" s="930"/>
      <c r="H14" s="930"/>
      <c r="I14" s="930"/>
      <c r="J14" s="930"/>
      <c r="K14" s="930"/>
      <c r="L14" s="930"/>
      <c r="M14" s="930"/>
      <c r="N14" s="930"/>
      <c r="O14" s="930"/>
      <c r="P14" s="930"/>
      <c r="Q14" s="930"/>
      <c r="R14" s="930"/>
      <c r="S14" s="930"/>
      <c r="T14" s="930"/>
      <c r="U14" s="930"/>
    </row>
    <row r="15" spans="1:21" ht="15" x14ac:dyDescent="0.2">
      <c r="A15" s="930"/>
      <c r="B15" s="244" t="s">
        <v>1999</v>
      </c>
      <c r="C15" s="244"/>
      <c r="D15" s="244"/>
      <c r="E15" s="244"/>
      <c r="F15" s="930"/>
      <c r="G15" s="930"/>
      <c r="H15" s="930"/>
      <c r="I15" s="930"/>
      <c r="J15" s="930"/>
      <c r="K15" s="930"/>
      <c r="L15" s="930"/>
      <c r="M15" s="930"/>
      <c r="N15" s="930"/>
      <c r="O15" s="930"/>
      <c r="P15" s="930"/>
      <c r="Q15" s="930"/>
      <c r="R15" s="930"/>
      <c r="S15" s="930"/>
      <c r="T15" s="930"/>
      <c r="U15" s="930"/>
    </row>
    <row r="16" spans="1:21" ht="15" x14ac:dyDescent="0.2">
      <c r="A16" s="930"/>
      <c r="B16" s="244"/>
      <c r="C16" s="244"/>
      <c r="D16" s="244"/>
      <c r="E16" s="244"/>
      <c r="F16" s="930"/>
      <c r="G16" s="930"/>
      <c r="H16" s="930"/>
      <c r="I16" s="930"/>
      <c r="J16" s="930"/>
      <c r="K16" s="930"/>
      <c r="L16" s="930"/>
      <c r="M16" s="930"/>
      <c r="N16" s="930"/>
      <c r="O16" s="930"/>
      <c r="P16" s="930"/>
      <c r="Q16" s="930"/>
      <c r="R16" s="930"/>
      <c r="S16" s="930"/>
      <c r="T16" s="930"/>
      <c r="U16" s="930"/>
    </row>
    <row r="17" spans="1:21" ht="15" x14ac:dyDescent="0.2">
      <c r="A17" s="930"/>
      <c r="B17" s="272" t="s">
        <v>2053</v>
      </c>
      <c r="C17" s="244"/>
      <c r="D17" s="244"/>
      <c r="E17" s="244"/>
      <c r="F17" s="930"/>
      <c r="G17" s="930"/>
      <c r="H17" s="930"/>
      <c r="I17" s="930"/>
      <c r="J17" s="930"/>
      <c r="K17" s="930"/>
      <c r="L17" s="930"/>
      <c r="M17" s="930"/>
      <c r="N17" s="930"/>
      <c r="O17" s="930"/>
      <c r="P17" s="930"/>
      <c r="Q17" s="930"/>
      <c r="R17" s="930"/>
      <c r="S17" s="930"/>
      <c r="T17" s="930"/>
      <c r="U17" s="930"/>
    </row>
    <row r="18" spans="1:21" ht="15" x14ac:dyDescent="0.2">
      <c r="A18" s="930"/>
      <c r="B18" s="931" t="s">
        <v>2030</v>
      </c>
      <c r="C18" s="244"/>
      <c r="D18" s="244"/>
      <c r="E18" s="244"/>
      <c r="F18" s="930"/>
      <c r="G18" s="930"/>
      <c r="H18" s="930"/>
      <c r="I18" s="930"/>
      <c r="J18" s="930"/>
      <c r="K18" s="930"/>
      <c r="L18" s="930"/>
      <c r="M18" s="930"/>
      <c r="N18" s="930"/>
      <c r="O18" s="930"/>
      <c r="P18" s="930"/>
      <c r="Q18" s="930"/>
      <c r="R18" s="930"/>
      <c r="S18" s="930"/>
      <c r="T18" s="930"/>
      <c r="U18" s="930"/>
    </row>
    <row r="19" spans="1:21" ht="15" x14ac:dyDescent="0.2">
      <c r="A19" s="930"/>
      <c r="B19" s="931" t="s">
        <v>2051</v>
      </c>
      <c r="C19" s="244"/>
      <c r="D19" s="244"/>
      <c r="E19" s="244"/>
      <c r="F19" s="930"/>
      <c r="G19" s="930"/>
      <c r="H19" s="930"/>
      <c r="I19" s="930"/>
      <c r="J19" s="930"/>
      <c r="K19" s="930"/>
      <c r="L19" s="930"/>
      <c r="M19" s="930"/>
      <c r="N19" s="930"/>
      <c r="O19" s="930"/>
      <c r="P19" s="930"/>
      <c r="Q19" s="930"/>
      <c r="R19" s="930"/>
      <c r="S19" s="930"/>
      <c r="T19" s="930"/>
      <c r="U19" s="930"/>
    </row>
    <row r="20" spans="1:21" ht="15" x14ac:dyDescent="0.2">
      <c r="A20" s="930"/>
      <c r="B20" s="931" t="s">
        <v>2026</v>
      </c>
      <c r="C20" s="244"/>
      <c r="D20" s="244"/>
      <c r="E20" s="244"/>
      <c r="F20" s="930"/>
      <c r="G20" s="930"/>
      <c r="H20" s="930"/>
      <c r="I20" s="930"/>
      <c r="J20" s="930"/>
      <c r="K20" s="930"/>
      <c r="L20" s="930"/>
      <c r="M20" s="930"/>
      <c r="N20" s="930"/>
      <c r="O20" s="930"/>
      <c r="P20" s="930"/>
      <c r="Q20" s="930"/>
      <c r="R20" s="930"/>
      <c r="S20" s="930"/>
      <c r="T20" s="930"/>
      <c r="U20" s="930"/>
    </row>
    <row r="21" spans="1:21" ht="15" x14ac:dyDescent="0.2">
      <c r="A21" s="930"/>
      <c r="B21" s="931" t="s">
        <v>2027</v>
      </c>
      <c r="C21" s="244"/>
      <c r="D21" s="244"/>
      <c r="E21" s="244"/>
      <c r="F21" s="930"/>
      <c r="G21" s="930"/>
      <c r="H21" s="930"/>
      <c r="I21" s="930"/>
      <c r="J21" s="930"/>
      <c r="K21" s="930"/>
      <c r="L21" s="930"/>
      <c r="M21" s="930"/>
      <c r="N21" s="930"/>
      <c r="O21" s="930"/>
      <c r="P21" s="930"/>
      <c r="Q21" s="930"/>
      <c r="R21" s="930"/>
      <c r="S21" s="930"/>
      <c r="T21" s="930"/>
      <c r="U21" s="930"/>
    </row>
    <row r="22" spans="1:21" ht="15" x14ac:dyDescent="0.2">
      <c r="A22" s="930"/>
      <c r="B22" s="931" t="s">
        <v>2029</v>
      </c>
      <c r="C22" s="244"/>
      <c r="D22" s="244"/>
      <c r="E22" s="244"/>
      <c r="F22" s="930"/>
      <c r="G22" s="930"/>
      <c r="H22" s="930"/>
      <c r="I22" s="930"/>
      <c r="J22" s="930"/>
      <c r="K22" s="930"/>
      <c r="L22" s="930"/>
      <c r="M22" s="930"/>
      <c r="N22" s="930"/>
      <c r="O22" s="930"/>
      <c r="P22" s="930"/>
      <c r="Q22" s="930"/>
      <c r="R22" s="930"/>
      <c r="S22" s="930"/>
      <c r="T22" s="930"/>
      <c r="U22" s="930"/>
    </row>
    <row r="23" spans="1:21" ht="15" x14ac:dyDescent="0.2">
      <c r="A23" s="930"/>
      <c r="B23" s="931" t="s">
        <v>2028</v>
      </c>
      <c r="C23" s="244"/>
      <c r="D23" s="244"/>
      <c r="E23" s="244"/>
      <c r="F23" s="930"/>
      <c r="G23" s="930"/>
      <c r="H23" s="930"/>
      <c r="I23" s="930"/>
      <c r="J23" s="930"/>
      <c r="K23" s="930"/>
      <c r="L23" s="930"/>
      <c r="M23" s="930"/>
      <c r="N23" s="930"/>
      <c r="O23" s="930"/>
      <c r="P23" s="930"/>
      <c r="Q23" s="930"/>
      <c r="R23" s="930"/>
      <c r="S23" s="930"/>
      <c r="T23" s="930"/>
      <c r="U23" s="930"/>
    </row>
    <row r="24" spans="1:21" ht="15" x14ac:dyDescent="0.2">
      <c r="A24" s="930"/>
      <c r="B24" s="931" t="s">
        <v>2031</v>
      </c>
      <c r="C24" s="244"/>
      <c r="D24" s="244"/>
      <c r="E24" s="244"/>
      <c r="F24" s="930"/>
      <c r="G24" s="930"/>
      <c r="H24" s="930"/>
      <c r="I24" s="930"/>
      <c r="J24" s="930"/>
      <c r="K24" s="930"/>
      <c r="L24" s="930"/>
      <c r="M24" s="930"/>
      <c r="N24" s="930"/>
      <c r="O24" s="930"/>
      <c r="P24" s="930"/>
      <c r="Q24" s="930"/>
      <c r="R24" s="930"/>
      <c r="S24" s="930"/>
      <c r="T24" s="930"/>
      <c r="U24" s="930"/>
    </row>
    <row r="25" spans="1:21" ht="15" x14ac:dyDescent="0.2">
      <c r="A25" s="930"/>
      <c r="B25" s="931" t="s">
        <v>2032</v>
      </c>
      <c r="C25" s="244"/>
      <c r="D25" s="244"/>
      <c r="E25" s="244"/>
      <c r="F25" s="930"/>
      <c r="G25" s="930"/>
      <c r="H25" s="930"/>
      <c r="I25" s="930"/>
      <c r="J25" s="930"/>
      <c r="K25" s="930"/>
      <c r="L25" s="930"/>
      <c r="M25" s="930"/>
      <c r="N25" s="930"/>
      <c r="O25" s="930"/>
      <c r="P25" s="930"/>
      <c r="Q25" s="930"/>
      <c r="R25" s="930"/>
      <c r="S25" s="930"/>
      <c r="T25" s="930"/>
      <c r="U25" s="930"/>
    </row>
    <row r="26" spans="1:21" ht="15" x14ac:dyDescent="0.2">
      <c r="A26" s="930"/>
      <c r="B26" s="931" t="s">
        <v>2033</v>
      </c>
      <c r="C26" s="244"/>
      <c r="D26" s="244"/>
      <c r="E26" s="244"/>
      <c r="F26" s="930"/>
      <c r="G26" s="930"/>
      <c r="H26" s="930"/>
      <c r="I26" s="930"/>
      <c r="J26" s="930"/>
      <c r="K26" s="930"/>
      <c r="L26" s="930"/>
      <c r="M26" s="930"/>
      <c r="N26" s="930"/>
      <c r="O26" s="930"/>
      <c r="P26" s="930"/>
      <c r="Q26" s="930"/>
      <c r="R26" s="930"/>
      <c r="S26" s="930"/>
      <c r="T26" s="930"/>
      <c r="U26" s="930"/>
    </row>
    <row r="27" spans="1:21" ht="15" x14ac:dyDescent="0.2">
      <c r="A27" s="930"/>
      <c r="B27" s="931" t="s">
        <v>2034</v>
      </c>
      <c r="C27" s="244"/>
      <c r="D27" s="244"/>
      <c r="E27" s="244"/>
      <c r="F27" s="930"/>
      <c r="G27" s="930"/>
      <c r="H27" s="930"/>
      <c r="I27" s="930"/>
      <c r="J27" s="930"/>
      <c r="K27" s="930"/>
      <c r="L27" s="930"/>
      <c r="M27" s="930"/>
      <c r="N27" s="930"/>
      <c r="O27" s="930"/>
      <c r="P27" s="930"/>
      <c r="Q27" s="930"/>
      <c r="R27" s="930"/>
      <c r="S27" s="930"/>
      <c r="T27" s="930"/>
      <c r="U27" s="930"/>
    </row>
    <row r="28" spans="1:21" ht="15" x14ac:dyDescent="0.2">
      <c r="A28" s="930"/>
      <c r="B28" s="931" t="s">
        <v>2036</v>
      </c>
      <c r="C28" s="244"/>
      <c r="D28" s="244"/>
      <c r="E28" s="244"/>
      <c r="F28" s="930"/>
      <c r="G28" s="930"/>
      <c r="H28" s="930"/>
      <c r="I28" s="930"/>
      <c r="J28" s="930"/>
      <c r="K28" s="930"/>
      <c r="L28" s="930"/>
      <c r="M28" s="930"/>
      <c r="N28" s="930"/>
      <c r="O28" s="930"/>
      <c r="P28" s="930"/>
      <c r="Q28" s="930"/>
      <c r="R28" s="930"/>
      <c r="S28" s="930"/>
      <c r="T28" s="930"/>
      <c r="U28" s="930"/>
    </row>
    <row r="29" spans="1:21" ht="15" x14ac:dyDescent="0.2">
      <c r="A29" s="930"/>
      <c r="B29" s="931" t="s">
        <v>2035</v>
      </c>
      <c r="C29" s="244"/>
      <c r="D29" s="244"/>
      <c r="E29" s="244"/>
      <c r="F29" s="930"/>
      <c r="G29" s="930"/>
      <c r="H29" s="930"/>
      <c r="I29" s="930"/>
      <c r="J29" s="930"/>
      <c r="K29" s="930"/>
      <c r="L29" s="930"/>
      <c r="M29" s="930"/>
      <c r="N29" s="930"/>
      <c r="O29" s="930"/>
      <c r="P29" s="930"/>
      <c r="Q29" s="930"/>
      <c r="R29" s="930"/>
      <c r="S29" s="930"/>
      <c r="T29" s="930"/>
      <c r="U29" s="930"/>
    </row>
    <row r="30" spans="1:21" ht="15" x14ac:dyDescent="0.2">
      <c r="A30" s="930"/>
      <c r="B30" s="931" t="s">
        <v>2038</v>
      </c>
      <c r="C30" s="244"/>
      <c r="D30" s="244"/>
      <c r="E30" s="244"/>
      <c r="F30" s="930"/>
      <c r="G30" s="930"/>
      <c r="H30" s="930"/>
      <c r="I30" s="930"/>
      <c r="J30" s="930"/>
      <c r="K30" s="930"/>
      <c r="L30" s="930"/>
      <c r="M30" s="930"/>
      <c r="N30" s="930"/>
      <c r="O30" s="930"/>
      <c r="P30" s="930"/>
      <c r="Q30" s="930"/>
      <c r="R30" s="930"/>
      <c r="S30" s="930"/>
      <c r="T30" s="930"/>
      <c r="U30" s="930"/>
    </row>
    <row r="31" spans="1:21" ht="15" x14ac:dyDescent="0.2">
      <c r="A31" s="930"/>
      <c r="B31" s="931" t="s">
        <v>2039</v>
      </c>
      <c r="C31" s="244"/>
      <c r="D31" s="244"/>
      <c r="E31" s="244"/>
      <c r="F31" s="930"/>
      <c r="G31" s="930"/>
      <c r="H31" s="930"/>
      <c r="I31" s="930"/>
      <c r="J31" s="930"/>
      <c r="K31" s="930"/>
      <c r="L31" s="930"/>
      <c r="M31" s="930"/>
      <c r="N31" s="930"/>
      <c r="O31" s="930"/>
      <c r="P31" s="930"/>
      <c r="Q31" s="930"/>
      <c r="R31" s="930"/>
      <c r="S31" s="930"/>
      <c r="T31" s="930"/>
      <c r="U31" s="930"/>
    </row>
    <row r="32" spans="1:21" ht="15" x14ac:dyDescent="0.2">
      <c r="A32" s="930"/>
      <c r="B32" s="931" t="s">
        <v>2040</v>
      </c>
      <c r="C32" s="244"/>
      <c r="D32" s="244"/>
      <c r="E32" s="244"/>
      <c r="F32" s="930"/>
      <c r="G32" s="930"/>
      <c r="H32" s="930"/>
      <c r="I32" s="930"/>
      <c r="J32" s="930"/>
      <c r="K32" s="930"/>
      <c r="L32" s="930"/>
      <c r="M32" s="930"/>
      <c r="N32" s="930"/>
      <c r="O32" s="930"/>
      <c r="P32" s="930"/>
      <c r="Q32" s="930"/>
      <c r="R32" s="930"/>
      <c r="S32" s="930"/>
      <c r="T32" s="930"/>
      <c r="U32" s="930"/>
    </row>
    <row r="33" spans="1:21" ht="15" x14ac:dyDescent="0.2">
      <c r="A33" s="930"/>
      <c r="B33" s="931" t="s">
        <v>2041</v>
      </c>
      <c r="C33" s="244"/>
      <c r="D33" s="244"/>
      <c r="E33" s="244"/>
      <c r="F33" s="930"/>
      <c r="G33" s="930"/>
      <c r="H33" s="930"/>
      <c r="I33" s="930"/>
      <c r="J33" s="930"/>
      <c r="K33" s="930"/>
      <c r="L33" s="930"/>
      <c r="M33" s="930"/>
      <c r="N33" s="930"/>
      <c r="O33" s="930"/>
      <c r="P33" s="930"/>
      <c r="Q33" s="930"/>
      <c r="R33" s="930"/>
      <c r="S33" s="930"/>
      <c r="T33" s="930"/>
      <c r="U33" s="930"/>
    </row>
    <row r="34" spans="1:21" ht="15" x14ac:dyDescent="0.2">
      <c r="A34" s="930"/>
      <c r="B34" s="931" t="s">
        <v>2042</v>
      </c>
      <c r="C34" s="244"/>
      <c r="D34" s="244"/>
      <c r="E34" s="244"/>
      <c r="F34" s="930"/>
      <c r="G34" s="930"/>
      <c r="H34" s="930"/>
      <c r="I34" s="930"/>
      <c r="J34" s="930"/>
      <c r="K34" s="930"/>
      <c r="L34" s="930"/>
      <c r="M34" s="930"/>
      <c r="N34" s="930"/>
      <c r="O34" s="930"/>
      <c r="P34" s="930"/>
      <c r="Q34" s="930"/>
      <c r="R34" s="930"/>
      <c r="S34" s="930"/>
      <c r="T34" s="930"/>
      <c r="U34" s="930"/>
    </row>
    <row r="35" spans="1:21" ht="15" x14ac:dyDescent="0.2">
      <c r="A35" s="930"/>
      <c r="B35" s="931" t="s">
        <v>2043</v>
      </c>
      <c r="C35" s="244"/>
      <c r="D35" s="244"/>
      <c r="E35" s="244"/>
      <c r="F35" s="930"/>
      <c r="G35" s="930"/>
      <c r="H35" s="930"/>
      <c r="I35" s="930"/>
      <c r="J35" s="930"/>
      <c r="K35" s="930"/>
      <c r="L35" s="930"/>
      <c r="M35" s="930"/>
      <c r="N35" s="930"/>
      <c r="O35" s="930"/>
      <c r="P35" s="930"/>
      <c r="Q35" s="930"/>
      <c r="R35" s="930"/>
      <c r="S35" s="930"/>
      <c r="T35" s="930"/>
      <c r="U35" s="930"/>
    </row>
    <row r="36" spans="1:21" ht="15" x14ac:dyDescent="0.2">
      <c r="A36" s="930"/>
      <c r="B36" s="931" t="s">
        <v>2044</v>
      </c>
      <c r="C36" s="244"/>
      <c r="D36" s="244"/>
      <c r="E36" s="244"/>
      <c r="F36" s="930"/>
      <c r="G36" s="930"/>
      <c r="H36" s="930"/>
      <c r="I36" s="930"/>
      <c r="J36" s="930"/>
      <c r="K36" s="930"/>
      <c r="L36" s="930"/>
      <c r="M36" s="930"/>
      <c r="N36" s="930"/>
      <c r="O36" s="930"/>
      <c r="P36" s="930"/>
      <c r="Q36" s="930"/>
      <c r="R36" s="930"/>
      <c r="S36" s="930"/>
      <c r="T36" s="930"/>
      <c r="U36" s="930"/>
    </row>
    <row r="37" spans="1:21" ht="15" x14ac:dyDescent="0.2">
      <c r="A37" s="930"/>
      <c r="B37" s="931" t="s">
        <v>2052</v>
      </c>
      <c r="C37" s="244"/>
      <c r="D37" s="244"/>
      <c r="E37" s="244"/>
      <c r="F37" s="930"/>
      <c r="G37" s="930"/>
      <c r="H37" s="930"/>
      <c r="I37" s="930"/>
      <c r="J37" s="930"/>
      <c r="K37" s="930"/>
      <c r="L37" s="930"/>
      <c r="M37" s="930"/>
      <c r="N37" s="930"/>
      <c r="O37" s="930"/>
      <c r="P37" s="930"/>
      <c r="Q37" s="930"/>
      <c r="R37" s="930"/>
      <c r="S37" s="930"/>
      <c r="T37" s="930"/>
      <c r="U37" s="930"/>
    </row>
    <row r="38" spans="1:21" ht="15" x14ac:dyDescent="0.2">
      <c r="A38" s="930"/>
      <c r="B38" s="931" t="s">
        <v>2059</v>
      </c>
      <c r="C38" s="244"/>
      <c r="D38" s="244"/>
      <c r="E38" s="244"/>
      <c r="F38" s="930"/>
      <c r="G38" s="930"/>
      <c r="H38" s="930"/>
      <c r="I38" s="930"/>
      <c r="J38" s="930"/>
      <c r="K38" s="930"/>
      <c r="L38" s="930"/>
      <c r="M38" s="930"/>
      <c r="N38" s="930"/>
      <c r="O38" s="930"/>
      <c r="P38" s="930"/>
      <c r="Q38" s="930"/>
      <c r="R38" s="930"/>
      <c r="S38" s="930"/>
      <c r="T38" s="930"/>
      <c r="U38" s="930"/>
    </row>
    <row r="39" spans="1:21" ht="15" x14ac:dyDescent="0.2">
      <c r="A39" s="930"/>
      <c r="B39" s="931" t="s">
        <v>2060</v>
      </c>
      <c r="C39" s="244"/>
      <c r="D39" s="244"/>
      <c r="E39" s="244"/>
      <c r="F39" s="930"/>
      <c r="G39" s="930"/>
      <c r="H39" s="930"/>
      <c r="I39" s="930"/>
      <c r="J39" s="930"/>
      <c r="K39" s="930"/>
      <c r="L39" s="930"/>
      <c r="M39" s="930"/>
      <c r="N39" s="930"/>
      <c r="O39" s="930"/>
      <c r="P39" s="930"/>
      <c r="Q39" s="930"/>
      <c r="R39" s="930"/>
      <c r="S39" s="930"/>
      <c r="T39" s="930"/>
      <c r="U39" s="930"/>
    </row>
    <row r="40" spans="1:21" ht="15" x14ac:dyDescent="0.2">
      <c r="A40" s="930"/>
      <c r="B40" s="244"/>
      <c r="C40" s="244"/>
      <c r="D40" s="244"/>
      <c r="E40" s="244"/>
      <c r="F40" s="930"/>
      <c r="G40" s="930"/>
      <c r="H40" s="930"/>
      <c r="I40" s="930"/>
      <c r="J40" s="930"/>
      <c r="K40" s="930"/>
      <c r="L40" s="930"/>
      <c r="M40" s="930"/>
      <c r="N40" s="930"/>
      <c r="O40" s="930"/>
      <c r="P40" s="930"/>
      <c r="Q40" s="930"/>
      <c r="R40" s="930"/>
      <c r="S40" s="930"/>
      <c r="T40" s="930"/>
      <c r="U40" s="930"/>
    </row>
    <row r="41" spans="1:21" ht="15" x14ac:dyDescent="0.2">
      <c r="A41" s="930"/>
      <c r="B41" s="272" t="s">
        <v>2065</v>
      </c>
      <c r="C41" s="244"/>
      <c r="D41" s="244"/>
      <c r="E41" s="244"/>
      <c r="F41" s="930"/>
      <c r="G41" s="930"/>
      <c r="H41" s="930"/>
      <c r="I41" s="930"/>
      <c r="J41" s="930"/>
      <c r="K41" s="930"/>
      <c r="L41" s="930"/>
      <c r="M41" s="930"/>
      <c r="N41" s="930"/>
      <c r="O41" s="930"/>
      <c r="P41" s="930"/>
      <c r="Q41" s="930"/>
      <c r="R41" s="930"/>
      <c r="S41" s="930"/>
      <c r="T41" s="930"/>
      <c r="U41" s="930"/>
    </row>
    <row r="42" spans="1:21" ht="15" x14ac:dyDescent="0.2">
      <c r="A42" s="930"/>
      <c r="B42" s="931" t="s">
        <v>2066</v>
      </c>
      <c r="C42" s="244"/>
      <c r="D42" s="244"/>
      <c r="E42" s="244"/>
      <c r="F42" s="930"/>
      <c r="G42" s="930"/>
      <c r="H42" s="930"/>
      <c r="I42" s="930"/>
      <c r="J42" s="930"/>
      <c r="K42" s="930"/>
      <c r="L42" s="930"/>
      <c r="M42" s="930"/>
      <c r="N42" s="930"/>
      <c r="O42" s="930"/>
      <c r="P42" s="930"/>
      <c r="Q42" s="930"/>
      <c r="R42" s="930"/>
      <c r="S42" s="930"/>
      <c r="T42" s="930"/>
      <c r="U42" s="930"/>
    </row>
    <row r="43" spans="1:21" ht="15" x14ac:dyDescent="0.2">
      <c r="A43" s="930"/>
      <c r="B43" s="931" t="s">
        <v>2067</v>
      </c>
      <c r="C43" s="244"/>
      <c r="D43" s="244"/>
      <c r="E43" s="244"/>
      <c r="F43" s="930"/>
      <c r="G43" s="930"/>
      <c r="H43" s="930"/>
      <c r="I43" s="930"/>
      <c r="J43" s="930"/>
      <c r="K43" s="930"/>
      <c r="L43" s="930"/>
      <c r="M43" s="930"/>
      <c r="N43" s="930"/>
      <c r="O43" s="930"/>
      <c r="P43" s="930"/>
      <c r="Q43" s="930"/>
      <c r="R43" s="930"/>
      <c r="S43" s="930"/>
      <c r="T43" s="930"/>
      <c r="U43" s="930"/>
    </row>
    <row r="44" spans="1:21" ht="15" x14ac:dyDescent="0.2">
      <c r="A44" s="930"/>
      <c r="B44" s="244"/>
      <c r="C44" s="244"/>
      <c r="D44" s="244"/>
      <c r="E44" s="244"/>
      <c r="F44" s="930"/>
      <c r="G44" s="930"/>
      <c r="H44" s="930"/>
      <c r="I44" s="930"/>
      <c r="J44" s="930"/>
      <c r="K44" s="930"/>
      <c r="L44" s="930"/>
      <c r="M44" s="930"/>
      <c r="N44" s="930"/>
      <c r="O44" s="930"/>
      <c r="P44" s="930"/>
      <c r="Q44" s="930"/>
      <c r="R44" s="930"/>
      <c r="S44" s="930"/>
      <c r="T44" s="930"/>
      <c r="U44" s="930"/>
    </row>
    <row r="45" spans="1:21" ht="15" x14ac:dyDescent="0.2">
      <c r="A45" s="930"/>
      <c r="B45" s="244"/>
      <c r="C45" s="244"/>
      <c r="D45" s="244"/>
      <c r="E45" s="244"/>
      <c r="F45" s="930"/>
      <c r="G45" s="930"/>
      <c r="H45" s="930"/>
      <c r="I45" s="930"/>
      <c r="J45" s="930"/>
      <c r="K45" s="930"/>
      <c r="L45" s="930"/>
      <c r="M45" s="930"/>
      <c r="N45" s="930"/>
      <c r="O45" s="930"/>
      <c r="P45" s="930"/>
      <c r="Q45" s="930"/>
      <c r="R45" s="930"/>
      <c r="S45" s="930"/>
      <c r="T45" s="930"/>
      <c r="U45" s="930"/>
    </row>
    <row r="46" spans="1:21" ht="15" x14ac:dyDescent="0.2">
      <c r="A46" s="930"/>
      <c r="B46" s="244"/>
      <c r="C46" s="244"/>
      <c r="D46" s="244"/>
      <c r="E46" s="244"/>
      <c r="F46" s="930"/>
      <c r="G46" s="930"/>
      <c r="H46" s="930"/>
      <c r="I46" s="930"/>
      <c r="J46" s="930"/>
      <c r="K46" s="930"/>
      <c r="L46" s="930"/>
      <c r="M46" s="930"/>
      <c r="N46" s="930"/>
      <c r="O46" s="930"/>
      <c r="P46" s="930"/>
      <c r="Q46" s="930"/>
      <c r="R46" s="930"/>
      <c r="S46" s="930"/>
      <c r="T46" s="930"/>
      <c r="U46" s="930"/>
    </row>
    <row r="47" spans="1:21" ht="15" x14ac:dyDescent="0.2">
      <c r="A47" s="930"/>
      <c r="B47" s="244"/>
      <c r="C47" s="244"/>
      <c r="D47" s="244"/>
      <c r="E47" s="244"/>
      <c r="F47" s="930"/>
      <c r="G47" s="930"/>
      <c r="H47" s="930"/>
      <c r="I47" s="930"/>
      <c r="J47" s="930"/>
      <c r="K47" s="930"/>
      <c r="L47" s="930"/>
      <c r="M47" s="930"/>
      <c r="N47" s="930"/>
      <c r="O47" s="930"/>
      <c r="P47" s="930"/>
      <c r="Q47" s="930"/>
      <c r="R47" s="930"/>
      <c r="S47" s="930"/>
      <c r="T47" s="930"/>
      <c r="U47" s="930"/>
    </row>
    <row r="48" spans="1:21" ht="15" x14ac:dyDescent="0.2">
      <c r="A48" s="930"/>
      <c r="B48" s="244"/>
      <c r="C48" s="244"/>
      <c r="D48" s="244"/>
      <c r="E48" s="244"/>
      <c r="F48" s="930"/>
      <c r="G48" s="930"/>
      <c r="H48" s="930"/>
      <c r="I48" s="930"/>
      <c r="J48" s="930"/>
      <c r="K48" s="930"/>
      <c r="L48" s="930"/>
      <c r="M48" s="930"/>
      <c r="N48" s="930"/>
      <c r="O48" s="930"/>
      <c r="P48" s="930"/>
      <c r="Q48" s="930"/>
      <c r="R48" s="930"/>
      <c r="S48" s="930"/>
      <c r="T48" s="930"/>
      <c r="U48" s="930"/>
    </row>
    <row r="49" spans="1:21" ht="15" x14ac:dyDescent="0.2">
      <c r="A49" s="930"/>
      <c r="B49" s="244"/>
      <c r="C49" s="244"/>
      <c r="D49" s="244"/>
      <c r="E49" s="244"/>
      <c r="F49" s="930"/>
      <c r="G49" s="930"/>
      <c r="H49" s="930"/>
      <c r="I49" s="930"/>
      <c r="J49" s="930"/>
      <c r="K49" s="930"/>
      <c r="L49" s="930"/>
      <c r="M49" s="930"/>
      <c r="N49" s="930"/>
      <c r="O49" s="930"/>
      <c r="P49" s="930"/>
      <c r="Q49" s="930"/>
      <c r="R49" s="930"/>
      <c r="S49" s="930"/>
      <c r="T49" s="930"/>
      <c r="U49" s="930"/>
    </row>
    <row r="50" spans="1:21" ht="15" x14ac:dyDescent="0.2">
      <c r="A50" s="930"/>
      <c r="B50" s="244"/>
      <c r="C50" s="244"/>
      <c r="D50" s="244"/>
      <c r="E50" s="244"/>
      <c r="F50" s="930"/>
      <c r="G50" s="930"/>
      <c r="H50" s="930"/>
      <c r="I50" s="930"/>
      <c r="J50" s="930"/>
      <c r="K50" s="930"/>
      <c r="L50" s="930"/>
      <c r="M50" s="930"/>
      <c r="N50" s="930"/>
      <c r="O50" s="930"/>
      <c r="P50" s="930"/>
      <c r="Q50" s="930"/>
      <c r="R50" s="930"/>
      <c r="S50" s="930"/>
      <c r="T50" s="930"/>
      <c r="U50" s="930"/>
    </row>
    <row r="51" spans="1:21" ht="15" x14ac:dyDescent="0.2">
      <c r="A51" s="930"/>
      <c r="B51" s="244"/>
      <c r="C51" s="244"/>
      <c r="D51" s="244"/>
      <c r="E51" s="244"/>
      <c r="F51" s="930"/>
      <c r="G51" s="930"/>
      <c r="H51" s="930"/>
      <c r="I51" s="930"/>
      <c r="J51" s="930"/>
      <c r="K51" s="930"/>
      <c r="L51" s="930"/>
      <c r="M51" s="930"/>
      <c r="N51" s="930"/>
      <c r="O51" s="930"/>
      <c r="P51" s="930"/>
      <c r="Q51" s="930"/>
      <c r="R51" s="930"/>
      <c r="S51" s="930"/>
      <c r="T51" s="930"/>
      <c r="U51" s="930"/>
    </row>
    <row r="52" spans="1:21" ht="15" x14ac:dyDescent="0.2">
      <c r="A52" s="930"/>
      <c r="B52" s="244"/>
      <c r="C52" s="244"/>
      <c r="D52" s="244"/>
      <c r="E52" s="244"/>
      <c r="F52" s="930"/>
      <c r="G52" s="930"/>
      <c r="H52" s="930"/>
      <c r="I52" s="930"/>
      <c r="J52" s="930"/>
      <c r="K52" s="930"/>
      <c r="L52" s="930"/>
      <c r="M52" s="930"/>
      <c r="N52" s="930"/>
      <c r="O52" s="930"/>
      <c r="P52" s="930"/>
      <c r="Q52" s="930"/>
      <c r="R52" s="930"/>
      <c r="S52" s="930"/>
      <c r="T52" s="930"/>
      <c r="U52" s="930"/>
    </row>
    <row r="53" spans="1:21" ht="15" x14ac:dyDescent="0.2">
      <c r="A53" s="930"/>
      <c r="B53" s="244"/>
      <c r="C53" s="244"/>
      <c r="D53" s="244"/>
      <c r="E53" s="244"/>
      <c r="F53" s="930"/>
      <c r="G53" s="930"/>
      <c r="H53" s="930"/>
      <c r="I53" s="930"/>
      <c r="J53" s="930"/>
      <c r="K53" s="930"/>
      <c r="L53" s="930"/>
      <c r="M53" s="930"/>
      <c r="N53" s="930"/>
      <c r="O53" s="930"/>
      <c r="P53" s="930"/>
      <c r="Q53" s="930"/>
      <c r="R53" s="930"/>
      <c r="S53" s="930"/>
      <c r="T53" s="930"/>
      <c r="U53" s="930"/>
    </row>
    <row r="54" spans="1:21" ht="15" x14ac:dyDescent="0.2">
      <c r="A54" s="930"/>
      <c r="B54" s="244"/>
      <c r="C54" s="244"/>
      <c r="D54" s="244"/>
      <c r="E54" s="244"/>
      <c r="F54" s="930"/>
      <c r="G54" s="930"/>
      <c r="H54" s="930"/>
      <c r="I54" s="930"/>
      <c r="J54" s="930"/>
      <c r="K54" s="930"/>
      <c r="L54" s="930"/>
      <c r="M54" s="930"/>
      <c r="N54" s="930"/>
      <c r="O54" s="930"/>
      <c r="P54" s="930"/>
      <c r="Q54" s="930"/>
      <c r="R54" s="930"/>
      <c r="S54" s="930"/>
      <c r="T54" s="930"/>
      <c r="U54" s="930"/>
    </row>
    <row r="55" spans="1:21" ht="15" x14ac:dyDescent="0.2">
      <c r="A55" s="930"/>
      <c r="B55" s="244"/>
      <c r="C55" s="244"/>
      <c r="D55" s="244"/>
      <c r="E55" s="244"/>
      <c r="F55" s="930"/>
      <c r="G55" s="930"/>
      <c r="H55" s="930"/>
      <c r="I55" s="930"/>
      <c r="J55" s="930"/>
      <c r="K55" s="930"/>
      <c r="L55" s="930"/>
      <c r="M55" s="930"/>
      <c r="N55" s="930"/>
      <c r="O55" s="930"/>
      <c r="P55" s="930"/>
      <c r="Q55" s="930"/>
      <c r="R55" s="930"/>
      <c r="S55" s="930"/>
      <c r="T55" s="930"/>
      <c r="U55" s="930"/>
    </row>
    <row r="56" spans="1:21" ht="15" x14ac:dyDescent="0.2">
      <c r="A56" s="930"/>
      <c r="B56" s="244"/>
      <c r="C56" s="244"/>
      <c r="D56" s="244"/>
      <c r="E56" s="244"/>
      <c r="F56" s="930"/>
      <c r="G56" s="930"/>
      <c r="H56" s="930"/>
      <c r="I56" s="930"/>
      <c r="J56" s="930"/>
      <c r="K56" s="930"/>
      <c r="L56" s="930"/>
      <c r="M56" s="930"/>
      <c r="N56" s="930"/>
      <c r="O56" s="930"/>
      <c r="P56" s="930"/>
      <c r="Q56" s="930"/>
      <c r="R56" s="930"/>
      <c r="S56" s="930"/>
      <c r="T56" s="930"/>
      <c r="U56" s="930"/>
    </row>
    <row r="57" spans="1:21" ht="15" x14ac:dyDescent="0.2">
      <c r="A57" s="930"/>
      <c r="B57" s="244"/>
      <c r="C57" s="244"/>
      <c r="D57" s="244"/>
      <c r="E57" s="244"/>
      <c r="F57" s="930"/>
      <c r="G57" s="930"/>
      <c r="H57" s="930"/>
      <c r="I57" s="930"/>
      <c r="J57" s="930"/>
      <c r="K57" s="930"/>
      <c r="L57" s="930"/>
      <c r="M57" s="930"/>
      <c r="N57" s="930"/>
      <c r="O57" s="930"/>
      <c r="P57" s="930"/>
      <c r="Q57" s="930"/>
      <c r="R57" s="930"/>
      <c r="S57" s="930"/>
      <c r="T57" s="930"/>
      <c r="U57" s="930"/>
    </row>
    <row r="58" spans="1:21" ht="15" x14ac:dyDescent="0.2">
      <c r="A58" s="930"/>
      <c r="B58" s="244"/>
      <c r="C58" s="244"/>
      <c r="D58" s="244"/>
      <c r="E58" s="244"/>
      <c r="F58" s="930"/>
      <c r="G58" s="930"/>
      <c r="H58" s="930"/>
      <c r="I58" s="930"/>
      <c r="J58" s="930"/>
      <c r="K58" s="930"/>
      <c r="L58" s="930"/>
      <c r="M58" s="930"/>
      <c r="N58" s="930"/>
      <c r="O58" s="930"/>
      <c r="P58" s="930"/>
      <c r="Q58" s="930"/>
      <c r="R58" s="930"/>
      <c r="S58" s="930"/>
      <c r="T58" s="930"/>
      <c r="U58" s="930"/>
    </row>
    <row r="59" spans="1:21" ht="15" x14ac:dyDescent="0.2">
      <c r="A59" s="930"/>
      <c r="B59" s="244"/>
      <c r="C59" s="244"/>
      <c r="D59" s="244"/>
      <c r="E59" s="244"/>
      <c r="F59" s="930"/>
      <c r="G59" s="930"/>
      <c r="H59" s="930"/>
      <c r="I59" s="930"/>
      <c r="J59" s="930"/>
      <c r="K59" s="930"/>
      <c r="L59" s="930"/>
      <c r="M59" s="930"/>
      <c r="N59" s="930"/>
      <c r="O59" s="930"/>
      <c r="P59" s="930"/>
      <c r="Q59" s="930"/>
      <c r="R59" s="930"/>
      <c r="S59" s="930"/>
      <c r="T59" s="930"/>
      <c r="U59" s="930"/>
    </row>
    <row r="60" spans="1:21" ht="15" x14ac:dyDescent="0.2">
      <c r="A60" s="930"/>
      <c r="B60" s="244"/>
      <c r="C60" s="244"/>
      <c r="D60" s="244"/>
      <c r="E60" s="244"/>
      <c r="F60" s="930"/>
      <c r="G60" s="930"/>
      <c r="H60" s="930"/>
      <c r="I60" s="930"/>
      <c r="J60" s="930"/>
      <c r="K60" s="930"/>
      <c r="L60" s="930"/>
      <c r="M60" s="930"/>
      <c r="N60" s="930"/>
      <c r="O60" s="930"/>
      <c r="P60" s="930"/>
      <c r="Q60" s="930"/>
      <c r="R60" s="930"/>
      <c r="S60" s="930"/>
      <c r="T60" s="930"/>
      <c r="U60" s="930"/>
    </row>
    <row r="61" spans="1:21" ht="15" x14ac:dyDescent="0.2">
      <c r="A61" s="930"/>
      <c r="B61" s="244"/>
      <c r="C61" s="244"/>
      <c r="D61" s="244"/>
      <c r="E61" s="244"/>
      <c r="F61" s="930"/>
      <c r="G61" s="930"/>
      <c r="H61" s="930"/>
      <c r="I61" s="930"/>
      <c r="J61" s="930"/>
      <c r="K61" s="930"/>
      <c r="L61" s="930"/>
      <c r="M61" s="930"/>
      <c r="N61" s="930"/>
      <c r="O61" s="930"/>
      <c r="P61" s="930"/>
      <c r="Q61" s="930"/>
      <c r="R61" s="930"/>
      <c r="S61" s="930"/>
      <c r="T61" s="930"/>
      <c r="U61" s="930"/>
    </row>
    <row r="62" spans="1:21" ht="15" x14ac:dyDescent="0.2">
      <c r="A62" s="930"/>
      <c r="B62" s="244"/>
      <c r="C62" s="244"/>
      <c r="D62" s="244"/>
      <c r="E62" s="244"/>
      <c r="F62" s="930"/>
      <c r="G62" s="930"/>
      <c r="H62" s="930"/>
      <c r="I62" s="930"/>
      <c r="J62" s="930"/>
      <c r="K62" s="930"/>
      <c r="L62" s="930"/>
      <c r="M62" s="930"/>
      <c r="N62" s="930"/>
      <c r="O62" s="930"/>
      <c r="P62" s="930"/>
      <c r="Q62" s="930"/>
      <c r="R62" s="930"/>
      <c r="S62" s="930"/>
      <c r="T62" s="930"/>
      <c r="U62" s="930"/>
    </row>
    <row r="63" spans="1:21" ht="15" x14ac:dyDescent="0.2">
      <c r="A63" s="930"/>
      <c r="B63" s="244"/>
      <c r="C63" s="244"/>
      <c r="D63" s="244"/>
      <c r="E63" s="244"/>
      <c r="F63" s="930"/>
      <c r="G63" s="930"/>
      <c r="H63" s="930"/>
      <c r="I63" s="930"/>
      <c r="J63" s="930"/>
      <c r="K63" s="930"/>
      <c r="L63" s="930"/>
      <c r="M63" s="930"/>
      <c r="N63" s="930"/>
      <c r="O63" s="930"/>
      <c r="P63" s="930"/>
      <c r="Q63" s="930"/>
      <c r="R63" s="930"/>
      <c r="S63" s="930"/>
      <c r="T63" s="930"/>
      <c r="U63" s="930"/>
    </row>
    <row r="64" spans="1:21" ht="15" x14ac:dyDescent="0.2">
      <c r="A64" s="930"/>
      <c r="B64" s="244"/>
      <c r="C64" s="244"/>
      <c r="D64" s="244"/>
      <c r="E64" s="244"/>
      <c r="F64" s="930"/>
      <c r="G64" s="930"/>
      <c r="H64" s="930"/>
      <c r="I64" s="930"/>
      <c r="J64" s="930"/>
      <c r="K64" s="930"/>
      <c r="L64" s="930"/>
      <c r="M64" s="930"/>
      <c r="N64" s="930"/>
      <c r="O64" s="930"/>
      <c r="P64" s="930"/>
      <c r="Q64" s="930"/>
      <c r="R64" s="930"/>
      <c r="S64" s="930"/>
      <c r="T64" s="930"/>
      <c r="U64" s="930"/>
    </row>
    <row r="65" spans="1:21" ht="15" x14ac:dyDescent="0.2">
      <c r="A65" s="930"/>
      <c r="B65" s="244"/>
      <c r="C65" s="244"/>
      <c r="D65" s="244"/>
      <c r="E65" s="244"/>
      <c r="F65" s="930"/>
      <c r="G65" s="930"/>
      <c r="H65" s="930"/>
      <c r="I65" s="930"/>
      <c r="J65" s="930"/>
      <c r="K65" s="930"/>
      <c r="L65" s="930"/>
      <c r="M65" s="930"/>
      <c r="N65" s="930"/>
      <c r="O65" s="930"/>
      <c r="P65" s="930"/>
      <c r="Q65" s="930"/>
      <c r="R65" s="930"/>
      <c r="S65" s="930"/>
      <c r="T65" s="930"/>
      <c r="U65" s="930"/>
    </row>
    <row r="66" spans="1:21" ht="15" x14ac:dyDescent="0.2">
      <c r="A66" s="930"/>
      <c r="B66" s="244"/>
      <c r="C66" s="244"/>
      <c r="D66" s="244"/>
      <c r="E66" s="244"/>
      <c r="F66" s="930"/>
      <c r="G66" s="930"/>
      <c r="H66" s="930"/>
      <c r="I66" s="930"/>
      <c r="J66" s="930"/>
      <c r="K66" s="930"/>
      <c r="L66" s="930"/>
      <c r="M66" s="930"/>
      <c r="N66" s="930"/>
      <c r="O66" s="930"/>
      <c r="P66" s="930"/>
      <c r="Q66" s="930"/>
      <c r="R66" s="930"/>
      <c r="S66" s="930"/>
      <c r="T66" s="930"/>
      <c r="U66" s="930"/>
    </row>
    <row r="67" spans="1:21" ht="15" x14ac:dyDescent="0.2">
      <c r="A67" s="930"/>
      <c r="B67" s="244"/>
      <c r="C67" s="244"/>
      <c r="D67" s="244"/>
      <c r="E67" s="244"/>
      <c r="F67" s="930"/>
      <c r="G67" s="930"/>
      <c r="H67" s="930"/>
      <c r="I67" s="930"/>
      <c r="J67" s="930"/>
      <c r="K67" s="930"/>
      <c r="L67" s="930"/>
      <c r="M67" s="930"/>
      <c r="N67" s="930"/>
      <c r="O67" s="930"/>
      <c r="P67" s="930"/>
      <c r="Q67" s="930"/>
      <c r="R67" s="930"/>
      <c r="S67" s="930"/>
      <c r="T67" s="930"/>
      <c r="U67" s="930"/>
    </row>
    <row r="68" spans="1:21" ht="15" x14ac:dyDescent="0.2">
      <c r="A68" s="930"/>
      <c r="B68" s="244"/>
      <c r="C68" s="244"/>
      <c r="D68" s="244"/>
      <c r="E68" s="244"/>
      <c r="F68" s="930"/>
      <c r="G68" s="930"/>
      <c r="H68" s="930"/>
      <c r="I68" s="930"/>
      <c r="J68" s="930"/>
      <c r="K68" s="930"/>
      <c r="L68" s="930"/>
      <c r="M68" s="930"/>
      <c r="N68" s="930"/>
      <c r="O68" s="930"/>
      <c r="P68" s="930"/>
      <c r="Q68" s="930"/>
      <c r="R68" s="930"/>
      <c r="S68" s="930"/>
      <c r="T68" s="930"/>
      <c r="U68" s="930"/>
    </row>
    <row r="69" spans="1:21" ht="15" x14ac:dyDescent="0.2">
      <c r="A69" s="930"/>
      <c r="B69" s="244"/>
      <c r="C69" s="244"/>
      <c r="D69" s="244"/>
      <c r="E69" s="244"/>
      <c r="F69" s="930"/>
      <c r="G69" s="930"/>
      <c r="H69" s="930"/>
      <c r="I69" s="930"/>
      <c r="J69" s="930"/>
      <c r="K69" s="930"/>
      <c r="L69" s="930"/>
      <c r="M69" s="930"/>
      <c r="N69" s="930"/>
      <c r="O69" s="930"/>
      <c r="P69" s="930"/>
      <c r="Q69" s="930"/>
      <c r="R69" s="930"/>
      <c r="S69" s="930"/>
      <c r="T69" s="930"/>
      <c r="U69" s="930"/>
    </row>
    <row r="70" spans="1:21" ht="15" x14ac:dyDescent="0.2">
      <c r="A70" s="930"/>
      <c r="B70" s="244"/>
      <c r="C70" s="244"/>
      <c r="D70" s="244"/>
      <c r="E70" s="244"/>
      <c r="F70" s="930"/>
      <c r="G70" s="930"/>
      <c r="H70" s="930"/>
      <c r="I70" s="930"/>
      <c r="J70" s="930"/>
      <c r="K70" s="930"/>
      <c r="L70" s="930"/>
      <c r="M70" s="930"/>
      <c r="N70" s="930"/>
      <c r="O70" s="930"/>
      <c r="P70" s="930"/>
      <c r="Q70" s="930"/>
      <c r="R70" s="930"/>
      <c r="S70" s="930"/>
      <c r="T70" s="930"/>
      <c r="U70" s="930"/>
    </row>
    <row r="71" spans="1:21" ht="15" x14ac:dyDescent="0.2">
      <c r="A71" s="930"/>
      <c r="B71" s="244"/>
      <c r="C71" s="244"/>
      <c r="D71" s="244"/>
      <c r="E71" s="244"/>
      <c r="F71" s="930"/>
      <c r="G71" s="930"/>
      <c r="H71" s="930"/>
      <c r="I71" s="930"/>
      <c r="J71" s="930"/>
      <c r="K71" s="930"/>
      <c r="L71" s="930"/>
      <c r="M71" s="930"/>
      <c r="N71" s="930"/>
      <c r="O71" s="930"/>
      <c r="P71" s="930"/>
      <c r="Q71" s="930"/>
      <c r="R71" s="930"/>
      <c r="S71" s="930"/>
      <c r="T71" s="930"/>
      <c r="U71" s="930"/>
    </row>
    <row r="72" spans="1:21" ht="15" x14ac:dyDescent="0.2">
      <c r="A72" s="930"/>
      <c r="B72" s="244"/>
      <c r="C72" s="244"/>
      <c r="D72" s="244"/>
      <c r="E72" s="244"/>
      <c r="F72" s="930"/>
      <c r="G72" s="930"/>
      <c r="H72" s="930"/>
      <c r="I72" s="930"/>
      <c r="J72" s="930"/>
      <c r="K72" s="930"/>
      <c r="L72" s="930"/>
      <c r="M72" s="930"/>
      <c r="N72" s="930"/>
      <c r="O72" s="930"/>
      <c r="P72" s="930"/>
      <c r="Q72" s="930"/>
      <c r="R72" s="930"/>
      <c r="S72" s="930"/>
      <c r="T72" s="930"/>
      <c r="U72" s="930"/>
    </row>
    <row r="73" spans="1:21" ht="15" x14ac:dyDescent="0.2">
      <c r="A73" s="930"/>
      <c r="B73" s="244"/>
      <c r="C73" s="244"/>
      <c r="D73" s="244"/>
      <c r="E73" s="244"/>
      <c r="F73" s="930"/>
      <c r="G73" s="930"/>
      <c r="H73" s="930"/>
      <c r="I73" s="930"/>
      <c r="J73" s="930"/>
      <c r="K73" s="930"/>
      <c r="L73" s="930"/>
      <c r="M73" s="930"/>
      <c r="N73" s="930"/>
      <c r="O73" s="930"/>
      <c r="P73" s="930"/>
      <c r="Q73" s="930"/>
      <c r="R73" s="930"/>
      <c r="S73" s="930"/>
      <c r="T73" s="930"/>
      <c r="U73" s="930"/>
    </row>
    <row r="74" spans="1:21" ht="15" x14ac:dyDescent="0.2">
      <c r="A74" s="930"/>
      <c r="B74" s="244"/>
      <c r="C74" s="244"/>
      <c r="D74" s="244"/>
      <c r="E74" s="244"/>
      <c r="F74" s="930"/>
      <c r="G74" s="930"/>
      <c r="H74" s="930"/>
      <c r="I74" s="930"/>
      <c r="J74" s="930"/>
      <c r="K74" s="930"/>
      <c r="L74" s="930"/>
      <c r="M74" s="930"/>
      <c r="N74" s="930"/>
      <c r="O74" s="930"/>
      <c r="P74" s="930"/>
      <c r="Q74" s="930"/>
      <c r="R74" s="930"/>
      <c r="S74" s="930"/>
      <c r="T74" s="930"/>
      <c r="U74" s="930"/>
    </row>
    <row r="75" spans="1:21" ht="15" x14ac:dyDescent="0.2">
      <c r="A75" s="930"/>
      <c r="B75" s="244"/>
      <c r="C75" s="244"/>
      <c r="D75" s="244"/>
      <c r="E75" s="244"/>
      <c r="F75" s="930"/>
      <c r="G75" s="930"/>
      <c r="H75" s="930"/>
      <c r="I75" s="930"/>
      <c r="J75" s="930"/>
      <c r="K75" s="930"/>
      <c r="L75" s="930"/>
      <c r="M75" s="930"/>
      <c r="N75" s="930"/>
      <c r="O75" s="930"/>
      <c r="P75" s="930"/>
      <c r="Q75" s="930"/>
      <c r="R75" s="930"/>
      <c r="S75" s="930"/>
      <c r="T75" s="930"/>
      <c r="U75" s="930"/>
    </row>
    <row r="76" spans="1:21" ht="15" x14ac:dyDescent="0.2">
      <c r="A76" s="930"/>
      <c r="B76" s="244"/>
      <c r="C76" s="244"/>
      <c r="D76" s="244"/>
      <c r="E76" s="244"/>
      <c r="F76" s="930"/>
      <c r="G76" s="930"/>
      <c r="H76" s="930"/>
      <c r="I76" s="930"/>
      <c r="J76" s="930"/>
      <c r="K76" s="930"/>
      <c r="L76" s="930"/>
      <c r="M76" s="930"/>
      <c r="N76" s="930"/>
      <c r="O76" s="930"/>
      <c r="P76" s="930"/>
      <c r="Q76" s="930"/>
      <c r="R76" s="930"/>
      <c r="S76" s="930"/>
      <c r="T76" s="930"/>
      <c r="U76" s="930"/>
    </row>
    <row r="77" spans="1:21" ht="15" x14ac:dyDescent="0.2">
      <c r="A77" s="930"/>
      <c r="B77" s="244"/>
      <c r="C77" s="244"/>
      <c r="D77" s="244"/>
      <c r="E77" s="244"/>
      <c r="F77" s="930"/>
      <c r="G77" s="930"/>
      <c r="H77" s="930"/>
      <c r="I77" s="930"/>
      <c r="J77" s="930"/>
      <c r="K77" s="930"/>
      <c r="L77" s="930"/>
      <c r="M77" s="930"/>
      <c r="N77" s="930"/>
      <c r="O77" s="930"/>
      <c r="P77" s="930"/>
      <c r="Q77" s="930"/>
      <c r="R77" s="930"/>
      <c r="S77" s="930"/>
      <c r="T77" s="930"/>
      <c r="U77" s="930"/>
    </row>
    <row r="78" spans="1:21" ht="15" x14ac:dyDescent="0.2">
      <c r="A78" s="930"/>
      <c r="B78" s="244"/>
      <c r="C78" s="244"/>
      <c r="D78" s="244"/>
      <c r="E78" s="244"/>
      <c r="F78" s="930"/>
      <c r="G78" s="930"/>
      <c r="H78" s="930"/>
      <c r="I78" s="930"/>
      <c r="J78" s="930"/>
      <c r="K78" s="930"/>
      <c r="L78" s="930"/>
      <c r="M78" s="930"/>
      <c r="N78" s="930"/>
      <c r="O78" s="930"/>
      <c r="P78" s="930"/>
      <c r="Q78" s="930"/>
      <c r="R78" s="930"/>
      <c r="S78" s="930"/>
      <c r="T78" s="930"/>
      <c r="U78" s="930"/>
    </row>
    <row r="79" spans="1:21" ht="15" x14ac:dyDescent="0.2">
      <c r="A79" s="930"/>
      <c r="B79" s="244"/>
      <c r="C79" s="244"/>
      <c r="D79" s="244"/>
      <c r="E79" s="244"/>
      <c r="F79" s="930"/>
      <c r="G79" s="930"/>
      <c r="H79" s="930"/>
      <c r="I79" s="930"/>
      <c r="J79" s="930"/>
      <c r="K79" s="930"/>
      <c r="L79" s="930"/>
      <c r="M79" s="930"/>
      <c r="N79" s="930"/>
      <c r="O79" s="930"/>
      <c r="P79" s="930"/>
      <c r="Q79" s="930"/>
      <c r="R79" s="930"/>
      <c r="S79" s="930"/>
      <c r="T79" s="930"/>
      <c r="U79" s="930"/>
    </row>
    <row r="80" spans="1:21" ht="15" x14ac:dyDescent="0.2">
      <c r="A80" s="930"/>
      <c r="B80" s="244"/>
      <c r="C80" s="244"/>
      <c r="D80" s="244"/>
      <c r="E80" s="244"/>
      <c r="F80" s="930"/>
      <c r="G80" s="930"/>
      <c r="H80" s="930"/>
      <c r="I80" s="930"/>
      <c r="J80" s="930"/>
      <c r="K80" s="930"/>
      <c r="L80" s="930"/>
      <c r="M80" s="930"/>
      <c r="N80" s="930"/>
      <c r="O80" s="930"/>
      <c r="P80" s="930"/>
      <c r="Q80" s="930"/>
      <c r="R80" s="930"/>
      <c r="S80" s="930"/>
      <c r="T80" s="930"/>
      <c r="U80" s="930"/>
    </row>
    <row r="81" spans="1:21" ht="15" x14ac:dyDescent="0.2">
      <c r="A81" s="930"/>
      <c r="B81" s="244"/>
      <c r="C81" s="244"/>
      <c r="D81" s="244"/>
      <c r="E81" s="244"/>
      <c r="F81" s="930"/>
      <c r="G81" s="930"/>
      <c r="H81" s="930"/>
      <c r="I81" s="930"/>
      <c r="J81" s="930"/>
      <c r="K81" s="930"/>
      <c r="L81" s="930"/>
      <c r="M81" s="930"/>
      <c r="N81" s="930"/>
      <c r="O81" s="930"/>
      <c r="P81" s="930"/>
      <c r="Q81" s="930"/>
      <c r="R81" s="930"/>
      <c r="S81" s="930"/>
      <c r="T81" s="930"/>
      <c r="U81" s="930"/>
    </row>
    <row r="82" spans="1:21" ht="15" x14ac:dyDescent="0.2">
      <c r="A82" s="930"/>
      <c r="B82" s="244"/>
      <c r="C82" s="244"/>
      <c r="D82" s="244"/>
      <c r="E82" s="244"/>
      <c r="F82" s="930"/>
      <c r="G82" s="930"/>
      <c r="H82" s="930"/>
      <c r="I82" s="930"/>
      <c r="J82" s="930"/>
      <c r="K82" s="930"/>
      <c r="L82" s="930"/>
      <c r="M82" s="930"/>
      <c r="N82" s="930"/>
      <c r="O82" s="930"/>
      <c r="P82" s="930"/>
      <c r="Q82" s="930"/>
      <c r="R82" s="930"/>
      <c r="S82" s="930"/>
      <c r="T82" s="930"/>
      <c r="U82" s="930"/>
    </row>
    <row r="83" spans="1:21" ht="15" x14ac:dyDescent="0.2">
      <c r="A83" s="930"/>
      <c r="B83" s="244"/>
      <c r="C83" s="244"/>
      <c r="D83" s="244"/>
      <c r="E83" s="244"/>
      <c r="F83" s="930"/>
      <c r="G83" s="930"/>
      <c r="H83" s="930"/>
      <c r="I83" s="930"/>
      <c r="J83" s="930"/>
      <c r="K83" s="930"/>
      <c r="L83" s="930"/>
      <c r="M83" s="930"/>
      <c r="N83" s="930"/>
      <c r="O83" s="930"/>
      <c r="P83" s="930"/>
      <c r="Q83" s="930"/>
      <c r="R83" s="930"/>
      <c r="S83" s="930"/>
      <c r="T83" s="930"/>
      <c r="U83" s="930"/>
    </row>
    <row r="84" spans="1:21" ht="15" x14ac:dyDescent="0.2">
      <c r="A84" s="930"/>
      <c r="B84" s="244"/>
      <c r="C84" s="244"/>
      <c r="D84" s="244"/>
      <c r="E84" s="244"/>
      <c r="F84" s="930"/>
      <c r="G84" s="930"/>
      <c r="H84" s="930"/>
      <c r="I84" s="930"/>
      <c r="J84" s="930"/>
      <c r="K84" s="930"/>
      <c r="L84" s="930"/>
      <c r="M84" s="930"/>
      <c r="N84" s="930"/>
      <c r="O84" s="930"/>
      <c r="P84" s="930"/>
      <c r="Q84" s="930"/>
      <c r="R84" s="930"/>
      <c r="S84" s="930"/>
      <c r="T84" s="930"/>
      <c r="U84" s="930"/>
    </row>
    <row r="85" spans="1:21" ht="15" x14ac:dyDescent="0.2">
      <c r="A85" s="930"/>
      <c r="B85" s="244"/>
      <c r="C85" s="244"/>
      <c r="D85" s="244"/>
      <c r="E85" s="244"/>
      <c r="F85" s="930"/>
      <c r="G85" s="930"/>
      <c r="H85" s="930"/>
      <c r="I85" s="930"/>
      <c r="J85" s="930"/>
      <c r="K85" s="930"/>
      <c r="L85" s="930"/>
      <c r="M85" s="930"/>
      <c r="N85" s="930"/>
      <c r="O85" s="930"/>
      <c r="P85" s="930"/>
      <c r="Q85" s="930"/>
      <c r="R85" s="930"/>
      <c r="S85" s="930"/>
      <c r="T85" s="930"/>
      <c r="U85" s="930"/>
    </row>
    <row r="86" spans="1:21" ht="15" x14ac:dyDescent="0.2">
      <c r="A86" s="930"/>
      <c r="B86" s="244"/>
      <c r="C86" s="244"/>
      <c r="D86" s="244"/>
      <c r="E86" s="244"/>
      <c r="F86" s="930"/>
      <c r="G86" s="930"/>
      <c r="H86" s="930"/>
      <c r="I86" s="930"/>
      <c r="J86" s="930"/>
      <c r="K86" s="930"/>
      <c r="L86" s="930"/>
      <c r="M86" s="930"/>
      <c r="N86" s="930"/>
      <c r="O86" s="930"/>
      <c r="P86" s="930"/>
      <c r="Q86" s="930"/>
      <c r="R86" s="930"/>
      <c r="S86" s="930"/>
      <c r="T86" s="930"/>
      <c r="U86" s="930"/>
    </row>
    <row r="87" spans="1:21" ht="15" x14ac:dyDescent="0.2">
      <c r="A87" s="930"/>
      <c r="B87" s="244"/>
      <c r="C87" s="244"/>
      <c r="D87" s="244"/>
      <c r="E87" s="244"/>
      <c r="F87" s="930"/>
      <c r="G87" s="930"/>
      <c r="H87" s="930"/>
      <c r="I87" s="930"/>
      <c r="J87" s="930"/>
      <c r="K87" s="930"/>
      <c r="L87" s="930"/>
      <c r="M87" s="930"/>
      <c r="N87" s="930"/>
      <c r="O87" s="930"/>
      <c r="P87" s="930"/>
      <c r="Q87" s="930"/>
      <c r="R87" s="930"/>
      <c r="S87" s="930"/>
      <c r="T87" s="930"/>
      <c r="U87" s="930"/>
    </row>
    <row r="88" spans="1:21" ht="15" x14ac:dyDescent="0.2">
      <c r="A88" s="930"/>
      <c r="B88" s="244"/>
      <c r="C88" s="244"/>
      <c r="D88" s="244"/>
      <c r="E88" s="244"/>
      <c r="F88" s="930"/>
      <c r="G88" s="930"/>
      <c r="H88" s="930"/>
      <c r="I88" s="930"/>
      <c r="J88" s="930"/>
      <c r="K88" s="930"/>
      <c r="L88" s="930"/>
      <c r="M88" s="930"/>
      <c r="N88" s="930"/>
      <c r="O88" s="930"/>
      <c r="P88" s="930"/>
      <c r="Q88" s="930"/>
      <c r="R88" s="930"/>
      <c r="S88" s="930"/>
      <c r="T88" s="930"/>
      <c r="U88" s="930"/>
    </row>
    <row r="89" spans="1:21" ht="15" x14ac:dyDescent="0.2">
      <c r="A89" s="930"/>
      <c r="B89" s="244"/>
      <c r="C89" s="244"/>
      <c r="D89" s="244"/>
      <c r="E89" s="244"/>
      <c r="F89" s="930"/>
      <c r="G89" s="930"/>
      <c r="H89" s="930"/>
      <c r="I89" s="930"/>
      <c r="J89" s="930"/>
      <c r="K89" s="930"/>
      <c r="L89" s="930"/>
      <c r="M89" s="930"/>
      <c r="N89" s="930"/>
      <c r="O89" s="930"/>
      <c r="P89" s="930"/>
      <c r="Q89" s="930"/>
      <c r="R89" s="930"/>
      <c r="S89" s="930"/>
      <c r="T89" s="930"/>
      <c r="U89" s="930"/>
    </row>
    <row r="90" spans="1:21" ht="15" x14ac:dyDescent="0.2">
      <c r="A90" s="930"/>
      <c r="B90" s="244"/>
      <c r="C90" s="244"/>
      <c r="D90" s="244"/>
      <c r="E90" s="244"/>
      <c r="F90" s="930"/>
      <c r="G90" s="930"/>
      <c r="H90" s="930"/>
      <c r="I90" s="930"/>
      <c r="J90" s="930"/>
      <c r="K90" s="930"/>
      <c r="L90" s="930"/>
      <c r="M90" s="930"/>
      <c r="N90" s="930"/>
      <c r="O90" s="930"/>
      <c r="P90" s="930"/>
      <c r="Q90" s="930"/>
      <c r="R90" s="930"/>
      <c r="S90" s="930"/>
      <c r="T90" s="930"/>
      <c r="U90" s="930"/>
    </row>
    <row r="91" spans="1:21" ht="15" x14ac:dyDescent="0.2">
      <c r="A91" s="930"/>
      <c r="B91" s="244"/>
      <c r="C91" s="244"/>
      <c r="D91" s="244"/>
      <c r="E91" s="244"/>
      <c r="F91" s="930"/>
      <c r="G91" s="930"/>
      <c r="H91" s="930"/>
      <c r="I91" s="930"/>
      <c r="J91" s="930"/>
      <c r="K91" s="930"/>
      <c r="L91" s="930"/>
      <c r="M91" s="930"/>
      <c r="N91" s="930"/>
      <c r="O91" s="930"/>
      <c r="P91" s="930"/>
      <c r="Q91" s="930"/>
      <c r="R91" s="930"/>
      <c r="S91" s="930"/>
      <c r="T91" s="930"/>
      <c r="U91" s="930"/>
    </row>
    <row r="92" spans="1:21" ht="15" x14ac:dyDescent="0.2">
      <c r="A92" s="930"/>
      <c r="B92" s="244"/>
      <c r="C92" s="244"/>
      <c r="D92" s="244"/>
      <c r="E92" s="244"/>
      <c r="F92" s="930"/>
      <c r="G92" s="930"/>
      <c r="H92" s="930"/>
      <c r="I92" s="930"/>
      <c r="J92" s="930"/>
      <c r="K92" s="930"/>
      <c r="L92" s="930"/>
      <c r="M92" s="930"/>
      <c r="N92" s="930"/>
      <c r="O92" s="930"/>
      <c r="P92" s="930"/>
      <c r="Q92" s="930"/>
      <c r="R92" s="930"/>
      <c r="S92" s="930"/>
      <c r="T92" s="930"/>
      <c r="U92" s="930"/>
    </row>
    <row r="93" spans="1:21" ht="15" x14ac:dyDescent="0.2">
      <c r="A93" s="930"/>
      <c r="B93" s="244"/>
      <c r="C93" s="244"/>
      <c r="D93" s="244"/>
      <c r="E93" s="244"/>
      <c r="F93" s="930"/>
      <c r="G93" s="930"/>
      <c r="H93" s="930"/>
      <c r="I93" s="930"/>
      <c r="J93" s="930"/>
      <c r="K93" s="930"/>
      <c r="L93" s="930"/>
      <c r="M93" s="930"/>
      <c r="N93" s="930"/>
      <c r="O93" s="930"/>
      <c r="P93" s="930"/>
      <c r="Q93" s="930"/>
      <c r="R93" s="930"/>
      <c r="S93" s="930"/>
      <c r="T93" s="930"/>
      <c r="U93" s="930"/>
    </row>
    <row r="94" spans="1:21" ht="15" x14ac:dyDescent="0.2">
      <c r="A94" s="930"/>
      <c r="B94" s="244"/>
      <c r="C94" s="244"/>
      <c r="D94" s="244"/>
      <c r="E94" s="244"/>
      <c r="F94" s="930"/>
      <c r="G94" s="930"/>
      <c r="H94" s="930"/>
      <c r="I94" s="930"/>
      <c r="J94" s="930"/>
      <c r="K94" s="930"/>
      <c r="L94" s="930"/>
      <c r="M94" s="930"/>
      <c r="N94" s="930"/>
      <c r="O94" s="930"/>
      <c r="P94" s="930"/>
      <c r="Q94" s="930"/>
      <c r="R94" s="930"/>
      <c r="S94" s="930"/>
      <c r="T94" s="930"/>
      <c r="U94" s="930"/>
    </row>
    <row r="95" spans="1:21" ht="15" x14ac:dyDescent="0.2">
      <c r="A95" s="930"/>
      <c r="B95" s="244"/>
      <c r="C95" s="244"/>
      <c r="D95" s="244"/>
      <c r="E95" s="244"/>
      <c r="F95" s="930"/>
      <c r="G95" s="930"/>
      <c r="H95" s="930"/>
      <c r="I95" s="930"/>
      <c r="J95" s="930"/>
      <c r="K95" s="930"/>
      <c r="L95" s="930"/>
      <c r="M95" s="930"/>
      <c r="N95" s="930"/>
      <c r="O95" s="930"/>
      <c r="P95" s="930"/>
      <c r="Q95" s="930"/>
      <c r="R95" s="930"/>
      <c r="S95" s="930"/>
      <c r="T95" s="930"/>
      <c r="U95" s="930"/>
    </row>
    <row r="96" spans="1:21" ht="15" x14ac:dyDescent="0.2">
      <c r="A96" s="930"/>
      <c r="B96" s="244"/>
      <c r="C96" s="244"/>
      <c r="D96" s="244"/>
      <c r="E96" s="244"/>
      <c r="F96" s="930"/>
      <c r="G96" s="930"/>
      <c r="H96" s="930"/>
      <c r="I96" s="930"/>
      <c r="J96" s="930"/>
      <c r="K96" s="930"/>
      <c r="L96" s="930"/>
      <c r="M96" s="930"/>
      <c r="N96" s="930"/>
      <c r="O96" s="930"/>
      <c r="P96" s="930"/>
      <c r="Q96" s="930"/>
      <c r="R96" s="930"/>
      <c r="S96" s="930"/>
      <c r="T96" s="930"/>
      <c r="U96" s="930"/>
    </row>
    <row r="97" spans="1:21" ht="15" x14ac:dyDescent="0.2">
      <c r="A97" s="930"/>
      <c r="B97" s="244"/>
      <c r="C97" s="244"/>
      <c r="D97" s="244"/>
      <c r="E97" s="244"/>
      <c r="F97" s="930"/>
      <c r="G97" s="930"/>
      <c r="H97" s="930"/>
      <c r="I97" s="930"/>
      <c r="J97" s="930"/>
      <c r="K97" s="930"/>
      <c r="L97" s="930"/>
      <c r="M97" s="930"/>
      <c r="N97" s="930"/>
      <c r="O97" s="930"/>
      <c r="P97" s="930"/>
      <c r="Q97" s="930"/>
      <c r="R97" s="930"/>
      <c r="S97" s="930"/>
      <c r="T97" s="930"/>
      <c r="U97" s="930"/>
    </row>
    <row r="98" spans="1:21" ht="15" x14ac:dyDescent="0.2">
      <c r="A98" s="930"/>
      <c r="B98" s="244"/>
      <c r="C98" s="244"/>
      <c r="D98" s="244"/>
      <c r="E98" s="244"/>
      <c r="F98" s="930"/>
      <c r="G98" s="930"/>
      <c r="H98" s="930"/>
      <c r="I98" s="930"/>
      <c r="J98" s="930"/>
      <c r="K98" s="930"/>
      <c r="L98" s="930"/>
      <c r="M98" s="930"/>
      <c r="N98" s="930"/>
      <c r="O98" s="930"/>
      <c r="P98" s="930"/>
      <c r="Q98" s="930"/>
      <c r="R98" s="930"/>
      <c r="S98" s="930"/>
      <c r="T98" s="930"/>
      <c r="U98" s="930"/>
    </row>
    <row r="99" spans="1:21" ht="15" x14ac:dyDescent="0.2">
      <c r="A99" s="930"/>
      <c r="B99" s="244"/>
      <c r="C99" s="244"/>
      <c r="D99" s="244"/>
      <c r="E99" s="244"/>
      <c r="F99" s="930"/>
      <c r="G99" s="930"/>
      <c r="H99" s="930"/>
      <c r="I99" s="930"/>
      <c r="J99" s="930"/>
      <c r="K99" s="930"/>
      <c r="L99" s="930"/>
      <c r="M99" s="930"/>
      <c r="N99" s="930"/>
      <c r="O99" s="930"/>
      <c r="P99" s="930"/>
      <c r="Q99" s="930"/>
      <c r="R99" s="930"/>
      <c r="S99" s="930"/>
      <c r="T99" s="930"/>
      <c r="U99" s="930"/>
    </row>
    <row r="100" spans="1:21" ht="15" x14ac:dyDescent="0.2">
      <c r="A100" s="930"/>
      <c r="B100" s="244"/>
      <c r="C100" s="244"/>
      <c r="D100" s="244"/>
      <c r="E100" s="244"/>
      <c r="F100" s="930"/>
      <c r="G100" s="930"/>
      <c r="H100" s="930"/>
      <c r="I100" s="930"/>
      <c r="J100" s="930"/>
      <c r="K100" s="930"/>
      <c r="L100" s="930"/>
      <c r="M100" s="930"/>
      <c r="N100" s="930"/>
      <c r="O100" s="930"/>
      <c r="P100" s="930"/>
      <c r="Q100" s="930"/>
      <c r="R100" s="930"/>
      <c r="S100" s="930"/>
      <c r="T100" s="930"/>
      <c r="U100" s="930"/>
    </row>
    <row r="101" spans="1:21" ht="15" x14ac:dyDescent="0.2">
      <c r="A101" s="930"/>
      <c r="B101" s="244"/>
      <c r="C101" s="244"/>
      <c r="D101" s="244"/>
      <c r="E101" s="244"/>
      <c r="F101" s="930"/>
      <c r="G101" s="930"/>
      <c r="H101" s="930"/>
      <c r="I101" s="930"/>
      <c r="J101" s="930"/>
      <c r="K101" s="930"/>
      <c r="L101" s="930"/>
      <c r="M101" s="930"/>
      <c r="N101" s="930"/>
      <c r="O101" s="930"/>
      <c r="P101" s="930"/>
      <c r="Q101" s="930"/>
      <c r="R101" s="930"/>
      <c r="S101" s="930"/>
      <c r="T101" s="930"/>
      <c r="U101" s="930"/>
    </row>
    <row r="102" spans="1:21" ht="15" x14ac:dyDescent="0.2">
      <c r="A102" s="930"/>
      <c r="B102" s="244"/>
      <c r="C102" s="244"/>
      <c r="D102" s="244"/>
      <c r="E102" s="244"/>
      <c r="F102" s="930"/>
      <c r="G102" s="930"/>
      <c r="H102" s="930"/>
      <c r="I102" s="930"/>
      <c r="J102" s="930"/>
      <c r="K102" s="930"/>
      <c r="L102" s="930"/>
      <c r="M102" s="930"/>
      <c r="N102" s="930"/>
      <c r="O102" s="930"/>
      <c r="P102" s="930"/>
      <c r="Q102" s="930"/>
      <c r="R102" s="930"/>
      <c r="S102" s="930"/>
      <c r="T102" s="930"/>
      <c r="U102" s="930"/>
    </row>
    <row r="103" spans="1:21" ht="15" x14ac:dyDescent="0.2">
      <c r="A103" s="930"/>
      <c r="B103" s="244"/>
      <c r="C103" s="244"/>
      <c r="D103" s="244"/>
      <c r="E103" s="244"/>
      <c r="F103" s="930"/>
      <c r="G103" s="930"/>
      <c r="H103" s="930"/>
      <c r="I103" s="930"/>
      <c r="J103" s="930"/>
      <c r="K103" s="930"/>
      <c r="L103" s="930"/>
      <c r="M103" s="930"/>
      <c r="N103" s="930"/>
      <c r="O103" s="930"/>
      <c r="P103" s="930"/>
      <c r="Q103" s="930"/>
      <c r="R103" s="930"/>
      <c r="S103" s="930"/>
      <c r="T103" s="930"/>
      <c r="U103" s="930"/>
    </row>
    <row r="104" spans="1:21" ht="15" x14ac:dyDescent="0.2">
      <c r="A104" s="930"/>
      <c r="B104" s="244"/>
      <c r="C104" s="244"/>
      <c r="D104" s="244"/>
      <c r="E104" s="244"/>
      <c r="F104" s="930"/>
      <c r="G104" s="930"/>
      <c r="H104" s="930"/>
      <c r="I104" s="930"/>
      <c r="J104" s="930"/>
      <c r="K104" s="930"/>
      <c r="L104" s="930"/>
      <c r="M104" s="930"/>
      <c r="N104" s="930"/>
      <c r="O104" s="930"/>
      <c r="P104" s="930"/>
      <c r="Q104" s="930"/>
      <c r="R104" s="930"/>
      <c r="S104" s="930"/>
      <c r="T104" s="930"/>
      <c r="U104" s="930"/>
    </row>
    <row r="105" spans="1:21" ht="15" x14ac:dyDescent="0.2">
      <c r="A105" s="930"/>
      <c r="B105" s="244"/>
      <c r="C105" s="244"/>
      <c r="D105" s="244"/>
      <c r="E105" s="244"/>
      <c r="F105" s="930"/>
      <c r="G105" s="930"/>
      <c r="H105" s="930"/>
      <c r="I105" s="930"/>
      <c r="J105" s="930"/>
      <c r="K105" s="930"/>
      <c r="L105" s="930"/>
      <c r="M105" s="930"/>
      <c r="N105" s="930"/>
      <c r="O105" s="930"/>
      <c r="P105" s="930"/>
      <c r="Q105" s="930"/>
      <c r="R105" s="930"/>
      <c r="S105" s="930"/>
      <c r="T105" s="930"/>
      <c r="U105" s="930"/>
    </row>
    <row r="106" spans="1:21" ht="15" x14ac:dyDescent="0.2">
      <c r="A106" s="930"/>
      <c r="B106" s="244"/>
      <c r="C106" s="244"/>
      <c r="D106" s="244"/>
      <c r="E106" s="244"/>
      <c r="F106" s="930"/>
      <c r="G106" s="930"/>
      <c r="H106" s="930"/>
      <c r="I106" s="930"/>
      <c r="J106" s="930"/>
      <c r="K106" s="930"/>
      <c r="L106" s="930"/>
      <c r="M106" s="930"/>
      <c r="N106" s="930"/>
      <c r="O106" s="930"/>
      <c r="P106" s="930"/>
      <c r="Q106" s="930"/>
      <c r="R106" s="930"/>
      <c r="S106" s="930"/>
      <c r="T106" s="930"/>
      <c r="U106" s="930"/>
    </row>
    <row r="107" spans="1:21" ht="15" x14ac:dyDescent="0.2">
      <c r="A107" s="930"/>
      <c r="B107" s="244"/>
      <c r="C107" s="244"/>
      <c r="D107" s="244"/>
      <c r="E107" s="244"/>
      <c r="F107" s="930"/>
      <c r="G107" s="930"/>
      <c r="H107" s="930"/>
      <c r="I107" s="930"/>
      <c r="J107" s="930"/>
      <c r="K107" s="930"/>
      <c r="L107" s="930"/>
      <c r="M107" s="930"/>
      <c r="N107" s="930"/>
      <c r="O107" s="930"/>
      <c r="P107" s="930"/>
      <c r="Q107" s="930"/>
      <c r="R107" s="930"/>
      <c r="S107" s="930"/>
      <c r="T107" s="930"/>
      <c r="U107" s="930"/>
    </row>
    <row r="108" spans="1:21" ht="15" x14ac:dyDescent="0.2">
      <c r="A108" s="930"/>
      <c r="B108" s="244"/>
      <c r="C108" s="244"/>
      <c r="D108" s="244"/>
      <c r="E108" s="244"/>
      <c r="F108" s="930"/>
      <c r="G108" s="930"/>
      <c r="H108" s="930"/>
      <c r="I108" s="930"/>
      <c r="J108" s="930"/>
      <c r="K108" s="930"/>
      <c r="L108" s="930"/>
      <c r="M108" s="930"/>
      <c r="N108" s="930"/>
      <c r="O108" s="930"/>
      <c r="P108" s="930"/>
      <c r="Q108" s="930"/>
      <c r="R108" s="930"/>
      <c r="S108" s="930"/>
      <c r="T108" s="930"/>
      <c r="U108" s="930"/>
    </row>
    <row r="109" spans="1:21" ht="15" x14ac:dyDescent="0.2">
      <c r="A109" s="930"/>
      <c r="B109" s="244"/>
      <c r="C109" s="244"/>
      <c r="D109" s="244"/>
      <c r="E109" s="244"/>
      <c r="F109" s="930"/>
      <c r="G109" s="930"/>
      <c r="H109" s="930"/>
      <c r="I109" s="930"/>
      <c r="J109" s="930"/>
      <c r="K109" s="930"/>
      <c r="L109" s="930"/>
      <c r="M109" s="930"/>
      <c r="N109" s="930"/>
      <c r="O109" s="930"/>
      <c r="P109" s="930"/>
      <c r="Q109" s="930"/>
      <c r="R109" s="930"/>
      <c r="S109" s="930"/>
      <c r="T109" s="930"/>
      <c r="U109" s="930"/>
    </row>
    <row r="110" spans="1:21" ht="15" x14ac:dyDescent="0.2">
      <c r="A110" s="930"/>
      <c r="B110" s="244"/>
      <c r="C110" s="244"/>
      <c r="D110" s="244"/>
      <c r="E110" s="244"/>
      <c r="F110" s="930"/>
      <c r="G110" s="930"/>
      <c r="H110" s="930"/>
      <c r="I110" s="930"/>
      <c r="J110" s="930"/>
      <c r="K110" s="930"/>
      <c r="L110" s="930"/>
      <c r="M110" s="930"/>
      <c r="N110" s="930"/>
      <c r="O110" s="930"/>
      <c r="P110" s="930"/>
      <c r="Q110" s="930"/>
      <c r="R110" s="930"/>
      <c r="S110" s="930"/>
      <c r="T110" s="930"/>
      <c r="U110" s="930"/>
    </row>
    <row r="111" spans="1:21" ht="15" x14ac:dyDescent="0.2">
      <c r="A111" s="930"/>
      <c r="B111" s="244"/>
      <c r="C111" s="244"/>
      <c r="D111" s="244"/>
      <c r="E111" s="244"/>
      <c r="F111" s="930"/>
      <c r="G111" s="930"/>
      <c r="H111" s="930"/>
      <c r="I111" s="930"/>
      <c r="J111" s="930"/>
      <c r="K111" s="930"/>
      <c r="L111" s="930"/>
      <c r="M111" s="930"/>
      <c r="N111" s="930"/>
      <c r="O111" s="930"/>
      <c r="P111" s="930"/>
      <c r="Q111" s="930"/>
      <c r="R111" s="930"/>
      <c r="S111" s="930"/>
      <c r="T111" s="930"/>
      <c r="U111" s="930"/>
    </row>
    <row r="112" spans="1:21" ht="15" x14ac:dyDescent="0.2">
      <c r="A112" s="930"/>
      <c r="B112" s="244"/>
      <c r="C112" s="244"/>
      <c r="D112" s="244"/>
      <c r="E112" s="244"/>
      <c r="F112" s="930"/>
      <c r="G112" s="930"/>
      <c r="H112" s="930"/>
      <c r="I112" s="930"/>
      <c r="J112" s="930"/>
      <c r="K112" s="930"/>
      <c r="L112" s="930"/>
      <c r="M112" s="930"/>
      <c r="N112" s="930"/>
      <c r="O112" s="930"/>
      <c r="P112" s="930"/>
      <c r="Q112" s="930"/>
      <c r="R112" s="930"/>
      <c r="S112" s="930"/>
      <c r="T112" s="930"/>
      <c r="U112" s="930"/>
    </row>
    <row r="113" spans="1:21" ht="15" x14ac:dyDescent="0.2">
      <c r="A113" s="930"/>
      <c r="B113" s="244"/>
      <c r="C113" s="244"/>
      <c r="D113" s="244"/>
      <c r="E113" s="244"/>
      <c r="F113" s="930"/>
      <c r="G113" s="930"/>
      <c r="H113" s="930"/>
      <c r="I113" s="930"/>
      <c r="J113" s="930"/>
      <c r="K113" s="930"/>
      <c r="L113" s="930"/>
      <c r="M113" s="930"/>
      <c r="N113" s="930"/>
      <c r="O113" s="930"/>
      <c r="P113" s="930"/>
      <c r="Q113" s="930"/>
      <c r="R113" s="930"/>
      <c r="S113" s="930"/>
      <c r="T113" s="930"/>
      <c r="U113" s="930"/>
    </row>
    <row r="114" spans="1:21" ht="15" x14ac:dyDescent="0.2">
      <c r="A114" s="930"/>
      <c r="B114" s="244"/>
      <c r="C114" s="244"/>
      <c r="D114" s="244"/>
      <c r="E114" s="244"/>
      <c r="F114" s="930"/>
      <c r="G114" s="930"/>
      <c r="H114" s="930"/>
      <c r="I114" s="930"/>
      <c r="J114" s="930"/>
      <c r="K114" s="930"/>
      <c r="L114" s="930"/>
      <c r="M114" s="930"/>
      <c r="N114" s="930"/>
      <c r="O114" s="930"/>
      <c r="P114" s="930"/>
      <c r="Q114" s="930"/>
      <c r="R114" s="930"/>
      <c r="S114" s="930"/>
      <c r="T114" s="930"/>
      <c r="U114" s="930"/>
    </row>
    <row r="115" spans="1:21" ht="15" x14ac:dyDescent="0.2">
      <c r="A115" s="930"/>
      <c r="B115" s="244"/>
      <c r="C115" s="244"/>
      <c r="D115" s="244"/>
      <c r="E115" s="244"/>
      <c r="F115" s="930"/>
      <c r="G115" s="930"/>
      <c r="H115" s="930"/>
      <c r="I115" s="930"/>
      <c r="J115" s="930"/>
      <c r="K115" s="930"/>
      <c r="L115" s="930"/>
      <c r="M115" s="930"/>
      <c r="N115" s="930"/>
      <c r="O115" s="930"/>
      <c r="P115" s="930"/>
      <c r="Q115" s="930"/>
      <c r="R115" s="930"/>
      <c r="S115" s="930"/>
      <c r="T115" s="930"/>
      <c r="U115" s="930"/>
    </row>
    <row r="116" spans="1:21" ht="15" x14ac:dyDescent="0.2">
      <c r="A116" s="930"/>
      <c r="B116" s="244"/>
      <c r="C116" s="244"/>
      <c r="D116" s="244"/>
      <c r="E116" s="244"/>
      <c r="F116" s="930"/>
      <c r="G116" s="930"/>
      <c r="H116" s="930"/>
      <c r="I116" s="930"/>
      <c r="J116" s="930"/>
      <c r="K116" s="930"/>
      <c r="L116" s="930"/>
      <c r="M116" s="930"/>
      <c r="N116" s="930"/>
      <c r="O116" s="930"/>
      <c r="P116" s="930"/>
      <c r="Q116" s="930"/>
      <c r="R116" s="930"/>
      <c r="S116" s="930"/>
      <c r="T116" s="930"/>
      <c r="U116" s="930"/>
    </row>
    <row r="117" spans="1:21" ht="15" x14ac:dyDescent="0.2">
      <c r="A117" s="930"/>
      <c r="B117" s="244"/>
      <c r="C117" s="244"/>
      <c r="D117" s="244"/>
      <c r="E117" s="244"/>
      <c r="F117" s="930"/>
      <c r="G117" s="930"/>
      <c r="H117" s="930"/>
      <c r="I117" s="930"/>
      <c r="J117" s="930"/>
      <c r="K117" s="930"/>
      <c r="L117" s="930"/>
      <c r="M117" s="930"/>
      <c r="N117" s="930"/>
      <c r="O117" s="930"/>
      <c r="P117" s="930"/>
      <c r="Q117" s="930"/>
      <c r="R117" s="930"/>
      <c r="S117" s="930"/>
      <c r="T117" s="930"/>
      <c r="U117" s="930"/>
    </row>
    <row r="118" spans="1:21" ht="15" x14ac:dyDescent="0.2">
      <c r="A118" s="930"/>
      <c r="B118" s="244"/>
      <c r="C118" s="244"/>
      <c r="D118" s="244"/>
      <c r="E118" s="244"/>
      <c r="F118" s="930"/>
      <c r="G118" s="930"/>
      <c r="H118" s="930"/>
      <c r="I118" s="930"/>
      <c r="J118" s="930"/>
      <c r="K118" s="930"/>
      <c r="L118" s="930"/>
      <c r="M118" s="930"/>
      <c r="N118" s="930"/>
      <c r="O118" s="930"/>
      <c r="P118" s="930"/>
      <c r="Q118" s="930"/>
      <c r="R118" s="930"/>
      <c r="S118" s="930"/>
      <c r="T118" s="930"/>
      <c r="U118" s="930"/>
    </row>
    <row r="119" spans="1:21" ht="15" x14ac:dyDescent="0.2">
      <c r="A119" s="930"/>
      <c r="B119" s="244"/>
      <c r="C119" s="244"/>
      <c r="D119" s="244"/>
      <c r="E119" s="244"/>
      <c r="F119" s="930"/>
      <c r="G119" s="930"/>
      <c r="H119" s="930"/>
      <c r="I119" s="930"/>
      <c r="J119" s="930"/>
      <c r="K119" s="930"/>
      <c r="L119" s="930"/>
      <c r="M119" s="930"/>
      <c r="N119" s="930"/>
      <c r="O119" s="930"/>
      <c r="P119" s="930"/>
      <c r="Q119" s="930"/>
      <c r="R119" s="930"/>
      <c r="S119" s="930"/>
      <c r="T119" s="930"/>
      <c r="U119" s="930"/>
    </row>
    <row r="120" spans="1:21" ht="15" x14ac:dyDescent="0.2">
      <c r="A120" s="930"/>
      <c r="B120" s="244"/>
      <c r="C120" s="244"/>
      <c r="D120" s="244"/>
      <c r="E120" s="244"/>
      <c r="F120" s="930"/>
      <c r="G120" s="930"/>
      <c r="H120" s="930"/>
      <c r="I120" s="930"/>
      <c r="J120" s="930"/>
      <c r="K120" s="930"/>
      <c r="L120" s="930"/>
      <c r="M120" s="930"/>
      <c r="N120" s="930"/>
      <c r="O120" s="930"/>
      <c r="P120" s="930"/>
      <c r="Q120" s="930"/>
      <c r="R120" s="930"/>
      <c r="S120" s="930"/>
      <c r="T120" s="930"/>
      <c r="U120" s="930"/>
    </row>
    <row r="121" spans="1:21" ht="15" x14ac:dyDescent="0.2">
      <c r="A121" s="930"/>
      <c r="B121" s="244"/>
      <c r="C121" s="244"/>
      <c r="D121" s="244"/>
      <c r="E121" s="244"/>
      <c r="F121" s="930"/>
      <c r="G121" s="930"/>
      <c r="H121" s="930"/>
      <c r="I121" s="930"/>
      <c r="J121" s="930"/>
      <c r="K121" s="930"/>
      <c r="L121" s="930"/>
      <c r="M121" s="930"/>
      <c r="N121" s="930"/>
      <c r="O121" s="930"/>
      <c r="P121" s="930"/>
      <c r="Q121" s="930"/>
      <c r="R121" s="930"/>
      <c r="S121" s="930"/>
      <c r="T121" s="930"/>
      <c r="U121" s="930"/>
    </row>
    <row r="122" spans="1:21" ht="15" x14ac:dyDescent="0.2">
      <c r="A122" s="930"/>
      <c r="B122" s="244"/>
      <c r="C122" s="244"/>
      <c r="D122" s="244"/>
      <c r="E122" s="244"/>
      <c r="F122" s="930"/>
      <c r="G122" s="930"/>
      <c r="H122" s="930"/>
      <c r="I122" s="930"/>
      <c r="J122" s="930"/>
      <c r="K122" s="930"/>
      <c r="L122" s="930"/>
      <c r="M122" s="930"/>
      <c r="N122" s="930"/>
      <c r="O122" s="930"/>
      <c r="P122" s="930"/>
      <c r="Q122" s="930"/>
      <c r="R122" s="930"/>
      <c r="S122" s="930"/>
      <c r="T122" s="930"/>
      <c r="U122" s="930"/>
    </row>
    <row r="123" spans="1:21" ht="15" x14ac:dyDescent="0.2">
      <c r="A123" s="930"/>
      <c r="B123" s="244"/>
      <c r="C123" s="244"/>
      <c r="D123" s="244"/>
      <c r="E123" s="244"/>
      <c r="F123" s="930"/>
      <c r="G123" s="930"/>
      <c r="H123" s="930"/>
      <c r="I123" s="930"/>
      <c r="J123" s="930"/>
      <c r="K123" s="930"/>
      <c r="L123" s="930"/>
      <c r="M123" s="930"/>
      <c r="N123" s="930"/>
      <c r="O123" s="930"/>
      <c r="P123" s="930"/>
      <c r="Q123" s="930"/>
      <c r="R123" s="930"/>
      <c r="S123" s="930"/>
      <c r="T123" s="930"/>
      <c r="U123" s="930"/>
    </row>
    <row r="124" spans="1:21" ht="15" x14ac:dyDescent="0.2">
      <c r="A124" s="930"/>
      <c r="B124" s="244"/>
      <c r="C124" s="244"/>
      <c r="D124" s="244"/>
      <c r="E124" s="244"/>
      <c r="F124" s="930"/>
      <c r="G124" s="930"/>
      <c r="H124" s="930"/>
      <c r="I124" s="930"/>
      <c r="J124" s="930"/>
      <c r="K124" s="930"/>
      <c r="L124" s="930"/>
      <c r="M124" s="930"/>
      <c r="N124" s="930"/>
      <c r="O124" s="930"/>
      <c r="P124" s="930"/>
      <c r="Q124" s="930"/>
      <c r="R124" s="930"/>
      <c r="S124" s="930"/>
      <c r="T124" s="930"/>
      <c r="U124" s="930"/>
    </row>
    <row r="125" spans="1:21" ht="15" x14ac:dyDescent="0.2">
      <c r="A125" s="930"/>
      <c r="B125" s="244"/>
      <c r="C125" s="244"/>
      <c r="D125" s="244"/>
      <c r="E125" s="244"/>
      <c r="F125" s="930"/>
      <c r="G125" s="930"/>
      <c r="H125" s="930"/>
      <c r="I125" s="930"/>
      <c r="J125" s="930"/>
      <c r="K125" s="930"/>
      <c r="L125" s="930"/>
      <c r="M125" s="930"/>
      <c r="N125" s="930"/>
      <c r="O125" s="930"/>
      <c r="P125" s="930"/>
      <c r="Q125" s="930"/>
      <c r="R125" s="930"/>
      <c r="S125" s="930"/>
      <c r="T125" s="930"/>
      <c r="U125" s="930"/>
    </row>
    <row r="126" spans="1:21" ht="15" x14ac:dyDescent="0.2">
      <c r="A126" s="930"/>
      <c r="B126" s="244"/>
      <c r="C126" s="244"/>
      <c r="D126" s="244"/>
      <c r="E126" s="244"/>
      <c r="F126" s="930"/>
      <c r="G126" s="930"/>
      <c r="H126" s="930"/>
      <c r="I126" s="930"/>
      <c r="J126" s="930"/>
      <c r="K126" s="930"/>
      <c r="L126" s="930"/>
      <c r="M126" s="930"/>
      <c r="N126" s="930"/>
      <c r="O126" s="930"/>
      <c r="P126" s="930"/>
      <c r="Q126" s="930"/>
      <c r="R126" s="930"/>
      <c r="S126" s="930"/>
      <c r="T126" s="930"/>
      <c r="U126" s="930"/>
    </row>
    <row r="127" spans="1:21" ht="15" x14ac:dyDescent="0.2">
      <c r="A127" s="930"/>
      <c r="B127" s="244"/>
      <c r="C127" s="244"/>
      <c r="D127" s="244"/>
      <c r="E127" s="244"/>
      <c r="F127" s="930"/>
      <c r="G127" s="930"/>
      <c r="H127" s="930"/>
      <c r="I127" s="930"/>
      <c r="J127" s="930"/>
      <c r="K127" s="930"/>
      <c r="L127" s="930"/>
      <c r="M127" s="930"/>
      <c r="N127" s="930"/>
      <c r="O127" s="930"/>
      <c r="P127" s="930"/>
      <c r="Q127" s="930"/>
      <c r="R127" s="930"/>
      <c r="S127" s="930"/>
      <c r="T127" s="930"/>
      <c r="U127" s="930"/>
    </row>
    <row r="128" spans="1:21" ht="15" x14ac:dyDescent="0.2">
      <c r="A128" s="930"/>
      <c r="B128" s="244"/>
      <c r="C128" s="244"/>
      <c r="D128" s="244"/>
      <c r="E128" s="244"/>
      <c r="F128" s="930"/>
      <c r="G128" s="930"/>
      <c r="H128" s="930"/>
      <c r="I128" s="930"/>
      <c r="J128" s="930"/>
      <c r="K128" s="930"/>
      <c r="L128" s="930"/>
      <c r="M128" s="930"/>
      <c r="N128" s="930"/>
      <c r="O128" s="930"/>
      <c r="P128" s="930"/>
      <c r="Q128" s="930"/>
      <c r="R128" s="930"/>
      <c r="S128" s="930"/>
      <c r="T128" s="930"/>
      <c r="U128" s="930"/>
    </row>
    <row r="129" spans="1:21" ht="15" x14ac:dyDescent="0.2">
      <c r="A129" s="930"/>
      <c r="B129" s="244"/>
      <c r="C129" s="244"/>
      <c r="D129" s="244"/>
      <c r="E129" s="244"/>
      <c r="F129" s="930"/>
      <c r="G129" s="930"/>
      <c r="H129" s="930"/>
      <c r="I129" s="930"/>
      <c r="J129" s="930"/>
      <c r="K129" s="930"/>
      <c r="L129" s="930"/>
      <c r="M129" s="930"/>
      <c r="N129" s="930"/>
      <c r="O129" s="930"/>
      <c r="P129" s="930"/>
      <c r="Q129" s="930"/>
      <c r="R129" s="930"/>
      <c r="S129" s="930"/>
      <c r="T129" s="930"/>
      <c r="U129" s="930"/>
    </row>
    <row r="130" spans="1:21" ht="15" x14ac:dyDescent="0.2">
      <c r="A130" s="930"/>
      <c r="B130" s="244"/>
      <c r="C130" s="244"/>
      <c r="D130" s="244"/>
      <c r="E130" s="244"/>
      <c r="F130" s="930"/>
      <c r="G130" s="930"/>
      <c r="H130" s="930"/>
      <c r="I130" s="930"/>
      <c r="J130" s="930"/>
      <c r="K130" s="930"/>
      <c r="L130" s="930"/>
      <c r="M130" s="930"/>
      <c r="N130" s="930"/>
      <c r="O130" s="930"/>
      <c r="P130" s="930"/>
      <c r="Q130" s="930"/>
      <c r="R130" s="930"/>
      <c r="S130" s="930"/>
      <c r="T130" s="930"/>
      <c r="U130" s="930"/>
    </row>
    <row r="131" spans="1:21" ht="15" x14ac:dyDescent="0.2">
      <c r="A131" s="930"/>
      <c r="B131" s="244"/>
      <c r="C131" s="244"/>
      <c r="D131" s="244"/>
      <c r="E131" s="244"/>
      <c r="F131" s="930"/>
      <c r="G131" s="930"/>
      <c r="H131" s="930"/>
      <c r="I131" s="930"/>
      <c r="J131" s="930"/>
      <c r="K131" s="930"/>
      <c r="L131" s="930"/>
      <c r="M131" s="930"/>
      <c r="N131" s="930"/>
      <c r="O131" s="930"/>
      <c r="P131" s="930"/>
      <c r="Q131" s="930"/>
      <c r="R131" s="930"/>
      <c r="S131" s="930"/>
      <c r="T131" s="930"/>
      <c r="U131" s="930"/>
    </row>
    <row r="132" spans="1:21" ht="15" x14ac:dyDescent="0.2">
      <c r="A132" s="930"/>
      <c r="B132" s="244"/>
      <c r="C132" s="244"/>
      <c r="D132" s="244"/>
      <c r="E132" s="244"/>
      <c r="F132" s="930"/>
      <c r="G132" s="930"/>
      <c r="H132" s="930"/>
      <c r="I132" s="930"/>
      <c r="J132" s="930"/>
      <c r="K132" s="930"/>
      <c r="L132" s="930"/>
      <c r="M132" s="930"/>
      <c r="N132" s="930"/>
      <c r="O132" s="930"/>
      <c r="P132" s="930"/>
      <c r="Q132" s="930"/>
      <c r="R132" s="930"/>
      <c r="S132" s="930"/>
      <c r="T132" s="930"/>
      <c r="U132" s="930"/>
    </row>
    <row r="133" spans="1:21" ht="15" x14ac:dyDescent="0.2">
      <c r="A133" s="930"/>
      <c r="B133" s="244"/>
      <c r="C133" s="244"/>
      <c r="D133" s="244"/>
      <c r="E133" s="244"/>
      <c r="F133" s="930"/>
      <c r="G133" s="930"/>
      <c r="H133" s="930"/>
      <c r="I133" s="930"/>
      <c r="J133" s="930"/>
      <c r="K133" s="930"/>
      <c r="L133" s="930"/>
      <c r="M133" s="930"/>
      <c r="N133" s="930"/>
      <c r="O133" s="930"/>
      <c r="P133" s="930"/>
      <c r="Q133" s="930"/>
      <c r="R133" s="930"/>
      <c r="S133" s="930"/>
      <c r="T133" s="930"/>
      <c r="U133" s="930"/>
    </row>
    <row r="134" spans="1:21" ht="15" x14ac:dyDescent="0.2">
      <c r="A134" s="930"/>
      <c r="B134" s="244"/>
      <c r="C134" s="244"/>
      <c r="D134" s="244"/>
      <c r="E134" s="244"/>
      <c r="F134" s="930"/>
      <c r="G134" s="930"/>
      <c r="H134" s="930"/>
      <c r="I134" s="930"/>
      <c r="J134" s="930"/>
      <c r="K134" s="930"/>
      <c r="L134" s="930"/>
      <c r="M134" s="930"/>
      <c r="N134" s="930"/>
      <c r="O134" s="930"/>
      <c r="P134" s="930"/>
      <c r="Q134" s="930"/>
      <c r="R134" s="930"/>
      <c r="S134" s="930"/>
      <c r="T134" s="930"/>
      <c r="U134" s="930"/>
    </row>
    <row r="135" spans="1:21" ht="15" x14ac:dyDescent="0.2">
      <c r="A135" s="930"/>
      <c r="B135" s="244"/>
      <c r="C135" s="244"/>
      <c r="D135" s="244"/>
      <c r="E135" s="244"/>
      <c r="F135" s="930"/>
      <c r="G135" s="930"/>
      <c r="H135" s="930"/>
      <c r="I135" s="930"/>
      <c r="J135" s="930"/>
      <c r="K135" s="930"/>
      <c r="L135" s="930"/>
      <c r="M135" s="930"/>
      <c r="N135" s="930"/>
      <c r="O135" s="930"/>
      <c r="P135" s="930"/>
      <c r="Q135" s="930"/>
      <c r="R135" s="930"/>
      <c r="S135" s="930"/>
      <c r="T135" s="930"/>
      <c r="U135" s="930"/>
    </row>
    <row r="136" spans="1:21" ht="15" x14ac:dyDescent="0.2">
      <c r="A136" s="930"/>
      <c r="B136" s="244"/>
      <c r="C136" s="244"/>
      <c r="D136" s="244"/>
      <c r="E136" s="244"/>
      <c r="F136" s="930"/>
      <c r="G136" s="930"/>
      <c r="H136" s="930"/>
      <c r="I136" s="930"/>
      <c r="J136" s="930"/>
      <c r="K136" s="930"/>
      <c r="L136" s="930"/>
      <c r="M136" s="930"/>
      <c r="N136" s="930"/>
      <c r="O136" s="930"/>
      <c r="P136" s="930"/>
      <c r="Q136" s="930"/>
      <c r="R136" s="930"/>
      <c r="S136" s="930"/>
      <c r="T136" s="930"/>
      <c r="U136" s="930"/>
    </row>
    <row r="137" spans="1:21" ht="15" x14ac:dyDescent="0.2">
      <c r="A137" s="930"/>
      <c r="B137" s="244"/>
      <c r="C137" s="244"/>
      <c r="D137" s="244"/>
      <c r="E137" s="244"/>
      <c r="F137" s="930"/>
      <c r="G137" s="930"/>
      <c r="H137" s="930"/>
      <c r="I137" s="930"/>
      <c r="J137" s="930"/>
      <c r="K137" s="930"/>
      <c r="L137" s="930"/>
      <c r="M137" s="930"/>
      <c r="N137" s="930"/>
      <c r="O137" s="930"/>
      <c r="P137" s="930"/>
      <c r="Q137" s="930"/>
      <c r="R137" s="930"/>
      <c r="S137" s="930"/>
      <c r="T137" s="930"/>
      <c r="U137" s="930"/>
    </row>
    <row r="138" spans="1:21" ht="15" x14ac:dyDescent="0.2">
      <c r="A138" s="930"/>
      <c r="B138" s="244"/>
      <c r="C138" s="244"/>
      <c r="D138" s="244"/>
      <c r="E138" s="244"/>
      <c r="F138" s="930"/>
      <c r="G138" s="930"/>
      <c r="H138" s="930"/>
      <c r="I138" s="930"/>
      <c r="J138" s="930"/>
      <c r="K138" s="930"/>
      <c r="L138" s="930"/>
      <c r="M138" s="930"/>
      <c r="N138" s="930"/>
      <c r="O138" s="930"/>
      <c r="P138" s="930"/>
      <c r="Q138" s="930"/>
      <c r="R138" s="930"/>
      <c r="S138" s="930"/>
      <c r="T138" s="930"/>
      <c r="U138" s="930"/>
    </row>
    <row r="139" spans="1:21" ht="15" x14ac:dyDescent="0.2">
      <c r="A139" s="930"/>
      <c r="B139" s="244"/>
      <c r="C139" s="244"/>
      <c r="D139" s="244"/>
      <c r="E139" s="244"/>
      <c r="F139" s="930"/>
      <c r="G139" s="930"/>
      <c r="H139" s="930"/>
      <c r="I139" s="930"/>
      <c r="J139" s="930"/>
      <c r="K139" s="930"/>
      <c r="L139" s="930"/>
      <c r="M139" s="930"/>
      <c r="N139" s="930"/>
      <c r="O139" s="930"/>
      <c r="P139" s="930"/>
      <c r="Q139" s="930"/>
      <c r="R139" s="930"/>
      <c r="S139" s="930"/>
      <c r="T139" s="930"/>
      <c r="U139" s="930"/>
    </row>
    <row r="140" spans="1:21" ht="15" x14ac:dyDescent="0.2">
      <c r="A140" s="930"/>
      <c r="B140" s="244"/>
      <c r="C140" s="244"/>
      <c r="D140" s="244"/>
      <c r="E140" s="244"/>
      <c r="F140" s="930"/>
      <c r="G140" s="930"/>
      <c r="H140" s="930"/>
      <c r="I140" s="930"/>
      <c r="J140" s="930"/>
      <c r="K140" s="930"/>
      <c r="L140" s="930"/>
      <c r="M140" s="930"/>
      <c r="N140" s="930"/>
      <c r="O140" s="930"/>
      <c r="P140" s="930"/>
      <c r="Q140" s="930"/>
      <c r="R140" s="930"/>
      <c r="S140" s="930"/>
      <c r="T140" s="930"/>
      <c r="U140" s="930"/>
    </row>
    <row r="141" spans="1:21" ht="15" x14ac:dyDescent="0.2">
      <c r="A141" s="930"/>
      <c r="B141" s="244"/>
      <c r="C141" s="244"/>
      <c r="D141" s="244"/>
      <c r="E141" s="244"/>
      <c r="F141" s="930"/>
      <c r="G141" s="930"/>
      <c r="H141" s="930"/>
      <c r="I141" s="930"/>
      <c r="J141" s="930"/>
      <c r="K141" s="930"/>
      <c r="L141" s="930"/>
      <c r="M141" s="930"/>
      <c r="N141" s="930"/>
      <c r="O141" s="930"/>
      <c r="P141" s="930"/>
      <c r="Q141" s="930"/>
      <c r="R141" s="930"/>
      <c r="S141" s="930"/>
      <c r="T141" s="930"/>
      <c r="U141" s="930"/>
    </row>
    <row r="142" spans="1:21" ht="15" x14ac:dyDescent="0.2">
      <c r="A142" s="930"/>
      <c r="B142" s="244"/>
      <c r="C142" s="244"/>
      <c r="D142" s="244"/>
      <c r="E142" s="244"/>
      <c r="F142" s="930"/>
      <c r="G142" s="930"/>
      <c r="H142" s="930"/>
      <c r="I142" s="930"/>
      <c r="J142" s="930"/>
      <c r="K142" s="930"/>
      <c r="L142" s="930"/>
      <c r="M142" s="930"/>
      <c r="N142" s="930"/>
      <c r="O142" s="930"/>
      <c r="P142" s="930"/>
      <c r="Q142" s="930"/>
      <c r="R142" s="930"/>
      <c r="S142" s="930"/>
      <c r="T142" s="930"/>
      <c r="U142" s="930"/>
    </row>
    <row r="143" spans="1:21" ht="15" x14ac:dyDescent="0.2">
      <c r="A143" s="930"/>
      <c r="B143" s="244"/>
      <c r="C143" s="244"/>
      <c r="D143" s="244"/>
      <c r="E143" s="244"/>
      <c r="F143" s="930"/>
      <c r="G143" s="930"/>
      <c r="H143" s="930"/>
      <c r="I143" s="930"/>
      <c r="J143" s="930"/>
      <c r="K143" s="930"/>
      <c r="L143" s="930"/>
      <c r="M143" s="930"/>
      <c r="N143" s="930"/>
      <c r="O143" s="930"/>
      <c r="P143" s="930"/>
      <c r="Q143" s="930"/>
      <c r="R143" s="930"/>
      <c r="S143" s="930"/>
      <c r="T143" s="930"/>
      <c r="U143" s="930"/>
    </row>
    <row r="144" spans="1:21" ht="15" x14ac:dyDescent="0.2">
      <c r="A144" s="930"/>
      <c r="B144" s="244"/>
      <c r="C144" s="244"/>
      <c r="D144" s="244"/>
      <c r="E144" s="244"/>
      <c r="F144" s="930"/>
      <c r="G144" s="930"/>
      <c r="H144" s="930"/>
      <c r="I144" s="930"/>
      <c r="J144" s="930"/>
      <c r="K144" s="930"/>
      <c r="L144" s="930"/>
      <c r="M144" s="930"/>
      <c r="N144" s="930"/>
      <c r="O144" s="930"/>
      <c r="P144" s="930"/>
      <c r="Q144" s="930"/>
      <c r="R144" s="930"/>
      <c r="S144" s="930"/>
      <c r="T144" s="930"/>
      <c r="U144" s="930"/>
    </row>
    <row r="145" spans="1:21" ht="15" x14ac:dyDescent="0.2">
      <c r="A145" s="930"/>
      <c r="B145" s="244"/>
      <c r="C145" s="244"/>
      <c r="D145" s="244"/>
      <c r="E145" s="244"/>
      <c r="F145" s="930"/>
      <c r="G145" s="930"/>
      <c r="H145" s="930"/>
      <c r="I145" s="930"/>
      <c r="J145" s="930"/>
      <c r="K145" s="930"/>
      <c r="L145" s="930"/>
      <c r="M145" s="930"/>
      <c r="N145" s="930"/>
      <c r="O145" s="930"/>
      <c r="P145" s="930"/>
      <c r="Q145" s="930"/>
      <c r="R145" s="930"/>
      <c r="S145" s="930"/>
      <c r="T145" s="930"/>
      <c r="U145" s="930"/>
    </row>
    <row r="146" spans="1:21" ht="15" x14ac:dyDescent="0.2">
      <c r="A146" s="930"/>
      <c r="B146" s="244"/>
      <c r="C146" s="244"/>
      <c r="D146" s="244"/>
      <c r="E146" s="244"/>
      <c r="F146" s="930"/>
      <c r="G146" s="930"/>
      <c r="H146" s="930"/>
      <c r="I146" s="930"/>
      <c r="J146" s="930"/>
      <c r="K146" s="930"/>
      <c r="L146" s="930"/>
      <c r="M146" s="930"/>
      <c r="N146" s="930"/>
      <c r="O146" s="930"/>
      <c r="P146" s="930"/>
      <c r="Q146" s="930"/>
      <c r="R146" s="930"/>
      <c r="S146" s="930"/>
      <c r="T146" s="930"/>
      <c r="U146" s="930"/>
    </row>
    <row r="147" spans="1:21" ht="15" x14ac:dyDescent="0.2">
      <c r="A147" s="930"/>
      <c r="B147" s="244"/>
      <c r="C147" s="244"/>
      <c r="D147" s="244"/>
      <c r="E147" s="244"/>
      <c r="F147" s="930"/>
      <c r="G147" s="930"/>
      <c r="H147" s="930"/>
      <c r="I147" s="930"/>
      <c r="J147" s="930"/>
      <c r="K147" s="930"/>
      <c r="L147" s="930"/>
      <c r="M147" s="930"/>
      <c r="N147" s="930"/>
      <c r="O147" s="930"/>
      <c r="P147" s="930"/>
      <c r="Q147" s="930"/>
      <c r="R147" s="930"/>
      <c r="S147" s="930"/>
      <c r="T147" s="930"/>
      <c r="U147" s="930"/>
    </row>
    <row r="148" spans="1:21" ht="15" x14ac:dyDescent="0.2">
      <c r="A148" s="930"/>
      <c r="B148" s="244"/>
      <c r="C148" s="244"/>
      <c r="D148" s="244"/>
      <c r="E148" s="244"/>
      <c r="F148" s="930"/>
      <c r="G148" s="930"/>
      <c r="H148" s="930"/>
      <c r="I148" s="930"/>
      <c r="J148" s="930"/>
      <c r="K148" s="930"/>
      <c r="L148" s="930"/>
      <c r="M148" s="930"/>
      <c r="N148" s="930"/>
      <c r="O148" s="930"/>
      <c r="P148" s="930"/>
      <c r="Q148" s="930"/>
      <c r="R148" s="930"/>
      <c r="S148" s="930"/>
      <c r="T148" s="930"/>
      <c r="U148" s="930"/>
    </row>
    <row r="149" spans="1:21" ht="15" x14ac:dyDescent="0.2">
      <c r="A149" s="930"/>
      <c r="B149" s="244"/>
      <c r="C149" s="244"/>
      <c r="D149" s="244"/>
      <c r="E149" s="244"/>
      <c r="F149" s="930"/>
      <c r="G149" s="930"/>
      <c r="H149" s="930"/>
      <c r="I149" s="930"/>
      <c r="J149" s="930"/>
      <c r="K149" s="930"/>
      <c r="L149" s="930"/>
      <c r="M149" s="930"/>
      <c r="N149" s="930"/>
      <c r="O149" s="930"/>
      <c r="P149" s="930"/>
      <c r="Q149" s="930"/>
      <c r="R149" s="930"/>
      <c r="S149" s="930"/>
      <c r="T149" s="930"/>
      <c r="U149" s="930"/>
    </row>
    <row r="150" spans="1:21" ht="15" x14ac:dyDescent="0.2">
      <c r="A150" s="930"/>
      <c r="B150" s="244"/>
      <c r="C150" s="244"/>
      <c r="D150" s="244"/>
      <c r="E150" s="244"/>
      <c r="F150" s="930"/>
      <c r="G150" s="930"/>
      <c r="H150" s="930"/>
      <c r="I150" s="930"/>
      <c r="J150" s="930"/>
      <c r="K150" s="930"/>
      <c r="L150" s="930"/>
      <c r="M150" s="930"/>
      <c r="N150" s="930"/>
      <c r="O150" s="930"/>
      <c r="P150" s="930"/>
      <c r="Q150" s="930"/>
      <c r="R150" s="930"/>
      <c r="S150" s="930"/>
      <c r="T150" s="930"/>
      <c r="U150" s="930"/>
    </row>
    <row r="151" spans="1:21" ht="15" x14ac:dyDescent="0.2">
      <c r="A151" s="930"/>
      <c r="B151" s="244"/>
      <c r="C151" s="244"/>
      <c r="D151" s="244"/>
      <c r="E151" s="244"/>
      <c r="F151" s="930"/>
      <c r="G151" s="930"/>
      <c r="H151" s="930"/>
      <c r="I151" s="930"/>
      <c r="J151" s="930"/>
      <c r="K151" s="930"/>
      <c r="L151" s="930"/>
      <c r="M151" s="930"/>
      <c r="N151" s="930"/>
      <c r="O151" s="930"/>
      <c r="P151" s="930"/>
      <c r="Q151" s="930"/>
      <c r="R151" s="930"/>
      <c r="S151" s="930"/>
      <c r="T151" s="930"/>
      <c r="U151" s="930"/>
    </row>
    <row r="152" spans="1:21" ht="15" x14ac:dyDescent="0.2">
      <c r="A152" s="930"/>
      <c r="B152" s="244"/>
      <c r="C152" s="244"/>
      <c r="D152" s="244"/>
      <c r="E152" s="244"/>
      <c r="F152" s="930"/>
      <c r="G152" s="930"/>
      <c r="H152" s="930"/>
      <c r="I152" s="930"/>
      <c r="J152" s="930"/>
      <c r="K152" s="930"/>
      <c r="L152" s="930"/>
      <c r="M152" s="930"/>
      <c r="N152" s="930"/>
      <c r="O152" s="930"/>
      <c r="P152" s="930"/>
      <c r="Q152" s="930"/>
      <c r="R152" s="930"/>
      <c r="S152" s="930"/>
      <c r="T152" s="930"/>
      <c r="U152" s="930"/>
    </row>
    <row r="153" spans="1:21" ht="15" x14ac:dyDescent="0.2">
      <c r="A153" s="930"/>
      <c r="B153" s="244"/>
      <c r="C153" s="244"/>
      <c r="D153" s="244"/>
      <c r="E153" s="244"/>
      <c r="F153" s="930"/>
      <c r="G153" s="930"/>
      <c r="H153" s="930"/>
      <c r="I153" s="930"/>
      <c r="J153" s="930"/>
      <c r="K153" s="930"/>
      <c r="L153" s="930"/>
      <c r="M153" s="930"/>
      <c r="N153" s="930"/>
      <c r="O153" s="930"/>
      <c r="P153" s="930"/>
      <c r="Q153" s="930"/>
      <c r="R153" s="930"/>
      <c r="S153" s="930"/>
      <c r="T153" s="930"/>
      <c r="U153" s="930"/>
    </row>
    <row r="154" spans="1:21" ht="15" x14ac:dyDescent="0.2">
      <c r="A154" s="930"/>
      <c r="B154" s="244"/>
      <c r="C154" s="244"/>
      <c r="D154" s="244"/>
      <c r="E154" s="244"/>
      <c r="F154" s="930"/>
      <c r="G154" s="930"/>
      <c r="H154" s="930"/>
      <c r="I154" s="930"/>
      <c r="J154" s="930"/>
      <c r="K154" s="930"/>
      <c r="L154" s="930"/>
      <c r="M154" s="930"/>
      <c r="N154" s="930"/>
      <c r="O154" s="930"/>
      <c r="P154" s="930"/>
      <c r="Q154" s="930"/>
      <c r="R154" s="930"/>
      <c r="S154" s="930"/>
      <c r="T154" s="930"/>
      <c r="U154" s="930"/>
    </row>
    <row r="155" spans="1:21" ht="15" x14ac:dyDescent="0.2">
      <c r="A155" s="930"/>
      <c r="B155" s="244"/>
      <c r="C155" s="244"/>
      <c r="D155" s="244"/>
      <c r="E155" s="244"/>
      <c r="F155" s="930"/>
      <c r="G155" s="930"/>
      <c r="H155" s="930"/>
      <c r="I155" s="930"/>
      <c r="J155" s="930"/>
      <c r="K155" s="930"/>
      <c r="L155" s="930"/>
      <c r="M155" s="930"/>
      <c r="N155" s="930"/>
      <c r="O155" s="930"/>
      <c r="P155" s="930"/>
      <c r="Q155" s="930"/>
      <c r="R155" s="930"/>
      <c r="S155" s="930"/>
      <c r="T155" s="930"/>
      <c r="U155" s="930"/>
    </row>
    <row r="156" spans="1:21" ht="15" x14ac:dyDescent="0.2">
      <c r="A156" s="930"/>
      <c r="B156" s="244"/>
      <c r="C156" s="244"/>
      <c r="D156" s="244"/>
      <c r="E156" s="244"/>
      <c r="F156" s="930"/>
      <c r="G156" s="930"/>
      <c r="H156" s="930"/>
      <c r="I156" s="930"/>
      <c r="J156" s="930"/>
      <c r="K156" s="930"/>
      <c r="L156" s="930"/>
      <c r="M156" s="930"/>
      <c r="N156" s="930"/>
      <c r="O156" s="930"/>
      <c r="P156" s="930"/>
      <c r="Q156" s="930"/>
      <c r="R156" s="930"/>
      <c r="S156" s="930"/>
      <c r="T156" s="930"/>
      <c r="U156" s="930"/>
    </row>
    <row r="157" spans="1:21" ht="15" x14ac:dyDescent="0.2">
      <c r="A157" s="930"/>
      <c r="B157" s="244"/>
      <c r="C157" s="244"/>
      <c r="D157" s="244"/>
      <c r="E157" s="244"/>
      <c r="F157" s="930"/>
      <c r="G157" s="930"/>
      <c r="H157" s="930"/>
      <c r="I157" s="930"/>
      <c r="J157" s="930"/>
      <c r="K157" s="930"/>
      <c r="L157" s="930"/>
      <c r="M157" s="930"/>
      <c r="N157" s="930"/>
      <c r="O157" s="930"/>
      <c r="P157" s="930"/>
      <c r="Q157" s="930"/>
      <c r="R157" s="930"/>
      <c r="S157" s="930"/>
      <c r="T157" s="930"/>
      <c r="U157" s="930"/>
    </row>
    <row r="158" spans="1:21" ht="15" x14ac:dyDescent="0.2">
      <c r="A158" s="930"/>
      <c r="B158" s="244"/>
      <c r="C158" s="244"/>
      <c r="D158" s="244"/>
      <c r="E158" s="244"/>
      <c r="F158" s="930"/>
      <c r="G158" s="930"/>
      <c r="H158" s="930"/>
      <c r="I158" s="930"/>
      <c r="J158" s="930"/>
      <c r="K158" s="930"/>
      <c r="L158" s="930"/>
      <c r="M158" s="930"/>
      <c r="N158" s="930"/>
      <c r="O158" s="930"/>
      <c r="P158" s="930"/>
      <c r="Q158" s="930"/>
      <c r="R158" s="930"/>
      <c r="S158" s="930"/>
      <c r="T158" s="930"/>
      <c r="U158" s="930"/>
    </row>
    <row r="159" spans="1:21" ht="15" x14ac:dyDescent="0.2">
      <c r="A159" s="930"/>
      <c r="B159" s="244"/>
      <c r="C159" s="244"/>
      <c r="D159" s="244"/>
      <c r="E159" s="244"/>
      <c r="F159" s="930"/>
      <c r="G159" s="930"/>
      <c r="H159" s="930"/>
      <c r="I159" s="930"/>
      <c r="J159" s="930"/>
      <c r="K159" s="930"/>
      <c r="L159" s="930"/>
      <c r="M159" s="930"/>
      <c r="N159" s="930"/>
      <c r="O159" s="930"/>
      <c r="P159" s="930"/>
      <c r="Q159" s="930"/>
      <c r="R159" s="930"/>
      <c r="S159" s="930"/>
      <c r="T159" s="930"/>
      <c r="U159" s="930"/>
    </row>
    <row r="160" spans="1:21" ht="15" x14ac:dyDescent="0.2">
      <c r="A160" s="930"/>
      <c r="B160" s="244"/>
      <c r="C160" s="244"/>
      <c r="D160" s="244"/>
      <c r="E160" s="244"/>
      <c r="F160" s="930"/>
      <c r="G160" s="930"/>
      <c r="H160" s="930"/>
      <c r="I160" s="930"/>
      <c r="J160" s="930"/>
      <c r="K160" s="930"/>
      <c r="L160" s="930"/>
      <c r="M160" s="930"/>
      <c r="N160" s="930"/>
      <c r="O160" s="930"/>
      <c r="P160" s="930"/>
      <c r="Q160" s="930"/>
      <c r="R160" s="930"/>
      <c r="S160" s="930"/>
      <c r="T160" s="930"/>
      <c r="U160" s="930"/>
    </row>
    <row r="161" spans="1:21" ht="15" x14ac:dyDescent="0.2">
      <c r="A161" s="930"/>
      <c r="B161" s="244"/>
      <c r="C161" s="244"/>
      <c r="D161" s="244"/>
      <c r="E161" s="244"/>
      <c r="F161" s="930"/>
      <c r="G161" s="930"/>
      <c r="H161" s="930"/>
      <c r="I161" s="930"/>
      <c r="J161" s="930"/>
      <c r="K161" s="930"/>
      <c r="L161" s="930"/>
      <c r="M161" s="930"/>
      <c r="N161" s="930"/>
      <c r="O161" s="930"/>
      <c r="P161" s="930"/>
      <c r="Q161" s="930"/>
      <c r="R161" s="930"/>
      <c r="S161" s="930"/>
      <c r="T161" s="930"/>
      <c r="U161" s="930"/>
    </row>
    <row r="162" spans="1:21" ht="15" x14ac:dyDescent="0.2">
      <c r="A162" s="930"/>
      <c r="B162" s="244"/>
      <c r="C162" s="244"/>
      <c r="D162" s="244"/>
      <c r="E162" s="244"/>
      <c r="F162" s="930"/>
      <c r="G162" s="930"/>
      <c r="H162" s="930"/>
      <c r="I162" s="930"/>
      <c r="J162" s="930"/>
      <c r="K162" s="930"/>
      <c r="L162" s="930"/>
      <c r="M162" s="930"/>
      <c r="N162" s="930"/>
      <c r="O162" s="930"/>
      <c r="P162" s="930"/>
      <c r="Q162" s="930"/>
      <c r="R162" s="930"/>
      <c r="S162" s="930"/>
      <c r="T162" s="930"/>
      <c r="U162" s="930"/>
    </row>
    <row r="163" spans="1:21" ht="15" x14ac:dyDescent="0.2">
      <c r="A163" s="930"/>
      <c r="B163" s="244"/>
      <c r="C163" s="244"/>
      <c r="D163" s="244"/>
      <c r="E163" s="244"/>
      <c r="F163" s="930"/>
      <c r="G163" s="930"/>
      <c r="H163" s="930"/>
      <c r="I163" s="930"/>
      <c r="J163" s="930"/>
      <c r="K163" s="930"/>
      <c r="L163" s="930"/>
      <c r="M163" s="930"/>
      <c r="N163" s="930"/>
      <c r="O163" s="930"/>
      <c r="P163" s="930"/>
      <c r="Q163" s="930"/>
      <c r="R163" s="930"/>
      <c r="S163" s="930"/>
      <c r="T163" s="930"/>
      <c r="U163" s="930"/>
    </row>
    <row r="164" spans="1:21" ht="15" x14ac:dyDescent="0.2">
      <c r="A164" s="930"/>
      <c r="B164" s="244"/>
      <c r="C164" s="244"/>
      <c r="D164" s="244"/>
      <c r="E164" s="244"/>
      <c r="F164" s="930"/>
      <c r="G164" s="930"/>
      <c r="H164" s="930"/>
      <c r="I164" s="930"/>
      <c r="J164" s="930"/>
      <c r="K164" s="930"/>
      <c r="L164" s="930"/>
      <c r="M164" s="930"/>
      <c r="N164" s="930"/>
      <c r="O164" s="930"/>
      <c r="P164" s="930"/>
      <c r="Q164" s="930"/>
      <c r="R164" s="930"/>
      <c r="S164" s="930"/>
      <c r="T164" s="930"/>
      <c r="U164" s="930"/>
    </row>
    <row r="165" spans="1:21" ht="15" x14ac:dyDescent="0.2">
      <c r="A165" s="930"/>
      <c r="B165" s="244"/>
      <c r="C165" s="244"/>
      <c r="D165" s="244"/>
      <c r="E165" s="244"/>
      <c r="F165" s="930"/>
      <c r="G165" s="930"/>
      <c r="H165" s="930"/>
      <c r="I165" s="930"/>
      <c r="J165" s="930"/>
      <c r="K165" s="930"/>
      <c r="L165" s="930"/>
      <c r="M165" s="930"/>
      <c r="N165" s="930"/>
      <c r="O165" s="930"/>
      <c r="P165" s="930"/>
      <c r="Q165" s="930"/>
      <c r="R165" s="930"/>
      <c r="S165" s="930"/>
      <c r="T165" s="930"/>
      <c r="U165" s="930"/>
    </row>
    <row r="166" spans="1:21" ht="15" x14ac:dyDescent="0.2">
      <c r="A166" s="930"/>
      <c r="B166" s="244"/>
      <c r="C166" s="244"/>
      <c r="D166" s="244"/>
      <c r="E166" s="244"/>
      <c r="F166" s="930"/>
      <c r="G166" s="930"/>
      <c r="H166" s="930"/>
      <c r="I166" s="930"/>
      <c r="J166" s="930"/>
      <c r="K166" s="930"/>
      <c r="L166" s="930"/>
      <c r="M166" s="930"/>
      <c r="N166" s="930"/>
      <c r="O166" s="930"/>
      <c r="P166" s="930"/>
      <c r="Q166" s="930"/>
      <c r="R166" s="930"/>
      <c r="S166" s="930"/>
      <c r="T166" s="930"/>
      <c r="U166" s="930"/>
    </row>
    <row r="167" spans="1:21" ht="15" x14ac:dyDescent="0.2">
      <c r="A167" s="930"/>
      <c r="B167" s="244"/>
      <c r="C167" s="244"/>
      <c r="D167" s="244"/>
      <c r="E167" s="244"/>
      <c r="F167" s="930"/>
      <c r="G167" s="930"/>
      <c r="H167" s="930"/>
      <c r="I167" s="930"/>
      <c r="J167" s="930"/>
      <c r="K167" s="930"/>
      <c r="L167" s="930"/>
      <c r="M167" s="930"/>
      <c r="N167" s="930"/>
      <c r="O167" s="930"/>
      <c r="P167" s="930"/>
      <c r="Q167" s="930"/>
      <c r="R167" s="930"/>
      <c r="S167" s="930"/>
      <c r="T167" s="930"/>
      <c r="U167" s="930"/>
    </row>
    <row r="168" spans="1:21" ht="15" x14ac:dyDescent="0.2">
      <c r="A168" s="930"/>
      <c r="B168" s="244"/>
      <c r="C168" s="244"/>
      <c r="D168" s="244"/>
      <c r="E168" s="244"/>
      <c r="F168" s="930"/>
      <c r="G168" s="930"/>
      <c r="H168" s="930"/>
      <c r="I168" s="930"/>
      <c r="J168" s="930"/>
      <c r="K168" s="930"/>
      <c r="L168" s="930"/>
      <c r="M168" s="930"/>
      <c r="N168" s="930"/>
      <c r="O168" s="930"/>
      <c r="P168" s="930"/>
      <c r="Q168" s="930"/>
      <c r="R168" s="930"/>
      <c r="S168" s="930"/>
      <c r="T168" s="930"/>
      <c r="U168" s="930"/>
    </row>
    <row r="169" spans="1:21" ht="15" x14ac:dyDescent="0.2">
      <c r="A169" s="930"/>
      <c r="B169" s="244"/>
      <c r="C169" s="244"/>
      <c r="D169" s="244"/>
      <c r="E169" s="244"/>
      <c r="F169" s="930"/>
      <c r="G169" s="930"/>
      <c r="H169" s="930"/>
      <c r="I169" s="930"/>
      <c r="J169" s="930"/>
      <c r="K169" s="930"/>
      <c r="L169" s="930"/>
      <c r="M169" s="930"/>
      <c r="N169" s="930"/>
      <c r="O169" s="930"/>
      <c r="P169" s="930"/>
      <c r="Q169" s="930"/>
      <c r="R169" s="930"/>
      <c r="S169" s="930"/>
      <c r="T169" s="930"/>
      <c r="U169" s="930"/>
    </row>
    <row r="170" spans="1:21" ht="15" x14ac:dyDescent="0.2">
      <c r="A170" s="930"/>
      <c r="B170" s="244"/>
      <c r="C170" s="244"/>
      <c r="D170" s="244"/>
      <c r="E170" s="244"/>
      <c r="F170" s="930"/>
      <c r="G170" s="930"/>
      <c r="H170" s="930"/>
      <c r="I170" s="930"/>
      <c r="J170" s="930"/>
      <c r="K170" s="930"/>
      <c r="L170" s="930"/>
      <c r="M170" s="930"/>
      <c r="N170" s="930"/>
      <c r="O170" s="930"/>
      <c r="P170" s="930"/>
      <c r="Q170" s="930"/>
      <c r="R170" s="930"/>
      <c r="S170" s="930"/>
      <c r="T170" s="930"/>
      <c r="U170" s="930"/>
    </row>
    <row r="171" spans="1:21" ht="15" x14ac:dyDescent="0.2">
      <c r="A171" s="930"/>
      <c r="B171" s="244"/>
      <c r="C171" s="244"/>
      <c r="D171" s="244"/>
      <c r="E171" s="244"/>
      <c r="F171" s="930"/>
      <c r="G171" s="930"/>
      <c r="H171" s="930"/>
      <c r="I171" s="930"/>
      <c r="J171" s="930"/>
      <c r="K171" s="930"/>
      <c r="L171" s="930"/>
      <c r="M171" s="930"/>
      <c r="N171" s="930"/>
      <c r="O171" s="930"/>
      <c r="P171" s="930"/>
      <c r="Q171" s="930"/>
      <c r="R171" s="930"/>
      <c r="S171" s="930"/>
      <c r="T171" s="930"/>
      <c r="U171" s="930"/>
    </row>
    <row r="172" spans="1:21" ht="15" x14ac:dyDescent="0.2">
      <c r="A172" s="930"/>
      <c r="B172" s="244"/>
      <c r="C172" s="244"/>
      <c r="D172" s="244"/>
      <c r="E172" s="244"/>
      <c r="F172" s="930"/>
      <c r="G172" s="930"/>
      <c r="H172" s="930"/>
      <c r="I172" s="930"/>
      <c r="J172" s="930"/>
      <c r="K172" s="930"/>
      <c r="L172" s="930"/>
      <c r="M172" s="930"/>
      <c r="N172" s="930"/>
      <c r="O172" s="930"/>
      <c r="P172" s="930"/>
      <c r="Q172" s="930"/>
      <c r="R172" s="930"/>
      <c r="S172" s="930"/>
      <c r="T172" s="930"/>
      <c r="U172" s="930"/>
    </row>
    <row r="173" spans="1:21" ht="15" x14ac:dyDescent="0.2">
      <c r="A173" s="930"/>
      <c r="B173" s="244"/>
      <c r="C173" s="244"/>
      <c r="D173" s="244"/>
      <c r="E173" s="244"/>
      <c r="F173" s="930"/>
      <c r="G173" s="930"/>
      <c r="H173" s="930"/>
      <c r="I173" s="930"/>
      <c r="J173" s="930"/>
      <c r="K173" s="930"/>
      <c r="L173" s="930"/>
      <c r="M173" s="930"/>
      <c r="N173" s="930"/>
      <c r="O173" s="930"/>
      <c r="P173" s="930"/>
      <c r="Q173" s="930"/>
      <c r="R173" s="930"/>
      <c r="S173" s="930"/>
      <c r="T173" s="930"/>
      <c r="U173" s="930"/>
    </row>
    <row r="174" spans="1:21" ht="15" x14ac:dyDescent="0.2">
      <c r="A174" s="930"/>
      <c r="B174" s="244"/>
      <c r="C174" s="244"/>
      <c r="D174" s="244"/>
      <c r="E174" s="244"/>
      <c r="F174" s="930"/>
      <c r="G174" s="930"/>
      <c r="H174" s="930"/>
      <c r="I174" s="930"/>
      <c r="J174" s="930"/>
      <c r="K174" s="930"/>
      <c r="L174" s="930"/>
      <c r="M174" s="930"/>
      <c r="N174" s="930"/>
      <c r="O174" s="930"/>
      <c r="P174" s="930"/>
      <c r="Q174" s="930"/>
      <c r="R174" s="930"/>
      <c r="S174" s="930"/>
      <c r="T174" s="930"/>
      <c r="U174" s="930"/>
    </row>
    <row r="175" spans="1:21" ht="15" x14ac:dyDescent="0.2">
      <c r="A175" s="930"/>
      <c r="B175" s="244"/>
      <c r="C175" s="244"/>
      <c r="D175" s="244"/>
      <c r="E175" s="244"/>
      <c r="F175" s="930"/>
      <c r="G175" s="930"/>
      <c r="H175" s="930"/>
      <c r="I175" s="930"/>
      <c r="J175" s="930"/>
      <c r="K175" s="930"/>
      <c r="L175" s="930"/>
      <c r="M175" s="930"/>
      <c r="N175" s="930"/>
      <c r="O175" s="930"/>
      <c r="P175" s="930"/>
      <c r="Q175" s="930"/>
      <c r="R175" s="930"/>
      <c r="S175" s="930"/>
      <c r="T175" s="930"/>
      <c r="U175" s="930"/>
    </row>
    <row r="176" spans="1:21" ht="15" x14ac:dyDescent="0.2">
      <c r="A176" s="930"/>
      <c r="B176" s="244"/>
      <c r="C176" s="244"/>
      <c r="D176" s="244"/>
      <c r="E176" s="244"/>
      <c r="F176" s="930"/>
      <c r="G176" s="930"/>
      <c r="H176" s="930"/>
      <c r="I176" s="930"/>
      <c r="J176" s="930"/>
      <c r="K176" s="930"/>
      <c r="L176" s="930"/>
      <c r="M176" s="930"/>
      <c r="N176" s="930"/>
      <c r="O176" s="930"/>
      <c r="P176" s="930"/>
      <c r="Q176" s="930"/>
      <c r="R176" s="930"/>
      <c r="S176" s="930"/>
      <c r="T176" s="930"/>
      <c r="U176" s="930"/>
    </row>
    <row r="177" spans="1:21" ht="15" x14ac:dyDescent="0.2">
      <c r="A177" s="930"/>
      <c r="B177" s="244"/>
      <c r="C177" s="244"/>
      <c r="D177" s="244"/>
      <c r="E177" s="244"/>
      <c r="F177" s="930"/>
      <c r="G177" s="930"/>
      <c r="H177" s="930"/>
      <c r="I177" s="930"/>
      <c r="J177" s="930"/>
      <c r="K177" s="930"/>
      <c r="L177" s="930"/>
      <c r="M177" s="930"/>
      <c r="N177" s="930"/>
      <c r="O177" s="930"/>
      <c r="P177" s="930"/>
      <c r="Q177" s="930"/>
      <c r="R177" s="930"/>
      <c r="S177" s="930"/>
      <c r="T177" s="930"/>
      <c r="U177" s="930"/>
    </row>
    <row r="178" spans="1:21" ht="15" x14ac:dyDescent="0.2">
      <c r="A178" s="930"/>
      <c r="B178" s="244"/>
      <c r="C178" s="244"/>
      <c r="D178" s="244"/>
      <c r="E178" s="244"/>
      <c r="F178" s="930"/>
      <c r="G178" s="930"/>
      <c r="H178" s="930"/>
      <c r="I178" s="930"/>
      <c r="J178" s="930"/>
      <c r="K178" s="930"/>
      <c r="L178" s="930"/>
      <c r="M178" s="930"/>
      <c r="N178" s="930"/>
      <c r="O178" s="930"/>
      <c r="P178" s="930"/>
      <c r="Q178" s="930"/>
      <c r="R178" s="930"/>
      <c r="S178" s="930"/>
      <c r="T178" s="930"/>
      <c r="U178" s="930"/>
    </row>
    <row r="179" spans="1:21" ht="15" x14ac:dyDescent="0.2">
      <c r="A179" s="930"/>
      <c r="B179" s="930"/>
      <c r="C179" s="930"/>
      <c r="D179" s="930"/>
      <c r="E179" s="930"/>
      <c r="F179" s="930"/>
      <c r="G179" s="930"/>
      <c r="H179" s="930"/>
      <c r="I179" s="930"/>
      <c r="J179" s="930"/>
      <c r="K179" s="930"/>
      <c r="L179" s="930"/>
      <c r="M179" s="930"/>
      <c r="N179" s="930"/>
      <c r="O179" s="930"/>
      <c r="P179" s="930"/>
      <c r="Q179" s="930"/>
      <c r="R179" s="930"/>
      <c r="S179" s="930"/>
      <c r="T179" s="930"/>
      <c r="U179" s="930"/>
    </row>
    <row r="180" spans="1:21" ht="15" x14ac:dyDescent="0.2">
      <c r="A180" s="930"/>
      <c r="B180" s="930"/>
      <c r="C180" s="930"/>
      <c r="D180" s="930"/>
      <c r="E180" s="930"/>
      <c r="F180" s="930"/>
      <c r="G180" s="930"/>
      <c r="H180" s="930"/>
      <c r="I180" s="930"/>
      <c r="J180" s="930"/>
      <c r="K180" s="930"/>
      <c r="L180" s="930"/>
      <c r="M180" s="930"/>
      <c r="N180" s="930"/>
      <c r="O180" s="930"/>
      <c r="P180" s="930"/>
      <c r="Q180" s="930"/>
      <c r="R180" s="930"/>
      <c r="S180" s="930"/>
      <c r="T180" s="930"/>
      <c r="U180" s="930"/>
    </row>
    <row r="181" spans="1:21" ht="15" x14ac:dyDescent="0.2">
      <c r="A181" s="930"/>
      <c r="B181" s="930"/>
      <c r="C181" s="930"/>
      <c r="D181" s="930"/>
      <c r="E181" s="930"/>
      <c r="F181" s="930"/>
      <c r="G181" s="930"/>
      <c r="H181" s="930"/>
      <c r="I181" s="930"/>
      <c r="J181" s="930"/>
      <c r="K181" s="930"/>
      <c r="L181" s="930"/>
      <c r="M181" s="930"/>
      <c r="N181" s="930"/>
      <c r="O181" s="930"/>
      <c r="P181" s="930"/>
      <c r="Q181" s="930"/>
      <c r="R181" s="930"/>
      <c r="S181" s="930"/>
      <c r="T181" s="930"/>
      <c r="U181" s="930"/>
    </row>
    <row r="182" spans="1:21" ht="15" x14ac:dyDescent="0.2">
      <c r="A182" s="930"/>
      <c r="B182" s="930"/>
      <c r="C182" s="930"/>
      <c r="D182" s="930"/>
      <c r="E182" s="930"/>
      <c r="F182" s="930"/>
      <c r="G182" s="930"/>
      <c r="H182" s="930"/>
      <c r="I182" s="930"/>
      <c r="J182" s="930"/>
      <c r="K182" s="930"/>
      <c r="L182" s="930"/>
      <c r="M182" s="930"/>
      <c r="N182" s="930"/>
      <c r="O182" s="930"/>
      <c r="P182" s="930"/>
      <c r="Q182" s="930"/>
      <c r="R182" s="930"/>
      <c r="S182" s="930"/>
      <c r="T182" s="930"/>
      <c r="U182" s="930"/>
    </row>
    <row r="183" spans="1:21" ht="15" x14ac:dyDescent="0.2">
      <c r="A183" s="930"/>
      <c r="B183" s="930"/>
      <c r="C183" s="930"/>
      <c r="D183" s="930"/>
      <c r="E183" s="930"/>
      <c r="F183" s="930"/>
      <c r="G183" s="930"/>
      <c r="H183" s="930"/>
      <c r="I183" s="930"/>
      <c r="J183" s="930"/>
      <c r="K183" s="930"/>
      <c r="L183" s="930"/>
      <c r="M183" s="930"/>
      <c r="N183" s="930"/>
      <c r="O183" s="930"/>
      <c r="P183" s="930"/>
      <c r="Q183" s="930"/>
      <c r="R183" s="930"/>
      <c r="S183" s="930"/>
      <c r="T183" s="930"/>
      <c r="U183" s="930"/>
    </row>
    <row r="184" spans="1:21" ht="15" x14ac:dyDescent="0.2">
      <c r="A184" s="930"/>
      <c r="B184" s="930"/>
      <c r="C184" s="930"/>
      <c r="D184" s="930"/>
      <c r="E184" s="930"/>
      <c r="F184" s="930"/>
      <c r="G184" s="930"/>
      <c r="H184" s="930"/>
      <c r="I184" s="930"/>
      <c r="J184" s="930"/>
      <c r="K184" s="930"/>
      <c r="L184" s="930"/>
      <c r="M184" s="930"/>
      <c r="N184" s="930"/>
      <c r="O184" s="930"/>
      <c r="P184" s="930"/>
      <c r="Q184" s="930"/>
      <c r="R184" s="930"/>
      <c r="S184" s="930"/>
      <c r="T184" s="930"/>
      <c r="U184" s="930"/>
    </row>
    <row r="185" spans="1:21" ht="15" x14ac:dyDescent="0.2">
      <c r="A185" s="930"/>
      <c r="B185" s="930"/>
      <c r="C185" s="930"/>
      <c r="D185" s="930"/>
      <c r="E185" s="930"/>
      <c r="F185" s="930"/>
      <c r="G185" s="930"/>
      <c r="H185" s="930"/>
      <c r="I185" s="930"/>
      <c r="J185" s="930"/>
      <c r="K185" s="930"/>
      <c r="L185" s="930"/>
      <c r="M185" s="930"/>
      <c r="N185" s="930"/>
      <c r="O185" s="930"/>
      <c r="P185" s="930"/>
      <c r="Q185" s="930"/>
      <c r="R185" s="930"/>
      <c r="S185" s="930"/>
      <c r="T185" s="930"/>
      <c r="U185" s="930"/>
    </row>
    <row r="186" spans="1:21" ht="15" x14ac:dyDescent="0.2">
      <c r="A186" s="930"/>
      <c r="B186" s="930"/>
      <c r="C186" s="930"/>
      <c r="D186" s="930"/>
      <c r="E186" s="930"/>
      <c r="F186" s="930"/>
      <c r="G186" s="930"/>
      <c r="H186" s="930"/>
      <c r="I186" s="930"/>
      <c r="J186" s="930"/>
      <c r="K186" s="930"/>
      <c r="L186" s="930"/>
      <c r="M186" s="930"/>
      <c r="N186" s="930"/>
      <c r="O186" s="930"/>
      <c r="P186" s="930"/>
      <c r="Q186" s="930"/>
      <c r="R186" s="930"/>
      <c r="S186" s="930"/>
      <c r="T186" s="930"/>
      <c r="U186" s="930"/>
    </row>
    <row r="187" spans="1:21" ht="15" x14ac:dyDescent="0.2">
      <c r="A187" s="930"/>
      <c r="B187" s="930"/>
      <c r="C187" s="930"/>
      <c r="D187" s="930"/>
      <c r="E187" s="930"/>
      <c r="F187" s="930"/>
      <c r="G187" s="930"/>
      <c r="H187" s="930"/>
      <c r="I187" s="930"/>
      <c r="J187" s="930"/>
      <c r="K187" s="930"/>
      <c r="L187" s="930"/>
      <c r="M187" s="930"/>
      <c r="N187" s="930"/>
      <c r="O187" s="930"/>
      <c r="P187" s="930"/>
      <c r="Q187" s="930"/>
      <c r="R187" s="930"/>
      <c r="S187" s="930"/>
      <c r="T187" s="930"/>
      <c r="U187" s="930"/>
    </row>
    <row r="188" spans="1:21" ht="15" x14ac:dyDescent="0.2">
      <c r="A188" s="930"/>
      <c r="B188" s="930"/>
      <c r="C188" s="930"/>
      <c r="D188" s="930"/>
      <c r="E188" s="930"/>
      <c r="F188" s="930"/>
      <c r="G188" s="930"/>
      <c r="H188" s="930"/>
      <c r="I188" s="930"/>
      <c r="J188" s="930"/>
      <c r="K188" s="930"/>
      <c r="L188" s="930"/>
      <c r="M188" s="930"/>
      <c r="N188" s="930"/>
      <c r="O188" s="930"/>
      <c r="P188" s="930"/>
      <c r="Q188" s="930"/>
      <c r="R188" s="930"/>
      <c r="S188" s="930"/>
      <c r="T188" s="930"/>
      <c r="U188" s="930"/>
    </row>
    <row r="189" spans="1:21" ht="15" x14ac:dyDescent="0.2">
      <c r="A189" s="930"/>
      <c r="B189" s="930"/>
      <c r="C189" s="930"/>
      <c r="D189" s="930"/>
      <c r="E189" s="930"/>
      <c r="F189" s="930"/>
      <c r="G189" s="930"/>
      <c r="H189" s="930"/>
      <c r="I189" s="930"/>
      <c r="J189" s="930"/>
      <c r="K189" s="930"/>
      <c r="L189" s="930"/>
      <c r="M189" s="930"/>
      <c r="N189" s="930"/>
      <c r="O189" s="930"/>
      <c r="P189" s="930"/>
      <c r="Q189" s="930"/>
      <c r="R189" s="930"/>
      <c r="S189" s="930"/>
      <c r="T189" s="930"/>
      <c r="U189" s="930"/>
    </row>
  </sheetData>
  <pageMargins left="0.7" right="0.7" top="0.78740157499999996" bottom="0.78740157499999996"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R117"/>
  <sheetViews>
    <sheetView zoomScaleNormal="100" workbookViewId="0">
      <selection activeCell="G15" sqref="G15:L15"/>
    </sheetView>
  </sheetViews>
  <sheetFormatPr baseColWidth="10" defaultColWidth="11.5703125" defaultRowHeight="12.75" x14ac:dyDescent="0.2"/>
  <cols>
    <col min="1" max="1" width="2.42578125" style="91" customWidth="1"/>
    <col min="2" max="2" width="1.42578125" style="235" customWidth="1"/>
    <col min="3" max="3" width="0.5703125" style="235" customWidth="1"/>
    <col min="4" max="4" width="3.5703125" style="91" customWidth="1"/>
    <col min="5" max="5" width="11.5703125" style="91"/>
    <col min="6" max="6" width="10.5703125" style="91" customWidth="1"/>
    <col min="7" max="7" width="11.85546875" style="91" bestFit="1" customWidth="1"/>
    <col min="8" max="8" width="11.42578125" style="91" customWidth="1"/>
    <col min="9" max="9" width="4.5703125" style="91" customWidth="1"/>
    <col min="10" max="10" width="12.42578125" style="91" customWidth="1"/>
    <col min="11" max="11" width="8.5703125" style="91" customWidth="1"/>
    <col min="12" max="12" width="12.42578125" style="91" customWidth="1"/>
    <col min="13" max="13" width="3.5703125" style="91" customWidth="1"/>
    <col min="14" max="14" width="2" style="91" customWidth="1"/>
    <col min="15" max="16" width="11.5703125" style="91"/>
    <col min="17" max="17" width="47.5703125" style="91" customWidth="1"/>
    <col min="18" max="18" width="72.5703125" style="91" hidden="1" customWidth="1"/>
    <col min="19" max="19" width="0" style="91" hidden="1" customWidth="1"/>
    <col min="20" max="16384" width="11.5703125" style="91"/>
  </cols>
  <sheetData>
    <row r="1" spans="1:17" s="244" customFormat="1" ht="5.0999999999999996" customHeight="1" x14ac:dyDescent="0.2">
      <c r="B1" s="235"/>
      <c r="C1" s="235"/>
    </row>
    <row r="2" spans="1:17" s="244" customFormat="1" ht="45" customHeight="1" x14ac:dyDescent="0.2">
      <c r="B2" s="333"/>
      <c r="C2" s="235"/>
      <c r="D2" s="1144" t="s">
        <v>2020</v>
      </c>
      <c r="E2" s="1144"/>
      <c r="F2" s="1144"/>
      <c r="G2" s="1144"/>
      <c r="H2" s="1144"/>
      <c r="I2" s="319"/>
      <c r="J2" s="319"/>
      <c r="K2" s="319"/>
      <c r="L2" s="319"/>
    </row>
    <row r="3" spans="1:17" s="235" customFormat="1" ht="21" customHeight="1" x14ac:dyDescent="0.2">
      <c r="B3" s="236"/>
      <c r="D3" s="318" t="s">
        <v>945</v>
      </c>
      <c r="F3" s="318"/>
      <c r="H3" s="237"/>
      <c r="I3" s="237"/>
      <c r="J3" s="237"/>
      <c r="K3" s="237"/>
      <c r="L3" s="237"/>
      <c r="M3" s="994" t="str">
        <f>CONCATENATE(LohntabelleM!G1," / ",LohntabelleM!I1)</f>
        <v>V6.0 / 2026</v>
      </c>
      <c r="N3" s="237"/>
    </row>
    <row r="4" spans="1:17" s="244" customFormat="1" ht="6.75" customHeight="1" x14ac:dyDescent="0.2">
      <c r="A4" s="239"/>
      <c r="B4" s="240"/>
      <c r="C4" s="240"/>
      <c r="D4" s="240"/>
      <c r="E4" s="240"/>
      <c r="F4" s="241"/>
      <c r="G4" s="240"/>
      <c r="H4" s="242"/>
      <c r="I4" s="243"/>
      <c r="J4" s="242"/>
      <c r="K4" s="242"/>
      <c r="L4" s="242"/>
      <c r="M4" s="242"/>
      <c r="N4" s="237"/>
    </row>
    <row r="5" spans="1:17" s="244" customFormat="1" ht="6" customHeight="1" x14ac:dyDescent="0.2">
      <c r="A5" s="239"/>
      <c r="B5" s="240"/>
      <c r="C5" s="239"/>
      <c r="D5" s="239"/>
      <c r="E5" s="239"/>
      <c r="F5" s="318"/>
      <c r="G5" s="239"/>
      <c r="H5" s="245"/>
      <c r="I5" s="965"/>
      <c r="J5" s="245"/>
      <c r="K5" s="245"/>
      <c r="L5" s="245"/>
      <c r="M5" s="245"/>
      <c r="N5" s="239"/>
    </row>
    <row r="6" spans="1:17" s="244" customFormat="1" ht="5.0999999999999996" customHeight="1" x14ac:dyDescent="0.2">
      <c r="B6" s="240"/>
      <c r="D6" s="59"/>
      <c r="E6" s="315"/>
      <c r="F6" s="316"/>
      <c r="G6" s="317"/>
      <c r="H6" s="315"/>
      <c r="I6" s="315"/>
      <c r="J6" s="315"/>
      <c r="K6" s="315"/>
      <c r="L6" s="315"/>
      <c r="M6" s="60"/>
    </row>
    <row r="7" spans="1:17" s="244" customFormat="1" x14ac:dyDescent="0.2">
      <c r="B7" s="240"/>
      <c r="D7" s="61"/>
      <c r="E7" s="318" t="s">
        <v>770</v>
      </c>
      <c r="F7" s="319"/>
      <c r="G7" s="320"/>
      <c r="H7" s="319"/>
      <c r="I7" s="319"/>
      <c r="J7" s="319"/>
      <c r="K7" s="319"/>
      <c r="L7" s="319"/>
      <c r="M7" s="62"/>
    </row>
    <row r="8" spans="1:17" s="244" customFormat="1" x14ac:dyDescent="0.2">
      <c r="B8" s="240"/>
      <c r="C8" s="239"/>
      <c r="D8" s="61"/>
      <c r="E8" s="245"/>
      <c r="F8" s="245"/>
      <c r="G8" s="965"/>
      <c r="H8" s="245"/>
      <c r="I8" s="245"/>
      <c r="J8" s="245"/>
      <c r="K8" s="245"/>
      <c r="L8" s="245"/>
      <c r="M8" s="62"/>
    </row>
    <row r="9" spans="1:17" s="244" customFormat="1" x14ac:dyDescent="0.2">
      <c r="B9" s="247"/>
      <c r="C9" s="235"/>
      <c r="D9" s="61"/>
      <c r="E9" s="245" t="s">
        <v>967</v>
      </c>
      <c r="F9" s="245"/>
      <c r="G9" s="973" t="str">
        <f>IF(MAAnrede&lt;&gt;"",MAAnrede,"")</f>
        <v/>
      </c>
      <c r="H9" s="245"/>
      <c r="I9" s="245"/>
      <c r="J9" s="245"/>
      <c r="K9" s="245"/>
      <c r="L9" s="245"/>
      <c r="M9" s="62"/>
    </row>
    <row r="10" spans="1:17" s="244" customFormat="1" x14ac:dyDescent="0.2">
      <c r="B10" s="240"/>
      <c r="C10" s="239"/>
      <c r="D10" s="61"/>
      <c r="E10" s="245"/>
      <c r="F10" s="245"/>
      <c r="G10" s="965"/>
      <c r="H10" s="245"/>
      <c r="I10" s="245"/>
      <c r="J10" s="245"/>
      <c r="K10" s="245"/>
      <c r="L10" s="245"/>
      <c r="M10" s="62"/>
    </row>
    <row r="11" spans="1:17" s="244" customFormat="1" ht="12.6" customHeight="1" x14ac:dyDescent="0.2">
      <c r="B11" s="247"/>
      <c r="C11" s="235"/>
      <c r="D11" s="61"/>
      <c r="E11" s="245" t="s">
        <v>756</v>
      </c>
      <c r="F11" s="245"/>
      <c r="G11" s="1181" t="str">
        <f>IF(MAName&lt;&gt;"",MAName,"")</f>
        <v/>
      </c>
      <c r="H11" s="1181"/>
      <c r="I11" s="245"/>
      <c r="J11" s="245" t="s">
        <v>757</v>
      </c>
      <c r="K11" s="1181" t="str">
        <f>IF(MAVorname&lt;&gt;"",MAVorname,"")</f>
        <v/>
      </c>
      <c r="L11" s="1181"/>
      <c r="M11" s="62"/>
      <c r="O11" s="1149" t="s">
        <v>1029</v>
      </c>
      <c r="P11" s="1150"/>
      <c r="Q11" s="675"/>
    </row>
    <row r="12" spans="1:17" s="244" customFormat="1" ht="12.6" customHeight="1" x14ac:dyDescent="0.2">
      <c r="B12" s="247"/>
      <c r="C12" s="235"/>
      <c r="D12" s="61"/>
      <c r="E12" s="245"/>
      <c r="F12" s="245"/>
      <c r="G12" s="245"/>
      <c r="H12" s="245"/>
      <c r="I12" s="245"/>
      <c r="J12" s="245"/>
      <c r="K12" s="245"/>
      <c r="L12" s="245"/>
      <c r="M12" s="62"/>
      <c r="O12" s="1151"/>
      <c r="P12" s="1152"/>
      <c r="Q12" s="675"/>
    </row>
    <row r="13" spans="1:17" s="244" customFormat="1" x14ac:dyDescent="0.2">
      <c r="B13" s="247"/>
      <c r="C13" s="235"/>
      <c r="D13" s="61"/>
      <c r="E13" s="245" t="s">
        <v>762</v>
      </c>
      <c r="F13" s="245"/>
      <c r="G13" s="1181" t="str">
        <f>IF(MAPersID&lt;&gt;"",MAPersID,"")</f>
        <v/>
      </c>
      <c r="H13" s="1181"/>
      <c r="I13" s="972"/>
      <c r="M13" s="62"/>
    </row>
    <row r="14" spans="1:17" s="244" customFormat="1" x14ac:dyDescent="0.2">
      <c r="B14" s="247"/>
      <c r="C14" s="235"/>
      <c r="D14" s="61"/>
      <c r="E14" s="245"/>
      <c r="F14" s="245"/>
      <c r="G14" s="965"/>
      <c r="H14" s="245"/>
      <c r="I14" s="245"/>
      <c r="J14" s="245"/>
      <c r="K14" s="245"/>
      <c r="L14" s="245"/>
      <c r="M14" s="62"/>
    </row>
    <row r="15" spans="1:17" s="244" customFormat="1" x14ac:dyDescent="0.2">
      <c r="B15" s="247"/>
      <c r="C15" s="235"/>
      <c r="D15" s="61"/>
      <c r="E15" s="245" t="s">
        <v>755</v>
      </c>
      <c r="F15" s="245"/>
      <c r="G15" s="1135"/>
      <c r="H15" s="1135"/>
      <c r="I15" s="1135"/>
      <c r="J15" s="1135"/>
      <c r="K15" s="1135"/>
      <c r="L15" s="1135"/>
      <c r="M15" s="62"/>
    </row>
    <row r="16" spans="1:17" s="244" customFormat="1" x14ac:dyDescent="0.2">
      <c r="B16" s="247"/>
      <c r="C16" s="235"/>
      <c r="D16" s="61"/>
      <c r="E16" s="245"/>
      <c r="F16" s="245"/>
      <c r="G16" s="965"/>
      <c r="H16" s="245"/>
      <c r="I16" s="245"/>
      <c r="J16" s="245"/>
      <c r="K16" s="245"/>
      <c r="L16" s="245"/>
      <c r="M16" s="62"/>
    </row>
    <row r="17" spans="2:13" s="244" customFormat="1" x14ac:dyDescent="0.2">
      <c r="B17" s="247"/>
      <c r="C17" s="235"/>
      <c r="D17" s="61"/>
      <c r="E17" s="245" t="s">
        <v>758</v>
      </c>
      <c r="F17" s="245"/>
      <c r="G17" s="215"/>
      <c r="H17" s="566" t="s">
        <v>759</v>
      </c>
      <c r="I17" s="1135"/>
      <c r="J17" s="1135"/>
      <c r="K17" s="1135"/>
      <c r="L17" s="1135"/>
      <c r="M17" s="62"/>
    </row>
    <row r="18" spans="2:13" s="244" customFormat="1" x14ac:dyDescent="0.2">
      <c r="B18" s="247"/>
      <c r="C18" s="235"/>
      <c r="D18" s="61"/>
      <c r="E18" s="245"/>
      <c r="F18" s="245"/>
      <c r="G18" s="965"/>
      <c r="H18" s="245"/>
      <c r="I18" s="245"/>
      <c r="J18" s="245"/>
      <c r="K18" s="245"/>
      <c r="L18" s="965"/>
      <c r="M18" s="62"/>
    </row>
    <row r="19" spans="2:13" s="244" customFormat="1" x14ac:dyDescent="0.2">
      <c r="B19" s="247"/>
      <c r="C19" s="235"/>
      <c r="D19" s="61"/>
      <c r="E19" s="245" t="s">
        <v>760</v>
      </c>
      <c r="F19" s="245"/>
      <c r="G19" s="457" t="str">
        <f>IF(MAGeburtsdatum="","",MAGeburtsdatum)</f>
        <v/>
      </c>
      <c r="H19" s="245"/>
      <c r="I19" s="245"/>
      <c r="J19" s="245"/>
      <c r="K19" s="245"/>
      <c r="L19" s="245"/>
      <c r="M19" s="62"/>
    </row>
    <row r="20" spans="2:13" s="244" customFormat="1" x14ac:dyDescent="0.2">
      <c r="B20" s="247"/>
      <c r="C20" s="235"/>
      <c r="D20" s="61"/>
      <c r="E20" s="245"/>
      <c r="F20" s="245"/>
      <c r="G20" s="245"/>
      <c r="H20" s="245"/>
      <c r="I20" s="245"/>
      <c r="J20" s="245"/>
      <c r="K20" s="245"/>
      <c r="L20" s="965"/>
      <c r="M20" s="62"/>
    </row>
    <row r="21" spans="2:13" s="244" customFormat="1" ht="13.15" customHeight="1" x14ac:dyDescent="0.2">
      <c r="B21" s="240"/>
      <c r="D21" s="61"/>
      <c r="E21" s="336" t="s">
        <v>825</v>
      </c>
      <c r="F21" s="1177" t="s">
        <v>1072</v>
      </c>
      <c r="G21" s="1177"/>
      <c r="H21" s="1177"/>
      <c r="I21" s="1177"/>
      <c r="J21" s="1177"/>
      <c r="K21" s="1177"/>
      <c r="L21" s="431"/>
      <c r="M21" s="62"/>
    </row>
    <row r="22" spans="2:13" s="244" customFormat="1" ht="13.15" customHeight="1" x14ac:dyDescent="0.2">
      <c r="B22" s="240"/>
      <c r="D22" s="61"/>
      <c r="E22" s="336"/>
      <c r="F22" s="1190" t="s">
        <v>1070</v>
      </c>
      <c r="G22" s="1190"/>
      <c r="H22" s="1190"/>
      <c r="I22" s="1190"/>
      <c r="J22" s="1190"/>
      <c r="K22" s="1190"/>
      <c r="L22" s="1190"/>
      <c r="M22" s="62"/>
    </row>
    <row r="23" spans="2:13" s="244" customFormat="1" ht="12.6" customHeight="1" x14ac:dyDescent="0.2">
      <c r="B23" s="240"/>
      <c r="D23" s="61"/>
      <c r="E23" s="336"/>
      <c r="F23" s="1190" t="s">
        <v>1071</v>
      </c>
      <c r="G23" s="1190"/>
      <c r="H23" s="1190"/>
      <c r="I23" s="1190"/>
      <c r="J23" s="1190"/>
      <c r="K23" s="340"/>
      <c r="L23" s="431"/>
      <c r="M23" s="62"/>
    </row>
    <row r="24" spans="2:13" s="244" customFormat="1" ht="12.6" customHeight="1" x14ac:dyDescent="0.2">
      <c r="B24" s="240"/>
      <c r="D24" s="61"/>
      <c r="E24" s="336"/>
      <c r="F24" s="1190" t="s">
        <v>1073</v>
      </c>
      <c r="G24" s="1190"/>
      <c r="H24" s="340"/>
      <c r="I24" s="340"/>
      <c r="J24" s="340"/>
      <c r="K24" s="340"/>
      <c r="L24" s="431"/>
      <c r="M24" s="62"/>
    </row>
    <row r="25" spans="2:13" s="244" customFormat="1" ht="8.1" customHeight="1" x14ac:dyDescent="0.2">
      <c r="B25" s="247"/>
      <c r="C25" s="235"/>
      <c r="D25" s="63"/>
      <c r="E25" s="64"/>
      <c r="F25" s="64"/>
      <c r="G25" s="65"/>
      <c r="H25" s="64"/>
      <c r="I25" s="64"/>
      <c r="J25" s="64"/>
      <c r="K25" s="64"/>
      <c r="L25" s="64"/>
      <c r="M25" s="66"/>
    </row>
    <row r="26" spans="2:13" s="244" customFormat="1" ht="6" customHeight="1" x14ac:dyDescent="0.2">
      <c r="B26" s="247"/>
      <c r="C26" s="235"/>
      <c r="E26" s="245"/>
      <c r="F26" s="245"/>
      <c r="G26" s="965"/>
      <c r="H26" s="245"/>
      <c r="I26" s="245"/>
      <c r="J26" s="245"/>
      <c r="K26" s="245"/>
      <c r="L26" s="245"/>
    </row>
    <row r="27" spans="2:13" s="244" customFormat="1" ht="5.0999999999999996" customHeight="1" x14ac:dyDescent="0.2">
      <c r="B27" s="247"/>
      <c r="C27" s="235"/>
      <c r="D27" s="59"/>
      <c r="E27" s="269"/>
      <c r="F27" s="269"/>
      <c r="G27" s="270"/>
      <c r="H27" s="269"/>
      <c r="I27" s="269"/>
      <c r="J27" s="269"/>
      <c r="K27" s="269"/>
      <c r="L27" s="269"/>
      <c r="M27" s="60"/>
    </row>
    <row r="28" spans="2:13" s="244" customFormat="1" x14ac:dyDescent="0.2">
      <c r="B28" s="247"/>
      <c r="C28" s="235"/>
      <c r="D28" s="61"/>
      <c r="E28" s="318" t="s">
        <v>931</v>
      </c>
      <c r="F28" s="245"/>
      <c r="G28" s="965"/>
      <c r="H28" s="245"/>
      <c r="I28" s="245"/>
      <c r="J28" s="245"/>
      <c r="K28" s="245"/>
      <c r="L28" s="245"/>
      <c r="M28" s="62"/>
    </row>
    <row r="29" spans="2:13" s="244" customFormat="1" x14ac:dyDescent="0.2">
      <c r="B29" s="247"/>
      <c r="C29" s="235"/>
      <c r="D29" s="61"/>
      <c r="E29" s="245"/>
      <c r="F29" s="245"/>
      <c r="G29" s="965"/>
      <c r="H29" s="245"/>
      <c r="I29" s="245"/>
      <c r="J29" s="245"/>
      <c r="K29" s="245"/>
      <c r="L29" s="245"/>
      <c r="M29" s="62"/>
    </row>
    <row r="30" spans="2:13" s="244" customFormat="1" x14ac:dyDescent="0.2">
      <c r="B30" s="247"/>
      <c r="C30" s="966"/>
      <c r="D30" s="61"/>
      <c r="E30" s="245" t="s">
        <v>1038</v>
      </c>
      <c r="F30" s="341"/>
      <c r="G30" s="1135"/>
      <c r="H30" s="1135"/>
      <c r="I30" s="1135"/>
      <c r="J30" s="1135"/>
      <c r="K30" s="1135"/>
      <c r="L30" s="1135"/>
      <c r="M30" s="62"/>
    </row>
    <row r="31" spans="2:13" s="244" customFormat="1" x14ac:dyDescent="0.2">
      <c r="B31" s="240"/>
      <c r="C31" s="239"/>
      <c r="D31" s="61"/>
      <c r="E31" s="245"/>
      <c r="F31" s="245"/>
      <c r="H31" s="342"/>
      <c r="I31" s="342"/>
      <c r="M31" s="62"/>
    </row>
    <row r="32" spans="2:13" s="244" customFormat="1" ht="12.6" customHeight="1" x14ac:dyDescent="0.2">
      <c r="B32" s="247"/>
      <c r="C32" s="235"/>
      <c r="D32" s="61"/>
      <c r="E32" s="245" t="s">
        <v>821</v>
      </c>
      <c r="F32" s="245"/>
      <c r="G32" s="1007"/>
      <c r="I32" s="245" t="s">
        <v>988</v>
      </c>
      <c r="K32" s="1182"/>
      <c r="L32" s="1182"/>
      <c r="M32" s="62"/>
    </row>
    <row r="33" spans="2:18" s="244" customFormat="1" ht="6" customHeight="1" x14ac:dyDescent="0.2">
      <c r="B33" s="247"/>
      <c r="C33" s="235"/>
      <c r="D33" s="61"/>
      <c r="E33" s="319"/>
      <c r="F33" s="337"/>
      <c r="G33" s="337"/>
      <c r="H33" s="319"/>
      <c r="I33" s="319"/>
      <c r="J33" s="245"/>
      <c r="K33" s="245"/>
      <c r="L33" s="245"/>
      <c r="M33" s="62"/>
    </row>
    <row r="34" spans="2:18" s="244" customFormat="1" ht="13.15" customHeight="1" x14ac:dyDescent="0.2">
      <c r="B34" s="247"/>
      <c r="C34" s="235"/>
      <c r="D34" s="61"/>
      <c r="E34" s="974" t="s">
        <v>1130</v>
      </c>
      <c r="F34" s="337"/>
      <c r="G34" s="337"/>
      <c r="I34" s="245"/>
      <c r="J34" s="245"/>
      <c r="K34" s="245"/>
      <c r="L34" s="245"/>
      <c r="M34" s="62"/>
    </row>
    <row r="35" spans="2:18" s="244" customFormat="1" ht="6" customHeight="1" x14ac:dyDescent="0.2">
      <c r="B35" s="247"/>
      <c r="C35" s="235"/>
      <c r="D35" s="61"/>
      <c r="E35" s="319"/>
      <c r="F35" s="337"/>
      <c r="G35" s="337"/>
      <c r="H35" s="319"/>
      <c r="I35" s="319"/>
      <c r="J35" s="245"/>
      <c r="K35" s="245"/>
      <c r="L35" s="245"/>
      <c r="M35" s="62"/>
    </row>
    <row r="36" spans="2:18" s="244" customFormat="1" ht="13.15" customHeight="1" x14ac:dyDescent="0.2">
      <c r="B36" s="247"/>
      <c r="C36" s="235"/>
      <c r="D36" s="61"/>
      <c r="E36" s="974" t="s">
        <v>2021</v>
      </c>
      <c r="F36" s="337"/>
      <c r="G36" s="859" t="s">
        <v>908</v>
      </c>
      <c r="H36" s="1135"/>
      <c r="I36" s="1135"/>
      <c r="J36" s="1135"/>
      <c r="K36" s="1135"/>
      <c r="M36" s="62"/>
      <c r="R36" s="1027" t="b">
        <v>0</v>
      </c>
    </row>
    <row r="37" spans="2:18" s="244" customFormat="1" ht="6" customHeight="1" x14ac:dyDescent="0.2">
      <c r="B37" s="247"/>
      <c r="C37" s="235"/>
      <c r="D37" s="61"/>
      <c r="E37" s="319"/>
      <c r="F37" s="337"/>
      <c r="G37" s="337"/>
      <c r="H37" s="319"/>
      <c r="I37" s="319"/>
      <c r="J37" s="245"/>
      <c r="K37" s="245"/>
      <c r="L37" s="429"/>
      <c r="M37" s="62"/>
    </row>
    <row r="38" spans="2:18" s="244" customFormat="1" ht="13.15" customHeight="1" x14ac:dyDescent="0.2">
      <c r="B38" s="247"/>
      <c r="C38" s="235"/>
      <c r="D38" s="61"/>
      <c r="E38" s="974" t="s">
        <v>911</v>
      </c>
      <c r="F38" s="337"/>
      <c r="G38" s="859" t="s">
        <v>1045</v>
      </c>
      <c r="H38" s="1135"/>
      <c r="I38" s="1135"/>
      <c r="J38" s="1135"/>
      <c r="K38" s="1135"/>
      <c r="M38" s="62"/>
      <c r="R38" s="1028" t="b">
        <v>0</v>
      </c>
    </row>
    <row r="39" spans="2:18" s="244" customFormat="1" ht="13.15" customHeight="1" x14ac:dyDescent="0.2">
      <c r="B39" s="247"/>
      <c r="C39" s="235"/>
      <c r="D39" s="61"/>
      <c r="E39" s="319"/>
      <c r="F39" s="337"/>
      <c r="G39" s="337"/>
      <c r="H39" s="319"/>
      <c r="I39" s="319"/>
      <c r="J39" s="245"/>
      <c r="K39" s="245"/>
      <c r="L39" s="245"/>
      <c r="M39" s="62"/>
    </row>
    <row r="40" spans="2:18" s="244" customFormat="1" x14ac:dyDescent="0.2">
      <c r="B40" s="247"/>
      <c r="C40" s="235"/>
      <c r="D40" s="61"/>
      <c r="E40" s="335" t="s">
        <v>990</v>
      </c>
      <c r="F40" s="965"/>
      <c r="G40" s="1007"/>
      <c r="H40" s="1183" t="s">
        <v>989</v>
      </c>
      <c r="I40" s="1183"/>
      <c r="J40" s="1184"/>
      <c r="K40" s="1184"/>
      <c r="L40" s="1184"/>
      <c r="M40" s="989">
        <f>IF(AND(G40&lt;&gt;"",J40=""),1,0)</f>
        <v>0</v>
      </c>
    </row>
    <row r="41" spans="2:18" s="244" customFormat="1" ht="16.5" x14ac:dyDescent="0.2">
      <c r="B41" s="247"/>
      <c r="C41" s="235"/>
      <c r="D41" s="61"/>
      <c r="E41" s="319"/>
      <c r="F41" s="337"/>
      <c r="G41" s="337"/>
      <c r="H41" s="319"/>
      <c r="I41" s="319"/>
      <c r="J41" s="1180" t="str">
        <f>IF(M40=1,"(Befristungsgrund zwingend angeben)","")</f>
        <v/>
      </c>
      <c r="K41" s="1180"/>
      <c r="L41" s="1180"/>
      <c r="M41" s="62"/>
    </row>
    <row r="42" spans="2:18" s="244" customFormat="1" ht="13.35" customHeight="1" x14ac:dyDescent="0.2">
      <c r="B42" s="247"/>
      <c r="C42" s="235"/>
      <c r="D42" s="61"/>
      <c r="E42" s="1177" t="s">
        <v>2015</v>
      </c>
      <c r="F42" s="1177"/>
      <c r="G42" s="1135"/>
      <c r="H42" s="1135"/>
      <c r="I42" s="1177" t="s">
        <v>930</v>
      </c>
      <c r="J42" s="1177"/>
      <c r="K42" s="1135"/>
      <c r="L42" s="1135"/>
      <c r="M42" s="62"/>
    </row>
    <row r="43" spans="2:18" s="244" customFormat="1" x14ac:dyDescent="0.2">
      <c r="B43" s="240"/>
      <c r="C43" s="239"/>
      <c r="D43" s="61"/>
      <c r="E43" s="949" t="s">
        <v>2004</v>
      </c>
      <c r="F43" s="245"/>
      <c r="G43" s="965"/>
      <c r="H43" s="245"/>
      <c r="I43" s="340"/>
      <c r="J43" s="340"/>
      <c r="K43" s="245"/>
      <c r="L43" s="245"/>
      <c r="M43" s="62"/>
    </row>
    <row r="44" spans="2:18" s="244" customFormat="1" x14ac:dyDescent="0.2">
      <c r="B44" s="240"/>
      <c r="C44" s="239"/>
      <c r="D44" s="61"/>
      <c r="E44" s="245" t="s">
        <v>827</v>
      </c>
      <c r="F44" s="245"/>
      <c r="G44" s="1192"/>
      <c r="H44" s="1192"/>
      <c r="I44" s="245"/>
      <c r="K44" s="245"/>
      <c r="L44" s="245"/>
      <c r="M44" s="62"/>
    </row>
    <row r="45" spans="2:18" s="244" customFormat="1" x14ac:dyDescent="0.2">
      <c r="B45" s="240"/>
      <c r="C45" s="239"/>
      <c r="D45" s="61"/>
      <c r="E45" s="245"/>
      <c r="F45" s="245"/>
      <c r="G45" s="965"/>
      <c r="H45" s="245"/>
      <c r="I45" s="245"/>
      <c r="J45" s="245"/>
      <c r="K45" s="245"/>
      <c r="L45" s="245"/>
      <c r="M45" s="62"/>
    </row>
    <row r="46" spans="2:18" s="244" customFormat="1" x14ac:dyDescent="0.2">
      <c r="B46" s="240"/>
      <c r="C46" s="239"/>
      <c r="D46" s="61"/>
      <c r="E46" s="245"/>
      <c r="F46" s="684" t="s">
        <v>828</v>
      </c>
      <c r="H46" s="458">
        <f>SUM(G44)</f>
        <v>0</v>
      </c>
      <c r="I46" s="245"/>
      <c r="J46" s="245" t="s">
        <v>823</v>
      </c>
      <c r="K46" s="245"/>
      <c r="L46" s="245"/>
      <c r="M46" s="62"/>
    </row>
    <row r="47" spans="2:18" s="244" customFormat="1" x14ac:dyDescent="0.2">
      <c r="B47" s="240"/>
      <c r="C47" s="239"/>
      <c r="D47" s="61"/>
      <c r="E47" s="245"/>
      <c r="F47" s="245"/>
      <c r="G47" s="965"/>
      <c r="H47" s="245"/>
      <c r="I47" s="245"/>
      <c r="J47" s="245"/>
      <c r="K47" s="245"/>
      <c r="L47" s="245"/>
      <c r="M47" s="62"/>
    </row>
    <row r="48" spans="2:18" s="244" customFormat="1" x14ac:dyDescent="0.2">
      <c r="B48" s="240"/>
      <c r="C48" s="239"/>
      <c r="D48" s="61"/>
      <c r="E48" s="245"/>
      <c r="F48" s="343"/>
      <c r="G48" s="245" t="s">
        <v>822</v>
      </c>
      <c r="H48" s="344"/>
      <c r="I48" s="344"/>
      <c r="J48" s="1001"/>
      <c r="K48" s="965" t="s">
        <v>7</v>
      </c>
      <c r="L48" s="1001"/>
      <c r="M48" s="62"/>
    </row>
    <row r="49" spans="1:18" s="244" customFormat="1" x14ac:dyDescent="0.2">
      <c r="B49" s="240"/>
      <c r="C49" s="239"/>
      <c r="D49" s="61"/>
      <c r="E49" s="239"/>
      <c r="F49" s="239"/>
      <c r="G49" s="345" t="s">
        <v>824</v>
      </c>
      <c r="H49" s="346"/>
      <c r="I49" s="346"/>
      <c r="J49" s="346"/>
      <c r="K49" s="280"/>
      <c r="L49" s="346"/>
      <c r="M49" s="62"/>
    </row>
    <row r="50" spans="1:18" s="244" customFormat="1" x14ac:dyDescent="0.2">
      <c r="B50" s="240"/>
      <c r="C50" s="239"/>
      <c r="D50" s="61"/>
      <c r="E50" s="239"/>
      <c r="F50" s="239"/>
      <c r="G50" s="345"/>
      <c r="H50" s="346"/>
      <c r="I50" s="346"/>
      <c r="J50" s="346"/>
      <c r="K50" s="280"/>
      <c r="L50" s="346"/>
      <c r="M50" s="62"/>
    </row>
    <row r="51" spans="1:18" s="244" customFormat="1" x14ac:dyDescent="0.2">
      <c r="B51" s="240"/>
      <c r="C51" s="235"/>
      <c r="D51" s="61"/>
      <c r="E51" s="1165" t="s">
        <v>972</v>
      </c>
      <c r="F51" s="1165"/>
      <c r="G51" s="1165"/>
      <c r="H51" s="319"/>
      <c r="I51" s="319"/>
      <c r="J51" s="319"/>
      <c r="K51" s="319"/>
      <c r="L51" s="319"/>
      <c r="M51" s="62"/>
    </row>
    <row r="52" spans="1:18" s="244" customFormat="1" x14ac:dyDescent="0.2">
      <c r="B52" s="240"/>
      <c r="C52" s="235"/>
      <c r="D52" s="61"/>
      <c r="E52" s="245"/>
      <c r="F52" s="245"/>
      <c r="G52" s="965"/>
      <c r="H52" s="245"/>
      <c r="I52" s="245"/>
      <c r="J52" s="245"/>
      <c r="K52" s="245"/>
      <c r="L52" s="245"/>
      <c r="M52" s="62"/>
      <c r="R52" s="244" t="s">
        <v>973</v>
      </c>
    </row>
    <row r="53" spans="1:18" s="244" customFormat="1" x14ac:dyDescent="0.2">
      <c r="B53" s="240"/>
      <c r="C53" s="235"/>
      <c r="D53" s="61"/>
      <c r="E53" s="1136"/>
      <c r="F53" s="1136"/>
      <c r="G53" s="1136"/>
      <c r="H53" s="1136"/>
      <c r="I53" s="1136"/>
      <c r="J53" s="1136"/>
      <c r="K53" s="1136"/>
      <c r="L53" s="1136"/>
      <c r="M53" s="62"/>
      <c r="R53" s="349">
        <f>E53</f>
        <v>0</v>
      </c>
    </row>
    <row r="54" spans="1:18" s="244" customFormat="1" x14ac:dyDescent="0.2">
      <c r="B54" s="240"/>
      <c r="C54" s="235"/>
      <c r="D54" s="61"/>
      <c r="E54" s="1136"/>
      <c r="F54" s="1136"/>
      <c r="G54" s="1136"/>
      <c r="H54" s="1136"/>
      <c r="I54" s="1136"/>
      <c r="J54" s="1136"/>
      <c r="K54" s="1136"/>
      <c r="L54" s="1136"/>
      <c r="M54" s="62"/>
      <c r="R54" s="349"/>
    </row>
    <row r="55" spans="1:18" s="244" customFormat="1" x14ac:dyDescent="0.2">
      <c r="B55" s="240"/>
      <c r="C55" s="235"/>
      <c r="D55" s="61"/>
      <c r="E55" s="1136"/>
      <c r="F55" s="1136"/>
      <c r="G55" s="1136"/>
      <c r="H55" s="1136"/>
      <c r="I55" s="1136"/>
      <c r="J55" s="1136"/>
      <c r="K55" s="1136"/>
      <c r="L55" s="1136"/>
      <c r="M55" s="62"/>
      <c r="R55" s="349">
        <f>E55</f>
        <v>0</v>
      </c>
    </row>
    <row r="56" spans="1:18" s="244" customFormat="1" x14ac:dyDescent="0.2">
      <c r="B56" s="240"/>
      <c r="C56" s="239"/>
      <c r="D56" s="61"/>
      <c r="E56" s="561"/>
      <c r="F56" s="432"/>
      <c r="G56" s="432"/>
      <c r="H56" s="432"/>
      <c r="I56" s="432"/>
      <c r="J56" s="432"/>
      <c r="K56" s="549"/>
      <c r="L56" s="549"/>
      <c r="M56" s="62"/>
    </row>
    <row r="57" spans="1:18" s="244" customFormat="1" x14ac:dyDescent="0.2">
      <c r="B57" s="240"/>
      <c r="C57" s="235"/>
      <c r="D57" s="61"/>
      <c r="H57" s="1140" t="s">
        <v>1122</v>
      </c>
      <c r="I57" s="1140"/>
      <c r="J57" s="1140"/>
      <c r="K57" s="1140"/>
      <c r="L57" s="1004"/>
      <c r="M57" s="62"/>
    </row>
    <row r="58" spans="1:18" s="244" customFormat="1" ht="8.1" customHeight="1" x14ac:dyDescent="0.2">
      <c r="B58" s="240"/>
      <c r="C58" s="239"/>
      <c r="D58" s="63"/>
      <c r="E58" s="64"/>
      <c r="F58" s="64"/>
      <c r="G58" s="64"/>
      <c r="H58" s="64"/>
      <c r="I58" s="64"/>
      <c r="J58" s="64"/>
      <c r="K58" s="347"/>
      <c r="L58" s="348"/>
      <c r="M58" s="66"/>
    </row>
    <row r="59" spans="1:18" s="244" customFormat="1" ht="6" customHeight="1" x14ac:dyDescent="0.2">
      <c r="C59" s="239"/>
      <c r="E59" s="245"/>
      <c r="F59" s="245"/>
      <c r="G59" s="965"/>
      <c r="H59" s="245"/>
      <c r="I59" s="245"/>
      <c r="J59" s="245"/>
      <c r="K59" s="245"/>
      <c r="L59" s="245"/>
    </row>
    <row r="60" spans="1:18" s="244" customFormat="1" x14ac:dyDescent="0.2">
      <c r="C60" s="239"/>
      <c r="D60" s="318" t="s">
        <v>1221</v>
      </c>
      <c r="F60" s="245"/>
      <c r="G60" s="965"/>
      <c r="H60" s="245"/>
      <c r="I60" s="245"/>
      <c r="J60" s="245"/>
      <c r="K60" s="245"/>
      <c r="L60" s="245"/>
    </row>
    <row r="61" spans="1:18" s="244" customFormat="1" ht="5.25" customHeight="1" x14ac:dyDescent="0.2">
      <c r="C61" s="239"/>
      <c r="D61" s="318"/>
      <c r="F61" s="245"/>
      <c r="G61" s="965"/>
      <c r="H61" s="245"/>
      <c r="I61" s="245"/>
      <c r="J61" s="245"/>
      <c r="K61" s="245"/>
      <c r="L61" s="245"/>
    </row>
    <row r="62" spans="1:18" s="244" customFormat="1" ht="6.75" customHeight="1" x14ac:dyDescent="0.2">
      <c r="A62" s="239"/>
      <c r="B62" s="240"/>
      <c r="C62" s="240"/>
      <c r="D62" s="240"/>
      <c r="E62" s="240"/>
      <c r="F62" s="241"/>
      <c r="G62" s="240"/>
      <c r="H62" s="242"/>
      <c r="I62" s="243"/>
      <c r="J62" s="242"/>
      <c r="K62" s="242"/>
      <c r="L62" s="242"/>
      <c r="M62" s="242"/>
      <c r="N62" s="237"/>
      <c r="O62" s="1161" t="s">
        <v>2000</v>
      </c>
      <c r="P62" s="1161"/>
      <c r="Q62" s="1161"/>
    </row>
    <row r="63" spans="1:18" s="244" customFormat="1" ht="6" customHeight="1" x14ac:dyDescent="0.2">
      <c r="A63" s="239"/>
      <c r="B63" s="240"/>
      <c r="C63" s="239"/>
      <c r="D63" s="239"/>
      <c r="E63" s="239"/>
      <c r="F63" s="318"/>
      <c r="G63" s="239"/>
      <c r="H63" s="245"/>
      <c r="I63" s="965"/>
      <c r="J63" s="245"/>
      <c r="K63" s="245"/>
      <c r="L63" s="245"/>
      <c r="M63" s="245"/>
      <c r="N63" s="237"/>
      <c r="O63" s="1161"/>
      <c r="P63" s="1161"/>
      <c r="Q63" s="1161"/>
    </row>
    <row r="64" spans="1:18" s="244" customFormat="1" ht="5.0999999999999996" customHeight="1" x14ac:dyDescent="0.2">
      <c r="B64" s="240"/>
      <c r="C64" s="239"/>
      <c r="D64" s="59"/>
      <c r="E64" s="269"/>
      <c r="F64" s="269"/>
      <c r="G64" s="270"/>
      <c r="H64" s="269"/>
      <c r="I64" s="269"/>
      <c r="J64" s="269"/>
      <c r="K64" s="269"/>
      <c r="L64" s="269"/>
      <c r="M64" s="271"/>
      <c r="O64" s="1161"/>
      <c r="P64" s="1161"/>
      <c r="Q64" s="1161"/>
    </row>
    <row r="65" spans="2:17" s="244" customFormat="1" x14ac:dyDescent="0.2">
      <c r="B65" s="240"/>
      <c r="C65" s="239"/>
      <c r="D65" s="61"/>
      <c r="E65" s="272" t="s">
        <v>941</v>
      </c>
      <c r="F65" s="319"/>
      <c r="G65" s="320"/>
      <c r="H65" s="319"/>
      <c r="I65" s="319"/>
      <c r="J65" s="319"/>
      <c r="K65" s="319"/>
      <c r="L65" s="319"/>
      <c r="M65" s="62"/>
      <c r="O65" s="1161"/>
      <c r="P65" s="1161"/>
      <c r="Q65" s="1161"/>
    </row>
    <row r="66" spans="2:17" s="244" customFormat="1" x14ac:dyDescent="0.2">
      <c r="B66" s="240"/>
      <c r="C66" s="239"/>
      <c r="D66" s="61"/>
      <c r="E66" s="245"/>
      <c r="F66" s="245"/>
      <c r="G66" s="965"/>
      <c r="H66" s="245"/>
      <c r="I66" s="245"/>
      <c r="J66" s="245"/>
      <c r="K66" s="245"/>
      <c r="L66" s="245"/>
      <c r="M66" s="62"/>
      <c r="O66" s="1161"/>
      <c r="P66" s="1161"/>
      <c r="Q66" s="1161"/>
    </row>
    <row r="67" spans="2:17" s="244" customFormat="1" x14ac:dyDescent="0.2">
      <c r="B67" s="240"/>
      <c r="C67" s="239"/>
      <c r="D67" s="61"/>
      <c r="E67" s="972" t="s">
        <v>955</v>
      </c>
      <c r="F67" s="319"/>
      <c r="H67" s="1007"/>
      <c r="I67" s="245"/>
      <c r="J67" s="245" t="s">
        <v>971</v>
      </c>
      <c r="K67" s="1166"/>
      <c r="L67" s="1166"/>
      <c r="M67" s="62"/>
      <c r="O67" s="1161"/>
      <c r="P67" s="1161"/>
      <c r="Q67" s="1161"/>
    </row>
    <row r="68" spans="2:17" s="244" customFormat="1" x14ac:dyDescent="0.2">
      <c r="B68" s="240"/>
      <c r="C68" s="239"/>
      <c r="D68" s="61"/>
      <c r="E68" s="676" t="s">
        <v>956</v>
      </c>
      <c r="F68" s="319"/>
      <c r="G68" s="346"/>
      <c r="H68" s="245"/>
      <c r="I68" s="245"/>
      <c r="K68" s="245"/>
      <c r="L68" s="965"/>
      <c r="M68" s="62"/>
      <c r="O68" s="1161"/>
      <c r="P68" s="1161"/>
      <c r="Q68" s="1161"/>
    </row>
    <row r="69" spans="2:17" s="244" customFormat="1" x14ac:dyDescent="0.2">
      <c r="B69" s="240"/>
      <c r="C69" s="239"/>
      <c r="D69" s="61"/>
      <c r="I69" s="245"/>
      <c r="M69" s="62"/>
      <c r="O69" s="1161"/>
      <c r="P69" s="1161"/>
      <c r="Q69" s="1161"/>
    </row>
    <row r="70" spans="2:17" s="244" customFormat="1" x14ac:dyDescent="0.2">
      <c r="B70" s="240"/>
      <c r="C70" s="239"/>
      <c r="D70" s="61"/>
      <c r="E70" s="245" t="s">
        <v>996</v>
      </c>
      <c r="F70" s="245"/>
      <c r="G70" s="1006" t="str">
        <f>IF(MULohnberechnung&lt;&gt;"",MULohnberechnung,"")</f>
        <v/>
      </c>
      <c r="H70" s="739" t="s">
        <v>998</v>
      </c>
      <c r="I70" s="245"/>
      <c r="J70" s="245" t="s">
        <v>1032</v>
      </c>
      <c r="K70" s="245"/>
      <c r="L70" s="1005"/>
      <c r="M70" s="62"/>
      <c r="O70" s="1161"/>
      <c r="P70" s="1161"/>
      <c r="Q70" s="1161"/>
    </row>
    <row r="71" spans="2:17" s="244" customFormat="1" ht="14.1" customHeight="1" x14ac:dyDescent="0.2">
      <c r="B71" s="240"/>
      <c r="C71" s="235"/>
      <c r="D71" s="61"/>
      <c r="E71" s="245"/>
      <c r="F71" s="245"/>
      <c r="G71" s="965"/>
      <c r="H71" s="245"/>
      <c r="I71" s="245"/>
      <c r="J71" s="245"/>
      <c r="K71" s="245"/>
      <c r="L71" s="245"/>
      <c r="M71" s="62"/>
      <c r="O71" s="1161"/>
      <c r="P71" s="1161"/>
      <c r="Q71" s="1161"/>
    </row>
    <row r="72" spans="2:17" s="244" customFormat="1" x14ac:dyDescent="0.2">
      <c r="B72" s="240"/>
      <c r="C72" s="239"/>
      <c r="D72" s="61"/>
      <c r="E72" s="245" t="s">
        <v>966</v>
      </c>
      <c r="F72" s="245"/>
      <c r="G72" s="1005"/>
      <c r="H72" s="1142" t="s">
        <v>1069</v>
      </c>
      <c r="I72" s="1142"/>
      <c r="J72" s="1141" t="str">
        <f>_xlfn.IFNA(VLOOKUP(G72,Stammdaten_DropDown!$B$14:$C$55,2,FALSE),"")</f>
        <v/>
      </c>
      <c r="K72" s="1141"/>
      <c r="L72" s="1141"/>
      <c r="M72" s="266"/>
      <c r="O72" s="1161"/>
      <c r="P72" s="1161"/>
      <c r="Q72" s="1161"/>
    </row>
    <row r="73" spans="2:17" s="244" customFormat="1" x14ac:dyDescent="0.2">
      <c r="B73" s="240"/>
      <c r="C73" s="239"/>
      <c r="D73" s="61"/>
      <c r="E73" s="245"/>
      <c r="F73" s="245"/>
      <c r="G73" s="245"/>
      <c r="H73" s="245"/>
      <c r="I73" s="245"/>
      <c r="J73" s="245"/>
      <c r="K73" s="245"/>
      <c r="L73" s="245"/>
      <c r="M73" s="266"/>
      <c r="O73" s="1161"/>
      <c r="P73" s="1161"/>
      <c r="Q73" s="1161"/>
    </row>
    <row r="74" spans="2:17" s="244" customFormat="1" x14ac:dyDescent="0.2">
      <c r="B74" s="240"/>
      <c r="C74" s="239"/>
      <c r="D74" s="61"/>
      <c r="E74" s="245" t="s">
        <v>1982</v>
      </c>
      <c r="F74" s="245"/>
      <c r="G74" s="245"/>
      <c r="H74" s="1135"/>
      <c r="I74" s="1135"/>
      <c r="J74" s="1135"/>
      <c r="K74" s="1135"/>
      <c r="L74" s="1135"/>
      <c r="M74" s="266"/>
      <c r="O74" s="1161"/>
      <c r="P74" s="1161"/>
      <c r="Q74" s="1161"/>
    </row>
    <row r="75" spans="2:17" s="244" customFormat="1" x14ac:dyDescent="0.2">
      <c r="B75" s="240"/>
      <c r="C75" s="239"/>
      <c r="D75" s="61"/>
      <c r="E75" s="986" t="s">
        <v>2023</v>
      </c>
      <c r="F75" s="245"/>
      <c r="G75" s="245"/>
      <c r="H75" s="245"/>
      <c r="I75" s="245"/>
      <c r="J75" s="245"/>
      <c r="K75" s="245"/>
      <c r="L75" s="245"/>
      <c r="M75" s="266"/>
      <c r="O75" s="1161"/>
      <c r="P75" s="1161"/>
      <c r="Q75" s="1161"/>
    </row>
    <row r="76" spans="2:17" s="244" customFormat="1" x14ac:dyDescent="0.2">
      <c r="B76" s="240"/>
      <c r="D76" s="61"/>
      <c r="E76" s="1164" t="s">
        <v>946</v>
      </c>
      <c r="F76" s="1164"/>
      <c r="G76" s="1135"/>
      <c r="H76" s="1135"/>
      <c r="I76" s="1135"/>
      <c r="J76" s="1135"/>
      <c r="K76" s="1135"/>
      <c r="L76" s="1135"/>
      <c r="M76" s="62"/>
      <c r="O76" s="1161"/>
      <c r="P76" s="1161"/>
      <c r="Q76" s="1161"/>
    </row>
    <row r="77" spans="2:17" s="244" customFormat="1" ht="8.1" customHeight="1" x14ac:dyDescent="0.2">
      <c r="B77" s="240"/>
      <c r="C77" s="239"/>
      <c r="D77" s="63"/>
      <c r="E77" s="267"/>
      <c r="F77" s="267"/>
      <c r="G77" s="267"/>
      <c r="H77" s="267"/>
      <c r="I77" s="267"/>
      <c r="J77" s="267"/>
      <c r="K77" s="267"/>
      <c r="L77" s="267"/>
      <c r="M77" s="66"/>
      <c r="O77" s="1161"/>
      <c r="P77" s="1161"/>
      <c r="Q77" s="1161"/>
    </row>
    <row r="78" spans="2:17" s="244" customFormat="1" ht="6" customHeight="1" x14ac:dyDescent="0.2">
      <c r="B78" s="240"/>
      <c r="C78" s="239"/>
      <c r="E78" s="966"/>
      <c r="F78" s="966"/>
      <c r="G78" s="966"/>
      <c r="H78" s="966"/>
      <c r="I78" s="966"/>
      <c r="J78" s="966"/>
      <c r="K78" s="966"/>
      <c r="L78" s="966"/>
      <c r="O78" s="1161"/>
      <c r="P78" s="1161"/>
      <c r="Q78" s="1161"/>
    </row>
    <row r="79" spans="2:17" s="244" customFormat="1" ht="5.0999999999999996" customHeight="1" x14ac:dyDescent="0.2">
      <c r="B79" s="240"/>
      <c r="C79" s="239"/>
      <c r="D79" s="59"/>
      <c r="E79" s="67"/>
      <c r="F79" s="67"/>
      <c r="G79" s="68"/>
      <c r="H79" s="67"/>
      <c r="I79" s="67"/>
      <c r="J79" s="67"/>
      <c r="K79" s="67"/>
      <c r="L79" s="67"/>
      <c r="M79" s="60"/>
      <c r="O79" s="1161"/>
      <c r="P79" s="1161"/>
      <c r="Q79" s="1161"/>
    </row>
    <row r="80" spans="2:17" s="244" customFormat="1" x14ac:dyDescent="0.2">
      <c r="B80" s="240"/>
      <c r="C80" s="239"/>
      <c r="D80" s="61"/>
      <c r="E80" s="1165" t="s">
        <v>978</v>
      </c>
      <c r="F80" s="1165"/>
      <c r="G80" s="1165"/>
      <c r="H80" s="1165"/>
      <c r="I80" s="1165"/>
      <c r="J80" s="1165"/>
      <c r="K80" s="1165"/>
      <c r="L80" s="319"/>
      <c r="M80" s="62"/>
      <c r="O80" s="1161"/>
      <c r="P80" s="1161"/>
      <c r="Q80" s="1161"/>
    </row>
    <row r="81" spans="2:18" s="244" customFormat="1" x14ac:dyDescent="0.2">
      <c r="B81" s="240"/>
      <c r="C81" s="239"/>
      <c r="D81" s="61"/>
      <c r="E81" s="245"/>
      <c r="F81" s="245"/>
      <c r="G81" s="965"/>
      <c r="H81" s="245"/>
      <c r="I81" s="245"/>
      <c r="J81" s="245"/>
      <c r="K81" s="245"/>
      <c r="L81" s="245"/>
      <c r="M81" s="62"/>
      <c r="O81" s="1161"/>
      <c r="P81" s="1161"/>
      <c r="Q81" s="1161"/>
    </row>
    <row r="82" spans="2:18" s="244" customFormat="1" x14ac:dyDescent="0.2">
      <c r="B82" s="240"/>
      <c r="C82" s="239"/>
      <c r="D82" s="61"/>
      <c r="E82" s="1136"/>
      <c r="F82" s="1136"/>
      <c r="G82" s="1136"/>
      <c r="H82" s="1136"/>
      <c r="I82" s="1136"/>
      <c r="J82" s="1136"/>
      <c r="K82" s="1136"/>
      <c r="L82" s="1136"/>
      <c r="M82" s="62"/>
      <c r="O82" s="1161"/>
      <c r="P82" s="1161"/>
      <c r="Q82" s="1161"/>
      <c r="R82" s="349">
        <f>E82</f>
        <v>0</v>
      </c>
    </row>
    <row r="83" spans="2:18" s="244" customFormat="1" x14ac:dyDescent="0.2">
      <c r="B83" s="240"/>
      <c r="C83" s="239"/>
      <c r="D83" s="61"/>
      <c r="E83" s="1136"/>
      <c r="F83" s="1136"/>
      <c r="G83" s="1136"/>
      <c r="H83" s="1136"/>
      <c r="I83" s="1136"/>
      <c r="J83" s="1136"/>
      <c r="K83" s="1136"/>
      <c r="L83" s="1136"/>
      <c r="M83" s="62"/>
      <c r="O83" s="1161"/>
      <c r="P83" s="1161"/>
      <c r="Q83" s="1161"/>
      <c r="R83" s="349">
        <f>E83</f>
        <v>0</v>
      </c>
    </row>
    <row r="84" spans="2:18" s="244" customFormat="1" x14ac:dyDescent="0.2">
      <c r="B84" s="240"/>
      <c r="C84" s="239"/>
      <c r="D84" s="61"/>
      <c r="E84" s="1136"/>
      <c r="F84" s="1136"/>
      <c r="G84" s="1136"/>
      <c r="H84" s="1136"/>
      <c r="I84" s="1136"/>
      <c r="J84" s="1136"/>
      <c r="K84" s="1136"/>
      <c r="L84" s="1136"/>
      <c r="M84" s="62"/>
      <c r="O84" s="1161"/>
      <c r="P84" s="1161"/>
      <c r="Q84" s="1161"/>
      <c r="R84" s="349">
        <f>E84</f>
        <v>0</v>
      </c>
    </row>
    <row r="85" spans="2:18" s="244" customFormat="1" ht="8.1" customHeight="1" x14ac:dyDescent="0.2">
      <c r="B85" s="240"/>
      <c r="C85" s="239"/>
      <c r="D85" s="63"/>
      <c r="E85" s="64"/>
      <c r="F85" s="64"/>
      <c r="G85" s="65"/>
      <c r="H85" s="64"/>
      <c r="I85" s="64"/>
      <c r="J85" s="64"/>
      <c r="K85" s="64"/>
      <c r="L85" s="64"/>
      <c r="M85" s="66"/>
      <c r="O85" s="1161"/>
      <c r="P85" s="1161"/>
      <c r="Q85" s="1161"/>
    </row>
    <row r="86" spans="2:18" s="244" customFormat="1" ht="6" customHeight="1" x14ac:dyDescent="0.2">
      <c r="B86" s="240"/>
      <c r="C86" s="235"/>
      <c r="E86" s="245"/>
      <c r="F86" s="245"/>
      <c r="G86" s="965"/>
      <c r="H86" s="245"/>
      <c r="I86" s="245"/>
      <c r="J86" s="245"/>
      <c r="K86" s="245"/>
      <c r="L86" s="245"/>
    </row>
    <row r="87" spans="2:18" s="244" customFormat="1" ht="5.0999999999999996" customHeight="1" x14ac:dyDescent="0.2">
      <c r="B87" s="240"/>
      <c r="C87" s="239"/>
      <c r="D87" s="59"/>
      <c r="E87" s="67"/>
      <c r="F87" s="67"/>
      <c r="G87" s="68"/>
      <c r="H87" s="67"/>
      <c r="I87" s="67"/>
      <c r="J87" s="67"/>
      <c r="K87" s="67"/>
      <c r="L87" s="67"/>
      <c r="M87" s="203"/>
    </row>
    <row r="88" spans="2:18" s="244" customFormat="1" x14ac:dyDescent="0.2">
      <c r="B88" s="240"/>
      <c r="C88" s="239"/>
      <c r="D88" s="61"/>
      <c r="E88" s="210" t="s">
        <v>929</v>
      </c>
      <c r="F88" s="210"/>
      <c r="G88" s="320"/>
      <c r="H88" s="319"/>
      <c r="I88" s="319"/>
      <c r="J88" s="319"/>
      <c r="K88" s="319"/>
      <c r="L88" s="319"/>
      <c r="M88" s="321"/>
      <c r="O88" s="1176" t="str">
        <f>Stammdaten_DropDown!A114</f>
        <v>Lohnentwicklung</v>
      </c>
      <c r="P88" s="1176"/>
      <c r="Q88" s="1176"/>
    </row>
    <row r="89" spans="2:18" s="244" customFormat="1" ht="6" customHeight="1" x14ac:dyDescent="0.2">
      <c r="B89" s="240"/>
      <c r="C89" s="239"/>
      <c r="D89" s="61"/>
      <c r="E89" s="245"/>
      <c r="F89" s="245"/>
      <c r="G89" s="965"/>
      <c r="H89" s="245"/>
      <c r="I89" s="245"/>
      <c r="J89" s="245"/>
      <c r="K89" s="245"/>
      <c r="L89" s="245"/>
      <c r="M89" s="266"/>
      <c r="O89" s="239"/>
    </row>
    <row r="90" spans="2:18" s="244" customFormat="1" x14ac:dyDescent="0.2">
      <c r="B90" s="240"/>
      <c r="C90" s="239"/>
      <c r="D90" s="61"/>
      <c r="E90" s="245" t="s">
        <v>940</v>
      </c>
      <c r="F90" s="245"/>
      <c r="G90" s="965"/>
      <c r="H90" s="245"/>
      <c r="I90" s="245"/>
      <c r="J90" s="245"/>
      <c r="K90" s="1191"/>
      <c r="L90" s="1191"/>
      <c r="M90" s="266"/>
      <c r="O90" s="1185" t="str">
        <f>Stammdaten_DropDown!A115</f>
        <v>Bitte angeben, ob eine individuelle Lohnentwicklung gewährt werden soll.</v>
      </c>
      <c r="P90" s="1185"/>
      <c r="Q90" s="1185"/>
    </row>
    <row r="91" spans="2:18" s="244" customFormat="1" x14ac:dyDescent="0.2">
      <c r="B91" s="240"/>
      <c r="C91" s="239"/>
      <c r="D91" s="61"/>
      <c r="E91" s="245"/>
      <c r="F91" s="245"/>
      <c r="G91" s="965"/>
      <c r="H91" s="245"/>
      <c r="I91" s="245"/>
      <c r="J91" s="245"/>
      <c r="K91" s="245"/>
      <c r="L91" s="245"/>
      <c r="M91" s="266"/>
      <c r="O91" s="1185" t="str">
        <f>Stammdaten_DropDown!A116</f>
        <v>Bei einem Neueintritt nach dem 01.07.2026 ist keine individuelle Lohnentwicklung vorgesehen.</v>
      </c>
      <c r="P91" s="1185"/>
      <c r="Q91" s="1185"/>
    </row>
    <row r="92" spans="2:18" s="244" customFormat="1" x14ac:dyDescent="0.2">
      <c r="B92" s="240"/>
      <c r="C92" s="239"/>
      <c r="D92" s="61"/>
      <c r="E92" s="275" t="s">
        <v>764</v>
      </c>
      <c r="G92" s="1011" t="str">
        <f>IF(ISBLANK($K$90),IF(BandLohnBer="",IF(BandLohnRechner="","",BandLohnRechner),IF(BandLohnRechner="",BandLohnBer,"FEHLER")),"-")</f>
        <v/>
      </c>
      <c r="I92" s="737" t="s">
        <v>808</v>
      </c>
      <c r="L92" s="1006" t="str">
        <f>IF(ISBLANK($K$90),IF(EWLohnBer="",IF(EWLohnRechner="","",EWLohnRechner),IF(EWLohnRechner="",EWLohnBer,"FEHLER")),"-")</f>
        <v/>
      </c>
      <c r="M92" s="266"/>
      <c r="O92" s="1185" t="str">
        <f>Stammdaten_DropDown!A117</f>
        <v>In dem Fall ist das Prädikat auf dem Wert «NA» (keine Beurteilung) zu belassen.</v>
      </c>
      <c r="P92" s="1185"/>
      <c r="Q92" s="1185"/>
    </row>
    <row r="93" spans="2:18" s="244" customFormat="1" x14ac:dyDescent="0.2">
      <c r="B93" s="240"/>
      <c r="C93" s="239"/>
      <c r="D93" s="61"/>
      <c r="E93" s="429" t="b">
        <f>AND(BandLohnBer&lt;&gt;"",BandLohnRechner&lt;&gt;"")</f>
        <v>0</v>
      </c>
      <c r="F93" s="245"/>
      <c r="G93" s="969" t="str">
        <f>IF(E93,"2 Lohnbänder gefunden","")</f>
        <v/>
      </c>
      <c r="H93" s="740" t="b">
        <f>AND(EWLohnBer&lt;&gt;"",EWLohnRechner&lt;&gt;"")</f>
        <v>0</v>
      </c>
      <c r="J93" s="245"/>
      <c r="K93" s="1173" t="str">
        <f>IF(H93,"2 Erfahrungswerte gefunden","")</f>
        <v/>
      </c>
      <c r="L93" s="1173"/>
      <c r="M93" s="266"/>
      <c r="O93" s="239"/>
    </row>
    <row r="94" spans="2:18" s="244" customFormat="1" x14ac:dyDescent="0.2">
      <c r="B94" s="240"/>
      <c r="C94" s="239"/>
      <c r="D94" s="61"/>
      <c r="E94" s="971"/>
      <c r="I94" s="737" t="s">
        <v>1100</v>
      </c>
      <c r="L94" s="1000" t="str">
        <f>IF(ISBLANK($K$90),IF(LohnLohnBer="",IF(LohnLohnRechner="","",LohnLohnRechner),IF(LohnLohnRechner="",LohnLohnBer,"FEHLER")),"-")</f>
        <v/>
      </c>
      <c r="M94" s="266"/>
      <c r="O94" s="1174" t="str">
        <f>Stammdaten_DropDown!A118</f>
        <v xml:space="preserve">Falls eine individuelle  Lohnentwicklung gewährt werden soll, ist das entsprechende Prädikat aus der relevanten MAG-Phase im Dropdown-Menu auszuwählen. </v>
      </c>
      <c r="P94" s="1174"/>
      <c r="Q94" s="1174"/>
    </row>
    <row r="95" spans="2:18" s="244" customFormat="1" x14ac:dyDescent="0.2">
      <c r="B95" s="240"/>
      <c r="C95" s="239"/>
      <c r="D95" s="61"/>
      <c r="E95" s="245"/>
      <c r="F95" s="245"/>
      <c r="G95" s="245"/>
      <c r="H95" s="245"/>
      <c r="I95" s="429" t="b">
        <f>AND(LohnLohnBer&lt;&gt;"",LohnLohnRechner&lt;&gt;"")</f>
        <v>0</v>
      </c>
      <c r="J95" s="245"/>
      <c r="K95" s="1173" t="str">
        <f>IF(I95,"2 Löhne gefunden","")</f>
        <v/>
      </c>
      <c r="L95" s="1173"/>
      <c r="M95" s="266"/>
      <c r="O95" s="1174"/>
      <c r="P95" s="1174"/>
      <c r="Q95" s="1174"/>
    </row>
    <row r="96" spans="2:18" s="244" customFormat="1" x14ac:dyDescent="0.2">
      <c r="B96" s="240"/>
      <c r="C96" s="239"/>
      <c r="D96" s="61"/>
      <c r="E96" s="245" t="str">
        <f>CONCATENATE("Lohnentwicklung per 01.01.",LohntabelleM!I1+1," gewähren?")</f>
        <v>Lohnentwicklung per 01.01.2027 gewähren?</v>
      </c>
      <c r="F96" s="245"/>
      <c r="G96" s="245"/>
      <c r="H96" s="1005"/>
      <c r="I96" s="429"/>
      <c r="J96" s="245"/>
      <c r="K96" s="862" t="s">
        <v>1948</v>
      </c>
      <c r="L96" s="869" t="str">
        <f>M96</f>
        <v/>
      </c>
      <c r="M96" s="858" t="str">
        <f>IF(H96="Ja","A",IF(H96="Nein","NA",""))</f>
        <v/>
      </c>
      <c r="O96" s="1185" t="str">
        <f>Stammdaten_DropDown!A119</f>
        <v>Ist noch keine Beurteilung hinterlegt, so ist das Prädikat auf «A» zu belassen.</v>
      </c>
      <c r="P96" s="1185"/>
      <c r="Q96" s="1185"/>
    </row>
    <row r="97" spans="1:18" s="244" customFormat="1" ht="8.1" customHeight="1" x14ac:dyDescent="0.2">
      <c r="B97" s="240"/>
      <c r="C97" s="239"/>
      <c r="D97" s="63"/>
      <c r="E97" s="64"/>
      <c r="F97" s="64"/>
      <c r="G97" s="65"/>
      <c r="H97" s="64"/>
      <c r="I97" s="64"/>
      <c r="J97" s="64"/>
      <c r="K97" s="64"/>
      <c r="L97" s="64"/>
      <c r="M97" s="279"/>
    </row>
    <row r="98" spans="1:18" s="244" customFormat="1" ht="10.9" customHeight="1" x14ac:dyDescent="0.2">
      <c r="B98" s="240"/>
      <c r="C98" s="239"/>
      <c r="E98" s="239"/>
      <c r="F98" s="239"/>
      <c r="G98" s="280"/>
      <c r="H98" s="239"/>
      <c r="I98" s="239"/>
      <c r="J98" s="239"/>
      <c r="K98" s="239"/>
      <c r="L98" s="239"/>
    </row>
    <row r="99" spans="1:18" s="244" customFormat="1" ht="64.349999999999994" customHeight="1" x14ac:dyDescent="0.2">
      <c r="B99" s="240"/>
      <c r="C99" s="235"/>
      <c r="D99" s="1143" t="s">
        <v>959</v>
      </c>
      <c r="E99" s="1143"/>
      <c r="F99" s="1143"/>
      <c r="G99" s="1143"/>
      <c r="H99" s="1143"/>
      <c r="I99" s="1143"/>
      <c r="J99" s="1143"/>
      <c r="K99" s="1143"/>
      <c r="L99" s="1143"/>
    </row>
    <row r="100" spans="1:18" s="244" customFormat="1" ht="17.25" customHeight="1" x14ac:dyDescent="0.2">
      <c r="B100" s="240"/>
      <c r="C100" s="235"/>
      <c r="D100" s="1143"/>
      <c r="E100" s="1143"/>
      <c r="F100" s="1143"/>
      <c r="G100" s="1143"/>
      <c r="H100" s="1143"/>
      <c r="I100" s="1143"/>
      <c r="J100" s="1143"/>
      <c r="K100" s="1143"/>
      <c r="L100" s="1143"/>
    </row>
    <row r="101" spans="1:18" s="244" customFormat="1" x14ac:dyDescent="0.2">
      <c r="B101" s="91"/>
      <c r="C101" s="235"/>
    </row>
    <row r="102" spans="1:18" s="244" customFormat="1" x14ac:dyDescent="0.2">
      <c r="B102" s="91"/>
      <c r="C102" s="235"/>
    </row>
    <row r="103" spans="1:18" s="244" customFormat="1" x14ac:dyDescent="0.2">
      <c r="B103" s="91"/>
      <c r="C103" s="235"/>
    </row>
    <row r="104" spans="1:18" s="244" customFormat="1" x14ac:dyDescent="0.2">
      <c r="B104" s="91"/>
      <c r="C104" s="235"/>
    </row>
    <row r="105" spans="1:18" s="244" customFormat="1" x14ac:dyDescent="0.2">
      <c r="B105" s="91"/>
      <c r="C105" s="235"/>
    </row>
    <row r="106" spans="1:18" s="244" customFormat="1" x14ac:dyDescent="0.2">
      <c r="B106" s="91"/>
      <c r="C106" s="235"/>
    </row>
    <row r="107" spans="1:18" s="244" customFormat="1" x14ac:dyDescent="0.2">
      <c r="B107" s="91"/>
      <c r="C107" s="235"/>
    </row>
    <row r="108" spans="1:18" s="244" customFormat="1" x14ac:dyDescent="0.2">
      <c r="B108" s="91"/>
      <c r="C108" s="235"/>
      <c r="E108" s="239"/>
      <c r="F108" s="239"/>
      <c r="G108" s="280"/>
      <c r="H108" s="239"/>
      <c r="I108" s="239"/>
      <c r="J108" s="239"/>
      <c r="K108" s="239"/>
      <c r="L108" s="239"/>
    </row>
    <row r="109" spans="1:18" s="244" customFormat="1" x14ac:dyDescent="0.2">
      <c r="B109" s="91"/>
      <c r="C109" s="235"/>
      <c r="D109" s="91"/>
      <c r="E109" s="91"/>
      <c r="F109" s="91"/>
      <c r="G109" s="91"/>
      <c r="H109" s="91"/>
      <c r="I109" s="91"/>
      <c r="J109" s="91"/>
      <c r="K109" s="91"/>
      <c r="L109" s="91"/>
      <c r="M109" s="91"/>
    </row>
    <row r="110" spans="1:18" s="235" customFormat="1" x14ac:dyDescent="0.2">
      <c r="A110" s="91"/>
      <c r="B110" s="91"/>
      <c r="D110" s="91"/>
      <c r="E110" s="91"/>
      <c r="F110" s="91"/>
      <c r="G110" s="91"/>
      <c r="H110" s="91"/>
      <c r="I110" s="91"/>
      <c r="J110" s="91"/>
      <c r="K110" s="91"/>
      <c r="L110" s="91"/>
      <c r="M110" s="91"/>
      <c r="N110" s="91"/>
      <c r="O110" s="91"/>
      <c r="P110" s="91"/>
      <c r="Q110" s="91"/>
      <c r="R110" s="91"/>
    </row>
    <row r="111" spans="1:18" s="235" customFormat="1" x14ac:dyDescent="0.2">
      <c r="A111" s="91"/>
      <c r="B111" s="91"/>
      <c r="D111" s="91"/>
      <c r="E111" s="91"/>
      <c r="F111" s="91"/>
      <c r="G111" s="91"/>
      <c r="H111" s="91"/>
      <c r="I111" s="91"/>
      <c r="J111" s="91"/>
      <c r="K111" s="91"/>
      <c r="L111" s="91"/>
      <c r="M111" s="91"/>
      <c r="N111" s="91"/>
      <c r="O111" s="91"/>
      <c r="P111" s="91"/>
      <c r="Q111" s="91"/>
      <c r="R111" s="91"/>
    </row>
    <row r="112" spans="1:18" s="235" customFormat="1" x14ac:dyDescent="0.2">
      <c r="A112" s="91"/>
      <c r="B112" s="91"/>
      <c r="D112" s="91"/>
      <c r="E112" s="91"/>
      <c r="F112" s="91"/>
      <c r="G112" s="91"/>
      <c r="H112" s="91"/>
      <c r="I112" s="91"/>
      <c r="J112" s="91"/>
      <c r="K112" s="91"/>
      <c r="L112" s="91"/>
      <c r="M112" s="91"/>
      <c r="N112" s="91"/>
      <c r="O112" s="91"/>
      <c r="P112" s="91"/>
      <c r="Q112" s="91"/>
      <c r="R112" s="91"/>
    </row>
    <row r="113" spans="1:18" s="235" customFormat="1" x14ac:dyDescent="0.2">
      <c r="A113" s="91"/>
      <c r="B113" s="91"/>
      <c r="D113" s="91"/>
      <c r="E113" s="91"/>
      <c r="F113" s="91"/>
      <c r="G113" s="91"/>
      <c r="H113" s="91"/>
      <c r="I113" s="91"/>
      <c r="J113" s="91"/>
      <c r="K113" s="91"/>
      <c r="L113" s="91"/>
      <c r="M113" s="91"/>
      <c r="N113" s="91"/>
      <c r="O113" s="91"/>
      <c r="P113" s="91"/>
      <c r="Q113" s="91"/>
      <c r="R113" s="91"/>
    </row>
    <row r="114" spans="1:18" s="235" customFormat="1" x14ac:dyDescent="0.2">
      <c r="A114" s="91"/>
      <c r="B114" s="91"/>
      <c r="D114" s="91"/>
      <c r="E114" s="91"/>
      <c r="F114" s="91"/>
      <c r="G114" s="91"/>
      <c r="H114" s="91"/>
      <c r="I114" s="91"/>
      <c r="J114" s="91"/>
      <c r="K114" s="91"/>
      <c r="L114" s="91"/>
      <c r="M114" s="91"/>
      <c r="N114" s="91"/>
      <c r="O114" s="91"/>
      <c r="P114" s="91"/>
      <c r="Q114" s="91"/>
      <c r="R114" s="91"/>
    </row>
    <row r="115" spans="1:18" s="235" customFormat="1" x14ac:dyDescent="0.2">
      <c r="A115" s="91"/>
      <c r="B115" s="91"/>
      <c r="D115" s="91"/>
      <c r="E115" s="91"/>
      <c r="F115" s="91"/>
      <c r="G115" s="91"/>
      <c r="H115" s="91"/>
      <c r="I115" s="91"/>
      <c r="J115" s="91"/>
      <c r="K115" s="91"/>
      <c r="L115" s="91"/>
      <c r="M115" s="91"/>
      <c r="N115" s="91"/>
      <c r="O115" s="91"/>
      <c r="P115" s="91"/>
      <c r="Q115" s="91"/>
      <c r="R115" s="91"/>
    </row>
    <row r="116" spans="1:18" s="235" customFormat="1" x14ac:dyDescent="0.2">
      <c r="A116" s="91"/>
      <c r="B116" s="91"/>
      <c r="D116" s="91"/>
      <c r="E116" s="91"/>
      <c r="F116" s="91"/>
      <c r="G116" s="91"/>
      <c r="H116" s="91"/>
      <c r="I116" s="91"/>
      <c r="J116" s="91"/>
      <c r="K116" s="91"/>
      <c r="L116" s="91"/>
      <c r="M116" s="91"/>
      <c r="N116" s="91"/>
      <c r="O116" s="91"/>
      <c r="P116" s="91"/>
      <c r="Q116" s="91"/>
      <c r="R116" s="91"/>
    </row>
    <row r="117" spans="1:18" s="235" customFormat="1" x14ac:dyDescent="0.2">
      <c r="A117" s="91"/>
      <c r="B117" s="91"/>
      <c r="D117" s="91"/>
      <c r="E117" s="91"/>
      <c r="F117" s="91"/>
      <c r="G117" s="91"/>
      <c r="H117" s="91"/>
      <c r="I117" s="91"/>
      <c r="J117" s="91"/>
      <c r="K117" s="91"/>
      <c r="L117" s="91"/>
      <c r="M117" s="91"/>
      <c r="N117" s="91"/>
      <c r="O117" s="91"/>
      <c r="P117" s="91"/>
      <c r="Q117" s="91"/>
      <c r="R117" s="91"/>
    </row>
  </sheetData>
  <sheetProtection algorithmName="SHA-512" hashValue="Zy0+ZXPdbrPL+AqkHGqJ3eAeqXgYhkGoo8vlsUswwH34kUxo8jSW2tcHSKNZ3+jxOlv90UbF0nzuiCB5hgh3lw==" saltValue="WCHbDHtGGKd4yDa2ZAoHFg==" spinCount="100000" sheet="1" objects="1" scenarios="1"/>
  <mergeCells count="49">
    <mergeCell ref="G30:L30"/>
    <mergeCell ref="D2:H2"/>
    <mergeCell ref="G11:H11"/>
    <mergeCell ref="K11:L11"/>
    <mergeCell ref="O11:P12"/>
    <mergeCell ref="G13:H13"/>
    <mergeCell ref="G15:L15"/>
    <mergeCell ref="I17:L17"/>
    <mergeCell ref="F21:K21"/>
    <mergeCell ref="F22:L22"/>
    <mergeCell ref="F23:J23"/>
    <mergeCell ref="F24:G24"/>
    <mergeCell ref="E76:F76"/>
    <mergeCell ref="K32:L32"/>
    <mergeCell ref="H40:I40"/>
    <mergeCell ref="J40:L40"/>
    <mergeCell ref="J41:L41"/>
    <mergeCell ref="E42:F42"/>
    <mergeCell ref="G42:H42"/>
    <mergeCell ref="I42:J42"/>
    <mergeCell ref="K42:L42"/>
    <mergeCell ref="H38:K38"/>
    <mergeCell ref="H36:K36"/>
    <mergeCell ref="G44:H44"/>
    <mergeCell ref="E51:G51"/>
    <mergeCell ref="E53:L53"/>
    <mergeCell ref="E54:L54"/>
    <mergeCell ref="E55:L55"/>
    <mergeCell ref="E83:L83"/>
    <mergeCell ref="E84:L84"/>
    <mergeCell ref="O88:Q88"/>
    <mergeCell ref="K90:L90"/>
    <mergeCell ref="O90:Q90"/>
    <mergeCell ref="D99:L100"/>
    <mergeCell ref="H57:K57"/>
    <mergeCell ref="K93:L93"/>
    <mergeCell ref="O94:Q95"/>
    <mergeCell ref="K95:L95"/>
    <mergeCell ref="O96:Q96"/>
    <mergeCell ref="O91:Q91"/>
    <mergeCell ref="O92:Q92"/>
    <mergeCell ref="O62:Q85"/>
    <mergeCell ref="K67:L67"/>
    <mergeCell ref="H72:I72"/>
    <mergeCell ref="J72:L72"/>
    <mergeCell ref="H74:L74"/>
    <mergeCell ref="G76:L76"/>
    <mergeCell ref="E80:K80"/>
    <mergeCell ref="E82:L82"/>
  </mergeCells>
  <conditionalFormatting sqref="G92">
    <cfRule type="expression" dxfId="148" priority="9">
      <formula>E93</formula>
    </cfRule>
  </conditionalFormatting>
  <conditionalFormatting sqref="L92">
    <cfRule type="expression" dxfId="147" priority="10">
      <formula>H93</formula>
    </cfRule>
  </conditionalFormatting>
  <conditionalFormatting sqref="L94">
    <cfRule type="expression" dxfId="146" priority="11">
      <formula>I95</formula>
    </cfRule>
  </conditionalFormatting>
  <conditionalFormatting sqref="F21:K21">
    <cfRule type="containsText" dxfId="145" priority="8" operator="containsText" text="&gt; chronologischer Lebenslauf (vollständige und auf Monate genaue Angaben)&#10;">
      <formula>NOT(ISERROR(SEARCH("&gt; chronologischer Lebenslauf (vollständige und auf Monate genaue Angaben)
",F21)))</formula>
    </cfRule>
  </conditionalFormatting>
  <conditionalFormatting sqref="K96">
    <cfRule type="expression" dxfId="144" priority="7">
      <formula>#REF!</formula>
    </cfRule>
  </conditionalFormatting>
  <conditionalFormatting sqref="K96:L96 O92:Q96">
    <cfRule type="expression" dxfId="143" priority="6">
      <formula>$H$96=""</formula>
    </cfRule>
  </conditionalFormatting>
  <conditionalFormatting sqref="E76:L76 E88:L96 O88:Q96">
    <cfRule type="expression" dxfId="142" priority="2">
      <formula>$H$74=""</formula>
    </cfRule>
  </conditionalFormatting>
  <conditionalFormatting sqref="G36:H36">
    <cfRule type="expression" dxfId="141" priority="202">
      <formula>$R$36=FALSE</formula>
    </cfRule>
  </conditionalFormatting>
  <conditionalFormatting sqref="G38:K38">
    <cfRule type="expression" dxfId="140" priority="204">
      <formula>$R$38=FALSE</formula>
    </cfRule>
  </conditionalFormatting>
  <conditionalFormatting sqref="E40:L49">
    <cfRule type="expression" dxfId="139" priority="205">
      <formula>AND($R$36=FALSE,$R$38=FALSE)</formula>
    </cfRule>
  </conditionalFormatting>
  <dataValidations count="8">
    <dataValidation allowBlank="1" showInputMessage="1" sqref="J72:L72" xr:uid="{00000000-0002-0000-0900-000000000000}"/>
    <dataValidation type="list" allowBlank="1" showInputMessage="1" showErrorMessage="1" sqref="K42:L42" xr:uid="{00000000-0002-0000-0900-000001000000}">
      <formula1>KompetenzDerSchulleitung</formula1>
    </dataValidation>
    <dataValidation type="list" allowBlank="1" showInputMessage="1" showErrorMessage="1" sqref="J40:L40" xr:uid="{00000000-0002-0000-0900-000002000000}">
      <formula1>BegründungFürBefristung</formula1>
    </dataValidation>
    <dataValidation type="list" allowBlank="1" showInputMessage="1" showErrorMessage="1" sqref="K32" xr:uid="{00000000-0002-0000-0900-000003000000}">
      <formula1>Anstellung</formula1>
    </dataValidation>
    <dataValidation operator="greaterThan" allowBlank="1" showInputMessage="1" showErrorMessage="1" errorTitle="Fehler" error="Pensum als Ganzzahl angeben" sqref="L94 K96" xr:uid="{00000000-0002-0000-0900-000004000000}"/>
    <dataValidation type="whole" operator="greaterThan" allowBlank="1" showInputMessage="1" showErrorMessage="1" errorTitle="Fehler" error="Ungültige Postleitzahl" sqref="G17" xr:uid="{00000000-0002-0000-0900-000005000000}">
      <formula1>0</formula1>
    </dataValidation>
    <dataValidation type="date" operator="greaterThan" allowBlank="1" showInputMessage="1" showErrorMessage="1" errorTitle="Fehler" error="Geben Sie ein gültiges Datum dd.mm.yyyy ein!" sqref="G32 G19:G20 H67 G68" xr:uid="{00000000-0002-0000-0900-000006000000}">
      <formula1>1</formula1>
    </dataValidation>
    <dataValidation operator="greaterThan" showInputMessage="1" showErrorMessage="1" errorTitle="Fehler" error="Geben Sie ein gültiges Datum dd.mm.yyyy ein!" sqref="L44 G44 L48:L50 H48:I50 H46" xr:uid="{00000000-0002-0000-0900-000007000000}"/>
  </dataValidations>
  <hyperlinks>
    <hyperlink ref="O11:P12" location="Grunddaten!E9" display="Zurück zu Grunddaten" xr:uid="{00000000-0004-0000-0900-000000000000}"/>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58" max="16383" man="1"/>
  </rowBreaks>
  <ignoredErrors>
    <ignoredError sqref="L9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62849" r:id="rId4" name="Check Box 1">
              <controlPr defaultSize="0" autoFill="0" autoLine="0" autoPict="0">
                <anchor>
                  <from>
                    <xdr:col>3</xdr:col>
                    <xdr:colOff>209550</xdr:colOff>
                    <xdr:row>32</xdr:row>
                    <xdr:rowOff>38100</xdr:rowOff>
                  </from>
                  <to>
                    <xdr:col>6</xdr:col>
                    <xdr:colOff>771525</xdr:colOff>
                    <xdr:row>34</xdr:row>
                    <xdr:rowOff>19050</xdr:rowOff>
                  </to>
                </anchor>
              </controlPr>
            </control>
          </mc:Choice>
        </mc:AlternateContent>
        <mc:AlternateContent xmlns:mc="http://schemas.openxmlformats.org/markup-compatibility/2006">
          <mc:Choice Requires="x14">
            <control shapeId="462852" r:id="rId5" name="Check Box 4">
              <controlPr locked="0" defaultSize="0" autoFill="0" autoLine="0" autoPict="0">
                <anchor>
                  <from>
                    <xdr:col>3</xdr:col>
                    <xdr:colOff>200025</xdr:colOff>
                    <xdr:row>36</xdr:row>
                    <xdr:rowOff>47625</xdr:rowOff>
                  </from>
                  <to>
                    <xdr:col>5</xdr:col>
                    <xdr:colOff>180975</xdr:colOff>
                    <xdr:row>38</xdr:row>
                    <xdr:rowOff>19050</xdr:rowOff>
                  </to>
                </anchor>
              </controlPr>
            </control>
          </mc:Choice>
        </mc:AlternateContent>
        <mc:AlternateContent xmlns:mc="http://schemas.openxmlformats.org/markup-compatibility/2006">
          <mc:Choice Requires="x14">
            <control shapeId="462853" r:id="rId6" name="Check Box 5">
              <controlPr defaultSize="0" autoFill="0" autoLine="0" autoPict="0">
                <anchor>
                  <from>
                    <xdr:col>3</xdr:col>
                    <xdr:colOff>200025</xdr:colOff>
                    <xdr:row>34</xdr:row>
                    <xdr:rowOff>19050</xdr:rowOff>
                  </from>
                  <to>
                    <xdr:col>5</xdr:col>
                    <xdr:colOff>409575</xdr:colOff>
                    <xdr:row>36</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900-000008000000}">
          <x14:formula1>
            <xm:f>Stammdaten_DropDown!$E$107:$E$110</xm:f>
          </x14:formula1>
          <xm:sqref>L96</xm:sqref>
        </x14:dataValidation>
        <x14:dataValidation type="list" allowBlank="1" showInputMessage="1" showErrorMessage="1" xr:uid="{00000000-0002-0000-0900-000009000000}">
          <x14:formula1>
            <xm:f>Stammdaten_DropDown!$E$103:$E$104</xm:f>
          </x14:formula1>
          <xm:sqref>H96</xm:sqref>
        </x14:dataValidation>
        <x14:dataValidation type="list" allowBlank="1" showInputMessage="1" showErrorMessage="1" xr:uid="{00000000-0002-0000-0900-00000A000000}">
          <x14:formula1>
            <xm:f>Stammdaten_DropDown!$E$93:$E$100</xm:f>
          </x14:formula1>
          <xm:sqref>H74:L74</xm:sqref>
        </x14:dataValidation>
        <x14:dataValidation type="list" allowBlank="1" showInputMessage="1" showErrorMessage="1" xr:uid="{00000000-0002-0000-0900-00000B000000}">
          <x14:formula1>
            <xm:f>Stammdaten_DropDown!$E$113:$E$117</xm:f>
          </x14:formula1>
          <xm:sqref>H36:K36</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R99"/>
  <sheetViews>
    <sheetView zoomScaleNormal="100" workbookViewId="0">
      <selection activeCell="G15" sqref="G15:K15"/>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6.85546875" style="91" customWidth="1"/>
    <col min="10" max="10" width="4.7109375" style="91" customWidth="1"/>
    <col min="11" max="11" width="12.5703125" style="91" customWidth="1"/>
    <col min="12" max="12" width="2.42578125" style="91" customWidth="1"/>
    <col min="13" max="13" width="2.5703125" style="91" customWidth="1"/>
    <col min="14" max="15" width="11.5703125" style="91"/>
    <col min="16" max="16" width="48.140625" style="91" customWidth="1"/>
    <col min="17" max="17" width="0" style="91" hidden="1" customWidth="1"/>
    <col min="18" max="18" width="69.42578125" style="91" hidden="1" customWidth="1"/>
    <col min="19" max="16384" width="11.5703125" style="91"/>
  </cols>
  <sheetData>
    <row r="1" spans="1:16" ht="6.6" customHeight="1" x14ac:dyDescent="0.2">
      <c r="C1" s="239"/>
      <c r="D1" s="239"/>
      <c r="E1" s="239"/>
      <c r="F1" s="239"/>
      <c r="G1" s="239"/>
      <c r="H1" s="239"/>
      <c r="I1" s="239"/>
      <c r="J1" s="239"/>
      <c r="K1" s="239"/>
      <c r="L1" s="239"/>
    </row>
    <row r="2" spans="1:16" ht="45" customHeight="1" x14ac:dyDescent="0.2">
      <c r="C2" s="239"/>
      <c r="D2" s="1169" t="s">
        <v>2022</v>
      </c>
      <c r="E2" s="1169"/>
      <c r="F2" s="1169"/>
      <c r="G2" s="1169"/>
      <c r="H2" s="1169"/>
      <c r="I2" s="1169"/>
      <c r="J2" s="245"/>
      <c r="K2" s="245"/>
      <c r="L2" s="239"/>
    </row>
    <row r="3" spans="1:16" s="235" customFormat="1" ht="21" customHeight="1" x14ac:dyDescent="0.2">
      <c r="B3" s="236"/>
      <c r="D3" s="318" t="s">
        <v>945</v>
      </c>
      <c r="F3" s="318"/>
      <c r="H3" s="237"/>
      <c r="I3" s="237"/>
      <c r="J3" s="237"/>
      <c r="K3" s="237"/>
      <c r="L3" s="994" t="str">
        <f>CONCATENATE(LohntabelleM!G1," / ",LohntabelleM!I1)</f>
        <v>V6.0 / 2026</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965"/>
      <c r="J5" s="245"/>
      <c r="K5" s="245"/>
      <c r="L5" s="245"/>
      <c r="M5" s="245"/>
      <c r="N5" s="239"/>
    </row>
    <row r="6" spans="1:16" s="244" customFormat="1" ht="5.0999999999999996" customHeight="1" x14ac:dyDescent="0.2">
      <c r="B6" s="240"/>
      <c r="C6" s="239"/>
      <c r="D6" s="202"/>
      <c r="E6" s="269"/>
      <c r="F6" s="370"/>
      <c r="G6" s="270"/>
      <c r="H6" s="269"/>
      <c r="I6" s="269"/>
      <c r="J6" s="269"/>
      <c r="K6" s="269"/>
      <c r="L6" s="203"/>
    </row>
    <row r="7" spans="1:16" s="244" customFormat="1" x14ac:dyDescent="0.2">
      <c r="B7" s="240"/>
      <c r="C7" s="239"/>
      <c r="D7" s="204"/>
      <c r="E7" s="318" t="s">
        <v>770</v>
      </c>
      <c r="F7" s="245"/>
      <c r="G7" s="965"/>
      <c r="H7" s="245"/>
      <c r="I7" s="245"/>
      <c r="J7" s="245"/>
      <c r="K7" s="245"/>
      <c r="L7" s="205"/>
    </row>
    <row r="8" spans="1:16" s="244" customFormat="1" x14ac:dyDescent="0.2">
      <c r="B8" s="240"/>
      <c r="C8" s="239"/>
      <c r="D8" s="204"/>
      <c r="E8" s="245"/>
      <c r="F8" s="245"/>
      <c r="G8" s="965"/>
      <c r="H8" s="245"/>
      <c r="I8" s="245"/>
      <c r="J8" s="245"/>
      <c r="K8" s="245"/>
      <c r="L8" s="205"/>
    </row>
    <row r="9" spans="1:16" s="244" customFormat="1" x14ac:dyDescent="0.2">
      <c r="B9" s="247"/>
      <c r="C9" s="235"/>
      <c r="D9" s="61"/>
      <c r="E9" s="245" t="s">
        <v>967</v>
      </c>
      <c r="F9" s="245"/>
      <c r="G9" s="1006" t="str">
        <f>IF(MAAnrede&lt;&gt;"",MAAnrede,"")</f>
        <v/>
      </c>
      <c r="H9" s="245"/>
      <c r="I9" s="245"/>
      <c r="J9" s="245"/>
      <c r="K9" s="245"/>
      <c r="L9" s="62"/>
    </row>
    <row r="10" spans="1:16" s="244" customFormat="1" x14ac:dyDescent="0.2">
      <c r="B10" s="240"/>
      <c r="C10" s="239"/>
      <c r="D10" s="204"/>
      <c r="E10" s="245"/>
      <c r="F10" s="245"/>
      <c r="G10" s="965"/>
      <c r="H10" s="245"/>
      <c r="I10" s="245"/>
      <c r="J10" s="245"/>
      <c r="K10" s="245"/>
      <c r="L10" s="205"/>
    </row>
    <row r="11" spans="1:16" s="244" customFormat="1" ht="12.6" customHeight="1" x14ac:dyDescent="0.2">
      <c r="B11" s="247"/>
      <c r="C11" s="235"/>
      <c r="D11" s="61"/>
      <c r="E11" s="245" t="s">
        <v>756</v>
      </c>
      <c r="F11" s="245"/>
      <c r="G11" s="1181" t="str">
        <f>IF(MAName&lt;&gt;"",MAName,"")</f>
        <v/>
      </c>
      <c r="H11" s="1181"/>
      <c r="I11" s="245" t="s">
        <v>757</v>
      </c>
      <c r="J11" s="1181" t="str">
        <f>IF(MAVorname&lt;&gt;"",MAVorname,"")</f>
        <v/>
      </c>
      <c r="K11" s="1181"/>
      <c r="L11" s="62"/>
      <c r="N11" s="1149" t="s">
        <v>1029</v>
      </c>
      <c r="O11" s="1150"/>
      <c r="P11" s="675"/>
    </row>
    <row r="12" spans="1:16" s="244" customFormat="1" ht="12.6" customHeight="1" x14ac:dyDescent="0.2">
      <c r="B12" s="247"/>
      <c r="C12" s="235"/>
      <c r="D12" s="61"/>
      <c r="E12" s="245"/>
      <c r="F12" s="245"/>
      <c r="G12" s="245"/>
      <c r="H12" s="245"/>
      <c r="I12" s="245"/>
      <c r="J12" s="245"/>
      <c r="K12" s="245"/>
      <c r="L12" s="62"/>
      <c r="N12" s="1151"/>
      <c r="O12" s="1152"/>
      <c r="P12" s="675"/>
    </row>
    <row r="13" spans="1:16" s="244" customFormat="1" x14ac:dyDescent="0.2">
      <c r="B13" s="247"/>
      <c r="C13" s="235"/>
      <c r="D13" s="61"/>
      <c r="E13" s="245" t="s">
        <v>763</v>
      </c>
      <c r="F13" s="245"/>
      <c r="G13" s="1181" t="str">
        <f>IF(MAVertragsNr&lt;&gt;"",MAVertragsNr,"")</f>
        <v/>
      </c>
      <c r="H13" s="1181"/>
      <c r="I13" s="245" t="s">
        <v>762</v>
      </c>
      <c r="J13" s="1181" t="str">
        <f>IF(MAPersID&lt;&gt;"",MAPersID,"")</f>
        <v/>
      </c>
      <c r="K13" s="1181"/>
      <c r="L13" s="62"/>
    </row>
    <row r="14" spans="1:16" s="244" customFormat="1" x14ac:dyDescent="0.2">
      <c r="B14" s="247"/>
      <c r="C14" s="235"/>
      <c r="D14" s="61"/>
      <c r="E14" s="245"/>
      <c r="F14" s="245"/>
      <c r="G14" s="965"/>
      <c r="H14" s="245"/>
      <c r="I14" s="245"/>
      <c r="J14" s="245"/>
      <c r="K14" s="245"/>
      <c r="L14" s="266"/>
    </row>
    <row r="15" spans="1:16" s="244" customFormat="1" x14ac:dyDescent="0.2">
      <c r="B15" s="247"/>
      <c r="C15" s="235"/>
      <c r="D15" s="61"/>
      <c r="E15" s="245" t="s">
        <v>755</v>
      </c>
      <c r="F15" s="245"/>
      <c r="G15" s="1135"/>
      <c r="H15" s="1135"/>
      <c r="I15" s="1135"/>
      <c r="J15" s="1135"/>
      <c r="K15" s="1135"/>
      <c r="L15" s="62"/>
    </row>
    <row r="16" spans="1:16" s="244" customFormat="1" x14ac:dyDescent="0.2">
      <c r="B16" s="247"/>
      <c r="C16" s="235"/>
      <c r="D16" s="61"/>
      <c r="E16" s="245"/>
      <c r="F16" s="245"/>
      <c r="G16" s="965"/>
      <c r="H16" s="245"/>
      <c r="I16" s="245"/>
      <c r="J16" s="245"/>
      <c r="K16" s="245"/>
      <c r="L16" s="266"/>
    </row>
    <row r="17" spans="2:18" s="244" customFormat="1" x14ac:dyDescent="0.2">
      <c r="B17" s="247"/>
      <c r="C17" s="235"/>
      <c r="D17" s="61"/>
      <c r="E17" s="245" t="s">
        <v>758</v>
      </c>
      <c r="F17" s="245"/>
      <c r="G17" s="215"/>
      <c r="H17" s="566" t="s">
        <v>759</v>
      </c>
      <c r="I17" s="1135"/>
      <c r="J17" s="1135"/>
      <c r="K17" s="1135"/>
      <c r="L17" s="62"/>
    </row>
    <row r="18" spans="2:18" s="244" customFormat="1" x14ac:dyDescent="0.2">
      <c r="B18" s="247"/>
      <c r="C18" s="235"/>
      <c r="D18" s="61"/>
      <c r="E18" s="245"/>
      <c r="F18" s="245"/>
      <c r="G18" s="965"/>
      <c r="H18" s="245"/>
      <c r="I18" s="245"/>
      <c r="J18" s="245"/>
      <c r="K18" s="965"/>
      <c r="L18" s="62"/>
    </row>
    <row r="19" spans="2:18" s="244" customFormat="1" x14ac:dyDescent="0.2">
      <c r="B19" s="247"/>
      <c r="C19" s="235"/>
      <c r="D19" s="61"/>
      <c r="E19" s="245" t="s">
        <v>760</v>
      </c>
      <c r="F19" s="245"/>
      <c r="G19" s="457" t="str">
        <f>IF(MAGeburtsdatum="","",MAGeburtsdatum)</f>
        <v/>
      </c>
      <c r="H19" s="245"/>
      <c r="I19" s="245"/>
      <c r="J19" s="245"/>
      <c r="K19" s="245"/>
      <c r="L19" s="62"/>
    </row>
    <row r="20" spans="2:18" s="244" customFormat="1" x14ac:dyDescent="0.2">
      <c r="B20" s="247"/>
      <c r="C20" s="235"/>
      <c r="D20" s="61"/>
      <c r="E20" s="245"/>
      <c r="F20" s="245"/>
      <c r="G20" s="245"/>
      <c r="H20" s="245"/>
      <c r="I20" s="245"/>
      <c r="J20" s="245"/>
      <c r="K20" s="965"/>
      <c r="L20" s="62"/>
    </row>
    <row r="21" spans="2:18" s="244" customFormat="1" ht="13.15" customHeight="1" x14ac:dyDescent="0.2">
      <c r="B21" s="240"/>
      <c r="D21" s="61"/>
      <c r="E21" s="435" t="s">
        <v>825</v>
      </c>
      <c r="F21" s="1134" t="s">
        <v>1072</v>
      </c>
      <c r="G21" s="1134"/>
      <c r="H21" s="1134"/>
      <c r="I21" s="1134"/>
      <c r="J21" s="1134"/>
      <c r="K21" s="557"/>
      <c r="L21" s="205"/>
    </row>
    <row r="22" spans="2:18" s="244" customFormat="1" ht="13.15" customHeight="1" x14ac:dyDescent="0.2">
      <c r="B22" s="240"/>
      <c r="D22" s="61"/>
      <c r="E22" s="435"/>
      <c r="F22" s="1134" t="s">
        <v>1070</v>
      </c>
      <c r="G22" s="1134"/>
      <c r="H22" s="1134"/>
      <c r="I22" s="1134"/>
      <c r="J22" s="1134"/>
      <c r="K22" s="1134"/>
      <c r="L22" s="834"/>
    </row>
    <row r="23" spans="2:18" s="244" customFormat="1" ht="13.15" customHeight="1" x14ac:dyDescent="0.2">
      <c r="B23" s="240"/>
      <c r="D23" s="61"/>
      <c r="E23" s="435"/>
      <c r="F23" s="1134" t="s">
        <v>1071</v>
      </c>
      <c r="G23" s="1134"/>
      <c r="H23" s="1134"/>
      <c r="I23" s="1134"/>
      <c r="J23" s="557"/>
      <c r="K23" s="557"/>
      <c r="L23" s="205"/>
    </row>
    <row r="24" spans="2:18" s="244" customFormat="1" ht="13.15" customHeight="1" x14ac:dyDescent="0.2">
      <c r="B24" s="240"/>
      <c r="D24" s="61"/>
      <c r="E24" s="435"/>
      <c r="F24" s="1134" t="s">
        <v>1073</v>
      </c>
      <c r="G24" s="1134"/>
      <c r="H24" s="557"/>
      <c r="I24" s="557"/>
      <c r="J24" s="557"/>
      <c r="K24" s="557"/>
      <c r="L24" s="205"/>
    </row>
    <row r="25" spans="2:18" s="244" customFormat="1" ht="8.1" customHeight="1" x14ac:dyDescent="0.2">
      <c r="B25" s="240"/>
      <c r="C25" s="239"/>
      <c r="D25" s="206"/>
      <c r="E25" s="64"/>
      <c r="F25" s="64"/>
      <c r="G25" s="65"/>
      <c r="H25" s="64"/>
      <c r="I25" s="64"/>
      <c r="J25" s="64"/>
      <c r="K25" s="64"/>
      <c r="L25" s="207"/>
    </row>
    <row r="26" spans="2:18" ht="6" customHeight="1" x14ac:dyDescent="0.2">
      <c r="B26" s="240"/>
      <c r="C26" s="239"/>
      <c r="D26" s="245"/>
      <c r="E26" s="343"/>
      <c r="F26" s="965"/>
      <c r="G26" s="245"/>
      <c r="H26" s="245"/>
      <c r="I26" s="245"/>
      <c r="J26" s="245"/>
      <c r="K26" s="239"/>
      <c r="L26" s="239"/>
    </row>
    <row r="27" spans="2:18" ht="5.0999999999999996" customHeight="1" x14ac:dyDescent="0.2">
      <c r="B27" s="240"/>
      <c r="C27" s="239"/>
      <c r="D27" s="371"/>
      <c r="E27" s="370"/>
      <c r="F27" s="270"/>
      <c r="G27" s="269"/>
      <c r="H27" s="269"/>
      <c r="I27" s="269"/>
      <c r="J27" s="269"/>
      <c r="K27" s="67"/>
      <c r="L27" s="203"/>
    </row>
    <row r="28" spans="2:18" x14ac:dyDescent="0.2">
      <c r="B28" s="240"/>
      <c r="C28" s="239"/>
      <c r="D28" s="204"/>
      <c r="E28" s="318" t="s">
        <v>975</v>
      </c>
      <c r="F28" s="343"/>
      <c r="G28" s="965"/>
      <c r="H28" s="245"/>
      <c r="I28" s="245"/>
      <c r="J28" s="245"/>
      <c r="K28" s="245"/>
      <c r="L28" s="205"/>
    </row>
    <row r="29" spans="2:18" x14ac:dyDescent="0.2">
      <c r="B29" s="240"/>
      <c r="C29" s="239"/>
      <c r="D29" s="204"/>
      <c r="E29" s="343"/>
      <c r="F29" s="343"/>
      <c r="G29" s="965"/>
      <c r="H29" s="245"/>
      <c r="I29" s="245"/>
      <c r="J29" s="245"/>
      <c r="K29" s="245"/>
      <c r="L29" s="205"/>
    </row>
    <row r="30" spans="2:18" s="244" customFormat="1" x14ac:dyDescent="0.2">
      <c r="B30" s="240"/>
      <c r="C30" s="239"/>
      <c r="D30" s="61"/>
      <c r="E30" s="245" t="s">
        <v>1038</v>
      </c>
      <c r="F30" s="341"/>
      <c r="G30" s="1135"/>
      <c r="H30" s="1135"/>
      <c r="I30" s="1135"/>
      <c r="J30" s="1135"/>
      <c r="K30" s="1135"/>
      <c r="L30" s="62"/>
    </row>
    <row r="31" spans="2:18" s="244" customFormat="1" ht="6" customHeight="1" x14ac:dyDescent="0.2">
      <c r="B31" s="240"/>
      <c r="C31" s="239"/>
      <c r="D31" s="61"/>
      <c r="E31" s="245"/>
      <c r="F31" s="245"/>
      <c r="H31" s="342"/>
      <c r="I31" s="342"/>
      <c r="L31" s="62"/>
    </row>
    <row r="32" spans="2:18" s="244" customFormat="1" ht="12.75" customHeight="1" x14ac:dyDescent="0.2">
      <c r="B32" s="240"/>
      <c r="C32" s="239"/>
      <c r="D32" s="61"/>
      <c r="E32" s="974" t="s">
        <v>2021</v>
      </c>
      <c r="F32" s="245"/>
      <c r="H32" s="859" t="s">
        <v>908</v>
      </c>
      <c r="I32" s="1136"/>
      <c r="J32" s="1136"/>
      <c r="K32" s="1136"/>
      <c r="L32" s="62"/>
      <c r="R32" s="1029" t="b">
        <v>0</v>
      </c>
    </row>
    <row r="33" spans="2:18" s="244" customFormat="1" ht="8.25" customHeight="1" x14ac:dyDescent="0.2">
      <c r="B33" s="240"/>
      <c r="C33" s="239"/>
      <c r="D33" s="61"/>
      <c r="E33" s="245"/>
      <c r="F33" s="245"/>
      <c r="H33" s="991" t="s">
        <v>2025</v>
      </c>
      <c r="I33" s="342"/>
      <c r="K33" s="867"/>
      <c r="L33" s="62"/>
    </row>
    <row r="34" spans="2:18" s="244" customFormat="1" x14ac:dyDescent="0.2">
      <c r="B34" s="240"/>
      <c r="C34" s="239"/>
      <c r="D34" s="61"/>
      <c r="E34" s="992" t="s">
        <v>911</v>
      </c>
      <c r="F34" s="340"/>
      <c r="H34" s="990" t="s">
        <v>1045</v>
      </c>
      <c r="I34" s="1136"/>
      <c r="J34" s="1136"/>
      <c r="K34" s="1136"/>
      <c r="L34" s="62"/>
      <c r="R34" s="1029" t="b">
        <v>0</v>
      </c>
    </row>
    <row r="35" spans="2:18" s="244" customFormat="1" x14ac:dyDescent="0.2">
      <c r="B35" s="240"/>
      <c r="C35" s="239"/>
      <c r="D35" s="61"/>
      <c r="E35" s="245"/>
      <c r="F35" s="245"/>
      <c r="H35" s="342"/>
      <c r="I35" s="342"/>
      <c r="L35" s="62"/>
    </row>
    <row r="36" spans="2:18" x14ac:dyDescent="0.2">
      <c r="B36" s="240"/>
      <c r="C36" s="239"/>
      <c r="D36" s="204"/>
      <c r="E36" s="245" t="s">
        <v>841</v>
      </c>
      <c r="F36" s="967"/>
      <c r="G36" s="965"/>
      <c r="H36" s="965" t="s">
        <v>6</v>
      </c>
      <c r="I36" s="970"/>
      <c r="J36" s="965" t="s">
        <v>7</v>
      </c>
      <c r="K36" s="970"/>
      <c r="L36" s="205"/>
    </row>
    <row r="37" spans="2:18" x14ac:dyDescent="0.2">
      <c r="B37" s="240"/>
      <c r="C37" s="239"/>
      <c r="D37" s="204"/>
      <c r="E37" s="949" t="s">
        <v>2004</v>
      </c>
      <c r="L37" s="205"/>
    </row>
    <row r="38" spans="2:18" x14ac:dyDescent="0.2">
      <c r="B38" s="240"/>
      <c r="C38" s="239"/>
      <c r="D38" s="204"/>
      <c r="E38" s="245" t="s">
        <v>832</v>
      </c>
      <c r="F38" s="245"/>
      <c r="G38" s="1135"/>
      <c r="H38" s="1135"/>
      <c r="I38" s="1135"/>
      <c r="J38" s="1135"/>
      <c r="K38" s="1135"/>
      <c r="L38" s="205"/>
    </row>
    <row r="39" spans="2:18" x14ac:dyDescent="0.2">
      <c r="B39" s="240"/>
      <c r="C39" s="239"/>
      <c r="D39" s="204"/>
      <c r="E39" s="949" t="s">
        <v>2004</v>
      </c>
      <c r="F39" s="343"/>
      <c r="G39" s="965"/>
      <c r="H39" s="245"/>
      <c r="I39" s="245"/>
      <c r="J39" s="245"/>
      <c r="K39" s="245"/>
      <c r="L39" s="205"/>
    </row>
    <row r="40" spans="2:18" ht="7.5" customHeight="1" x14ac:dyDescent="0.2">
      <c r="B40" s="240"/>
      <c r="C40" s="239"/>
      <c r="D40" s="204"/>
      <c r="E40" s="984"/>
      <c r="F40" s="984"/>
      <c r="G40" s="983"/>
      <c r="H40" s="985"/>
      <c r="I40" s="985"/>
      <c r="J40" s="985"/>
      <c r="K40" s="400"/>
      <c r="L40" s="205"/>
    </row>
    <row r="41" spans="2:18" ht="6" customHeight="1" x14ac:dyDescent="0.2">
      <c r="B41" s="240"/>
      <c r="C41" s="239"/>
      <c r="D41" s="372"/>
      <c r="E41" s="245"/>
      <c r="G41" s="245"/>
      <c r="H41" s="245"/>
      <c r="I41" s="245"/>
      <c r="J41" s="245"/>
      <c r="K41" s="245"/>
      <c r="L41" s="266"/>
    </row>
    <row r="42" spans="2:18" s="244" customFormat="1" x14ac:dyDescent="0.2">
      <c r="B42" s="240"/>
      <c r="C42" s="235"/>
      <c r="D42" s="61"/>
      <c r="E42" s="1165" t="s">
        <v>972</v>
      </c>
      <c r="F42" s="1165"/>
      <c r="G42" s="1165"/>
      <c r="I42" s="319"/>
      <c r="J42" s="319"/>
      <c r="K42" s="319"/>
      <c r="L42" s="321"/>
    </row>
    <row r="43" spans="2:18" s="244" customFormat="1" x14ac:dyDescent="0.2">
      <c r="B43" s="240"/>
      <c r="C43" s="235"/>
      <c r="D43" s="61"/>
      <c r="E43" s="245"/>
      <c r="F43" s="245"/>
      <c r="G43" s="965"/>
      <c r="H43" s="245"/>
      <c r="I43" s="245"/>
      <c r="J43" s="245"/>
      <c r="K43" s="245"/>
      <c r="L43" s="266"/>
      <c r="R43" s="244" t="s">
        <v>973</v>
      </c>
    </row>
    <row r="44" spans="2:18" s="244" customFormat="1" x14ac:dyDescent="0.2">
      <c r="B44" s="240"/>
      <c r="C44" s="235"/>
      <c r="D44" s="61"/>
      <c r="E44" s="1136"/>
      <c r="F44" s="1136"/>
      <c r="G44" s="1136"/>
      <c r="H44" s="1136"/>
      <c r="I44" s="1136"/>
      <c r="J44" s="1136"/>
      <c r="K44" s="1136"/>
      <c r="L44" s="62"/>
      <c r="R44" s="349">
        <f>E44</f>
        <v>0</v>
      </c>
    </row>
    <row r="45" spans="2:18" s="244" customFormat="1" x14ac:dyDescent="0.2">
      <c r="B45" s="240"/>
      <c r="C45" s="235"/>
      <c r="D45" s="61"/>
      <c r="E45" s="1136"/>
      <c r="F45" s="1136"/>
      <c r="G45" s="1136"/>
      <c r="H45" s="1136"/>
      <c r="I45" s="1136"/>
      <c r="J45" s="1136"/>
      <c r="K45" s="1136"/>
      <c r="L45" s="62"/>
      <c r="R45" s="349">
        <f>E45</f>
        <v>0</v>
      </c>
    </row>
    <row r="46" spans="2:18" s="244" customFormat="1" x14ac:dyDescent="0.2">
      <c r="B46" s="240"/>
      <c r="C46" s="235"/>
      <c r="D46" s="61"/>
      <c r="E46" s="1136"/>
      <c r="F46" s="1136"/>
      <c r="G46" s="1136"/>
      <c r="H46" s="1136"/>
      <c r="I46" s="1136"/>
      <c r="J46" s="1136"/>
      <c r="K46" s="1136"/>
      <c r="L46" s="62"/>
      <c r="M46" s="61"/>
      <c r="N46" s="431"/>
      <c r="R46" s="349">
        <f>E46</f>
        <v>0</v>
      </c>
    </row>
    <row r="47" spans="2:18" s="244" customFormat="1" x14ac:dyDescent="0.2">
      <c r="B47" s="240"/>
      <c r="C47" s="239"/>
      <c r="D47" s="61"/>
      <c r="E47" s="561"/>
      <c r="F47" s="432"/>
      <c r="G47" s="432"/>
      <c r="H47" s="432"/>
      <c r="I47" s="432"/>
      <c r="J47" s="432"/>
      <c r="K47" s="549"/>
      <c r="L47" s="205"/>
      <c r="M47" s="61"/>
      <c r="N47" s="431"/>
    </row>
    <row r="48" spans="2:18" s="244" customFormat="1" x14ac:dyDescent="0.2">
      <c r="B48" s="240"/>
      <c r="C48" s="235"/>
      <c r="D48" s="61"/>
      <c r="H48" s="1140" t="s">
        <v>1122</v>
      </c>
      <c r="I48" s="1140"/>
      <c r="J48" s="1140"/>
      <c r="K48" s="1004"/>
      <c r="L48" s="62"/>
      <c r="M48" s="61"/>
      <c r="N48" s="431"/>
    </row>
    <row r="49" spans="1:16" ht="8.1" customHeight="1" x14ac:dyDescent="0.2">
      <c r="B49" s="240"/>
      <c r="C49" s="239"/>
      <c r="D49" s="206"/>
      <c r="E49" s="348"/>
      <c r="F49" s="348"/>
      <c r="G49" s="348"/>
      <c r="H49" s="373"/>
      <c r="I49" s="373"/>
      <c r="J49" s="374"/>
      <c r="K49" s="373"/>
      <c r="L49" s="207"/>
    </row>
    <row r="50" spans="1:16" s="244" customFormat="1" ht="6" customHeight="1" x14ac:dyDescent="0.2">
      <c r="C50" s="239"/>
      <c r="D50" s="239"/>
      <c r="E50" s="245"/>
      <c r="F50" s="245"/>
      <c r="G50" s="965"/>
      <c r="H50" s="245"/>
      <c r="I50" s="245"/>
      <c r="J50" s="245"/>
      <c r="K50" s="245"/>
      <c r="L50" s="245"/>
    </row>
    <row r="51" spans="1:16" s="235" customFormat="1" ht="21" customHeight="1" x14ac:dyDescent="0.2">
      <c r="B51" s="236"/>
      <c r="D51" s="238" t="s">
        <v>1221</v>
      </c>
      <c r="F51" s="238"/>
      <c r="H51" s="237"/>
      <c r="I51" s="237"/>
      <c r="J51" s="237"/>
      <c r="K51" s="237"/>
      <c r="L51" s="237"/>
      <c r="M51" s="237"/>
    </row>
    <row r="52" spans="1:16" s="244" customFormat="1" ht="6.75" customHeight="1" x14ac:dyDescent="0.2">
      <c r="A52" s="239"/>
      <c r="B52" s="240"/>
      <c r="C52" s="240"/>
      <c r="D52" s="240"/>
      <c r="E52" s="240"/>
      <c r="F52" s="241"/>
      <c r="G52" s="240"/>
      <c r="H52" s="242"/>
      <c r="I52" s="243"/>
      <c r="J52" s="242"/>
      <c r="K52" s="242"/>
      <c r="L52" s="242"/>
      <c r="N52" s="1161" t="s">
        <v>2000</v>
      </c>
      <c r="O52" s="1161"/>
      <c r="P52" s="1161"/>
    </row>
    <row r="53" spans="1:16" s="244" customFormat="1" ht="6" customHeight="1" x14ac:dyDescent="0.2">
      <c r="A53" s="239"/>
      <c r="B53" s="240"/>
      <c r="C53" s="239"/>
      <c r="D53" s="239"/>
      <c r="E53" s="239"/>
      <c r="F53" s="318"/>
      <c r="G53" s="239"/>
      <c r="H53" s="245"/>
      <c r="I53" s="965"/>
      <c r="J53" s="245"/>
      <c r="K53" s="245"/>
      <c r="L53" s="245"/>
      <c r="M53" s="245"/>
      <c r="N53" s="1161"/>
      <c r="O53" s="1161"/>
      <c r="P53" s="1161"/>
    </row>
    <row r="54" spans="1:16" s="244" customFormat="1" ht="5.0999999999999996" customHeight="1" x14ac:dyDescent="0.2">
      <c r="B54" s="240"/>
      <c r="C54" s="239"/>
      <c r="D54" s="202"/>
      <c r="E54" s="269"/>
      <c r="F54" s="269"/>
      <c r="G54" s="270"/>
      <c r="H54" s="269"/>
      <c r="I54" s="269"/>
      <c r="J54" s="269"/>
      <c r="K54" s="269"/>
      <c r="L54" s="271"/>
      <c r="N54" s="1161"/>
      <c r="O54" s="1161"/>
      <c r="P54" s="1161"/>
    </row>
    <row r="55" spans="1:16" s="244" customFormat="1" x14ac:dyDescent="0.2">
      <c r="B55" s="240"/>
      <c r="C55" s="239"/>
      <c r="D55" s="204"/>
      <c r="E55" s="272" t="s">
        <v>941</v>
      </c>
      <c r="F55" s="245"/>
      <c r="G55" s="965"/>
      <c r="H55" s="245"/>
      <c r="I55" s="245"/>
      <c r="J55" s="245"/>
      <c r="K55" s="245"/>
      <c r="L55" s="205"/>
      <c r="N55" s="1161"/>
      <c r="O55" s="1161"/>
      <c r="P55" s="1161"/>
    </row>
    <row r="56" spans="1:16" s="244" customFormat="1" x14ac:dyDescent="0.2">
      <c r="B56" s="240"/>
      <c r="C56" s="239"/>
      <c r="D56" s="204"/>
      <c r="H56" s="245"/>
      <c r="I56" s="245"/>
      <c r="J56" s="245"/>
      <c r="K56" s="245"/>
      <c r="L56" s="205"/>
      <c r="N56" s="1161"/>
      <c r="O56" s="1161"/>
      <c r="P56" s="1161"/>
    </row>
    <row r="57" spans="1:16" s="244" customFormat="1" x14ac:dyDescent="0.2">
      <c r="B57" s="240"/>
      <c r="C57" s="239"/>
      <c r="D57" s="204"/>
      <c r="E57" s="245" t="s">
        <v>971</v>
      </c>
      <c r="F57" s="1166"/>
      <c r="G57" s="1166"/>
      <c r="L57" s="205"/>
      <c r="N57" s="1161"/>
      <c r="O57" s="1161"/>
      <c r="P57" s="1161"/>
    </row>
    <row r="58" spans="1:16" s="244" customFormat="1" x14ac:dyDescent="0.2">
      <c r="B58" s="240"/>
      <c r="C58" s="239"/>
      <c r="D58" s="204"/>
      <c r="E58" s="245"/>
      <c r="F58" s="245"/>
      <c r="G58" s="346"/>
      <c r="H58" s="245"/>
      <c r="I58" s="245"/>
      <c r="J58" s="245"/>
      <c r="K58" s="965"/>
      <c r="L58" s="205"/>
      <c r="N58" s="1161"/>
      <c r="O58" s="1161"/>
      <c r="P58" s="1161"/>
    </row>
    <row r="59" spans="1:16" s="244" customFormat="1" x14ac:dyDescent="0.2">
      <c r="B59" s="240"/>
      <c r="C59" s="239"/>
      <c r="D59" s="204"/>
      <c r="E59" s="245" t="s">
        <v>996</v>
      </c>
      <c r="F59" s="245"/>
      <c r="G59" s="1006" t="str">
        <f>IF(MULohnberechnung&lt;&gt;"",MULohnberechnung,"")</f>
        <v/>
      </c>
      <c r="H59" s="965" t="s">
        <v>998</v>
      </c>
      <c r="I59" s="239" t="s">
        <v>1032</v>
      </c>
      <c r="K59" s="1005"/>
      <c r="L59" s="205"/>
      <c r="N59" s="1161"/>
      <c r="O59" s="1161"/>
      <c r="P59" s="1161"/>
    </row>
    <row r="60" spans="1:16" s="244" customFormat="1" x14ac:dyDescent="0.2">
      <c r="B60" s="240"/>
      <c r="D60" s="61"/>
      <c r="L60" s="62"/>
      <c r="N60" s="1161"/>
      <c r="O60" s="1161"/>
      <c r="P60" s="1161"/>
    </row>
    <row r="61" spans="1:16" s="244" customFormat="1" x14ac:dyDescent="0.2">
      <c r="B61" s="240"/>
      <c r="C61" s="239"/>
      <c r="D61" s="204"/>
      <c r="E61" s="245" t="s">
        <v>966</v>
      </c>
      <c r="F61" s="245"/>
      <c r="G61" s="1005"/>
      <c r="I61" s="245" t="s">
        <v>1069</v>
      </c>
      <c r="J61" s="1141" t="str">
        <f>_xlfn.IFNA(VLOOKUP(G61,Stammdaten_DropDown!$B$14:$C$55,2,FALSE),"")</f>
        <v/>
      </c>
      <c r="K61" s="1141"/>
      <c r="L61" s="266"/>
      <c r="N61" s="1161"/>
      <c r="O61" s="1161"/>
      <c r="P61" s="1161"/>
    </row>
    <row r="62" spans="1:16" s="244" customFormat="1" x14ac:dyDescent="0.2">
      <c r="B62" s="240"/>
      <c r="C62" s="239"/>
      <c r="D62" s="204"/>
      <c r="L62" s="266"/>
      <c r="N62" s="1161"/>
      <c r="O62" s="1161"/>
      <c r="P62" s="1161"/>
    </row>
    <row r="63" spans="1:16" s="244" customFormat="1" x14ac:dyDescent="0.2">
      <c r="B63" s="240"/>
      <c r="C63" s="239"/>
      <c r="D63" s="204"/>
      <c r="E63" s="245" t="str">
        <f>IF(G13&lt;&gt;"","LOGIB-Code bereits vorhanden","Höchstausbildung LOGIB*")</f>
        <v>Höchstausbildung LOGIB*</v>
      </c>
      <c r="H63" s="1189"/>
      <c r="I63" s="1189"/>
      <c r="J63" s="1189"/>
      <c r="K63" s="1189"/>
      <c r="L63" s="266"/>
      <c r="N63" s="1161"/>
      <c r="O63" s="1161"/>
      <c r="P63" s="1161"/>
    </row>
    <row r="64" spans="1:16" s="244" customFormat="1" x14ac:dyDescent="0.2">
      <c r="B64" s="240"/>
      <c r="C64" s="239"/>
      <c r="D64" s="204"/>
      <c r="E64" s="986" t="s">
        <v>2023</v>
      </c>
      <c r="L64" s="266"/>
      <c r="N64" s="1161"/>
      <c r="O64" s="1161"/>
      <c r="P64" s="1161"/>
    </row>
    <row r="65" spans="2:18" s="244" customFormat="1" x14ac:dyDescent="0.2">
      <c r="B65" s="240"/>
      <c r="C65" s="239"/>
      <c r="D65" s="204"/>
      <c r="E65" s="1164" t="s">
        <v>946</v>
      </c>
      <c r="F65" s="1164"/>
      <c r="G65" s="1135"/>
      <c r="H65" s="1135"/>
      <c r="I65" s="1135"/>
      <c r="J65" s="1135"/>
      <c r="K65" s="1135"/>
      <c r="L65" s="205"/>
      <c r="N65" s="1161"/>
      <c r="O65" s="1161"/>
      <c r="P65" s="1161"/>
    </row>
    <row r="66" spans="2:18" s="244" customFormat="1" ht="8.1" customHeight="1" x14ac:dyDescent="0.2">
      <c r="B66" s="240"/>
      <c r="C66" s="239"/>
      <c r="D66" s="206"/>
      <c r="E66" s="267"/>
      <c r="F66" s="267"/>
      <c r="G66" s="267"/>
      <c r="H66" s="267"/>
      <c r="I66" s="267"/>
      <c r="J66" s="267"/>
      <c r="K66" s="267"/>
      <c r="L66" s="207"/>
      <c r="N66" s="1161"/>
      <c r="O66" s="1161"/>
      <c r="P66" s="1161"/>
    </row>
    <row r="67" spans="2:18" s="244" customFormat="1" ht="6" customHeight="1" x14ac:dyDescent="0.2">
      <c r="B67" s="240"/>
      <c r="C67" s="239"/>
      <c r="D67" s="239"/>
      <c r="E67" s="966"/>
      <c r="F67" s="966"/>
      <c r="G67" s="966"/>
      <c r="H67" s="966"/>
      <c r="I67" s="966"/>
      <c r="J67" s="966"/>
      <c r="K67" s="966"/>
      <c r="L67" s="239"/>
      <c r="N67" s="1161"/>
      <c r="O67" s="1161"/>
      <c r="P67" s="1161"/>
    </row>
    <row r="68" spans="2:18" s="244" customFormat="1" ht="5.0999999999999996" customHeight="1" x14ac:dyDescent="0.2">
      <c r="B68" s="240"/>
      <c r="C68" s="239"/>
      <c r="D68" s="202"/>
      <c r="E68" s="67"/>
      <c r="F68" s="67"/>
      <c r="G68" s="68"/>
      <c r="H68" s="67"/>
      <c r="I68" s="67"/>
      <c r="J68" s="67"/>
      <c r="K68" s="67"/>
      <c r="L68" s="203"/>
      <c r="N68" s="1161"/>
      <c r="O68" s="1161"/>
      <c r="P68" s="1161"/>
    </row>
    <row r="69" spans="2:18" s="244" customFormat="1" x14ac:dyDescent="0.2">
      <c r="B69" s="240"/>
      <c r="C69" s="239"/>
      <c r="D69" s="204"/>
      <c r="E69" s="1165" t="s">
        <v>978</v>
      </c>
      <c r="F69" s="1165"/>
      <c r="G69" s="1165"/>
      <c r="H69" s="1165"/>
      <c r="I69" s="1165"/>
      <c r="J69" s="1165"/>
      <c r="K69" s="245"/>
      <c r="L69" s="205"/>
      <c r="N69" s="1161"/>
      <c r="O69" s="1161"/>
      <c r="P69" s="1161"/>
    </row>
    <row r="70" spans="2:18" s="244" customFormat="1" x14ac:dyDescent="0.2">
      <c r="B70" s="240"/>
      <c r="C70" s="239"/>
      <c r="D70" s="204"/>
      <c r="E70" s="245"/>
      <c r="F70" s="245"/>
      <c r="G70" s="965"/>
      <c r="H70" s="245"/>
      <c r="I70" s="245"/>
      <c r="J70" s="245"/>
      <c r="K70" s="245"/>
      <c r="L70" s="205"/>
      <c r="N70" s="1161"/>
      <c r="O70" s="1161"/>
      <c r="P70" s="1161"/>
      <c r="R70" s="244" t="s">
        <v>973</v>
      </c>
    </row>
    <row r="71" spans="2:18" s="244" customFormat="1" x14ac:dyDescent="0.2">
      <c r="B71" s="240"/>
      <c r="C71" s="239"/>
      <c r="D71" s="204"/>
      <c r="E71" s="1136"/>
      <c r="F71" s="1136"/>
      <c r="G71" s="1136"/>
      <c r="H71" s="1136"/>
      <c r="I71" s="1136"/>
      <c r="J71" s="1136"/>
      <c r="K71" s="1136"/>
      <c r="L71" s="205"/>
      <c r="N71" s="1161"/>
      <c r="O71" s="1161"/>
      <c r="P71" s="1161"/>
      <c r="R71" s="349">
        <f>E71</f>
        <v>0</v>
      </c>
    </row>
    <row r="72" spans="2:18" s="244" customFormat="1" x14ac:dyDescent="0.2">
      <c r="B72" s="240"/>
      <c r="C72" s="239"/>
      <c r="D72" s="204"/>
      <c r="E72" s="1136"/>
      <c r="F72" s="1136"/>
      <c r="G72" s="1136"/>
      <c r="H72" s="1136"/>
      <c r="I72" s="1136"/>
      <c r="J72" s="1136"/>
      <c r="K72" s="1136"/>
      <c r="L72" s="205"/>
      <c r="N72" s="1161"/>
      <c r="O72" s="1161"/>
      <c r="P72" s="1161"/>
      <c r="R72" s="349"/>
    </row>
    <row r="73" spans="2:18" s="244" customFormat="1" x14ac:dyDescent="0.2">
      <c r="B73" s="240"/>
      <c r="C73" s="239"/>
      <c r="D73" s="204"/>
      <c r="E73" s="1136"/>
      <c r="F73" s="1136"/>
      <c r="G73" s="1136"/>
      <c r="H73" s="1136"/>
      <c r="I73" s="1136"/>
      <c r="J73" s="1136"/>
      <c r="K73" s="1136"/>
      <c r="L73" s="205"/>
      <c r="N73" s="1161"/>
      <c r="O73" s="1161"/>
      <c r="P73" s="1161"/>
      <c r="R73" s="349">
        <f>E73</f>
        <v>0</v>
      </c>
    </row>
    <row r="74" spans="2:18" s="244" customFormat="1" ht="8.1" customHeight="1" x14ac:dyDescent="0.2">
      <c r="B74" s="240"/>
      <c r="C74" s="239"/>
      <c r="D74" s="206"/>
      <c r="E74" s="64"/>
      <c r="F74" s="64"/>
      <c r="G74" s="65"/>
      <c r="H74" s="64"/>
      <c r="I74" s="64"/>
      <c r="J74" s="64"/>
      <c r="K74" s="64"/>
      <c r="L74" s="207"/>
      <c r="N74" s="1161"/>
      <c r="O74" s="1161"/>
      <c r="P74" s="1161"/>
    </row>
    <row r="75" spans="2:18" s="244" customFormat="1" ht="6" customHeight="1" x14ac:dyDescent="0.2">
      <c r="B75" s="240"/>
      <c r="C75" s="239"/>
      <c r="D75" s="239"/>
      <c r="E75" s="245"/>
      <c r="F75" s="245"/>
      <c r="G75" s="965"/>
      <c r="H75" s="245"/>
      <c r="I75" s="245"/>
      <c r="J75" s="245"/>
      <c r="K75" s="245"/>
      <c r="L75" s="239"/>
    </row>
    <row r="76" spans="2:18" s="244" customFormat="1" ht="5.0999999999999996" customHeight="1" x14ac:dyDescent="0.2">
      <c r="B76" s="240"/>
      <c r="C76" s="239"/>
      <c r="D76" s="202"/>
      <c r="E76" s="67"/>
      <c r="F76" s="67"/>
      <c r="G76" s="68"/>
      <c r="H76" s="67"/>
      <c r="I76" s="67"/>
      <c r="J76" s="67"/>
      <c r="K76" s="67"/>
      <c r="L76" s="203"/>
    </row>
    <row r="77" spans="2:18" s="244" customFormat="1" x14ac:dyDescent="0.2">
      <c r="B77" s="240"/>
      <c r="C77" s="239"/>
      <c r="D77" s="204"/>
      <c r="E77" s="210" t="s">
        <v>929</v>
      </c>
      <c r="F77" s="210"/>
      <c r="G77" s="320"/>
      <c r="H77" s="319"/>
      <c r="I77" s="319"/>
      <c r="J77" s="319"/>
      <c r="K77" s="319"/>
      <c r="L77" s="266"/>
      <c r="N77" s="1176" t="str">
        <f>Stammdaten_DropDown!A114</f>
        <v>Lohnentwicklung</v>
      </c>
      <c r="O77" s="1176"/>
      <c r="P77" s="1176"/>
    </row>
    <row r="78" spans="2:18" s="244" customFormat="1" ht="6" customHeight="1" x14ac:dyDescent="0.2">
      <c r="B78" s="240"/>
      <c r="C78" s="239"/>
      <c r="D78" s="204"/>
      <c r="E78" s="245"/>
      <c r="F78" s="245"/>
      <c r="G78" s="965"/>
      <c r="H78" s="245"/>
      <c r="I78" s="245"/>
      <c r="J78" s="245"/>
      <c r="K78" s="245"/>
      <c r="L78" s="266"/>
      <c r="N78" s="856"/>
    </row>
    <row r="79" spans="2:18" s="244" customFormat="1" x14ac:dyDescent="0.2">
      <c r="B79" s="240"/>
      <c r="C79" s="239"/>
      <c r="D79" s="204"/>
      <c r="E79" s="245" t="s">
        <v>940</v>
      </c>
      <c r="F79" s="245"/>
      <c r="G79" s="965"/>
      <c r="H79" s="245"/>
      <c r="I79" s="245"/>
      <c r="J79" s="1166"/>
      <c r="K79" s="1166"/>
      <c r="L79" s="266"/>
      <c r="N79" s="1185" t="str">
        <f>Stammdaten_DropDown!A115</f>
        <v>Bitte angeben, ob eine individuelle Lohnentwicklung gewährt werden soll.</v>
      </c>
      <c r="O79" s="1185"/>
      <c r="P79" s="1185"/>
    </row>
    <row r="80" spans="2:18" s="244" customFormat="1" x14ac:dyDescent="0.2">
      <c r="B80" s="240"/>
      <c r="C80" s="239"/>
      <c r="D80" s="204"/>
      <c r="E80" s="245"/>
      <c r="F80" s="245"/>
      <c r="G80" s="965"/>
      <c r="H80" s="245"/>
      <c r="I80" s="245"/>
      <c r="J80" s="245"/>
      <c r="K80" s="245"/>
      <c r="L80" s="266"/>
      <c r="N80" s="1185" t="str">
        <f>Stammdaten_DropDown!A116</f>
        <v>Bei einem Neueintritt nach dem 01.07.2026 ist keine individuelle Lohnentwicklung vorgesehen.</v>
      </c>
      <c r="O80" s="1185"/>
      <c r="P80" s="1185"/>
    </row>
    <row r="81" spans="2:16" s="244" customFormat="1" x14ac:dyDescent="0.2">
      <c r="B81" s="240"/>
      <c r="C81" s="239"/>
      <c r="D81" s="204"/>
      <c r="E81" s="275" t="s">
        <v>764</v>
      </c>
      <c r="G81" s="1011" t="str">
        <f>IF(ISBLANK($J$79),IF(BandLohnBer="",IF(BandLohnRechner="","",BandLohnRechner),IF(BandLohnRechner="",BandLohnBer,"FEHLER")),"-")</f>
        <v/>
      </c>
      <c r="I81" s="737" t="s">
        <v>808</v>
      </c>
      <c r="K81" s="1006" t="str">
        <f>IF(ISBLANK($J$79),IF(EWLohnBer="",IF(EWLohnRechner="","",EWLohnRechner),IF(EWLohnRechner="",EWLohnBer,"FEHLER")),"-")</f>
        <v/>
      </c>
      <c r="L81" s="266"/>
      <c r="N81" s="1185" t="str">
        <f>Stammdaten_DropDown!A117</f>
        <v>In dem Fall ist das Prädikat auf dem Wert «NA» (keine Beurteilung) zu belassen.</v>
      </c>
      <c r="O81" s="1185"/>
      <c r="P81" s="1185"/>
    </row>
    <row r="82" spans="2:16" s="244" customFormat="1" x14ac:dyDescent="0.2">
      <c r="B82" s="240"/>
      <c r="C82" s="239"/>
      <c r="D82" s="204"/>
      <c r="E82" s="429" t="b">
        <f>AND(BandLohnBer&lt;&gt;"",BandLohnRechner&lt;&gt;"")</f>
        <v>0</v>
      </c>
      <c r="F82" s="245"/>
      <c r="G82" s="969" t="str">
        <f>IF(E82,"2 Lohnbänder gefunden","")</f>
        <v/>
      </c>
      <c r="H82" s="688" t="b">
        <f>AND(EWLohnBer&lt;&gt;"",EWLohnRechner&lt;&gt;"")</f>
        <v>0</v>
      </c>
      <c r="J82" s="538" t="str">
        <f>IF(H82,"2 Erfahrungswerte gefunden","")</f>
        <v/>
      </c>
      <c r="K82" s="538"/>
      <c r="L82" s="266"/>
      <c r="N82" s="856"/>
    </row>
    <row r="83" spans="2:16" s="244" customFormat="1" ht="13.35" customHeight="1" x14ac:dyDescent="0.2">
      <c r="B83" s="240"/>
      <c r="C83" s="239"/>
      <c r="D83" s="204"/>
      <c r="E83" s="667"/>
      <c r="I83" s="737" t="s">
        <v>1100</v>
      </c>
      <c r="K83" s="1000" t="str">
        <f>IF(ISBLANK($J$79),IF(LohnLohnBer="",IF(LohnLohnRechner="","",LohnLohnRechner),IF(LohnLohnRechner="",LohnLohnBer,"FEHLER")),"-")</f>
        <v/>
      </c>
      <c r="L83" s="62"/>
      <c r="N83" s="1174" t="str">
        <f>Stammdaten_DropDown!A118</f>
        <v xml:space="preserve">Falls eine individuelle  Lohnentwicklung gewährt werden soll, ist das entsprechende Prädikat aus der relevanten MAG-Phase im Dropdown-Menu auszuwählen. </v>
      </c>
      <c r="O83" s="1174"/>
      <c r="P83" s="1174"/>
    </row>
    <row r="84" spans="2:16" s="244" customFormat="1" x14ac:dyDescent="0.2">
      <c r="B84" s="240"/>
      <c r="C84" s="239"/>
      <c r="D84" s="204"/>
      <c r="F84" s="972"/>
      <c r="G84" s="972"/>
      <c r="H84" s="972"/>
      <c r="I84" s="972"/>
      <c r="J84" s="1173"/>
      <c r="K84" s="1173"/>
      <c r="L84" s="266"/>
      <c r="N84" s="1174"/>
      <c r="O84" s="1174"/>
      <c r="P84" s="1174"/>
    </row>
    <row r="85" spans="2:16" s="244" customFormat="1" x14ac:dyDescent="0.2">
      <c r="B85" s="240"/>
      <c r="C85" s="239"/>
      <c r="D85" s="204"/>
      <c r="E85" s="244" t="str">
        <f>CONCATENATE("Lohnentwicklung per 01.01.",LohntabelleM!I1+1," gewähren?")</f>
        <v>Lohnentwicklung per 01.01.2027 gewähren?</v>
      </c>
      <c r="F85" s="972"/>
      <c r="G85" s="972"/>
      <c r="H85" s="968"/>
      <c r="I85" s="972"/>
      <c r="J85" s="862" t="s">
        <v>1948</v>
      </c>
      <c r="K85" s="869" t="str">
        <f>L85</f>
        <v/>
      </c>
      <c r="L85" s="858" t="str">
        <f>IF(H85="Ja","A",IF(H85="Nein","NA",""))</f>
        <v/>
      </c>
      <c r="N85" s="1185" t="str">
        <f>Stammdaten_DropDown!A119</f>
        <v>Ist noch keine Beurteilung hinterlegt, so ist das Prädikat auf «A» zu belassen.</v>
      </c>
      <c r="O85" s="1185"/>
      <c r="P85" s="1185"/>
    </row>
    <row r="86" spans="2:16" s="244" customFormat="1" ht="8.1" customHeight="1" x14ac:dyDescent="0.2">
      <c r="B86" s="240"/>
      <c r="C86" s="239"/>
      <c r="D86" s="206"/>
      <c r="E86" s="64"/>
      <c r="F86" s="64"/>
      <c r="G86" s="65"/>
      <c r="H86" s="64"/>
      <c r="I86" s="64"/>
      <c r="J86" s="64"/>
      <c r="K86" s="64"/>
      <c r="L86" s="279"/>
    </row>
    <row r="87" spans="2:16" s="244" customFormat="1" ht="10.9" customHeight="1" x14ac:dyDescent="0.2">
      <c r="B87" s="240"/>
      <c r="C87" s="239"/>
      <c r="D87" s="239"/>
      <c r="E87" s="245"/>
      <c r="F87" s="245"/>
      <c r="G87" s="965"/>
      <c r="H87" s="245"/>
      <c r="I87" s="245"/>
      <c r="J87" s="245"/>
      <c r="K87" s="245"/>
      <c r="L87" s="245"/>
    </row>
    <row r="88" spans="2:16" s="244" customFormat="1" ht="50.85" customHeight="1" x14ac:dyDescent="0.2">
      <c r="B88" s="240"/>
      <c r="C88" s="239"/>
      <c r="D88" s="1143" t="s">
        <v>959</v>
      </c>
      <c r="E88" s="1143"/>
      <c r="F88" s="1143"/>
      <c r="G88" s="1143"/>
      <c r="H88" s="1143"/>
      <c r="I88" s="1143"/>
      <c r="J88" s="1143"/>
      <c r="K88" s="1143"/>
      <c r="L88" s="1143"/>
    </row>
    <row r="89" spans="2:16" s="244" customFormat="1" ht="29.25" customHeight="1" x14ac:dyDescent="0.2">
      <c r="B89" s="240"/>
      <c r="C89" s="239"/>
      <c r="D89" s="1143"/>
      <c r="E89" s="1143"/>
      <c r="F89" s="1143"/>
      <c r="G89" s="1143"/>
      <c r="H89" s="1143"/>
      <c r="I89" s="1143"/>
      <c r="J89" s="1143"/>
      <c r="K89" s="1143"/>
      <c r="L89" s="1143"/>
    </row>
    <row r="90" spans="2:16" s="244" customFormat="1" x14ac:dyDescent="0.2">
      <c r="C90" s="239"/>
      <c r="L90" s="239"/>
    </row>
    <row r="91" spans="2:16" s="244" customFormat="1" x14ac:dyDescent="0.2">
      <c r="C91" s="239"/>
      <c r="L91" s="239"/>
    </row>
    <row r="92" spans="2:16" x14ac:dyDescent="0.2">
      <c r="D92" s="244"/>
      <c r="E92" s="244"/>
      <c r="F92" s="244"/>
      <c r="G92" s="244"/>
      <c r="H92" s="244"/>
      <c r="I92" s="244"/>
      <c r="J92" s="244"/>
      <c r="K92" s="244"/>
      <c r="L92" s="244"/>
    </row>
    <row r="93" spans="2:16" x14ac:dyDescent="0.2">
      <c r="D93" s="244"/>
      <c r="E93" s="244"/>
      <c r="F93" s="244"/>
      <c r="G93" s="244"/>
      <c r="H93" s="244"/>
      <c r="I93" s="244"/>
      <c r="J93" s="244"/>
      <c r="K93" s="244"/>
      <c r="L93" s="244"/>
    </row>
    <row r="94" spans="2:16" x14ac:dyDescent="0.2">
      <c r="D94" s="244"/>
      <c r="E94" s="244"/>
      <c r="F94" s="244"/>
      <c r="G94" s="244"/>
      <c r="H94" s="244"/>
      <c r="I94" s="244"/>
      <c r="J94" s="244"/>
      <c r="K94" s="244"/>
      <c r="L94" s="244"/>
    </row>
    <row r="95" spans="2:16" x14ac:dyDescent="0.2">
      <c r="D95" s="244"/>
      <c r="E95" s="244"/>
      <c r="F95" s="244"/>
      <c r="G95" s="244"/>
      <c r="H95" s="244"/>
      <c r="I95" s="244"/>
      <c r="J95" s="244"/>
      <c r="K95" s="244"/>
      <c r="L95" s="244"/>
    </row>
    <row r="96" spans="2:16" x14ac:dyDescent="0.2">
      <c r="D96" s="244"/>
      <c r="E96" s="244"/>
      <c r="F96" s="244"/>
      <c r="G96" s="244"/>
      <c r="H96" s="244"/>
      <c r="I96" s="244"/>
      <c r="J96" s="244"/>
      <c r="K96" s="244"/>
      <c r="L96" s="244"/>
    </row>
    <row r="97" spans="4:12" x14ac:dyDescent="0.2">
      <c r="D97" s="244"/>
      <c r="E97" s="244"/>
      <c r="F97" s="244"/>
      <c r="G97" s="244"/>
      <c r="H97" s="244"/>
      <c r="I97" s="244"/>
      <c r="J97" s="244"/>
      <c r="K97" s="244"/>
      <c r="L97" s="244"/>
    </row>
    <row r="98" spans="4:12" x14ac:dyDescent="0.2">
      <c r="D98" s="244"/>
      <c r="E98" s="244"/>
      <c r="F98" s="244"/>
      <c r="G98" s="244"/>
      <c r="H98" s="244"/>
      <c r="I98" s="244"/>
      <c r="J98" s="244"/>
      <c r="K98" s="244"/>
      <c r="L98" s="244"/>
    </row>
    <row r="99" spans="4:12" x14ac:dyDescent="0.2">
      <c r="D99" s="244"/>
      <c r="E99" s="244"/>
      <c r="F99" s="244"/>
      <c r="G99" s="244"/>
      <c r="H99" s="244"/>
      <c r="I99" s="244"/>
      <c r="J99" s="244"/>
      <c r="K99" s="244"/>
      <c r="L99" s="244"/>
    </row>
  </sheetData>
  <sheetProtection algorithmName="SHA-512" hashValue="ZUg4eDSMKZSxIe+lKnGv/3h9UGBkof0YAiL99K6P5j7OxsbL36Yh1rDbwP6/TDtBOCFF1JqjAFFcX/Ti7wp2Sg==" saltValue="8mqauLAg7f+yzWeg52VmjA==" spinCount="100000" sheet="1" objects="1" scenarios="1"/>
  <mergeCells count="40">
    <mergeCell ref="D2:I2"/>
    <mergeCell ref="G11:H11"/>
    <mergeCell ref="J11:K11"/>
    <mergeCell ref="N11:O12"/>
    <mergeCell ref="G13:H13"/>
    <mergeCell ref="J13:K13"/>
    <mergeCell ref="E45:K45"/>
    <mergeCell ref="G15:K15"/>
    <mergeCell ref="I17:K17"/>
    <mergeCell ref="F21:J21"/>
    <mergeCell ref="F22:K22"/>
    <mergeCell ref="F23:I23"/>
    <mergeCell ref="F24:G24"/>
    <mergeCell ref="I34:K34"/>
    <mergeCell ref="I32:K32"/>
    <mergeCell ref="G30:K30"/>
    <mergeCell ref="G38:K38"/>
    <mergeCell ref="E42:G42"/>
    <mergeCell ref="E44:K44"/>
    <mergeCell ref="N80:P80"/>
    <mergeCell ref="E46:K46"/>
    <mergeCell ref="H48:J48"/>
    <mergeCell ref="N52:P74"/>
    <mergeCell ref="F57:G57"/>
    <mergeCell ref="J61:K61"/>
    <mergeCell ref="H63:K63"/>
    <mergeCell ref="E65:F65"/>
    <mergeCell ref="G65:K65"/>
    <mergeCell ref="E69:J69"/>
    <mergeCell ref="E71:K71"/>
    <mergeCell ref="E72:K72"/>
    <mergeCell ref="E73:K73"/>
    <mergeCell ref="N77:P77"/>
    <mergeCell ref="J79:K79"/>
    <mergeCell ref="N79:P79"/>
    <mergeCell ref="N81:P81"/>
    <mergeCell ref="N83:P84"/>
    <mergeCell ref="J84:K84"/>
    <mergeCell ref="N85:P85"/>
    <mergeCell ref="D88:L89"/>
  </mergeCells>
  <conditionalFormatting sqref="G81">
    <cfRule type="expression" dxfId="138" priority="9">
      <formula>E82</formula>
    </cfRule>
  </conditionalFormatting>
  <conditionalFormatting sqref="K81">
    <cfRule type="expression" dxfId="137" priority="10">
      <formula>$H$82</formula>
    </cfRule>
  </conditionalFormatting>
  <conditionalFormatting sqref="K83">
    <cfRule type="expression" dxfId="136" priority="11">
      <formula>#REF!</formula>
    </cfRule>
  </conditionalFormatting>
  <conditionalFormatting sqref="J85">
    <cfRule type="expression" dxfId="135" priority="8">
      <formula>#REF!</formula>
    </cfRule>
  </conditionalFormatting>
  <conditionalFormatting sqref="J85:K85 N81:P85">
    <cfRule type="expression" dxfId="134" priority="7">
      <formula>$H$85=""</formula>
    </cfRule>
  </conditionalFormatting>
  <conditionalFormatting sqref="E65:K65 E77:K85 N77:P86">
    <cfRule type="expression" dxfId="133" priority="3">
      <formula>AND($G$13="",$H$63="")</formula>
    </cfRule>
  </conditionalFormatting>
  <conditionalFormatting sqref="H32:I33">
    <cfRule type="expression" dxfId="132" priority="207">
      <formula>$R$32=FALSE</formula>
    </cfRule>
  </conditionalFormatting>
  <conditionalFormatting sqref="H34:I34">
    <cfRule type="expression" dxfId="131" priority="209">
      <formula>$R$34=FALSE</formula>
    </cfRule>
  </conditionalFormatting>
  <conditionalFormatting sqref="E36:K39">
    <cfRule type="expression" dxfId="130" priority="210">
      <formula>AND($R$32=FALSE,$R$34=FALSE)</formula>
    </cfRule>
  </conditionalFormatting>
  <conditionalFormatting sqref="E64 H63:K63">
    <cfRule type="expression" dxfId="129" priority="1">
      <formula>$G$13&lt;&gt;""</formula>
    </cfRule>
  </conditionalFormatting>
  <dataValidations count="7">
    <dataValidation operator="greaterThan" allowBlank="1" showInputMessage="1" errorTitle="Fehler" error="Geben Sie ein gültiges Datum dd.mm.yyyy ein!" sqref="G19" xr:uid="{00000000-0002-0000-0A00-000000000000}"/>
    <dataValidation allowBlank="1" showInputMessage="1" sqref="J61" xr:uid="{00000000-0002-0000-0A00-000001000000}"/>
    <dataValidation type="date" operator="greaterThan" allowBlank="1" showInputMessage="1" showErrorMessage="1" sqref="I36" xr:uid="{00000000-0002-0000-0A00-000002000000}">
      <formula1>1</formula1>
    </dataValidation>
    <dataValidation operator="greaterThan" allowBlank="1" showInputMessage="1" showErrorMessage="1" errorTitle="Fehler" error="Pensum als Ganzzahl angeben" sqref="K83 J85" xr:uid="{00000000-0002-0000-0A00-000003000000}"/>
    <dataValidation type="date" operator="greaterThan" allowBlank="1" showInputMessage="1" showErrorMessage="1" errorTitle="Fehler" error="Geben Sie ein gültiges Datum dd.mm.yyyy ein!" sqref="G58 G20" xr:uid="{00000000-0002-0000-0A00-000004000000}">
      <formula1>1</formula1>
    </dataValidation>
    <dataValidation type="whole" operator="greaterThan" allowBlank="1" showInputMessage="1" showErrorMessage="1" errorTitle="Fehler" error="Ungültige Postleitzahl" sqref="G17" xr:uid="{00000000-0002-0000-0A00-000005000000}">
      <formula1>0</formula1>
    </dataValidation>
    <dataValidation operator="greaterThan" showInputMessage="1" showErrorMessage="1" errorTitle="Fehler" error="Geben Sie ein gültiges Datum dd.mm.yyyy ein!" sqref="G36 K49 H49" xr:uid="{00000000-0002-0000-0A00-000006000000}"/>
  </dataValidations>
  <hyperlinks>
    <hyperlink ref="N11:O12" location="Grunddaten!E9" display="Zurück zu Grunddaten" xr:uid="{00000000-0004-0000-0A00-000000000000}"/>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49" max="16383" man="1"/>
  </rowBreaks>
  <ignoredErrors>
    <ignoredError sqref="K8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63874" r:id="rId4" name="Check Box 2">
              <controlPr defaultSize="0" autoFill="0" autoLine="0" autoPict="0">
                <anchor>
                  <from>
                    <xdr:col>3</xdr:col>
                    <xdr:colOff>209550</xdr:colOff>
                    <xdr:row>30</xdr:row>
                    <xdr:rowOff>47625</xdr:rowOff>
                  </from>
                  <to>
                    <xdr:col>5</xdr:col>
                    <xdr:colOff>257175</xdr:colOff>
                    <xdr:row>32</xdr:row>
                    <xdr:rowOff>9525</xdr:rowOff>
                  </to>
                </anchor>
              </controlPr>
            </control>
          </mc:Choice>
        </mc:AlternateContent>
        <mc:AlternateContent xmlns:mc="http://schemas.openxmlformats.org/markup-compatibility/2006">
          <mc:Choice Requires="x14">
            <control shapeId="463876" r:id="rId5" name="Check Box 4">
              <controlPr defaultSize="0" autoFill="0" autoLine="0" autoPict="0">
                <anchor>
                  <from>
                    <xdr:col>3</xdr:col>
                    <xdr:colOff>209550</xdr:colOff>
                    <xdr:row>32</xdr:row>
                    <xdr:rowOff>57150</xdr:rowOff>
                  </from>
                  <to>
                    <xdr:col>5</xdr:col>
                    <xdr:colOff>361950</xdr:colOff>
                    <xdr:row>34</xdr:row>
                    <xdr:rowOff>9525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A00-000007000000}">
          <x14:formula1>
            <xm:f>Stammdaten_DropDown!$E$107:$E$110</xm:f>
          </x14:formula1>
          <xm:sqref>K85</xm:sqref>
        </x14:dataValidation>
        <x14:dataValidation type="list" allowBlank="1" showInputMessage="1" showErrorMessage="1" xr:uid="{00000000-0002-0000-0A00-000008000000}">
          <x14:formula1>
            <xm:f>Stammdaten_DropDown!$E$103:$E$104</xm:f>
          </x14:formula1>
          <xm:sqref>H85</xm:sqref>
        </x14:dataValidation>
        <x14:dataValidation type="list" allowBlank="1" showInputMessage="1" showErrorMessage="1" xr:uid="{00000000-0002-0000-0A00-000009000000}">
          <x14:formula1>
            <xm:f>Stammdaten_DropDown!$E$93:$E$100</xm:f>
          </x14:formula1>
          <xm:sqref>H63:K63</xm:sqref>
        </x14:dataValidation>
        <x14:dataValidation type="list" allowBlank="1" showInputMessage="1" xr:uid="{00000000-0002-0000-0A00-00000A000000}">
          <x14:formula1>
            <xm:f>Stammdaten_DropDown!$E$113:$E$117</xm:f>
          </x14:formula1>
          <xm:sqref>I32:K32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22">
    <tabColor theme="0"/>
    <pageSetUpPr fitToPage="1"/>
  </sheetPr>
  <dimension ref="A1:R137"/>
  <sheetViews>
    <sheetView zoomScaleNormal="100" workbookViewId="0">
      <selection activeCell="N13" sqref="N13:O14"/>
    </sheetView>
  </sheetViews>
  <sheetFormatPr baseColWidth="10" defaultColWidth="11.5703125" defaultRowHeight="12.75" x14ac:dyDescent="0.2"/>
  <cols>
    <col min="1" max="1" width="2.5703125" style="350" customWidth="1"/>
    <col min="2" max="2" width="1.42578125" style="350" customWidth="1"/>
    <col min="3" max="3" width="1.5703125" style="350" customWidth="1"/>
    <col min="4" max="4" width="3.5703125" style="350" customWidth="1"/>
    <col min="5" max="5" width="11.5703125" style="350"/>
    <col min="6" max="6" width="12.5703125" style="350" customWidth="1"/>
    <col min="7" max="7" width="16.5703125" style="350" customWidth="1"/>
    <col min="8" max="8" width="4.5703125" style="350" customWidth="1"/>
    <col min="9" max="9" width="16.28515625" style="350" customWidth="1"/>
    <col min="10" max="10" width="10.5703125" style="350" customWidth="1"/>
    <col min="11" max="11" width="17.42578125" style="350" customWidth="1"/>
    <col min="12" max="12" width="3.5703125" style="350" customWidth="1"/>
    <col min="13" max="13" width="2.42578125" style="350" customWidth="1"/>
    <col min="14" max="15" width="11.5703125" style="350"/>
    <col min="16" max="16" width="45.5703125" style="350" customWidth="1"/>
    <col min="17" max="17" width="11.5703125" style="350" hidden="1" customWidth="1"/>
    <col min="18" max="18" width="70.42578125" style="350" hidden="1" customWidth="1"/>
    <col min="19" max="19" width="0" style="350" hidden="1" customWidth="1"/>
    <col min="20" max="16384" width="11.5703125" style="350"/>
  </cols>
  <sheetData>
    <row r="1" spans="1:16" s="284" customFormat="1" ht="5.0999999999999996" customHeight="1" x14ac:dyDescent="0.2">
      <c r="F1" s="326"/>
      <c r="G1" s="285"/>
      <c r="H1" s="286"/>
      <c r="I1" s="286"/>
      <c r="J1" s="286"/>
      <c r="K1" s="286"/>
    </row>
    <row r="2" spans="1:16" s="284" customFormat="1" ht="37.9" customHeight="1" x14ac:dyDescent="0.2">
      <c r="D2" s="375" t="s">
        <v>942</v>
      </c>
      <c r="F2" s="326"/>
      <c r="G2" s="285"/>
      <c r="H2" s="286"/>
      <c r="I2" s="286"/>
      <c r="J2" s="286"/>
      <c r="K2" s="286"/>
    </row>
    <row r="3" spans="1:16" s="296" customFormat="1" ht="21" customHeight="1" x14ac:dyDescent="0.2">
      <c r="B3" s="351"/>
      <c r="D3" s="238" t="s">
        <v>945</v>
      </c>
      <c r="F3" s="238"/>
      <c r="H3" s="352"/>
      <c r="I3" s="352"/>
      <c r="J3" s="352"/>
      <c r="L3" s="995" t="str">
        <f>CONCATENATE(LohntabelleM!G1," / ",LohntabelleM!I1)</f>
        <v>V6.0 / 2026</v>
      </c>
      <c r="M3" s="352"/>
      <c r="N3" s="352"/>
    </row>
    <row r="4" spans="1:16" s="284" customFormat="1" ht="6.75" customHeight="1" x14ac:dyDescent="0.2">
      <c r="A4" s="301"/>
      <c r="B4" s="353"/>
      <c r="C4" s="353"/>
      <c r="D4" s="353"/>
      <c r="E4" s="353"/>
      <c r="F4" s="354"/>
      <c r="G4" s="353"/>
      <c r="H4" s="355"/>
      <c r="I4" s="356"/>
      <c r="J4" s="355"/>
      <c r="K4" s="355"/>
      <c r="L4" s="355"/>
      <c r="N4" s="352"/>
    </row>
    <row r="5" spans="1:16" s="284" customFormat="1" ht="6" customHeight="1" x14ac:dyDescent="0.2">
      <c r="A5" s="301"/>
      <c r="B5" s="353"/>
      <c r="C5" s="301"/>
      <c r="D5" s="301"/>
      <c r="E5" s="301"/>
      <c r="F5" s="325"/>
      <c r="G5" s="301"/>
      <c r="H5" s="306"/>
      <c r="I5" s="307"/>
      <c r="J5" s="306"/>
      <c r="K5" s="306"/>
      <c r="L5" s="306"/>
      <c r="M5" s="306"/>
      <c r="N5" s="301"/>
    </row>
    <row r="6" spans="1:16" s="284" customFormat="1" ht="5.0999999999999996" customHeight="1" x14ac:dyDescent="0.2">
      <c r="B6" s="353"/>
      <c r="D6" s="376"/>
      <c r="E6" s="324"/>
      <c r="F6" s="323"/>
      <c r="G6" s="289"/>
      <c r="H6" s="288"/>
      <c r="I6" s="288"/>
      <c r="J6" s="288"/>
      <c r="K6" s="288"/>
      <c r="L6" s="311"/>
    </row>
    <row r="7" spans="1:16" s="284" customFormat="1" ht="15.75" x14ac:dyDescent="0.2">
      <c r="B7" s="353"/>
      <c r="D7" s="377"/>
      <c r="E7" s="325" t="s">
        <v>770</v>
      </c>
      <c r="F7" s="326"/>
      <c r="G7" s="285"/>
      <c r="H7" s="286"/>
      <c r="I7" s="286"/>
      <c r="J7" s="286"/>
      <c r="K7" s="286"/>
      <c r="L7" s="293"/>
    </row>
    <row r="8" spans="1:16" s="284" customFormat="1" x14ac:dyDescent="0.2">
      <c r="B8" s="353"/>
      <c r="D8" s="290"/>
      <c r="E8" s="286"/>
      <c r="F8" s="286"/>
      <c r="G8" s="285"/>
      <c r="H8" s="286"/>
      <c r="I8" s="286"/>
      <c r="J8" s="286"/>
      <c r="K8" s="286"/>
      <c r="L8" s="293"/>
    </row>
    <row r="9" spans="1:16" s="284" customFormat="1" ht="46.9" customHeight="1" x14ac:dyDescent="0.2">
      <c r="B9" s="353"/>
      <c r="D9" s="290"/>
      <c r="E9" s="312" t="s">
        <v>1123</v>
      </c>
      <c r="F9" s="1195"/>
      <c r="G9" s="1195"/>
      <c r="H9" s="1195"/>
      <c r="I9" s="1195"/>
      <c r="J9" s="1195"/>
      <c r="K9" s="1195"/>
      <c r="L9" s="293"/>
    </row>
    <row r="10" spans="1:16" s="284" customFormat="1" ht="13.35" customHeight="1" x14ac:dyDescent="0.2">
      <c r="B10" s="353"/>
      <c r="D10" s="290"/>
      <c r="E10" s="286"/>
      <c r="F10" s="378"/>
      <c r="G10" s="285"/>
      <c r="H10" s="286"/>
      <c r="I10" s="286"/>
      <c r="J10" s="286"/>
      <c r="K10" s="286"/>
      <c r="L10" s="293"/>
    </row>
    <row r="11" spans="1:16" s="284" customFormat="1" x14ac:dyDescent="0.2">
      <c r="B11" s="353"/>
      <c r="D11" s="290"/>
      <c r="E11" s="306" t="s">
        <v>967</v>
      </c>
      <c r="F11" s="306"/>
      <c r="G11" s="759" t="str">
        <f>IF(MAAnrede&lt;&gt;"",MAAnrede,"")</f>
        <v/>
      </c>
      <c r="H11" s="306"/>
      <c r="I11" s="286"/>
      <c r="J11" s="286"/>
      <c r="K11" s="286"/>
      <c r="L11" s="293"/>
    </row>
    <row r="12" spans="1:16" s="284" customFormat="1" ht="13.35" customHeight="1" x14ac:dyDescent="0.2">
      <c r="B12" s="353"/>
      <c r="D12" s="290"/>
      <c r="E12" s="286"/>
      <c r="F12" s="378"/>
      <c r="G12" s="285"/>
      <c r="H12" s="286"/>
      <c r="I12" s="286"/>
      <c r="J12" s="286"/>
      <c r="K12" s="286"/>
      <c r="L12" s="293"/>
    </row>
    <row r="13" spans="1:16" s="284" customFormat="1" ht="12.6" customHeight="1" x14ac:dyDescent="0.2">
      <c r="B13" s="353"/>
      <c r="D13" s="290"/>
      <c r="E13" s="306" t="s">
        <v>756</v>
      </c>
      <c r="F13" s="306"/>
      <c r="G13" s="759" t="str">
        <f>IF(MAName&lt;&gt;"",MAName,"")</f>
        <v/>
      </c>
      <c r="H13" s="306"/>
      <c r="I13" s="1197" t="s">
        <v>757</v>
      </c>
      <c r="J13" s="1197"/>
      <c r="K13" s="759" t="str">
        <f>IF(MAVorname&lt;&gt;"",MAVorname,"")</f>
        <v/>
      </c>
      <c r="L13" s="293"/>
      <c r="N13" s="1149" t="s">
        <v>1029</v>
      </c>
      <c r="O13" s="1150"/>
      <c r="P13" s="863"/>
    </row>
    <row r="14" spans="1:16" s="284" customFormat="1" ht="12.6" customHeight="1" x14ac:dyDescent="0.2">
      <c r="B14" s="353"/>
      <c r="D14" s="290"/>
      <c r="G14" s="307"/>
      <c r="H14" s="306"/>
      <c r="I14" s="670"/>
      <c r="J14" s="670"/>
      <c r="K14" s="306"/>
      <c r="L14" s="293"/>
      <c r="N14" s="1151"/>
      <c r="O14" s="1152"/>
      <c r="P14" s="863"/>
    </row>
    <row r="15" spans="1:16" s="284" customFormat="1" x14ac:dyDescent="0.2">
      <c r="B15" s="353"/>
      <c r="D15" s="290"/>
      <c r="E15" s="1197" t="s">
        <v>763</v>
      </c>
      <c r="F15" s="1197"/>
      <c r="G15" s="759" t="str">
        <f>IF(MAVertragsNr&lt;&gt;"",MAVertragsNr,"")</f>
        <v/>
      </c>
      <c r="H15" s="306"/>
      <c r="I15" s="670" t="s">
        <v>762</v>
      </c>
      <c r="J15" s="296"/>
      <c r="K15" s="759" t="str">
        <f>IF(MAPersID&lt;&gt;"",MAPersID,"")</f>
        <v/>
      </c>
      <c r="L15" s="293"/>
    </row>
    <row r="16" spans="1:16" s="284" customFormat="1" ht="8.1" customHeight="1" x14ac:dyDescent="0.2">
      <c r="B16" s="353"/>
      <c r="D16" s="297"/>
      <c r="E16" s="298"/>
      <c r="F16" s="298"/>
      <c r="G16" s="299"/>
      <c r="H16" s="298"/>
      <c r="I16" s="298"/>
      <c r="J16" s="298"/>
      <c r="K16" s="298"/>
      <c r="L16" s="313"/>
    </row>
    <row r="17" spans="2:12" s="284" customFormat="1" ht="6" customHeight="1" x14ac:dyDescent="0.2">
      <c r="B17" s="353"/>
      <c r="E17" s="306"/>
      <c r="F17" s="306"/>
      <c r="G17" s="307"/>
      <c r="H17" s="306"/>
      <c r="I17" s="306"/>
      <c r="J17" s="306"/>
      <c r="K17" s="306"/>
    </row>
    <row r="18" spans="2:12" s="284" customFormat="1" ht="8.1" customHeight="1" x14ac:dyDescent="0.2">
      <c r="B18" s="353"/>
      <c r="D18" s="287"/>
      <c r="E18" s="303"/>
      <c r="F18" s="303"/>
      <c r="G18" s="304"/>
      <c r="H18" s="303"/>
      <c r="I18" s="303"/>
      <c r="J18" s="303"/>
      <c r="K18" s="303"/>
      <c r="L18" s="305"/>
    </row>
    <row r="19" spans="2:12" s="284" customFormat="1" ht="12" customHeight="1" x14ac:dyDescent="0.2">
      <c r="B19" s="353"/>
      <c r="D19" s="290"/>
      <c r="E19" s="291" t="s">
        <v>943</v>
      </c>
      <c r="F19" s="286"/>
      <c r="G19" s="285"/>
      <c r="H19" s="286"/>
      <c r="I19" s="286"/>
      <c r="J19" s="286"/>
      <c r="K19" s="286"/>
      <c r="L19" s="292"/>
    </row>
    <row r="20" spans="2:12" s="284" customFormat="1" ht="12.75" customHeight="1" x14ac:dyDescent="0.2">
      <c r="B20" s="353"/>
      <c r="D20" s="290"/>
      <c r="E20" s="306"/>
      <c r="F20" s="306"/>
      <c r="G20" s="307"/>
      <c r="H20" s="306"/>
      <c r="I20" s="306"/>
      <c r="J20" s="306"/>
      <c r="K20" s="306"/>
      <c r="L20" s="294"/>
    </row>
    <row r="21" spans="2:12" s="284" customFormat="1" ht="12.75" customHeight="1" x14ac:dyDescent="0.2">
      <c r="B21" s="353"/>
      <c r="D21" s="290"/>
      <c r="E21" s="306" t="s">
        <v>869</v>
      </c>
      <c r="F21" s="308"/>
      <c r="G21" s="771"/>
      <c r="H21" s="306"/>
      <c r="I21" s="306"/>
      <c r="J21" s="306"/>
      <c r="K21" s="307"/>
      <c r="L21" s="294"/>
    </row>
    <row r="22" spans="2:12" s="284" customFormat="1" ht="6" customHeight="1" x14ac:dyDescent="0.2">
      <c r="B22" s="353"/>
      <c r="D22" s="290"/>
      <c r="H22" s="306"/>
      <c r="I22" s="306"/>
      <c r="J22" s="1198"/>
      <c r="K22" s="1198"/>
      <c r="L22" s="295"/>
    </row>
    <row r="23" spans="2:12" s="284" customFormat="1" ht="12.75" customHeight="1" x14ac:dyDescent="0.2">
      <c r="B23" s="353"/>
      <c r="D23" s="290"/>
      <c r="E23" s="306" t="s">
        <v>871</v>
      </c>
      <c r="F23" s="309"/>
      <c r="G23" s="771"/>
      <c r="H23" s="306"/>
      <c r="I23" s="306" t="s">
        <v>870</v>
      </c>
      <c r="J23" s="1196"/>
      <c r="K23" s="1196"/>
      <c r="L23" s="295"/>
    </row>
    <row r="24" spans="2:12" s="284" customFormat="1" ht="6" customHeight="1" x14ac:dyDescent="0.2">
      <c r="B24" s="353"/>
      <c r="D24" s="290"/>
      <c r="E24" s="1202"/>
      <c r="F24" s="1202"/>
      <c r="G24" s="1203"/>
      <c r="H24" s="1203"/>
      <c r="I24" s="1203"/>
      <c r="J24" s="307"/>
      <c r="K24" s="307"/>
      <c r="L24" s="295"/>
    </row>
    <row r="25" spans="2:12" s="284" customFormat="1" ht="12.75" customHeight="1" x14ac:dyDescent="0.2">
      <c r="B25" s="353"/>
      <c r="D25" s="290"/>
      <c r="E25" s="306" t="s">
        <v>871</v>
      </c>
      <c r="F25" s="309"/>
      <c r="G25" s="771"/>
      <c r="H25" s="306"/>
      <c r="I25" s="306" t="s">
        <v>870</v>
      </c>
      <c r="J25" s="1196"/>
      <c r="K25" s="1196"/>
      <c r="L25" s="295"/>
    </row>
    <row r="26" spans="2:12" s="284" customFormat="1" ht="6" customHeight="1" x14ac:dyDescent="0.2">
      <c r="B26" s="353"/>
      <c r="D26" s="290"/>
      <c r="E26" s="306"/>
      <c r="F26" s="975"/>
      <c r="G26" s="987"/>
      <c r="H26" s="306"/>
      <c r="I26" s="306"/>
      <c r="J26" s="1030"/>
      <c r="K26" s="1030"/>
      <c r="L26" s="295"/>
    </row>
    <row r="27" spans="2:12" s="284" customFormat="1" ht="12.75" customHeight="1" x14ac:dyDescent="0.2">
      <c r="B27" s="353"/>
      <c r="D27" s="290"/>
      <c r="E27" s="306" t="s">
        <v>871</v>
      </c>
      <c r="F27" s="975"/>
      <c r="G27" s="771"/>
      <c r="H27" s="306"/>
      <c r="I27" s="306" t="s">
        <v>870</v>
      </c>
      <c r="J27" s="1196"/>
      <c r="K27" s="1196"/>
      <c r="L27" s="295"/>
    </row>
    <row r="28" spans="2:12" s="284" customFormat="1" ht="6" customHeight="1" x14ac:dyDescent="0.2">
      <c r="B28" s="353"/>
      <c r="D28" s="290"/>
      <c r="E28" s="306"/>
      <c r="F28" s="975"/>
      <c r="G28" s="987"/>
      <c r="H28" s="306"/>
      <c r="I28" s="306"/>
      <c r="J28" s="1030"/>
      <c r="K28" s="1030"/>
      <c r="L28" s="295"/>
    </row>
    <row r="29" spans="2:12" s="284" customFormat="1" ht="12.75" customHeight="1" x14ac:dyDescent="0.2">
      <c r="B29" s="353"/>
      <c r="D29" s="290"/>
      <c r="E29" s="306" t="s">
        <v>871</v>
      </c>
      <c r="F29" s="975"/>
      <c r="G29" s="771"/>
      <c r="H29" s="306"/>
      <c r="I29" s="306" t="s">
        <v>870</v>
      </c>
      <c r="J29" s="1196"/>
      <c r="K29" s="1196"/>
      <c r="L29" s="295"/>
    </row>
    <row r="30" spans="2:12" s="284" customFormat="1" ht="6" customHeight="1" x14ac:dyDescent="0.2">
      <c r="B30" s="353"/>
      <c r="D30" s="290"/>
      <c r="E30" s="306"/>
      <c r="F30" s="306"/>
      <c r="G30" s="500"/>
      <c r="H30" s="306"/>
      <c r="I30" s="306"/>
      <c r="J30" s="499"/>
      <c r="K30" s="499"/>
      <c r="L30" s="294"/>
    </row>
    <row r="31" spans="2:12" s="284" customFormat="1" ht="12.75" customHeight="1" x14ac:dyDescent="0.2">
      <c r="B31" s="353"/>
      <c r="D31" s="290"/>
      <c r="E31" s="306" t="s">
        <v>871</v>
      </c>
      <c r="F31" s="309"/>
      <c r="G31" s="771"/>
      <c r="H31" s="306"/>
      <c r="I31" s="306" t="s">
        <v>870</v>
      </c>
      <c r="J31" s="1196"/>
      <c r="K31" s="1196"/>
      <c r="L31" s="295"/>
    </row>
    <row r="32" spans="2:12" s="284" customFormat="1" ht="12.75" customHeight="1" x14ac:dyDescent="0.2">
      <c r="B32" s="353"/>
      <c r="D32" s="290"/>
      <c r="E32" s="306"/>
      <c r="F32" s="309"/>
      <c r="G32" s="306"/>
      <c r="H32" s="306"/>
      <c r="I32" s="306"/>
      <c r="J32" s="306"/>
      <c r="K32" s="307"/>
      <c r="L32" s="295"/>
    </row>
    <row r="33" spans="2:12" s="284" customFormat="1" ht="12.75" customHeight="1" x14ac:dyDescent="0.2">
      <c r="B33" s="353"/>
      <c r="D33" s="290"/>
      <c r="E33" s="306" t="s">
        <v>944</v>
      </c>
      <c r="F33" s="309"/>
      <c r="G33" s="757"/>
      <c r="H33" s="306"/>
      <c r="I33" s="306"/>
      <c r="J33" s="306" t="s">
        <v>818</v>
      </c>
      <c r="K33" s="307"/>
      <c r="L33" s="295"/>
    </row>
    <row r="34" spans="2:12" s="284" customFormat="1" ht="12.75" customHeight="1" x14ac:dyDescent="0.2">
      <c r="B34" s="353"/>
      <c r="D34" s="297"/>
      <c r="E34" s="298"/>
      <c r="F34" s="298"/>
      <c r="G34" s="299"/>
      <c r="H34" s="298"/>
      <c r="I34" s="298"/>
      <c r="J34" s="298"/>
      <c r="K34" s="298"/>
      <c r="L34" s="300"/>
    </row>
    <row r="35" spans="2:12" s="284" customFormat="1" ht="6" customHeight="1" x14ac:dyDescent="0.2">
      <c r="B35" s="353"/>
      <c r="E35" s="306"/>
      <c r="F35" s="306"/>
      <c r="G35" s="307"/>
      <c r="H35" s="306"/>
      <c r="I35" s="306"/>
      <c r="J35" s="306"/>
      <c r="K35" s="306"/>
      <c r="L35" s="306"/>
    </row>
    <row r="36" spans="2:12" s="284" customFormat="1" ht="5.0999999999999996" customHeight="1" x14ac:dyDescent="0.2">
      <c r="B36" s="353"/>
      <c r="D36" s="287"/>
      <c r="E36" s="303"/>
      <c r="F36" s="303"/>
      <c r="G36" s="304"/>
      <c r="H36" s="303"/>
      <c r="I36" s="303"/>
      <c r="J36" s="303"/>
      <c r="K36" s="303"/>
      <c r="L36" s="311"/>
    </row>
    <row r="37" spans="2:12" s="284" customFormat="1" x14ac:dyDescent="0.2">
      <c r="B37" s="353"/>
      <c r="D37" s="290"/>
      <c r="E37" s="325" t="s">
        <v>814</v>
      </c>
      <c r="F37" s="286"/>
      <c r="G37" s="285"/>
      <c r="H37" s="286"/>
      <c r="I37" s="286"/>
      <c r="J37" s="286"/>
      <c r="K37" s="286"/>
      <c r="L37" s="293"/>
    </row>
    <row r="38" spans="2:12" s="284" customFormat="1" x14ac:dyDescent="0.2">
      <c r="B38" s="353"/>
      <c r="D38" s="290"/>
      <c r="E38" s="306"/>
      <c r="F38" s="306"/>
      <c r="G38" s="307"/>
      <c r="H38" s="306"/>
      <c r="I38" s="306"/>
      <c r="J38" s="306"/>
      <c r="K38" s="306"/>
      <c r="L38" s="293"/>
    </row>
    <row r="39" spans="2:12" s="284" customFormat="1" x14ac:dyDescent="0.2">
      <c r="B39" s="353"/>
      <c r="D39" s="290"/>
      <c r="E39" s="301" t="s">
        <v>870</v>
      </c>
      <c r="G39" s="1023"/>
      <c r="H39" s="306"/>
      <c r="I39" s="379"/>
      <c r="J39" s="306"/>
      <c r="L39" s="293"/>
    </row>
    <row r="40" spans="2:12" s="284" customFormat="1" x14ac:dyDescent="0.2">
      <c r="B40" s="353"/>
      <c r="D40" s="290"/>
      <c r="E40" s="306"/>
      <c r="F40" s="306"/>
      <c r="G40" s="307"/>
      <c r="H40" s="306"/>
      <c r="I40" s="306"/>
      <c r="J40" s="306"/>
      <c r="K40" s="306"/>
      <c r="L40" s="293"/>
    </row>
    <row r="41" spans="2:12" s="284" customFormat="1" x14ac:dyDescent="0.2">
      <c r="B41" s="353"/>
      <c r="D41" s="290"/>
      <c r="E41" s="365" t="s">
        <v>873</v>
      </c>
      <c r="F41" s="275"/>
      <c r="G41" s="1024"/>
      <c r="H41" s="275"/>
      <c r="I41" s="306" t="s">
        <v>874</v>
      </c>
      <c r="J41" s="275"/>
      <c r="K41" s="1024"/>
      <c r="L41" s="293"/>
    </row>
    <row r="42" spans="2:12" s="284" customFormat="1" ht="8.1" customHeight="1" x14ac:dyDescent="0.2">
      <c r="B42" s="353"/>
      <c r="D42" s="297"/>
      <c r="E42" s="367"/>
      <c r="F42" s="367"/>
      <c r="G42" s="310"/>
      <c r="H42" s="367"/>
      <c r="I42" s="367"/>
      <c r="J42" s="367"/>
      <c r="K42" s="367"/>
      <c r="L42" s="363"/>
    </row>
    <row r="43" spans="2:12" s="284" customFormat="1" ht="6" customHeight="1" x14ac:dyDescent="0.2">
      <c r="B43" s="353"/>
      <c r="E43" s="301"/>
      <c r="F43" s="301"/>
      <c r="G43" s="302"/>
      <c r="H43" s="301"/>
      <c r="I43" s="301"/>
      <c r="J43" s="301"/>
      <c r="K43" s="301"/>
    </row>
    <row r="44" spans="2:12" s="284" customFormat="1" ht="5.0999999999999996" customHeight="1" x14ac:dyDescent="0.2">
      <c r="B44" s="353"/>
      <c r="D44" s="287"/>
      <c r="E44" s="303"/>
      <c r="F44" s="303"/>
      <c r="G44" s="304"/>
      <c r="H44" s="303"/>
      <c r="I44" s="303"/>
      <c r="J44" s="303"/>
      <c r="K44" s="303"/>
      <c r="L44" s="311"/>
    </row>
    <row r="45" spans="2:12" s="284" customFormat="1" x14ac:dyDescent="0.2">
      <c r="B45" s="353"/>
      <c r="D45" s="290"/>
      <c r="E45" s="325" t="s">
        <v>957</v>
      </c>
      <c r="F45" s="286"/>
      <c r="G45" s="285"/>
      <c r="H45" s="286"/>
      <c r="I45" s="286"/>
      <c r="J45" s="286"/>
      <c r="K45" s="286"/>
      <c r="L45" s="293"/>
    </row>
    <row r="46" spans="2:12" s="284" customFormat="1" x14ac:dyDescent="0.2">
      <c r="B46" s="353"/>
      <c r="D46" s="290"/>
      <c r="E46" s="306"/>
      <c r="F46" s="306"/>
      <c r="G46" s="307"/>
      <c r="H46" s="306"/>
      <c r="I46" s="306"/>
      <c r="J46" s="306"/>
      <c r="K46" s="306"/>
      <c r="L46" s="293"/>
    </row>
    <row r="47" spans="2:12" s="284" customFormat="1" x14ac:dyDescent="0.2">
      <c r="B47" s="353"/>
      <c r="D47" s="691" t="s">
        <v>953</v>
      </c>
      <c r="E47" s="678"/>
      <c r="G47" s="757"/>
      <c r="H47" s="306"/>
      <c r="I47" s="379" t="s">
        <v>954</v>
      </c>
      <c r="J47" s="306"/>
      <c r="K47" s="757"/>
      <c r="L47" s="293"/>
    </row>
    <row r="48" spans="2:12" s="284" customFormat="1" x14ac:dyDescent="0.2">
      <c r="B48" s="353"/>
      <c r="D48" s="290"/>
      <c r="E48" s="306"/>
      <c r="F48" s="306"/>
      <c r="G48" s="307"/>
      <c r="H48" s="306"/>
      <c r="I48" s="306"/>
      <c r="J48" s="306"/>
      <c r="K48" s="306"/>
      <c r="L48" s="293"/>
    </row>
    <row r="49" spans="2:18" s="284" customFormat="1" x14ac:dyDescent="0.2">
      <c r="B49" s="353"/>
      <c r="D49" s="290"/>
      <c r="E49" s="306"/>
      <c r="F49" s="306" t="s">
        <v>1107</v>
      </c>
      <c r="G49" s="307"/>
      <c r="H49" s="306"/>
      <c r="I49" s="306"/>
      <c r="K49" s="306" t="s">
        <v>1108</v>
      </c>
      <c r="L49" s="293"/>
    </row>
    <row r="50" spans="2:18" s="284" customFormat="1" x14ac:dyDescent="0.2">
      <c r="B50" s="353"/>
      <c r="D50" s="290"/>
      <c r="E50" s="306"/>
      <c r="F50" s="306"/>
      <c r="G50" s="307"/>
      <c r="H50" s="306"/>
      <c r="I50" s="306"/>
      <c r="J50" s="306"/>
      <c r="K50" s="306"/>
      <c r="L50" s="293"/>
    </row>
    <row r="51" spans="2:18" s="284" customFormat="1" x14ac:dyDescent="0.2">
      <c r="B51" s="353"/>
      <c r="D51" s="290"/>
      <c r="E51" s="301" t="s">
        <v>987</v>
      </c>
      <c r="G51" s="758"/>
      <c r="H51" s="306"/>
      <c r="I51" s="306"/>
      <c r="J51" s="275"/>
      <c r="L51" s="293"/>
    </row>
    <row r="52" spans="2:18" s="284" customFormat="1" ht="8.1" customHeight="1" x14ac:dyDescent="0.2">
      <c r="B52" s="353"/>
      <c r="D52" s="297"/>
      <c r="E52" s="367"/>
      <c r="F52" s="367"/>
      <c r="G52" s="310"/>
      <c r="H52" s="367"/>
      <c r="I52" s="367"/>
      <c r="J52" s="367"/>
      <c r="K52" s="367"/>
      <c r="L52" s="363"/>
    </row>
    <row r="53" spans="2:18" s="284" customFormat="1" ht="6" customHeight="1" x14ac:dyDescent="0.2">
      <c r="B53" s="353"/>
      <c r="E53" s="301"/>
      <c r="F53" s="301"/>
      <c r="G53" s="302"/>
      <c r="H53" s="301"/>
      <c r="I53" s="301"/>
      <c r="J53" s="301"/>
      <c r="K53" s="301"/>
    </row>
    <row r="54" spans="2:18" s="284" customFormat="1" ht="5.0999999999999996" customHeight="1" x14ac:dyDescent="0.2">
      <c r="B54" s="353"/>
      <c r="D54" s="287"/>
      <c r="E54" s="303"/>
      <c r="F54" s="303"/>
      <c r="G54" s="304"/>
      <c r="H54" s="303"/>
      <c r="I54" s="303"/>
      <c r="J54" s="303"/>
      <c r="K54" s="303"/>
      <c r="L54" s="311"/>
    </row>
    <row r="55" spans="2:18" s="284" customFormat="1" x14ac:dyDescent="0.2">
      <c r="B55" s="353"/>
      <c r="D55" s="290"/>
      <c r="E55" s="325" t="s">
        <v>815</v>
      </c>
      <c r="F55" s="286"/>
      <c r="G55" s="285"/>
      <c r="H55" s="286"/>
      <c r="I55" s="286"/>
      <c r="J55" s="286"/>
      <c r="L55" s="293"/>
      <c r="R55" s="1039" t="b">
        <v>0</v>
      </c>
    </row>
    <row r="56" spans="2:18" s="284" customFormat="1" x14ac:dyDescent="0.2">
      <c r="B56" s="353"/>
      <c r="D56" s="290"/>
      <c r="E56" s="306"/>
      <c r="F56" s="306"/>
      <c r="G56" s="307"/>
      <c r="H56" s="306"/>
      <c r="I56" s="306"/>
      <c r="J56" s="306"/>
      <c r="K56" s="306"/>
      <c r="L56" s="293"/>
    </row>
    <row r="57" spans="2:18" s="284" customFormat="1" x14ac:dyDescent="0.2">
      <c r="B57" s="353"/>
      <c r="D57" s="290"/>
      <c r="E57" s="301" t="s">
        <v>870</v>
      </c>
      <c r="F57" s="757"/>
      <c r="G57" s="364"/>
      <c r="H57" s="306"/>
      <c r="I57" s="379"/>
      <c r="J57" s="306"/>
      <c r="L57" s="293"/>
    </row>
    <row r="58" spans="2:18" s="284" customFormat="1" x14ac:dyDescent="0.2">
      <c r="B58" s="353"/>
      <c r="D58" s="290"/>
      <c r="E58" s="306"/>
      <c r="F58" s="306"/>
      <c r="G58" s="307"/>
      <c r="H58" s="306"/>
      <c r="I58" s="306"/>
      <c r="J58" s="306"/>
      <c r="K58" s="306"/>
      <c r="L58" s="293"/>
    </row>
    <row r="59" spans="2:18" s="284" customFormat="1" x14ac:dyDescent="0.2">
      <c r="B59" s="353"/>
      <c r="D59" s="290"/>
      <c r="E59" s="380" t="s">
        <v>1109</v>
      </c>
      <c r="F59" s="380"/>
      <c r="G59" s="306"/>
      <c r="H59" s="306"/>
      <c r="I59" s="379"/>
      <c r="J59" s="1198"/>
      <c r="K59" s="1198"/>
      <c r="L59" s="293"/>
    </row>
    <row r="60" spans="2:18" s="284" customFormat="1" x14ac:dyDescent="0.2">
      <c r="B60" s="353"/>
      <c r="D60" s="290"/>
      <c r="E60" s="380"/>
      <c r="F60" s="380"/>
      <c r="G60" s="306"/>
      <c r="H60" s="306"/>
      <c r="I60" s="379"/>
      <c r="J60" s="307"/>
      <c r="K60" s="307"/>
      <c r="L60" s="293"/>
    </row>
    <row r="61" spans="2:18" s="284" customFormat="1" x14ac:dyDescent="0.2">
      <c r="B61" s="353"/>
      <c r="D61" s="290"/>
      <c r="E61" s="380" t="s">
        <v>1110</v>
      </c>
      <c r="G61" s="1204"/>
      <c r="H61" s="1204"/>
      <c r="I61" s="1204"/>
      <c r="J61" s="1204"/>
      <c r="K61" s="1204"/>
      <c r="L61" s="293"/>
    </row>
    <row r="62" spans="2:18" s="284" customFormat="1" ht="8.1" customHeight="1" x14ac:dyDescent="0.2">
      <c r="B62" s="353"/>
      <c r="D62" s="297"/>
      <c r="E62" s="367"/>
      <c r="F62" s="367"/>
      <c r="G62" s="310"/>
      <c r="H62" s="367"/>
      <c r="I62" s="367"/>
      <c r="J62" s="367"/>
      <c r="K62" s="367"/>
      <c r="L62" s="363"/>
    </row>
    <row r="63" spans="2:18" s="284" customFormat="1" ht="6" customHeight="1" x14ac:dyDescent="0.2">
      <c r="B63" s="353"/>
      <c r="E63" s="301"/>
      <c r="F63" s="301"/>
      <c r="G63" s="302"/>
      <c r="H63" s="301"/>
      <c r="I63" s="301"/>
      <c r="J63" s="301"/>
      <c r="K63" s="301"/>
      <c r="L63" s="301"/>
    </row>
    <row r="64" spans="2:18" s="284" customFormat="1" ht="9" customHeight="1" x14ac:dyDescent="0.2">
      <c r="B64" s="353"/>
      <c r="D64" s="287"/>
      <c r="E64" s="303"/>
      <c r="F64" s="303"/>
      <c r="G64" s="304"/>
      <c r="H64" s="303"/>
      <c r="I64" s="303"/>
      <c r="J64" s="303"/>
      <c r="K64" s="303"/>
      <c r="L64" s="311"/>
    </row>
    <row r="65" spans="1:18" s="284" customFormat="1" ht="12.75" customHeight="1" x14ac:dyDescent="0.2">
      <c r="B65" s="353"/>
      <c r="D65" s="290"/>
      <c r="E65" s="325" t="s">
        <v>1047</v>
      </c>
      <c r="F65" s="325"/>
      <c r="G65" s="325"/>
      <c r="H65" s="325"/>
      <c r="I65" s="325"/>
      <c r="J65" s="286"/>
      <c r="K65" s="286"/>
      <c r="L65" s="293"/>
    </row>
    <row r="66" spans="1:18" s="284" customFormat="1" ht="12.75" customHeight="1" x14ac:dyDescent="0.2">
      <c r="B66" s="353"/>
      <c r="D66" s="290"/>
      <c r="E66" s="306"/>
      <c r="F66" s="306"/>
      <c r="G66" s="307"/>
      <c r="H66" s="306"/>
      <c r="I66" s="306"/>
      <c r="J66" s="306"/>
      <c r="K66" s="306"/>
      <c r="L66" s="293"/>
    </row>
    <row r="67" spans="1:18" s="284" customFormat="1" x14ac:dyDescent="0.2">
      <c r="B67" s="353"/>
      <c r="D67" s="692" t="s">
        <v>863</v>
      </c>
      <c r="F67" s="306"/>
      <c r="G67" s="621"/>
      <c r="H67" s="306"/>
      <c r="I67" s="767"/>
      <c r="J67" s="643" t="s">
        <v>1171</v>
      </c>
      <c r="K67" s="757"/>
      <c r="L67" s="293"/>
    </row>
    <row r="68" spans="1:18" s="284" customFormat="1" x14ac:dyDescent="0.2">
      <c r="B68" s="353"/>
      <c r="D68" s="290"/>
      <c r="E68" s="644" t="s">
        <v>1172</v>
      </c>
      <c r="G68" s="364"/>
      <c r="H68" s="306"/>
      <c r="I68" s="379"/>
      <c r="J68" s="306"/>
      <c r="L68" s="293"/>
    </row>
    <row r="69" spans="1:18" s="284" customFormat="1" x14ac:dyDescent="0.2">
      <c r="B69" s="353"/>
      <c r="D69" s="290"/>
      <c r="E69" s="301"/>
      <c r="G69" s="364"/>
      <c r="H69" s="306"/>
      <c r="I69" s="379"/>
      <c r="J69" s="306"/>
      <c r="L69" s="293"/>
    </row>
    <row r="70" spans="1:18" s="284" customFormat="1" x14ac:dyDescent="0.2">
      <c r="B70" s="353"/>
      <c r="D70" s="290"/>
      <c r="E70" s="622" t="s">
        <v>1170</v>
      </c>
      <c r="F70" s="380"/>
      <c r="G70" s="306"/>
      <c r="H70" s="306"/>
      <c r="I70" s="379"/>
      <c r="J70" s="1198"/>
      <c r="K70" s="1198"/>
      <c r="L70" s="293"/>
    </row>
    <row r="71" spans="1:18" s="284" customFormat="1" x14ac:dyDescent="0.2">
      <c r="B71" s="353"/>
      <c r="D71" s="290"/>
      <c r="E71" s="1199"/>
      <c r="F71" s="1199"/>
      <c r="G71" s="1199"/>
      <c r="H71" s="1199"/>
      <c r="I71" s="1199"/>
      <c r="J71" s="1199"/>
      <c r="K71" s="1199"/>
      <c r="L71" s="293"/>
      <c r="R71" s="366">
        <f>E71</f>
        <v>0</v>
      </c>
    </row>
    <row r="72" spans="1:18" s="284" customFormat="1" x14ac:dyDescent="0.2">
      <c r="B72" s="353"/>
      <c r="D72" s="290"/>
      <c r="E72" s="1199"/>
      <c r="F72" s="1199"/>
      <c r="G72" s="1199"/>
      <c r="H72" s="1199"/>
      <c r="I72" s="1199"/>
      <c r="J72" s="1199"/>
      <c r="K72" s="1199"/>
      <c r="L72" s="293"/>
      <c r="R72" s="366">
        <f>E72</f>
        <v>0</v>
      </c>
    </row>
    <row r="73" spans="1:18" s="284" customFormat="1" ht="11.85" customHeight="1" x14ac:dyDescent="0.2">
      <c r="B73" s="353"/>
      <c r="D73" s="297"/>
      <c r="E73" s="298"/>
      <c r="F73" s="298"/>
      <c r="G73" s="299"/>
      <c r="H73" s="298"/>
      <c r="I73" s="298"/>
      <c r="J73" s="298"/>
      <c r="K73" s="298"/>
      <c r="L73" s="313"/>
    </row>
    <row r="74" spans="1:18" s="284" customFormat="1" ht="6" customHeight="1" x14ac:dyDescent="0.2">
      <c r="B74" s="353"/>
      <c r="E74" s="301"/>
      <c r="F74" s="301"/>
      <c r="G74" s="302"/>
      <c r="H74" s="301"/>
      <c r="I74" s="301"/>
      <c r="J74" s="301"/>
      <c r="K74" s="301"/>
      <c r="L74" s="301"/>
    </row>
    <row r="75" spans="1:18" s="284" customFormat="1" ht="9" customHeight="1" x14ac:dyDescent="0.2">
      <c r="B75" s="353"/>
      <c r="D75" s="287"/>
      <c r="E75" s="303"/>
      <c r="F75" s="303"/>
      <c r="G75" s="304"/>
      <c r="H75" s="303"/>
      <c r="I75" s="303"/>
      <c r="J75" s="303"/>
      <c r="K75" s="303"/>
      <c r="L75" s="311"/>
    </row>
    <row r="76" spans="1:18" s="284" customFormat="1" ht="12.75" customHeight="1" x14ac:dyDescent="0.2">
      <c r="B76" s="353"/>
      <c r="D76" s="290"/>
      <c r="E76" s="325" t="s">
        <v>1122</v>
      </c>
      <c r="F76" s="325"/>
      <c r="G76" s="325"/>
      <c r="H76" s="325"/>
      <c r="I76" s="757"/>
      <c r="J76" s="286"/>
      <c r="K76" s="286"/>
      <c r="L76" s="293"/>
    </row>
    <row r="77" spans="1:18" s="284" customFormat="1" ht="7.15" customHeight="1" x14ac:dyDescent="0.2">
      <c r="B77" s="353"/>
      <c r="D77" s="297"/>
      <c r="E77" s="298"/>
      <c r="F77" s="298"/>
      <c r="G77" s="299"/>
      <c r="H77" s="298"/>
      <c r="I77" s="298"/>
      <c r="J77" s="298"/>
      <c r="K77" s="298"/>
      <c r="L77" s="313"/>
    </row>
    <row r="78" spans="1:18" s="284" customFormat="1" ht="6" customHeight="1" x14ac:dyDescent="0.2">
      <c r="B78" s="306"/>
      <c r="E78" s="306"/>
      <c r="F78" s="306"/>
      <c r="G78" s="307"/>
      <c r="H78" s="306"/>
      <c r="I78" s="306"/>
      <c r="J78" s="306"/>
      <c r="K78" s="306"/>
    </row>
    <row r="79" spans="1:18" s="296" customFormat="1" ht="21" customHeight="1" x14ac:dyDescent="0.2">
      <c r="B79" s="351"/>
      <c r="D79" s="238" t="s">
        <v>1221</v>
      </c>
      <c r="F79" s="238"/>
      <c r="H79" s="352"/>
      <c r="I79" s="352"/>
      <c r="J79" s="352"/>
      <c r="K79" s="352"/>
      <c r="L79" s="352"/>
      <c r="M79" s="352"/>
    </row>
    <row r="80" spans="1:18" s="284" customFormat="1" ht="6.75" customHeight="1" x14ac:dyDescent="0.2">
      <c r="A80" s="301"/>
      <c r="B80" s="353"/>
      <c r="C80" s="353"/>
      <c r="D80" s="353"/>
      <c r="E80" s="353"/>
      <c r="F80" s="354"/>
      <c r="G80" s="353"/>
      <c r="H80" s="355"/>
      <c r="I80" s="356"/>
      <c r="J80" s="355"/>
      <c r="K80" s="355"/>
      <c r="L80" s="355"/>
      <c r="N80" s="1161" t="s">
        <v>2000</v>
      </c>
      <c r="O80" s="1161"/>
      <c r="P80" s="1161"/>
    </row>
    <row r="81" spans="1:16" s="284" customFormat="1" ht="6" customHeight="1" x14ac:dyDescent="0.2">
      <c r="A81" s="301"/>
      <c r="B81" s="353"/>
      <c r="C81" s="301"/>
      <c r="D81" s="301"/>
      <c r="E81" s="301"/>
      <c r="F81" s="325"/>
      <c r="G81" s="301"/>
      <c r="H81" s="306"/>
      <c r="I81" s="307"/>
      <c r="J81" s="306"/>
      <c r="K81" s="306"/>
      <c r="L81" s="306"/>
      <c r="M81" s="306"/>
      <c r="N81" s="1161"/>
      <c r="O81" s="1161"/>
      <c r="P81" s="1161"/>
    </row>
    <row r="82" spans="1:16" s="284" customFormat="1" ht="5.0999999999999996" customHeight="1" x14ac:dyDescent="0.2">
      <c r="B82" s="353"/>
      <c r="C82" s="301"/>
      <c r="D82" s="357"/>
      <c r="E82" s="358"/>
      <c r="F82" s="358"/>
      <c r="G82" s="359"/>
      <c r="H82" s="358"/>
      <c r="I82" s="358"/>
      <c r="J82" s="358"/>
      <c r="K82" s="358"/>
      <c r="L82" s="368"/>
      <c r="N82" s="1161"/>
      <c r="O82" s="1161"/>
      <c r="P82" s="1161"/>
    </row>
    <row r="83" spans="1:16" s="284" customFormat="1" x14ac:dyDescent="0.2">
      <c r="B83" s="353"/>
      <c r="C83" s="301"/>
      <c r="D83" s="360"/>
      <c r="E83" s="322" t="s">
        <v>941</v>
      </c>
      <c r="F83" s="306"/>
      <c r="G83" s="307"/>
      <c r="H83" s="306"/>
      <c r="I83" s="306"/>
      <c r="J83" s="306"/>
      <c r="K83" s="306"/>
      <c r="L83" s="361"/>
      <c r="N83" s="1161"/>
      <c r="O83" s="1161"/>
      <c r="P83" s="1161"/>
    </row>
    <row r="84" spans="1:16" s="284" customFormat="1" x14ac:dyDescent="0.2">
      <c r="B84" s="353"/>
      <c r="C84" s="301"/>
      <c r="D84" s="360"/>
      <c r="E84" s="306"/>
      <c r="F84" s="306"/>
      <c r="G84" s="307"/>
      <c r="H84" s="306"/>
      <c r="I84" s="306"/>
      <c r="J84" s="306"/>
      <c r="K84" s="306"/>
      <c r="L84" s="361"/>
      <c r="N84" s="1161"/>
      <c r="O84" s="1161"/>
      <c r="P84" s="1161"/>
    </row>
    <row r="85" spans="1:16" s="284" customFormat="1" x14ac:dyDescent="0.2">
      <c r="B85" s="353"/>
      <c r="C85" s="301"/>
      <c r="D85" s="360"/>
      <c r="E85" s="306" t="s">
        <v>955</v>
      </c>
      <c r="F85" s="306"/>
      <c r="G85" s="757"/>
      <c r="H85" s="306"/>
      <c r="I85" s="738" t="s">
        <v>872</v>
      </c>
      <c r="J85" s="306"/>
      <c r="K85" s="772"/>
      <c r="L85" s="361"/>
      <c r="N85" s="1161"/>
      <c r="O85" s="1161"/>
      <c r="P85" s="1161"/>
    </row>
    <row r="86" spans="1:16" s="284" customFormat="1" x14ac:dyDescent="0.2">
      <c r="B86" s="353"/>
      <c r="C86" s="301"/>
      <c r="D86" s="360"/>
      <c r="E86" s="314" t="s">
        <v>956</v>
      </c>
      <c r="F86" s="306"/>
      <c r="G86" s="306"/>
      <c r="H86" s="306"/>
      <c r="I86" s="306"/>
      <c r="J86" s="306"/>
      <c r="K86" s="306"/>
      <c r="L86" s="361"/>
      <c r="N86" s="1161"/>
      <c r="O86" s="1161"/>
      <c r="P86" s="1161"/>
    </row>
    <row r="87" spans="1:16" s="284" customFormat="1" x14ac:dyDescent="0.2">
      <c r="B87" s="353"/>
      <c r="C87" s="301"/>
      <c r="D87" s="360"/>
      <c r="F87" s="306"/>
      <c r="G87" s="364"/>
      <c r="H87" s="306"/>
      <c r="I87" s="306"/>
      <c r="J87" s="306"/>
      <c r="K87" s="307"/>
      <c r="L87" s="361"/>
      <c r="N87" s="1161"/>
      <c r="O87" s="1161"/>
      <c r="P87" s="1161"/>
    </row>
    <row r="88" spans="1:16" s="284" customFormat="1" x14ac:dyDescent="0.2">
      <c r="B88" s="353"/>
      <c r="C88" s="301"/>
      <c r="D88" s="360"/>
      <c r="E88" s="306" t="s">
        <v>996</v>
      </c>
      <c r="F88" s="306"/>
      <c r="G88" s="759" t="str">
        <f>IF(K88&lt;&gt;"","",IF(MU_maxLB&lt;&gt;"",MU_maxLB,IF(MU_glAusb&lt;&gt;"",MU_glAusb,IF(MU_AnspFu&lt;&gt;"",MU_AnspFu,IF(MULohnberechnung&lt;&gt;"",MULohnberechnung,"")))))</f>
        <v/>
      </c>
      <c r="H88" s="306"/>
      <c r="I88" s="306" t="s">
        <v>1198</v>
      </c>
      <c r="J88" s="306"/>
      <c r="K88" s="758"/>
      <c r="L88" s="361"/>
      <c r="N88" s="1161"/>
      <c r="O88" s="1161"/>
      <c r="P88" s="1161"/>
    </row>
    <row r="89" spans="1:16" s="284" customFormat="1" x14ac:dyDescent="0.2">
      <c r="B89" s="353"/>
      <c r="C89" s="301"/>
      <c r="D89" s="360"/>
      <c r="E89" s="306"/>
      <c r="F89" s="306"/>
      <c r="G89" s="307"/>
      <c r="H89" s="306"/>
      <c r="I89" s="306"/>
      <c r="J89" s="306"/>
      <c r="K89" s="306"/>
      <c r="L89" s="361"/>
      <c r="N89" s="1161"/>
      <c r="O89" s="1161"/>
      <c r="P89" s="1161"/>
    </row>
    <row r="90" spans="1:16" s="284" customFormat="1" x14ac:dyDescent="0.2">
      <c r="B90" s="353"/>
      <c r="C90" s="301"/>
      <c r="D90" s="360"/>
      <c r="E90" s="245" t="s">
        <v>966</v>
      </c>
      <c r="F90" s="245"/>
      <c r="G90" s="755"/>
      <c r="H90" s="1142" t="s">
        <v>1069</v>
      </c>
      <c r="I90" s="1142"/>
      <c r="J90" s="1141" t="str">
        <f>_xlfn.IFNA(VLOOKUP(G90,Stammdaten_DropDown!$B$14:$C$55,2,FALSE),"")</f>
        <v/>
      </c>
      <c r="K90" s="1141"/>
      <c r="L90" s="361"/>
      <c r="N90" s="1161"/>
      <c r="O90" s="1161"/>
      <c r="P90" s="1161"/>
    </row>
    <row r="91" spans="1:16" s="284" customFormat="1" x14ac:dyDescent="0.2">
      <c r="B91" s="353"/>
      <c r="C91" s="301"/>
      <c r="D91" s="360"/>
      <c r="E91" s="306"/>
      <c r="F91" s="306"/>
      <c r="G91" s="307"/>
      <c r="H91" s="306"/>
      <c r="I91" s="306"/>
      <c r="J91" s="306"/>
      <c r="K91" s="306"/>
      <c r="L91" s="361"/>
      <c r="N91" s="1161"/>
      <c r="O91" s="1161"/>
      <c r="P91" s="1161"/>
    </row>
    <row r="92" spans="1:16" s="284" customFormat="1" x14ac:dyDescent="0.2">
      <c r="B92" s="353"/>
      <c r="C92" s="301"/>
      <c r="D92" s="360"/>
      <c r="E92" s="245" t="str">
        <f>IF(AND(R55=FALSE,G15&lt;&gt;""),"LOGIB Code bereits vorhanden","Höchstausbildung LOGIB*")</f>
        <v>Höchstausbildung LOGIB*</v>
      </c>
      <c r="F92" s="306"/>
      <c r="G92" s="846"/>
      <c r="H92" s="1208"/>
      <c r="I92" s="1208"/>
      <c r="J92" s="1208"/>
      <c r="K92" s="1208"/>
      <c r="L92" s="999">
        <f>IF(AND(R55=TRUE,H92=""),1,0)</f>
        <v>0</v>
      </c>
      <c r="N92" s="1161"/>
      <c r="O92" s="1161"/>
      <c r="P92" s="1161"/>
    </row>
    <row r="93" spans="1:16" s="284" customFormat="1" x14ac:dyDescent="0.2">
      <c r="B93" s="353"/>
      <c r="C93" s="301"/>
      <c r="D93" s="360"/>
      <c r="E93" s="978" t="str">
        <f>IF(AND(R55=FALSE,G15&lt;&gt;""),"",IF(R55=TRUE,"(zwingend auszufüllen)","(ausfüllen falls sich das Ausbildungsniveau geändert hat)"))</f>
        <v>(ausfüllen falls sich das Ausbildungsniveau geändert hat)</v>
      </c>
      <c r="F93" s="306"/>
      <c r="G93" s="846"/>
      <c r="H93" s="306"/>
      <c r="I93" s="306"/>
      <c r="J93" s="306"/>
      <c r="K93" s="306"/>
      <c r="L93" s="361"/>
      <c r="N93" s="1161"/>
      <c r="O93" s="1161"/>
      <c r="P93" s="1161"/>
    </row>
    <row r="94" spans="1:16" s="284" customFormat="1" x14ac:dyDescent="0.2">
      <c r="B94" s="353"/>
      <c r="C94" s="301"/>
      <c r="D94" s="360"/>
      <c r="E94" s="1205" t="s">
        <v>946</v>
      </c>
      <c r="F94" s="1205"/>
      <c r="G94" s="1204"/>
      <c r="H94" s="1204"/>
      <c r="I94" s="1204"/>
      <c r="J94" s="1204"/>
      <c r="K94" s="1204"/>
      <c r="L94" s="361"/>
      <c r="N94" s="1161"/>
      <c r="O94" s="1161"/>
      <c r="P94" s="1161"/>
    </row>
    <row r="95" spans="1:16" s="284" customFormat="1" ht="8.1" customHeight="1" x14ac:dyDescent="0.2">
      <c r="B95" s="353"/>
      <c r="C95" s="301"/>
      <c r="D95" s="362"/>
      <c r="E95" s="369"/>
      <c r="F95" s="369"/>
      <c r="G95" s="369"/>
      <c r="H95" s="369"/>
      <c r="I95" s="369"/>
      <c r="J95" s="369"/>
      <c r="K95" s="369"/>
      <c r="L95" s="363"/>
      <c r="N95" s="1161"/>
      <c r="O95" s="1161"/>
      <c r="P95" s="1161"/>
    </row>
    <row r="96" spans="1:16" s="284" customFormat="1" ht="6" customHeight="1" x14ac:dyDescent="0.2">
      <c r="B96" s="353"/>
      <c r="C96" s="301"/>
      <c r="D96" s="301"/>
      <c r="E96" s="306"/>
      <c r="F96" s="306"/>
      <c r="G96" s="307"/>
      <c r="H96" s="306"/>
      <c r="I96" s="306"/>
      <c r="J96" s="306"/>
      <c r="K96" s="306"/>
      <c r="L96" s="306"/>
      <c r="N96" s="1161"/>
      <c r="O96" s="1161"/>
      <c r="P96" s="1161"/>
    </row>
    <row r="97" spans="2:18" s="284" customFormat="1" ht="5.0999999999999996" customHeight="1" x14ac:dyDescent="0.2">
      <c r="B97" s="353"/>
      <c r="C97" s="301"/>
      <c r="D97" s="357"/>
      <c r="E97" s="303"/>
      <c r="F97" s="303"/>
      <c r="G97" s="304"/>
      <c r="H97" s="303"/>
      <c r="I97" s="303"/>
      <c r="J97" s="303"/>
      <c r="K97" s="303"/>
      <c r="L97" s="305"/>
      <c r="N97" s="1161"/>
      <c r="O97" s="1161"/>
      <c r="P97" s="1161"/>
    </row>
    <row r="98" spans="2:18" s="284" customFormat="1" x14ac:dyDescent="0.2">
      <c r="B98" s="353"/>
      <c r="C98" s="301"/>
      <c r="D98" s="360"/>
      <c r="E98" s="1200" t="s">
        <v>978</v>
      </c>
      <c r="F98" s="1200"/>
      <c r="G98" s="1200"/>
      <c r="H98" s="1200"/>
      <c r="I98" s="1200"/>
      <c r="J98" s="1200"/>
      <c r="K98" s="306"/>
      <c r="L98" s="361"/>
      <c r="N98" s="1161"/>
      <c r="O98" s="1161"/>
      <c r="P98" s="1161"/>
    </row>
    <row r="99" spans="2:18" s="284" customFormat="1" x14ac:dyDescent="0.2">
      <c r="B99" s="353"/>
      <c r="C99" s="301"/>
      <c r="D99" s="360"/>
      <c r="E99" s="306"/>
      <c r="F99" s="306"/>
      <c r="G99" s="307"/>
      <c r="H99" s="306"/>
      <c r="I99" s="306"/>
      <c r="J99" s="306"/>
      <c r="K99" s="306"/>
      <c r="L99" s="361"/>
      <c r="N99" s="1161"/>
      <c r="O99" s="1161"/>
      <c r="P99" s="1161"/>
      <c r="R99" s="284" t="s">
        <v>973</v>
      </c>
    </row>
    <row r="100" spans="2:18" s="284" customFormat="1" x14ac:dyDescent="0.2">
      <c r="B100" s="353"/>
      <c r="C100" s="301"/>
      <c r="D100" s="360"/>
      <c r="E100" s="1199"/>
      <c r="F100" s="1199"/>
      <c r="G100" s="1199"/>
      <c r="H100" s="1199"/>
      <c r="I100" s="1199"/>
      <c r="J100" s="1199"/>
      <c r="K100" s="1199"/>
      <c r="L100" s="361"/>
      <c r="N100" s="1161"/>
      <c r="O100" s="1161"/>
      <c r="P100" s="1161"/>
      <c r="R100" s="366"/>
    </row>
    <row r="101" spans="2:18" s="284" customFormat="1" x14ac:dyDescent="0.2">
      <c r="B101" s="353"/>
      <c r="C101" s="301"/>
      <c r="D101" s="360"/>
      <c r="E101" s="1199"/>
      <c r="F101" s="1199"/>
      <c r="G101" s="1199"/>
      <c r="H101" s="1199"/>
      <c r="I101" s="1199"/>
      <c r="J101" s="1199"/>
      <c r="K101" s="1199"/>
      <c r="L101" s="361"/>
      <c r="N101" s="1161"/>
      <c r="O101" s="1161"/>
      <c r="P101" s="1161"/>
      <c r="R101" s="366"/>
    </row>
    <row r="102" spans="2:18" s="284" customFormat="1" x14ac:dyDescent="0.2">
      <c r="B102" s="353"/>
      <c r="C102" s="301"/>
      <c r="D102" s="360"/>
      <c r="E102" s="1199"/>
      <c r="F102" s="1199"/>
      <c r="G102" s="1199"/>
      <c r="H102" s="1199"/>
      <c r="I102" s="1199"/>
      <c r="J102" s="1199"/>
      <c r="K102" s="1199"/>
      <c r="L102" s="361"/>
      <c r="N102" s="1161"/>
      <c r="O102" s="1161"/>
      <c r="P102" s="1161"/>
      <c r="R102" s="366">
        <f>E102</f>
        <v>0</v>
      </c>
    </row>
    <row r="103" spans="2:18" s="284" customFormat="1" ht="8.1" customHeight="1" x14ac:dyDescent="0.2">
      <c r="B103" s="353"/>
      <c r="C103" s="301"/>
      <c r="D103" s="362"/>
      <c r="E103" s="298"/>
      <c r="F103" s="298"/>
      <c r="G103" s="299"/>
      <c r="H103" s="298"/>
      <c r="I103" s="298"/>
      <c r="J103" s="298"/>
      <c r="K103" s="298"/>
      <c r="L103" s="363"/>
      <c r="N103" s="1161"/>
      <c r="O103" s="1161"/>
      <c r="P103" s="1161"/>
    </row>
    <row r="104" spans="2:18" s="284" customFormat="1" ht="6" customHeight="1" x14ac:dyDescent="0.2">
      <c r="B104" s="353"/>
      <c r="C104" s="301"/>
      <c r="D104" s="301"/>
      <c r="E104" s="301"/>
      <c r="F104" s="301"/>
      <c r="G104" s="302"/>
      <c r="H104" s="301"/>
      <c r="I104" s="301"/>
      <c r="J104" s="301"/>
      <c r="K104" s="301"/>
      <c r="L104" s="301"/>
      <c r="N104" s="1161"/>
      <c r="O104" s="1161"/>
      <c r="P104" s="1161"/>
    </row>
    <row r="105" spans="2:18" s="284" customFormat="1" ht="5.0999999999999996" customHeight="1" x14ac:dyDescent="0.2">
      <c r="B105" s="353"/>
      <c r="C105" s="301"/>
      <c r="D105" s="357"/>
      <c r="E105" s="303"/>
      <c r="F105" s="303"/>
      <c r="G105" s="304"/>
      <c r="H105" s="303"/>
      <c r="I105" s="303"/>
      <c r="J105" s="303"/>
      <c r="K105" s="303"/>
      <c r="L105" s="305"/>
      <c r="N105" s="1161"/>
      <c r="O105" s="1161"/>
      <c r="P105" s="1161"/>
    </row>
    <row r="106" spans="2:18" s="284" customFormat="1" x14ac:dyDescent="0.2">
      <c r="B106" s="353"/>
      <c r="C106" s="301"/>
      <c r="D106" s="360"/>
      <c r="E106" s="1200" t="s">
        <v>767</v>
      </c>
      <c r="F106" s="1200"/>
      <c r="G106" s="1200"/>
      <c r="H106" s="306"/>
      <c r="I106" s="306"/>
      <c r="J106" s="306"/>
      <c r="K106" s="306"/>
      <c r="L106" s="361"/>
      <c r="N106" s="1161"/>
      <c r="O106" s="1161"/>
      <c r="P106" s="1161"/>
    </row>
    <row r="107" spans="2:18" s="284" customFormat="1" x14ac:dyDescent="0.2">
      <c r="B107" s="353"/>
      <c r="C107" s="301"/>
      <c r="D107" s="360"/>
      <c r="E107" s="306"/>
      <c r="F107" s="306"/>
      <c r="G107" s="307"/>
      <c r="H107" s="306"/>
      <c r="I107" s="306"/>
      <c r="J107" s="306"/>
      <c r="K107" s="306"/>
      <c r="L107" s="361"/>
      <c r="N107" s="1161"/>
      <c r="O107" s="1161"/>
      <c r="P107" s="1161"/>
    </row>
    <row r="108" spans="2:18" s="284" customFormat="1" x14ac:dyDescent="0.2">
      <c r="B108" s="353"/>
      <c r="C108" s="301"/>
      <c r="D108" s="360"/>
      <c r="E108" s="1199"/>
      <c r="F108" s="1199"/>
      <c r="G108" s="1199"/>
      <c r="H108" s="1199"/>
      <c r="I108" s="1199"/>
      <c r="J108" s="1199"/>
      <c r="K108" s="1199"/>
      <c r="L108" s="361"/>
      <c r="N108" s="1161"/>
      <c r="O108" s="1161"/>
      <c r="P108" s="1161"/>
      <c r="R108" s="366">
        <f>E108</f>
        <v>0</v>
      </c>
    </row>
    <row r="109" spans="2:18" s="284" customFormat="1" x14ac:dyDescent="0.2">
      <c r="B109" s="353"/>
      <c r="C109" s="301"/>
      <c r="D109" s="360"/>
      <c r="E109" s="1199"/>
      <c r="F109" s="1199"/>
      <c r="G109" s="1199"/>
      <c r="H109" s="1199"/>
      <c r="I109" s="1199"/>
      <c r="J109" s="1199"/>
      <c r="K109" s="1199"/>
      <c r="L109" s="361"/>
      <c r="N109" s="1161"/>
      <c r="O109" s="1161"/>
      <c r="P109" s="1161"/>
      <c r="R109" s="366">
        <f>E109</f>
        <v>0</v>
      </c>
    </row>
    <row r="110" spans="2:18" s="284" customFormat="1" x14ac:dyDescent="0.2">
      <c r="B110" s="353"/>
      <c r="C110" s="301"/>
      <c r="D110" s="360"/>
      <c r="E110" s="1199"/>
      <c r="F110" s="1199"/>
      <c r="G110" s="1199"/>
      <c r="H110" s="1199"/>
      <c r="I110" s="1199"/>
      <c r="J110" s="1199"/>
      <c r="K110" s="1199"/>
      <c r="L110" s="361"/>
      <c r="N110" s="1161"/>
      <c r="O110" s="1161"/>
      <c r="P110" s="1161"/>
      <c r="R110" s="366">
        <f>E110</f>
        <v>0</v>
      </c>
    </row>
    <row r="111" spans="2:18" s="284" customFormat="1" ht="8.1" customHeight="1" x14ac:dyDescent="0.2">
      <c r="B111" s="353"/>
      <c r="C111" s="301"/>
      <c r="D111" s="362"/>
      <c r="E111" s="298"/>
      <c r="F111" s="298"/>
      <c r="G111" s="299"/>
      <c r="H111" s="298"/>
      <c r="I111" s="298"/>
      <c r="J111" s="298"/>
      <c r="K111" s="298"/>
      <c r="L111" s="363"/>
    </row>
    <row r="112" spans="2:18" s="284" customFormat="1" ht="6" customHeight="1" x14ac:dyDescent="0.2">
      <c r="B112" s="353"/>
      <c r="C112" s="301"/>
      <c r="D112" s="301"/>
      <c r="E112" s="306"/>
      <c r="F112" s="306"/>
      <c r="G112" s="307"/>
      <c r="H112" s="306"/>
      <c r="I112" s="306"/>
      <c r="J112" s="306"/>
      <c r="K112" s="306"/>
      <c r="L112" s="301"/>
    </row>
    <row r="113" spans="2:16" s="284" customFormat="1" ht="5.0999999999999996" customHeight="1" x14ac:dyDescent="0.2">
      <c r="B113" s="353"/>
      <c r="C113" s="301"/>
      <c r="D113" s="202"/>
      <c r="E113" s="67"/>
      <c r="F113" s="67"/>
      <c r="G113" s="68"/>
      <c r="H113" s="67"/>
      <c r="I113" s="67"/>
      <c r="J113" s="67"/>
      <c r="K113" s="67"/>
      <c r="L113" s="203"/>
    </row>
    <row r="114" spans="2:16" s="284" customFormat="1" x14ac:dyDescent="0.2">
      <c r="B114" s="353"/>
      <c r="C114" s="301"/>
      <c r="D114" s="204"/>
      <c r="E114" s="210" t="s">
        <v>929</v>
      </c>
      <c r="F114" s="210"/>
      <c r="G114" s="320"/>
      <c r="H114" s="319"/>
      <c r="I114" s="319"/>
      <c r="J114" s="319"/>
      <c r="K114" s="319"/>
      <c r="L114" s="266"/>
      <c r="N114" s="1209" t="str">
        <f>Stammdaten_DropDown!A114</f>
        <v>Lohnentwicklung</v>
      </c>
      <c r="O114" s="1209"/>
      <c r="P114" s="1209"/>
    </row>
    <row r="115" spans="2:16" s="284" customFormat="1" ht="6" customHeight="1" x14ac:dyDescent="0.2">
      <c r="B115" s="353"/>
      <c r="C115" s="301"/>
      <c r="D115" s="204"/>
      <c r="E115" s="245"/>
      <c r="F115" s="245"/>
      <c r="G115" s="535"/>
      <c r="H115" s="245"/>
      <c r="I115" s="245"/>
      <c r="J115" s="245"/>
      <c r="K115" s="245"/>
      <c r="L115" s="266"/>
      <c r="N115" s="301"/>
      <c r="O115" s="301"/>
      <c r="P115" s="301"/>
    </row>
    <row r="116" spans="2:16" s="284" customFormat="1" x14ac:dyDescent="0.2">
      <c r="B116" s="353"/>
      <c r="C116" s="301"/>
      <c r="D116" s="204"/>
      <c r="E116" s="245" t="s">
        <v>940</v>
      </c>
      <c r="F116" s="245"/>
      <c r="G116" s="535"/>
      <c r="H116" s="245"/>
      <c r="I116" s="245"/>
      <c r="J116" s="1166"/>
      <c r="K116" s="1166"/>
      <c r="L116" s="266"/>
      <c r="N116" s="1207" t="str">
        <f>Stammdaten_DropDown!A115</f>
        <v>Bitte angeben, ob eine individuelle Lohnentwicklung gewährt werden soll.</v>
      </c>
      <c r="O116" s="1207"/>
      <c r="P116" s="1207"/>
    </row>
    <row r="117" spans="2:16" s="284" customFormat="1" x14ac:dyDescent="0.2">
      <c r="B117" s="353"/>
      <c r="C117" s="301"/>
      <c r="D117" s="204"/>
      <c r="E117" s="245"/>
      <c r="F117" s="245"/>
      <c r="G117" s="535"/>
      <c r="H117" s="245"/>
      <c r="I117" s="245"/>
      <c r="J117" s="245"/>
      <c r="K117" s="245"/>
      <c r="L117" s="266"/>
      <c r="N117" s="866" t="str">
        <f>Stammdaten_DropDown!A116</f>
        <v>Bei einem Neueintritt nach dem 01.07.2026 ist keine individuelle Lohnentwicklung vorgesehen.</v>
      </c>
      <c r="O117" s="866"/>
      <c r="P117" s="866"/>
    </row>
    <row r="118" spans="2:16" s="284" customFormat="1" x14ac:dyDescent="0.2">
      <c r="B118" s="353"/>
      <c r="C118" s="301"/>
      <c r="D118" s="204"/>
      <c r="E118" s="275" t="s">
        <v>764</v>
      </c>
      <c r="F118" s="244"/>
      <c r="G118" s="334" t="str">
        <f>IF(ISBLANK($J$116),IF(LB_maxLB&lt;&gt;"",LB_maxLB,IF(LB_glAusb&lt;&gt;"",LB_glAusb,IF(LB_anspFu&lt;&gt;"",LB_anspFu,IF(BandLohnBer="",IF(BandLohnRechner="","",BandLohnRechner),IF(BandLohnRechner="",BandLohnBer,"FEHLER"))))),"-")</f>
        <v/>
      </c>
      <c r="H118" s="245"/>
      <c r="I118" s="275" t="s">
        <v>808</v>
      </c>
      <c r="J118" s="244"/>
      <c r="K118" s="756" t="str">
        <f ca="1">IF(ISBLANK($J$116),IF(EW_maxLB&lt;&gt;"",EW_maxLB,IF(EW_glAusb&lt;&gt;"",EW_glAusb,IF(EW_anspFu&lt;&gt;"",EW_anspFu,IF(EWLohnBer="",IF(EWLohnRechner="","",EWLohnRechner),IF(EWLohnRechner="",EWLohnBer,"FEHLER"))))),"-")</f>
        <v/>
      </c>
      <c r="L118" s="266"/>
      <c r="N118" s="1207" t="str">
        <f>Stammdaten_DropDown!A117</f>
        <v>In dem Fall ist das Prädikat auf dem Wert «NA» (keine Beurteilung) zu belassen.</v>
      </c>
      <c r="O118" s="1207"/>
      <c r="P118" s="1207"/>
    </row>
    <row r="119" spans="2:16" s="284" customFormat="1" x14ac:dyDescent="0.2">
      <c r="B119" s="353"/>
      <c r="C119" s="301"/>
      <c r="D119" s="204"/>
      <c r="E119" s="429" t="b">
        <f>AND(BandLohnBer&lt;&gt;"",BandLohnRechner&lt;&gt;"")</f>
        <v>0</v>
      </c>
      <c r="F119" s="245"/>
      <c r="G119" s="536" t="str">
        <f>IF(E119,"2 Lohnbänder gefunden","")</f>
        <v/>
      </c>
      <c r="H119" s="245"/>
      <c r="I119" s="429" t="b">
        <f>AND(EWLohnBer&lt;&gt;"",EWLohnRechner&lt;&gt;"")</f>
        <v>0</v>
      </c>
      <c r="J119" s="1173" t="str">
        <f>IF(I119,"2 Erfahrungswerte gefunden","")</f>
        <v/>
      </c>
      <c r="K119" s="1173"/>
      <c r="L119" s="266"/>
      <c r="N119" s="301"/>
      <c r="O119" s="301"/>
      <c r="P119" s="301"/>
    </row>
    <row r="120" spans="2:16" s="284" customFormat="1" x14ac:dyDescent="0.2">
      <c r="B120" s="353"/>
      <c r="C120" s="301"/>
      <c r="D120" s="204"/>
      <c r="E120" s="245"/>
      <c r="F120" s="245"/>
      <c r="G120" s="245"/>
      <c r="H120" s="245" t="s">
        <v>1100</v>
      </c>
      <c r="J120" s="1201" t="str">
        <f ca="1">IF(ISBLANK($J$116),IF(Lohn_maxLB&lt;&gt;"",Lohn_maxLB,IF(Lohn_glAusb&lt;&gt;"",Lohn_glAusb,IF(Lohn_anspFu&lt;&gt;"",Lohn_anspFu,IF(LohnLohnBer="",IF(LohnLohnRechner="","",LohnLohnRechner),IF(LohnLohnRechner="",LohnLohnBer,"FEHLER"))))),"-")</f>
        <v/>
      </c>
      <c r="K120" s="1201"/>
      <c r="L120" s="62"/>
      <c r="N120" s="1206" t="str">
        <f>Stammdaten_DropDown!A118</f>
        <v xml:space="preserve">Falls eine individuelle  Lohnentwicklung gewährt werden soll, ist das entsprechende Prädikat aus der relevanten MAG-Phase im Dropdown-Menu auszuwählen. </v>
      </c>
      <c r="O120" s="1206"/>
      <c r="P120" s="1206"/>
    </row>
    <row r="121" spans="2:16" s="284" customFormat="1" x14ac:dyDescent="0.2">
      <c r="B121" s="353"/>
      <c r="C121" s="301"/>
      <c r="D121" s="204"/>
      <c r="E121" s="245"/>
      <c r="F121" s="245"/>
      <c r="G121" s="245"/>
      <c r="H121" s="245"/>
      <c r="I121" s="429" t="b">
        <f>AND(LohnLohnBer&lt;&gt;"",LohnLohnRechner&lt;&gt;"")</f>
        <v>0</v>
      </c>
      <c r="J121" s="1173" t="str">
        <f>IF(I121,"2 Löhne gefunden","")</f>
        <v/>
      </c>
      <c r="K121" s="1173"/>
      <c r="L121" s="266"/>
      <c r="N121" s="1206"/>
      <c r="O121" s="1206"/>
      <c r="P121" s="1206"/>
    </row>
    <row r="122" spans="2:16" s="284" customFormat="1" x14ac:dyDescent="0.2">
      <c r="B122" s="353"/>
      <c r="C122" s="301"/>
      <c r="D122" s="204"/>
      <c r="E122" s="245" t="str">
        <f>CONCATENATE("Lohnentwicklung per 01.01.",LohntabelleM!I1+1," gewähren?")</f>
        <v>Lohnentwicklung per 01.01.2027 gewähren?</v>
      </c>
      <c r="F122" s="245"/>
      <c r="G122" s="245"/>
      <c r="H122" s="844"/>
      <c r="I122" s="429"/>
      <c r="J122" s="862" t="s">
        <v>1948</v>
      </c>
      <c r="K122" s="869" t="str">
        <f>L122</f>
        <v/>
      </c>
      <c r="L122" s="858" t="str">
        <f>IF(H122="Ja","A",IF(H122="Nein","NA",""))</f>
        <v/>
      </c>
      <c r="N122" s="1207" t="str">
        <f>Stammdaten_DropDown!A119</f>
        <v>Ist noch keine Beurteilung hinterlegt, so ist das Prädikat auf «A» zu belassen.</v>
      </c>
      <c r="O122" s="1207"/>
      <c r="P122" s="1207"/>
    </row>
    <row r="123" spans="2:16" s="284" customFormat="1" ht="8.1" customHeight="1" x14ac:dyDescent="0.2">
      <c r="B123" s="353"/>
      <c r="C123" s="301"/>
      <c r="D123" s="206"/>
      <c r="E123" s="64"/>
      <c r="F123" s="64"/>
      <c r="G123" s="65"/>
      <c r="H123" s="64"/>
      <c r="I123" s="64"/>
      <c r="J123" s="64"/>
      <c r="K123" s="64"/>
      <c r="L123" s="279"/>
      <c r="N123" s="301"/>
      <c r="O123" s="301"/>
      <c r="P123" s="301"/>
    </row>
    <row r="124" spans="2:16" s="284" customFormat="1" ht="10.9" customHeight="1" x14ac:dyDescent="0.2">
      <c r="B124" s="353"/>
      <c r="C124" s="301"/>
      <c r="L124" s="301"/>
    </row>
    <row r="125" spans="2:16" s="284" customFormat="1" ht="66.599999999999994" customHeight="1" x14ac:dyDescent="0.2">
      <c r="B125" s="353"/>
      <c r="C125" s="301"/>
      <c r="D125" s="1143" t="s">
        <v>959</v>
      </c>
      <c r="E125" s="1143"/>
      <c r="F125" s="1143"/>
      <c r="G125" s="1143"/>
      <c r="H125" s="1143"/>
      <c r="I125" s="1143"/>
      <c r="J125" s="1143"/>
      <c r="K125" s="1143"/>
      <c r="L125" s="301"/>
    </row>
    <row r="126" spans="2:16" s="284" customFormat="1" ht="16.5" customHeight="1" x14ac:dyDescent="0.2">
      <c r="B126" s="353"/>
      <c r="C126" s="301"/>
      <c r="D126" s="1143"/>
      <c r="E126" s="1143"/>
      <c r="F126" s="1143"/>
      <c r="G126" s="1143"/>
      <c r="H126" s="1143"/>
      <c r="I126" s="1143"/>
      <c r="J126" s="1143"/>
      <c r="K126" s="1143"/>
      <c r="L126" s="301"/>
    </row>
    <row r="127" spans="2:16" s="284" customFormat="1" x14ac:dyDescent="0.2">
      <c r="C127" s="301"/>
      <c r="L127" s="301"/>
    </row>
    <row r="128" spans="2:16" s="284" customFormat="1" x14ac:dyDescent="0.2">
      <c r="C128" s="301"/>
      <c r="L128" s="301"/>
    </row>
    <row r="129" s="284" customFormat="1" x14ac:dyDescent="0.2"/>
    <row r="130" s="284" customFormat="1" x14ac:dyDescent="0.2"/>
    <row r="131" s="284" customFormat="1" x14ac:dyDescent="0.2"/>
    <row r="132" s="284" customFormat="1" x14ac:dyDescent="0.2"/>
    <row r="133" s="284" customFormat="1" x14ac:dyDescent="0.2"/>
    <row r="134" s="284" customFormat="1" x14ac:dyDescent="0.2"/>
    <row r="135" s="284" customFormat="1" x14ac:dyDescent="0.2"/>
    <row r="136" s="284" customFormat="1" x14ac:dyDescent="0.2"/>
    <row r="137" s="284" customFormat="1" x14ac:dyDescent="0.2"/>
  </sheetData>
  <sheetProtection algorithmName="SHA-512" hashValue="0F0LdK0WxraJPpE9iwgr2EQK/3lRoeUZBB2gNYLDUmZ6iqP5tk/uz6bK8dfRFuRnGZGoJzt7JR3/hPn51eQcCw==" saltValue="Gund8j6uEUdfR8Ngt4RBzg==" spinCount="100000" sheet="1" objects="1" scenarios="1"/>
  <mergeCells count="41">
    <mergeCell ref="N120:P121"/>
    <mergeCell ref="N122:P122"/>
    <mergeCell ref="H92:K92"/>
    <mergeCell ref="N80:P110"/>
    <mergeCell ref="N114:P114"/>
    <mergeCell ref="N116:P116"/>
    <mergeCell ref="N118:P118"/>
    <mergeCell ref="E71:K71"/>
    <mergeCell ref="E101:K101"/>
    <mergeCell ref="E100:K100"/>
    <mergeCell ref="E98:J98"/>
    <mergeCell ref="J59:K59"/>
    <mergeCell ref="G61:K61"/>
    <mergeCell ref="E72:K72"/>
    <mergeCell ref="E94:F94"/>
    <mergeCell ref="G94:K94"/>
    <mergeCell ref="N13:O14"/>
    <mergeCell ref="E102:K102"/>
    <mergeCell ref="E106:G106"/>
    <mergeCell ref="E108:K108"/>
    <mergeCell ref="D125:K126"/>
    <mergeCell ref="J116:K116"/>
    <mergeCell ref="J119:K119"/>
    <mergeCell ref="J120:K120"/>
    <mergeCell ref="J121:K121"/>
    <mergeCell ref="E109:K109"/>
    <mergeCell ref="E110:K110"/>
    <mergeCell ref="E24:F24"/>
    <mergeCell ref="G24:I24"/>
    <mergeCell ref="H90:I90"/>
    <mergeCell ref="J70:K70"/>
    <mergeCell ref="J90:K90"/>
    <mergeCell ref="F9:K9"/>
    <mergeCell ref="J31:K31"/>
    <mergeCell ref="I13:J13"/>
    <mergeCell ref="E15:F15"/>
    <mergeCell ref="J22:K22"/>
    <mergeCell ref="J23:K23"/>
    <mergeCell ref="J25:K25"/>
    <mergeCell ref="J27:K27"/>
    <mergeCell ref="J29:K29"/>
  </mergeCells>
  <conditionalFormatting sqref="G118">
    <cfRule type="expression" dxfId="128" priority="10">
      <formula>E119</formula>
    </cfRule>
  </conditionalFormatting>
  <conditionalFormatting sqref="K118">
    <cfRule type="expression" dxfId="127" priority="9">
      <formula>I119</formula>
    </cfRule>
  </conditionalFormatting>
  <conditionalFormatting sqref="J120:K120">
    <cfRule type="expression" dxfId="126" priority="8">
      <formula>I121</formula>
    </cfRule>
  </conditionalFormatting>
  <conditionalFormatting sqref="J122">
    <cfRule type="expression" dxfId="125" priority="7">
      <formula>#REF!</formula>
    </cfRule>
  </conditionalFormatting>
  <conditionalFormatting sqref="J122:K122 N118:P122">
    <cfRule type="expression" dxfId="124" priority="5">
      <formula>$H$122=""</formula>
    </cfRule>
  </conditionalFormatting>
  <conditionalFormatting sqref="E94:K94 E114:K122 N114:P122">
    <cfRule type="expression" dxfId="123" priority="2">
      <formula>$L$92=1</formula>
    </cfRule>
  </conditionalFormatting>
  <conditionalFormatting sqref="H92:K92">
    <cfRule type="expression" dxfId="122" priority="1">
      <formula>AND($R$55=FALSE,$G$15&lt;&gt;"")</formula>
    </cfRule>
  </conditionalFormatting>
  <dataValidations count="5">
    <dataValidation operator="greaterThan" allowBlank="1" showInputMessage="1" showErrorMessage="1" errorTitle="Fehler" error="Pensum als Ganzzahl angeben" sqref="J120 J122" xr:uid="{00000000-0002-0000-0B00-000000000000}"/>
    <dataValidation type="decimal" operator="greaterThan" allowBlank="1" showInputMessage="1" showErrorMessage="1" errorTitle="Fehler" error="Pensum als Ganzzahl angeben" sqref="F23 F31:F33 F25:F29 F21" xr:uid="{00000000-0002-0000-0B00-000001000000}">
      <formula1>0</formula1>
    </dataValidation>
    <dataValidation type="date" operator="greaterThan" allowBlank="1" showInputMessage="1" showErrorMessage="1" errorTitle="Fehler" error="Geben Sie ein gültiges Datum dd.mm.yyyy ein!" sqref="G57 G68:G69 G85:G87" xr:uid="{00000000-0002-0000-0B00-000002000000}">
      <formula1>1</formula1>
    </dataValidation>
    <dataValidation allowBlank="1" showInputMessage="1" sqref="J90" xr:uid="{00000000-0002-0000-0B00-000003000000}"/>
    <dataValidation operator="greaterThan" allowBlank="1" showInputMessage="1" showErrorMessage="1" errorTitle="Fehler" error="Geben Sie ein gültiges Datum dd.mm.yyyy ein!" sqref="K85" xr:uid="{00000000-0002-0000-0B00-000004000000}"/>
  </dataValidations>
  <hyperlinks>
    <hyperlink ref="N13:O14" location="Grunddaten!E9" display="Zurück zu Grunddaten" xr:uid="{00000000-0004-0000-0B00-000000000000}"/>
  </hyperlinks>
  <pageMargins left="0.70866141732283472" right="0.70866141732283472" top="0.78740157480314965" bottom="0.78740157480314965" header="0.31496062992125984" footer="0.31496062992125984"/>
  <pageSetup paperSize="9" scale="88" fitToHeight="0" orientation="portrait" r:id="rId1"/>
  <headerFooter>
    <oddFooter>Seite &amp;P von &amp;N</oddFooter>
  </headerFooter>
  <rowBreaks count="1" manualBreakCount="1">
    <brk id="63" max="11" man="1"/>
  </rowBreaks>
  <ignoredErrors>
    <ignoredError sqref="K12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1954" r:id="rId4" name="Check Box 2">
              <controlPr defaultSize="0" autoFill="0" autoLine="0" autoPict="0">
                <anchor moveWithCells="1">
                  <from>
                    <xdr:col>3</xdr:col>
                    <xdr:colOff>200025</xdr:colOff>
                    <xdr:row>59</xdr:row>
                    <xdr:rowOff>133350</xdr:rowOff>
                  </from>
                  <to>
                    <xdr:col>5</xdr:col>
                    <xdr:colOff>571500</xdr:colOff>
                    <xdr:row>61</xdr:row>
                    <xdr:rowOff>47625</xdr:rowOff>
                  </to>
                </anchor>
              </controlPr>
            </control>
          </mc:Choice>
        </mc:AlternateContent>
        <mc:AlternateContent xmlns:mc="http://schemas.openxmlformats.org/markup-compatibility/2006">
          <mc:Choice Requires="x14">
            <control shapeId="381958" r:id="rId5" name="Check Box 6">
              <controlPr defaultSize="0" autoFill="0" autoLine="0" autoPict="0">
                <anchor moveWithCells="1">
                  <from>
                    <xdr:col>8</xdr:col>
                    <xdr:colOff>847725</xdr:colOff>
                    <xdr:row>32</xdr:row>
                    <xdr:rowOff>0</xdr:rowOff>
                  </from>
                  <to>
                    <xdr:col>9</xdr:col>
                    <xdr:colOff>704850</xdr:colOff>
                    <xdr:row>33</xdr:row>
                    <xdr:rowOff>19050</xdr:rowOff>
                  </to>
                </anchor>
              </controlPr>
            </control>
          </mc:Choice>
        </mc:AlternateContent>
        <mc:AlternateContent xmlns:mc="http://schemas.openxmlformats.org/markup-compatibility/2006">
          <mc:Choice Requires="x14">
            <control shapeId="381961" r:id="rId6" name="Check Box 9">
              <controlPr defaultSize="0" autoFill="0" autoLine="0" autoPict="0">
                <anchor moveWithCells="1">
                  <from>
                    <xdr:col>3</xdr:col>
                    <xdr:colOff>57150</xdr:colOff>
                    <xdr:row>35</xdr:row>
                    <xdr:rowOff>57150</xdr:rowOff>
                  </from>
                  <to>
                    <xdr:col>6</xdr:col>
                    <xdr:colOff>104775</xdr:colOff>
                    <xdr:row>37</xdr:row>
                    <xdr:rowOff>19050</xdr:rowOff>
                  </to>
                </anchor>
              </controlPr>
            </control>
          </mc:Choice>
        </mc:AlternateContent>
        <mc:AlternateContent xmlns:mc="http://schemas.openxmlformats.org/markup-compatibility/2006">
          <mc:Choice Requires="x14">
            <control shapeId="381962" r:id="rId7" name="Check Box 10">
              <controlPr defaultSize="0" autoFill="0" autoLine="0" autoPict="0">
                <anchor moveWithCells="1">
                  <from>
                    <xdr:col>3</xdr:col>
                    <xdr:colOff>57150</xdr:colOff>
                    <xdr:row>43</xdr:row>
                    <xdr:rowOff>19050</xdr:rowOff>
                  </from>
                  <to>
                    <xdr:col>8</xdr:col>
                    <xdr:colOff>1114425</xdr:colOff>
                    <xdr:row>45</xdr:row>
                    <xdr:rowOff>57150</xdr:rowOff>
                  </to>
                </anchor>
              </controlPr>
            </control>
          </mc:Choice>
        </mc:AlternateContent>
        <mc:AlternateContent xmlns:mc="http://schemas.openxmlformats.org/markup-compatibility/2006">
          <mc:Choice Requires="x14">
            <control shapeId="381963" r:id="rId8" name="Check Box 11">
              <controlPr defaultSize="0" autoFill="0" autoLine="0" autoPict="0">
                <anchor moveWithCells="1">
                  <from>
                    <xdr:col>9</xdr:col>
                    <xdr:colOff>466725</xdr:colOff>
                    <xdr:row>47</xdr:row>
                    <xdr:rowOff>142875</xdr:rowOff>
                  </from>
                  <to>
                    <xdr:col>10</xdr:col>
                    <xdr:colOff>1190625</xdr:colOff>
                    <xdr:row>49</xdr:row>
                    <xdr:rowOff>19050</xdr:rowOff>
                  </to>
                </anchor>
              </controlPr>
            </control>
          </mc:Choice>
        </mc:AlternateContent>
        <mc:AlternateContent xmlns:mc="http://schemas.openxmlformats.org/markup-compatibility/2006">
          <mc:Choice Requires="x14">
            <control shapeId="381964" r:id="rId9" name="Check Box 12">
              <controlPr defaultSize="0" autoFill="0" autoLine="0" autoPict="0">
                <anchor moveWithCells="1">
                  <from>
                    <xdr:col>4</xdr:col>
                    <xdr:colOff>590550</xdr:colOff>
                    <xdr:row>47</xdr:row>
                    <xdr:rowOff>133350</xdr:rowOff>
                  </from>
                  <to>
                    <xdr:col>7</xdr:col>
                    <xdr:colOff>38100</xdr:colOff>
                    <xdr:row>49</xdr:row>
                    <xdr:rowOff>19050</xdr:rowOff>
                  </to>
                </anchor>
              </controlPr>
            </control>
          </mc:Choice>
        </mc:AlternateContent>
        <mc:AlternateContent xmlns:mc="http://schemas.openxmlformats.org/markup-compatibility/2006">
          <mc:Choice Requires="x14">
            <control shapeId="381966" r:id="rId10" name="Check Box 14">
              <controlPr defaultSize="0" autoFill="0" autoLine="0" autoPict="0">
                <anchor moveWithCells="1">
                  <from>
                    <xdr:col>3</xdr:col>
                    <xdr:colOff>57150</xdr:colOff>
                    <xdr:row>17</xdr:row>
                    <xdr:rowOff>76200</xdr:rowOff>
                  </from>
                  <to>
                    <xdr:col>6</xdr:col>
                    <xdr:colOff>771525</xdr:colOff>
                    <xdr:row>19</xdr:row>
                    <xdr:rowOff>28575</xdr:rowOff>
                  </to>
                </anchor>
              </controlPr>
            </control>
          </mc:Choice>
        </mc:AlternateContent>
        <mc:AlternateContent xmlns:mc="http://schemas.openxmlformats.org/markup-compatibility/2006">
          <mc:Choice Requires="x14">
            <control shapeId="381960" r:id="rId11" name="Check Box 8">
              <controlPr defaultSize="0" autoFill="0" autoLine="0" autoPict="0">
                <anchor moveWithCells="1">
                  <from>
                    <xdr:col>3</xdr:col>
                    <xdr:colOff>57150</xdr:colOff>
                    <xdr:row>63</xdr:row>
                    <xdr:rowOff>85725</xdr:rowOff>
                  </from>
                  <to>
                    <xdr:col>7</xdr:col>
                    <xdr:colOff>171450</xdr:colOff>
                    <xdr:row>65</xdr:row>
                    <xdr:rowOff>28575</xdr:rowOff>
                  </to>
                </anchor>
              </controlPr>
            </control>
          </mc:Choice>
        </mc:AlternateContent>
        <mc:AlternateContent xmlns:mc="http://schemas.openxmlformats.org/markup-compatibility/2006">
          <mc:Choice Requires="x14">
            <control shapeId="381953" r:id="rId12" name="Check Box 1">
              <controlPr defaultSize="0" autoFill="0" autoLine="0" autoPict="0">
                <anchor moveWithCells="1">
                  <from>
                    <xdr:col>3</xdr:col>
                    <xdr:colOff>200025</xdr:colOff>
                    <xdr:row>57</xdr:row>
                    <xdr:rowOff>133350</xdr:rowOff>
                  </from>
                  <to>
                    <xdr:col>6</xdr:col>
                    <xdr:colOff>933450</xdr:colOff>
                    <xdr:row>59</xdr:row>
                    <xdr:rowOff>47625</xdr:rowOff>
                  </to>
                </anchor>
              </controlPr>
            </control>
          </mc:Choice>
        </mc:AlternateContent>
        <mc:AlternateContent xmlns:mc="http://schemas.openxmlformats.org/markup-compatibility/2006">
          <mc:Choice Requires="x14">
            <control shapeId="381959" r:id="rId13" name="Check Box 7">
              <controlPr defaultSize="0" autoFill="0" autoLine="0" autoPict="0">
                <anchor moveWithCells="1">
                  <from>
                    <xdr:col>3</xdr:col>
                    <xdr:colOff>57150</xdr:colOff>
                    <xdr:row>53</xdr:row>
                    <xdr:rowOff>9525</xdr:rowOff>
                  </from>
                  <to>
                    <xdr:col>6</xdr:col>
                    <xdr:colOff>1085850</xdr:colOff>
                    <xdr:row>55</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B00-000005000000}">
          <x14:formula1>
            <xm:f>Stammdaten_DropDown!$E$103:$E$104</xm:f>
          </x14:formula1>
          <xm:sqref>H122</xm:sqref>
        </x14:dataValidation>
        <x14:dataValidation type="list" allowBlank="1" showInputMessage="1" showErrorMessage="1" xr:uid="{00000000-0002-0000-0B00-000006000000}">
          <x14:formula1>
            <xm:f>Stammdaten_DropDown!$E$107:$E$110</xm:f>
          </x14:formula1>
          <xm:sqref>K122</xm:sqref>
        </x14:dataValidation>
        <x14:dataValidation type="list" allowBlank="1" showInputMessage="1" showErrorMessage="1" xr:uid="{00000000-0002-0000-0B00-000007000000}">
          <x14:formula1>
            <xm:f>Stammdaten_DropDown!$E$93:$E$100</xm:f>
          </x14:formula1>
          <xm:sqref>H92:K92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23">
    <pageSetUpPr fitToPage="1"/>
  </sheetPr>
  <dimension ref="A2:P125"/>
  <sheetViews>
    <sheetView topLeftCell="B1" zoomScaleNormal="100" workbookViewId="0">
      <selection activeCell="N12" sqref="N12:O13"/>
    </sheetView>
  </sheetViews>
  <sheetFormatPr baseColWidth="10" defaultColWidth="11.5703125" defaultRowHeight="12.75" x14ac:dyDescent="0.2"/>
  <cols>
    <col min="1" max="1" width="3.5703125" style="235" customWidth="1"/>
    <col min="2" max="3" width="0.85546875" style="235" customWidth="1"/>
    <col min="4" max="4" width="3.5703125" style="235" customWidth="1"/>
    <col min="5" max="5" width="11.5703125" style="235"/>
    <col min="6" max="6" width="8.5703125" style="235" customWidth="1"/>
    <col min="7" max="7" width="15.28515625" style="235" customWidth="1"/>
    <col min="8" max="8" width="13" style="235" customWidth="1"/>
    <col min="9" max="9" width="17.7109375" style="235" customWidth="1"/>
    <col min="10" max="10" width="4.7109375" style="235" customWidth="1"/>
    <col min="11" max="11" width="13.42578125" style="235" customWidth="1"/>
    <col min="12" max="12" width="3.140625" style="235" customWidth="1"/>
    <col min="13" max="13" width="2.42578125" style="235" customWidth="1"/>
    <col min="14" max="15" width="11.5703125" style="91"/>
    <col min="16" max="16" width="53.140625" style="91" customWidth="1"/>
    <col min="17" max="16384" width="11.5703125" style="91"/>
  </cols>
  <sheetData>
    <row r="2" spans="1:16" ht="17.45" customHeight="1" x14ac:dyDescent="0.2">
      <c r="B2" s="236" t="s">
        <v>1095</v>
      </c>
      <c r="D2" s="236"/>
      <c r="F2" s="237"/>
      <c r="G2" s="237"/>
      <c r="H2" s="237"/>
      <c r="I2" s="237"/>
      <c r="J2" s="237"/>
      <c r="K2" s="237"/>
      <c r="L2" s="237"/>
    </row>
    <row r="3" spans="1:16" s="877" customFormat="1" ht="11.1" customHeight="1" x14ac:dyDescent="0.2">
      <c r="A3" s="875"/>
      <c r="B3" s="876"/>
      <c r="C3" s="875"/>
      <c r="D3" s="776"/>
      <c r="E3" s="875"/>
      <c r="F3" s="676"/>
      <c r="G3" s="676"/>
      <c r="H3" s="676"/>
      <c r="I3" s="676"/>
      <c r="J3" s="676"/>
      <c r="K3" s="676"/>
      <c r="L3" s="676"/>
      <c r="M3" s="875"/>
    </row>
    <row r="4" spans="1:16" ht="15.75" x14ac:dyDescent="0.2">
      <c r="B4" s="236"/>
      <c r="D4" s="238" t="s">
        <v>945</v>
      </c>
      <c r="F4" s="237"/>
      <c r="G4" s="237"/>
      <c r="H4" s="237"/>
      <c r="I4" s="237"/>
      <c r="J4" s="237"/>
      <c r="K4" s="237"/>
      <c r="L4" s="994" t="str">
        <f>CONCATENATE(LohntabelleM!G1," / ",LohntabelleM!I1)</f>
        <v>V6.0 / 2026</v>
      </c>
    </row>
    <row r="5" spans="1:16" ht="6.75" customHeight="1" x14ac:dyDescent="0.2">
      <c r="A5" s="239"/>
      <c r="B5" s="240"/>
      <c r="C5" s="240"/>
      <c r="D5" s="241"/>
      <c r="E5" s="240"/>
      <c r="F5" s="242"/>
      <c r="G5" s="243"/>
      <c r="H5" s="242"/>
      <c r="I5" s="242"/>
      <c r="J5" s="242"/>
      <c r="K5" s="242"/>
      <c r="L5" s="240"/>
      <c r="M5" s="244"/>
    </row>
    <row r="6" spans="1:16" ht="6" customHeight="1" x14ac:dyDescent="0.2">
      <c r="A6" s="239"/>
      <c r="B6" s="240"/>
      <c r="C6" s="239"/>
      <c r="D6" s="239"/>
      <c r="E6" s="245"/>
      <c r="F6" s="245"/>
      <c r="G6" s="246"/>
      <c r="H6" s="245"/>
      <c r="I6" s="245"/>
      <c r="J6" s="245"/>
      <c r="K6" s="245"/>
      <c r="L6" s="239"/>
      <c r="M6" s="244"/>
    </row>
    <row r="7" spans="1:16" ht="16.5" x14ac:dyDescent="0.2">
      <c r="B7" s="247"/>
      <c r="D7" s="248"/>
      <c r="E7" s="249"/>
      <c r="F7" s="250"/>
      <c r="G7" s="249"/>
      <c r="H7" s="249"/>
      <c r="I7" s="249"/>
      <c r="J7" s="249"/>
      <c r="K7" s="249"/>
      <c r="L7" s="251"/>
    </row>
    <row r="8" spans="1:16" x14ac:dyDescent="0.2">
      <c r="B8" s="247"/>
      <c r="D8" s="252"/>
      <c r="E8" s="253" t="s">
        <v>770</v>
      </c>
      <c r="F8" s="237"/>
      <c r="G8" s="237"/>
      <c r="H8" s="237"/>
      <c r="I8" s="237"/>
      <c r="J8" s="237"/>
      <c r="K8" s="237"/>
      <c r="L8" s="254"/>
    </row>
    <row r="9" spans="1:16" ht="7.5" customHeight="1" x14ac:dyDescent="0.2">
      <c r="B9" s="247"/>
      <c r="D9" s="252"/>
      <c r="E9" s="253"/>
      <c r="F9" s="237"/>
      <c r="G9" s="237"/>
      <c r="H9" s="237"/>
      <c r="I9" s="237"/>
      <c r="J9" s="237"/>
      <c r="K9" s="237"/>
      <c r="L9" s="254"/>
    </row>
    <row r="10" spans="1:16" x14ac:dyDescent="0.2">
      <c r="B10" s="247"/>
      <c r="D10" s="252"/>
      <c r="E10" s="1210" t="s">
        <v>967</v>
      </c>
      <c r="F10" s="1210"/>
      <c r="G10" s="1006" t="str">
        <f>IF(MAAnrede&lt;&gt;"",MAAnrede,"")</f>
        <v/>
      </c>
      <c r="H10" s="237"/>
      <c r="I10" s="255"/>
      <c r="J10" s="237"/>
      <c r="K10" s="237"/>
      <c r="L10" s="254"/>
    </row>
    <row r="11" spans="1:16" ht="16.5" x14ac:dyDescent="0.2">
      <c r="B11" s="247"/>
      <c r="D11" s="252"/>
      <c r="E11" s="237"/>
      <c r="F11" s="256"/>
      <c r="G11" s="237"/>
      <c r="H11" s="237"/>
      <c r="I11" s="237"/>
      <c r="J11" s="237"/>
      <c r="K11" s="237"/>
      <c r="L11" s="254"/>
    </row>
    <row r="12" spans="1:16" x14ac:dyDescent="0.2">
      <c r="B12" s="247"/>
      <c r="D12" s="252"/>
      <c r="E12" s="1210" t="s">
        <v>756</v>
      </c>
      <c r="F12" s="1210"/>
      <c r="G12" s="1181" t="str">
        <f>IF(MAName&lt;&gt;"",MAName,"")</f>
        <v/>
      </c>
      <c r="H12" s="1181"/>
      <c r="I12" s="859" t="s">
        <v>757</v>
      </c>
      <c r="J12" s="1181" t="str">
        <f>IF(MAVorname&lt;&gt;"",MAVorname,"")</f>
        <v/>
      </c>
      <c r="K12" s="1181"/>
      <c r="L12" s="254"/>
      <c r="N12" s="1216" t="s">
        <v>1029</v>
      </c>
      <c r="O12" s="1216"/>
      <c r="P12" s="675"/>
    </row>
    <row r="13" spans="1:16" x14ac:dyDescent="0.2">
      <c r="B13" s="247"/>
      <c r="D13" s="252"/>
      <c r="E13" s="255"/>
      <c r="F13" s="255"/>
      <c r="G13" s="255"/>
      <c r="H13" s="255"/>
      <c r="I13" s="255"/>
      <c r="J13" s="255"/>
      <c r="K13" s="255"/>
      <c r="L13" s="257"/>
      <c r="N13" s="1216"/>
      <c r="O13" s="1216"/>
      <c r="P13" s="675"/>
    </row>
    <row r="14" spans="1:16" x14ac:dyDescent="0.2">
      <c r="B14" s="247"/>
      <c r="D14" s="252"/>
      <c r="E14" s="255" t="s">
        <v>964</v>
      </c>
      <c r="F14" s="568"/>
      <c r="G14" s="1181" t="str">
        <f>IF(MAPersID&lt;&gt;"",MAPersID,"")</f>
        <v/>
      </c>
      <c r="H14" s="1181"/>
      <c r="I14" s="1031" t="s">
        <v>763</v>
      </c>
      <c r="J14" s="1181" t="str">
        <f>IF(MAVertragsNr&lt;&gt;"",MAVertragsNr,"")</f>
        <v/>
      </c>
      <c r="K14" s="1181"/>
      <c r="L14" s="254"/>
    </row>
    <row r="15" spans="1:16" ht="16.5" x14ac:dyDescent="0.2">
      <c r="B15" s="247"/>
      <c r="D15" s="252"/>
      <c r="E15" s="237"/>
      <c r="F15" s="256"/>
      <c r="G15" s="237"/>
      <c r="H15" s="237"/>
      <c r="I15" s="237"/>
      <c r="J15" s="237"/>
      <c r="K15" s="237"/>
      <c r="L15" s="254"/>
    </row>
    <row r="16" spans="1:16" x14ac:dyDescent="0.2">
      <c r="B16" s="247"/>
      <c r="D16" s="252"/>
      <c r="E16" s="1210" t="s">
        <v>755</v>
      </c>
      <c r="F16" s="1210"/>
      <c r="G16" s="1135"/>
      <c r="H16" s="1135"/>
      <c r="I16" s="1135"/>
      <c r="J16" s="1135"/>
      <c r="K16" s="1135"/>
      <c r="L16" s="254"/>
    </row>
    <row r="17" spans="2:12" x14ac:dyDescent="0.2">
      <c r="B17" s="247"/>
      <c r="D17" s="252"/>
      <c r="E17" s="255"/>
      <c r="F17" s="255"/>
      <c r="G17" s="255"/>
      <c r="H17" s="255"/>
      <c r="I17" s="255"/>
      <c r="J17" s="255"/>
      <c r="K17" s="255"/>
      <c r="L17" s="257"/>
    </row>
    <row r="18" spans="2:12" x14ac:dyDescent="0.2">
      <c r="B18" s="247"/>
      <c r="D18" s="252"/>
      <c r="E18" s="1210" t="s">
        <v>758</v>
      </c>
      <c r="F18" s="1210"/>
      <c r="G18" s="215"/>
      <c r="H18" s="667" t="s">
        <v>759</v>
      </c>
      <c r="I18" s="1135"/>
      <c r="J18" s="1135"/>
      <c r="K18" s="1135"/>
      <c r="L18" s="254"/>
    </row>
    <row r="19" spans="2:12" x14ac:dyDescent="0.2">
      <c r="B19" s="247"/>
      <c r="D19" s="252"/>
      <c r="E19" s="255"/>
      <c r="F19" s="255"/>
      <c r="G19" s="255"/>
      <c r="H19" s="255"/>
      <c r="I19" s="255"/>
      <c r="J19" s="255"/>
      <c r="K19" s="255"/>
      <c r="L19" s="257"/>
    </row>
    <row r="20" spans="2:12" x14ac:dyDescent="0.2">
      <c r="B20" s="247"/>
      <c r="D20" s="252"/>
      <c r="E20" s="1210" t="s">
        <v>760</v>
      </c>
      <c r="F20" s="1210"/>
      <c r="G20" s="258" t="str">
        <f>IF(MAGeburtsdatum="","",MAGeburtsdatum)</f>
        <v/>
      </c>
      <c r="H20" s="255"/>
      <c r="I20" s="255"/>
      <c r="J20" s="424"/>
      <c r="K20" s="424"/>
      <c r="L20" s="254"/>
    </row>
    <row r="21" spans="2:12" x14ac:dyDescent="0.2">
      <c r="B21" s="247"/>
      <c r="D21" s="252"/>
      <c r="E21" s="669"/>
      <c r="H21" s="669"/>
      <c r="I21" s="669"/>
      <c r="J21" s="669"/>
      <c r="K21" s="669"/>
      <c r="L21" s="254"/>
    </row>
    <row r="22" spans="2:12" x14ac:dyDescent="0.2">
      <c r="B22" s="247"/>
      <c r="D22" s="252"/>
      <c r="E22" s="245" t="s">
        <v>1189</v>
      </c>
      <c r="F22" s="1213"/>
      <c r="G22" s="1213"/>
      <c r="H22" s="1213"/>
      <c r="I22" s="666" t="s">
        <v>1190</v>
      </c>
      <c r="J22" s="1213"/>
      <c r="K22" s="1213"/>
      <c r="L22" s="254"/>
    </row>
    <row r="23" spans="2:12" ht="6" customHeight="1" x14ac:dyDescent="0.2">
      <c r="B23" s="247"/>
      <c r="D23" s="252"/>
      <c r="G23" s="669"/>
      <c r="H23" s="669"/>
      <c r="I23" s="669"/>
      <c r="J23" s="669"/>
      <c r="K23" s="669"/>
      <c r="L23" s="257"/>
    </row>
    <row r="24" spans="2:12" x14ac:dyDescent="0.2">
      <c r="B24" s="247"/>
      <c r="D24" s="252"/>
      <c r="E24" s="273" t="s">
        <v>1193</v>
      </c>
      <c r="F24" s="669"/>
      <c r="G24" s="669"/>
      <c r="H24" s="669"/>
      <c r="I24" s="669"/>
      <c r="J24" s="669"/>
      <c r="K24" s="669"/>
      <c r="L24" s="257"/>
    </row>
    <row r="25" spans="2:12" ht="6" customHeight="1" x14ac:dyDescent="0.2">
      <c r="B25" s="247"/>
      <c r="D25" s="252"/>
      <c r="E25" s="273"/>
      <c r="F25" s="669"/>
      <c r="G25" s="669"/>
      <c r="H25" s="669"/>
      <c r="I25" s="669"/>
      <c r="J25" s="669"/>
      <c r="K25" s="669"/>
      <c r="L25" s="257"/>
    </row>
    <row r="26" spans="2:12" s="244" customFormat="1" ht="13.15" customHeight="1" x14ac:dyDescent="0.2">
      <c r="B26" s="240"/>
      <c r="D26" s="61"/>
      <c r="E26" s="336" t="s">
        <v>825</v>
      </c>
      <c r="F26" s="1190" t="s">
        <v>1072</v>
      </c>
      <c r="G26" s="1190"/>
      <c r="H26" s="1190"/>
      <c r="I26" s="1190"/>
      <c r="J26" s="1190"/>
      <c r="K26" s="1190"/>
      <c r="L26" s="62"/>
    </row>
    <row r="27" spans="2:12" s="244" customFormat="1" ht="13.15" customHeight="1" x14ac:dyDescent="0.2">
      <c r="B27" s="240"/>
      <c r="D27" s="61"/>
      <c r="E27" s="336"/>
      <c r="F27" s="1190" t="s">
        <v>1070</v>
      </c>
      <c r="G27" s="1190"/>
      <c r="H27" s="1190"/>
      <c r="I27" s="1190"/>
      <c r="J27" s="1190"/>
      <c r="K27" s="1190"/>
      <c r="L27" s="62"/>
    </row>
    <row r="28" spans="2:12" s="244" customFormat="1" ht="12.75" customHeight="1" x14ac:dyDescent="0.2">
      <c r="B28" s="240"/>
      <c r="D28" s="61"/>
      <c r="E28" s="336"/>
      <c r="F28" s="1190" t="s">
        <v>1071</v>
      </c>
      <c r="G28" s="1190"/>
      <c r="H28" s="1190"/>
      <c r="I28" s="1190"/>
      <c r="J28" s="340"/>
      <c r="K28" s="340"/>
      <c r="L28" s="62"/>
    </row>
    <row r="29" spans="2:12" s="244" customFormat="1" ht="12.75" customHeight="1" x14ac:dyDescent="0.2">
      <c r="B29" s="240"/>
      <c r="D29" s="61"/>
      <c r="E29" s="336"/>
      <c r="F29" s="1190" t="s">
        <v>1073</v>
      </c>
      <c r="G29" s="1190"/>
      <c r="H29" s="340"/>
      <c r="I29" s="340"/>
      <c r="J29" s="340"/>
      <c r="K29" s="340"/>
      <c r="L29" s="62"/>
    </row>
    <row r="30" spans="2:12" x14ac:dyDescent="0.2">
      <c r="B30" s="247"/>
      <c r="D30" s="259"/>
      <c r="E30" s="260"/>
      <c r="F30" s="260"/>
      <c r="G30" s="260"/>
      <c r="H30" s="260"/>
      <c r="I30" s="260"/>
      <c r="J30" s="260"/>
      <c r="K30" s="260"/>
      <c r="L30" s="261"/>
    </row>
    <row r="31" spans="2:12" ht="6" customHeight="1" x14ac:dyDescent="0.2">
      <c r="B31" s="247"/>
      <c r="E31" s="262"/>
      <c r="F31" s="262"/>
      <c r="G31" s="262"/>
      <c r="H31" s="262"/>
      <c r="I31" s="262"/>
      <c r="J31" s="262"/>
      <c r="K31" s="262"/>
      <c r="L31" s="262"/>
    </row>
    <row r="32" spans="2:12" ht="4.9000000000000004" customHeight="1" x14ac:dyDescent="0.2">
      <c r="B32" s="247"/>
      <c r="D32" s="248"/>
      <c r="E32" s="263"/>
      <c r="F32" s="263"/>
      <c r="G32" s="263"/>
      <c r="H32" s="263"/>
      <c r="I32" s="263"/>
      <c r="J32" s="263"/>
      <c r="K32" s="263"/>
      <c r="L32" s="264"/>
    </row>
    <row r="33" spans="2:16" x14ac:dyDescent="0.2">
      <c r="B33" s="247"/>
      <c r="D33" s="252"/>
      <c r="E33" s="436" t="s">
        <v>1210</v>
      </c>
      <c r="F33" s="437"/>
      <c r="G33" s="437"/>
      <c r="H33" s="437"/>
      <c r="I33" s="437"/>
      <c r="J33" s="437"/>
      <c r="K33" s="437"/>
      <c r="L33" s="254"/>
    </row>
    <row r="34" spans="2:16" ht="7.5" customHeight="1" x14ac:dyDescent="0.2">
      <c r="B34" s="247"/>
      <c r="D34" s="252"/>
      <c r="E34" s="436"/>
      <c r="F34" s="437"/>
      <c r="G34" s="437"/>
      <c r="H34" s="437"/>
      <c r="I34" s="437"/>
      <c r="L34" s="254"/>
    </row>
    <row r="35" spans="2:16" ht="12.75" customHeight="1" x14ac:dyDescent="0.2">
      <c r="B35" s="247"/>
      <c r="D35" s="252"/>
      <c r="E35" s="436" t="s">
        <v>1211</v>
      </c>
      <c r="F35" s="437"/>
      <c r="G35" s="437"/>
      <c r="H35" s="437"/>
      <c r="I35" s="437"/>
      <c r="L35" s="254"/>
      <c r="N35" s="1149" t="s">
        <v>1167</v>
      </c>
      <c r="O35" s="1150"/>
      <c r="P35" s="675"/>
    </row>
    <row r="36" spans="2:16" ht="6" customHeight="1" x14ac:dyDescent="0.2">
      <c r="B36" s="247"/>
      <c r="D36" s="252"/>
      <c r="E36" s="436"/>
      <c r="F36" s="437"/>
      <c r="G36" s="437"/>
      <c r="H36" s="437"/>
      <c r="I36" s="437"/>
      <c r="L36" s="254"/>
      <c r="N36" s="1217"/>
      <c r="O36" s="1218"/>
      <c r="P36" s="675"/>
    </row>
    <row r="37" spans="2:16" x14ac:dyDescent="0.2">
      <c r="B37" s="247"/>
      <c r="D37" s="1221" t="s">
        <v>1213</v>
      </c>
      <c r="E37" s="1222"/>
      <c r="F37" s="1222"/>
      <c r="G37" s="1222"/>
      <c r="H37" s="1222"/>
      <c r="I37" s="1222"/>
      <c r="J37" s="1222"/>
      <c r="K37" s="1222"/>
      <c r="L37" s="1223"/>
      <c r="N37" s="1151"/>
      <c r="O37" s="1152"/>
      <c r="P37" s="675"/>
    </row>
    <row r="38" spans="2:16" ht="23.25" customHeight="1" x14ac:dyDescent="0.2">
      <c r="B38" s="247"/>
      <c r="D38" s="1221"/>
      <c r="E38" s="1222"/>
      <c r="F38" s="1222"/>
      <c r="G38" s="1222"/>
      <c r="H38" s="1222"/>
      <c r="I38" s="1222"/>
      <c r="J38" s="1222"/>
      <c r="K38" s="1222"/>
      <c r="L38" s="1223"/>
    </row>
    <row r="39" spans="2:16" ht="6" customHeight="1" x14ac:dyDescent="0.2">
      <c r="B39" s="247"/>
      <c r="D39" s="727"/>
      <c r="E39" s="725"/>
      <c r="F39" s="725"/>
      <c r="G39" s="725"/>
      <c r="H39" s="725"/>
      <c r="I39" s="725"/>
      <c r="J39" s="725"/>
      <c r="K39" s="725"/>
      <c r="L39" s="726"/>
    </row>
    <row r="40" spans="2:16" x14ac:dyDescent="0.2">
      <c r="B40" s="247"/>
      <c r="D40" s="252"/>
      <c r="E40" s="642" t="s">
        <v>1168</v>
      </c>
      <c r="F40" s="437"/>
      <c r="G40" s="437"/>
      <c r="H40" s="437"/>
      <c r="I40" s="1003" t="str">
        <f>IF(Pensenberechnung!$J$15=0,"",Pensenberechnung!$J$15)</f>
        <v/>
      </c>
      <c r="J40" s="437"/>
      <c r="L40" s="254"/>
    </row>
    <row r="41" spans="2:16" x14ac:dyDescent="0.2">
      <c r="B41" s="247"/>
      <c r="D41" s="252"/>
      <c r="E41" s="436"/>
      <c r="F41" s="437"/>
      <c r="G41" s="437"/>
      <c r="H41" s="437"/>
      <c r="I41" s="437"/>
      <c r="J41" s="437"/>
      <c r="K41" s="437"/>
      <c r="L41" s="254"/>
    </row>
    <row r="42" spans="2:16" x14ac:dyDescent="0.2">
      <c r="B42" s="247"/>
      <c r="D42" s="252"/>
      <c r="E42" s="438" t="s">
        <v>1141</v>
      </c>
      <c r="F42" s="437"/>
      <c r="G42" s="437"/>
      <c r="H42" s="437"/>
      <c r="I42" s="1014" t="str">
        <f>IF(Pensenberechnung!$O$27=0,"",Pensenberechnung!$O$27)</f>
        <v/>
      </c>
      <c r="J42" s="437"/>
      <c r="K42" s="437"/>
      <c r="L42" s="254"/>
    </row>
    <row r="43" spans="2:16" x14ac:dyDescent="0.2">
      <c r="B43" s="247"/>
      <c r="D43" s="252"/>
      <c r="E43" s="1212" t="s">
        <v>1142</v>
      </c>
      <c r="F43" s="1212"/>
      <c r="G43" s="1212"/>
      <c r="H43" s="1212"/>
      <c r="I43" s="1212"/>
      <c r="J43" s="1212"/>
      <c r="K43" s="437"/>
      <c r="L43" s="254"/>
    </row>
    <row r="44" spans="2:16" ht="6" customHeight="1" x14ac:dyDescent="0.2">
      <c r="B44" s="247"/>
      <c r="D44" s="259"/>
      <c r="E44" s="260"/>
      <c r="F44" s="260"/>
      <c r="G44" s="260"/>
      <c r="H44" s="260"/>
      <c r="I44" s="260"/>
      <c r="J44" s="260"/>
      <c r="K44" s="260"/>
      <c r="L44" s="261"/>
    </row>
    <row r="45" spans="2:16" ht="6" customHeight="1" x14ac:dyDescent="0.2">
      <c r="B45" s="247"/>
      <c r="E45" s="262"/>
      <c r="F45" s="262"/>
      <c r="G45" s="262"/>
      <c r="H45" s="262"/>
      <c r="I45" s="262"/>
      <c r="J45" s="262"/>
      <c r="K45" s="262"/>
      <c r="L45" s="262"/>
    </row>
    <row r="46" spans="2:16" ht="4.9000000000000004" customHeight="1" x14ac:dyDescent="0.2">
      <c r="B46" s="247"/>
      <c r="D46" s="248"/>
      <c r="E46" s="263"/>
      <c r="F46" s="263"/>
      <c r="G46" s="263"/>
      <c r="H46" s="263"/>
      <c r="I46" s="263"/>
      <c r="J46" s="263"/>
      <c r="K46" s="263"/>
      <c r="L46" s="264"/>
    </row>
    <row r="47" spans="2:16" x14ac:dyDescent="0.2">
      <c r="B47" s="247"/>
      <c r="D47" s="252"/>
      <c r="E47" s="436" t="s">
        <v>931</v>
      </c>
      <c r="F47" s="437"/>
      <c r="G47" s="437"/>
      <c r="H47" s="437"/>
      <c r="I47" s="437"/>
      <c r="J47" s="437"/>
      <c r="K47" s="437"/>
      <c r="L47" s="254"/>
    </row>
    <row r="48" spans="2:16" ht="5.25" customHeight="1" x14ac:dyDescent="0.2">
      <c r="B48" s="247"/>
      <c r="D48" s="252"/>
      <c r="E48" s="438"/>
      <c r="F48" s="438"/>
      <c r="G48" s="438"/>
      <c r="H48" s="438"/>
      <c r="I48" s="438"/>
      <c r="J48" s="438"/>
      <c r="K48" s="438"/>
      <c r="L48" s="257"/>
      <c r="N48" s="444"/>
    </row>
    <row r="49" spans="1:14" x14ac:dyDescent="0.2">
      <c r="B49" s="247"/>
      <c r="D49" s="252"/>
      <c r="E49" s="438" t="s">
        <v>1164</v>
      </c>
      <c r="F49" s="438"/>
      <c r="G49" s="730"/>
      <c r="H49" s="438"/>
      <c r="I49" s="432"/>
      <c r="J49" s="728"/>
      <c r="K49" s="728"/>
      <c r="L49" s="265"/>
      <c r="N49" s="444"/>
    </row>
    <row r="50" spans="1:14" x14ac:dyDescent="0.2">
      <c r="B50" s="247"/>
      <c r="D50" s="252"/>
      <c r="E50" s="728"/>
      <c r="F50" s="728"/>
      <c r="G50" s="728"/>
      <c r="H50" s="728"/>
      <c r="I50" s="728"/>
      <c r="J50" s="728"/>
      <c r="K50" s="728"/>
      <c r="L50" s="257"/>
      <c r="N50" s="444"/>
    </row>
    <row r="51" spans="1:14" x14ac:dyDescent="0.2">
      <c r="B51" s="247"/>
      <c r="D51" s="252"/>
      <c r="E51" s="728" t="s">
        <v>1074</v>
      </c>
      <c r="F51" s="728"/>
      <c r="G51" s="616"/>
      <c r="H51" s="728"/>
      <c r="I51" s="432" t="s">
        <v>988</v>
      </c>
      <c r="J51" s="1139"/>
      <c r="K51" s="1139"/>
      <c r="L51" s="265"/>
      <c r="N51" s="444"/>
    </row>
    <row r="52" spans="1:14" s="244" customFormat="1" ht="13.15" customHeight="1" x14ac:dyDescent="0.2">
      <c r="B52" s="247"/>
      <c r="C52" s="235"/>
      <c r="D52" s="61"/>
      <c r="E52" s="439"/>
      <c r="F52" s="440"/>
      <c r="G52" s="440"/>
      <c r="H52" s="439"/>
      <c r="I52" s="439"/>
      <c r="J52" s="432"/>
      <c r="K52" s="432"/>
      <c r="L52" s="266"/>
      <c r="M52" s="431"/>
      <c r="N52" s="431" t="s">
        <v>805</v>
      </c>
    </row>
    <row r="53" spans="1:14" s="244" customFormat="1" ht="12.75" customHeight="1" x14ac:dyDescent="0.2">
      <c r="B53" s="247"/>
      <c r="C53" s="235"/>
      <c r="D53" s="61"/>
      <c r="E53" s="699" t="s">
        <v>990</v>
      </c>
      <c r="F53" s="433"/>
      <c r="H53" s="1004"/>
      <c r="I53" s="1219" t="s">
        <v>1130</v>
      </c>
      <c r="J53" s="1219"/>
      <c r="K53" s="1219"/>
      <c r="L53" s="1220"/>
      <c r="M53" s="431"/>
      <c r="N53" s="431"/>
    </row>
    <row r="54" spans="1:14" s="244" customFormat="1" x14ac:dyDescent="0.2">
      <c r="B54" s="247"/>
      <c r="C54" s="235"/>
      <c r="D54" s="61"/>
      <c r="E54" s="441"/>
      <c r="F54" s="433"/>
      <c r="G54" s="433"/>
      <c r="H54" s="445"/>
      <c r="I54" s="445"/>
      <c r="J54" s="437"/>
      <c r="K54" s="437"/>
      <c r="L54" s="254"/>
      <c r="M54" s="431"/>
      <c r="N54" s="431"/>
    </row>
    <row r="55" spans="1:14" x14ac:dyDescent="0.2">
      <c r="B55" s="247"/>
      <c r="D55" s="252"/>
      <c r="E55" s="1211" t="s">
        <v>993</v>
      </c>
      <c r="F55" s="1211"/>
      <c r="G55" s="1211"/>
      <c r="H55" s="1138"/>
      <c r="I55" s="1138"/>
      <c r="J55" s="1138"/>
      <c r="K55" s="1138"/>
      <c r="L55" s="266"/>
    </row>
    <row r="56" spans="1:14" x14ac:dyDescent="0.2">
      <c r="B56" s="247"/>
      <c r="D56" s="252"/>
      <c r="E56" s="697" t="s">
        <v>998</v>
      </c>
      <c r="F56" s="443"/>
      <c r="G56" s="443"/>
      <c r="H56" s="443"/>
      <c r="I56" s="443"/>
      <c r="J56" s="443"/>
      <c r="K56" s="443"/>
      <c r="L56" s="266"/>
    </row>
    <row r="57" spans="1:14" x14ac:dyDescent="0.2">
      <c r="B57" s="247"/>
      <c r="D57" s="252"/>
      <c r="E57" s="1211" t="s">
        <v>1097</v>
      </c>
      <c r="F57" s="1211"/>
      <c r="G57" s="443"/>
      <c r="H57" s="1138"/>
      <c r="I57" s="1138"/>
      <c r="J57" s="1138"/>
      <c r="K57" s="1138"/>
      <c r="L57" s="266"/>
    </row>
    <row r="58" spans="1:14" x14ac:dyDescent="0.2">
      <c r="B58" s="247"/>
      <c r="D58" s="252"/>
      <c r="E58" s="438"/>
      <c r="F58" s="438"/>
      <c r="G58" s="438"/>
      <c r="H58" s="438"/>
      <c r="I58" s="442"/>
      <c r="J58" s="442"/>
      <c r="K58" s="442"/>
      <c r="L58" s="265"/>
    </row>
    <row r="59" spans="1:14" x14ac:dyDescent="0.2">
      <c r="B59" s="247"/>
      <c r="D59" s="252"/>
      <c r="E59" s="1211" t="s">
        <v>1075</v>
      </c>
      <c r="F59" s="1211"/>
      <c r="G59" s="1211"/>
      <c r="H59" s="1138"/>
      <c r="I59" s="1138"/>
      <c r="J59" s="1138"/>
      <c r="K59" s="1138"/>
      <c r="L59" s="266"/>
    </row>
    <row r="60" spans="1:14" x14ac:dyDescent="0.2">
      <c r="B60" s="247"/>
      <c r="D60" s="252"/>
      <c r="E60" s="443"/>
      <c r="F60" s="443"/>
      <c r="G60" s="443"/>
      <c r="H60" s="443"/>
      <c r="I60" s="443"/>
      <c r="J60" s="443"/>
      <c r="K60" s="443"/>
      <c r="L60" s="266"/>
    </row>
    <row r="61" spans="1:14" ht="12.75" customHeight="1" x14ac:dyDescent="0.2">
      <c r="B61" s="247"/>
      <c r="D61" s="252"/>
      <c r="E61" s="1215" t="s">
        <v>1191</v>
      </c>
      <c r="F61" s="1215"/>
      <c r="G61" s="1215"/>
      <c r="H61" s="1215"/>
      <c r="J61" s="671"/>
      <c r="K61" s="671"/>
      <c r="L61" s="266"/>
    </row>
    <row r="62" spans="1:14" x14ac:dyDescent="0.2">
      <c r="B62" s="247"/>
      <c r="D62" s="252"/>
      <c r="E62" s="671"/>
      <c r="F62" s="671"/>
      <c r="G62" s="671"/>
      <c r="H62" s="671"/>
      <c r="I62" s="671"/>
      <c r="J62" s="671"/>
      <c r="K62" s="671"/>
      <c r="L62" s="266"/>
    </row>
    <row r="63" spans="1:14" x14ac:dyDescent="0.2">
      <c r="B63" s="247"/>
      <c r="D63" s="252"/>
      <c r="E63" s="1211" t="s">
        <v>1195</v>
      </c>
      <c r="F63" s="1211"/>
      <c r="G63" s="1211"/>
      <c r="H63" s="1138"/>
      <c r="I63" s="1138"/>
      <c r="J63" s="1138"/>
      <c r="K63" s="1138"/>
      <c r="L63" s="266"/>
    </row>
    <row r="64" spans="1:14" x14ac:dyDescent="0.2">
      <c r="A64" s="239"/>
      <c r="B64" s="240"/>
      <c r="C64" s="239"/>
      <c r="D64" s="206"/>
      <c r="E64" s="1214" t="s">
        <v>1169</v>
      </c>
      <c r="F64" s="1214"/>
      <c r="G64" s="1214"/>
      <c r="H64" s="267"/>
      <c r="I64" s="267"/>
      <c r="J64" s="267"/>
      <c r="K64" s="267"/>
      <c r="L64" s="207"/>
      <c r="M64" s="244"/>
    </row>
    <row r="65" spans="1:16" s="284" customFormat="1" ht="6" customHeight="1" x14ac:dyDescent="0.2">
      <c r="B65" s="353"/>
      <c r="E65" s="301"/>
      <c r="F65" s="301"/>
      <c r="G65" s="302"/>
      <c r="H65" s="301"/>
      <c r="I65" s="301"/>
      <c r="J65" s="301"/>
      <c r="K65" s="301"/>
      <c r="L65" s="301"/>
    </row>
    <row r="66" spans="1:16" s="284" customFormat="1" ht="9" customHeight="1" x14ac:dyDescent="0.2">
      <c r="B66" s="353"/>
      <c r="D66" s="287"/>
      <c r="E66" s="303"/>
      <c r="F66" s="303"/>
      <c r="G66" s="304"/>
      <c r="H66" s="303"/>
      <c r="I66" s="303"/>
      <c r="J66" s="303"/>
      <c r="K66" s="303"/>
      <c r="L66" s="311"/>
    </row>
    <row r="67" spans="1:16" s="284" customFormat="1" ht="12.75" customHeight="1" x14ac:dyDescent="0.2">
      <c r="B67" s="353"/>
      <c r="D67" s="290"/>
      <c r="E67" s="325" t="s">
        <v>1122</v>
      </c>
      <c r="F67" s="325"/>
      <c r="G67" s="325"/>
      <c r="H67" s="325"/>
      <c r="I67" s="1009"/>
      <c r="J67" s="286"/>
      <c r="K67" s="286"/>
      <c r="L67" s="293"/>
    </row>
    <row r="68" spans="1:16" s="284" customFormat="1" ht="7.15" customHeight="1" x14ac:dyDescent="0.2">
      <c r="B68" s="353"/>
      <c r="D68" s="297"/>
      <c r="E68" s="298"/>
      <c r="F68" s="298"/>
      <c r="G68" s="299"/>
      <c r="H68" s="298"/>
      <c r="I68" s="298"/>
      <c r="J68" s="298"/>
      <c r="K68" s="298"/>
      <c r="L68" s="313"/>
    </row>
    <row r="69" spans="1:16" ht="6" customHeight="1" x14ac:dyDescent="0.2">
      <c r="A69" s="239"/>
      <c r="B69" s="268"/>
      <c r="C69" s="268"/>
      <c r="D69" s="239"/>
      <c r="E69" s="268"/>
      <c r="F69" s="268"/>
      <c r="G69" s="268"/>
      <c r="H69" s="268"/>
      <c r="I69" s="268"/>
      <c r="J69" s="268"/>
      <c r="K69" s="268"/>
      <c r="L69" s="239"/>
      <c r="M69" s="244"/>
    </row>
    <row r="70" spans="1:16" ht="15.75" x14ac:dyDescent="0.2">
      <c r="B70" s="236"/>
      <c r="D70" s="238" t="s">
        <v>1221</v>
      </c>
      <c r="F70" s="237"/>
      <c r="G70" s="237"/>
      <c r="H70" s="237"/>
      <c r="I70" s="237"/>
      <c r="J70" s="237"/>
      <c r="K70" s="237"/>
      <c r="L70" s="237"/>
    </row>
    <row r="71" spans="1:16" ht="6.75" customHeight="1" x14ac:dyDescent="0.2">
      <c r="A71" s="239"/>
      <c r="B71" s="240"/>
      <c r="C71" s="240"/>
      <c r="D71" s="241"/>
      <c r="E71" s="240"/>
      <c r="F71" s="242"/>
      <c r="G71" s="243"/>
      <c r="H71" s="242"/>
      <c r="I71" s="242"/>
      <c r="J71" s="242"/>
      <c r="K71" s="242"/>
      <c r="L71" s="240"/>
      <c r="M71" s="244"/>
      <c r="N71" s="1161" t="s">
        <v>2000</v>
      </c>
      <c r="O71" s="1161"/>
      <c r="P71" s="1161"/>
    </row>
    <row r="72" spans="1:16" ht="6" customHeight="1" x14ac:dyDescent="0.2">
      <c r="A72" s="239"/>
      <c r="B72" s="240"/>
      <c r="C72" s="239"/>
      <c r="D72" s="239"/>
      <c r="E72" s="245"/>
      <c r="F72" s="245"/>
      <c r="G72" s="246"/>
      <c r="H72" s="245"/>
      <c r="I72" s="245"/>
      <c r="J72" s="245"/>
      <c r="K72" s="245"/>
      <c r="L72" s="239"/>
      <c r="M72" s="244"/>
      <c r="N72" s="1161"/>
      <c r="O72" s="1161"/>
      <c r="P72" s="1161"/>
    </row>
    <row r="73" spans="1:16" x14ac:dyDescent="0.2">
      <c r="A73" s="239"/>
      <c r="B73" s="240"/>
      <c r="C73" s="239"/>
      <c r="D73" s="202"/>
      <c r="E73" s="269"/>
      <c r="F73" s="269"/>
      <c r="G73" s="270"/>
      <c r="H73" s="269"/>
      <c r="I73" s="269"/>
      <c r="J73" s="269"/>
      <c r="K73" s="269"/>
      <c r="L73" s="271"/>
      <c r="M73" s="244"/>
      <c r="N73" s="1161"/>
      <c r="O73" s="1161"/>
      <c r="P73" s="1161"/>
    </row>
    <row r="74" spans="1:16" x14ac:dyDescent="0.2">
      <c r="A74" s="239"/>
      <c r="B74" s="240"/>
      <c r="C74" s="239"/>
      <c r="D74" s="204"/>
      <c r="E74" s="272" t="s">
        <v>941</v>
      </c>
      <c r="F74" s="245"/>
      <c r="G74" s="246"/>
      <c r="H74" s="245"/>
      <c r="I74" s="245"/>
      <c r="J74" s="245"/>
      <c r="K74" s="245"/>
      <c r="L74" s="205"/>
      <c r="M74" s="244"/>
      <c r="N74" s="1161"/>
      <c r="O74" s="1161"/>
      <c r="P74" s="1161"/>
    </row>
    <row r="75" spans="1:16" x14ac:dyDescent="0.2">
      <c r="A75" s="239"/>
      <c r="B75" s="240"/>
      <c r="C75" s="239"/>
      <c r="D75" s="204"/>
      <c r="E75" s="245"/>
      <c r="F75" s="245"/>
      <c r="G75" s="246"/>
      <c r="H75" s="245"/>
      <c r="I75" s="245"/>
      <c r="J75" s="245"/>
      <c r="K75" s="245"/>
      <c r="L75" s="205"/>
      <c r="M75" s="244"/>
      <c r="N75" s="1161"/>
      <c r="O75" s="1161"/>
      <c r="P75" s="1161"/>
    </row>
    <row r="76" spans="1:16" x14ac:dyDescent="0.2">
      <c r="A76" s="239"/>
      <c r="B76" s="240"/>
      <c r="C76" s="239"/>
      <c r="D76" s="695" t="s">
        <v>955</v>
      </c>
      <c r="E76" s="689"/>
      <c r="H76" s="616"/>
      <c r="I76" s="741" t="s">
        <v>971</v>
      </c>
      <c r="J76" s="1166"/>
      <c r="K76" s="1166"/>
      <c r="L76" s="205"/>
      <c r="M76" s="244"/>
      <c r="N76" s="1161"/>
      <c r="O76" s="1161"/>
      <c r="P76" s="1161"/>
    </row>
    <row r="77" spans="1:16" x14ac:dyDescent="0.2">
      <c r="A77" s="239"/>
      <c r="B77" s="240"/>
      <c r="C77" s="239"/>
      <c r="D77" s="696" t="s">
        <v>956</v>
      </c>
      <c r="E77" s="689"/>
      <c r="G77" s="274"/>
      <c r="L77" s="205"/>
      <c r="M77" s="244"/>
      <c r="N77" s="1161"/>
      <c r="O77" s="1161"/>
      <c r="P77" s="1161"/>
    </row>
    <row r="78" spans="1:16" x14ac:dyDescent="0.2">
      <c r="A78" s="239"/>
      <c r="B78" s="240"/>
      <c r="C78" s="239"/>
      <c r="D78" s="204"/>
      <c r="E78" s="245"/>
      <c r="F78" s="245"/>
      <c r="G78" s="245"/>
      <c r="H78" s="245"/>
      <c r="I78" s="91"/>
      <c r="J78" s="255"/>
      <c r="K78" s="274"/>
      <c r="L78" s="205"/>
      <c r="M78" s="244"/>
      <c r="N78" s="1161"/>
      <c r="O78" s="1161"/>
      <c r="P78" s="1161"/>
    </row>
    <row r="79" spans="1:16" x14ac:dyDescent="0.2">
      <c r="A79" s="239"/>
      <c r="B79" s="240"/>
      <c r="C79" s="239"/>
      <c r="D79" s="695" t="s">
        <v>996</v>
      </c>
      <c r="F79" s="245"/>
      <c r="G79" s="1015" t="str">
        <f>IF(MULohnberechnung&lt;&gt;"",MULohnberechnung,"")</f>
        <v/>
      </c>
      <c r="H79" s="742" t="s">
        <v>998</v>
      </c>
      <c r="I79" s="741" t="s">
        <v>1199</v>
      </c>
      <c r="J79" s="245"/>
      <c r="K79" s="232"/>
      <c r="L79" s="205"/>
      <c r="M79" s="244"/>
      <c r="N79" s="1161"/>
      <c r="O79" s="1161"/>
      <c r="P79" s="1161"/>
    </row>
    <row r="80" spans="1:16" x14ac:dyDescent="0.2">
      <c r="A80" s="239"/>
      <c r="B80" s="240"/>
      <c r="C80" s="239"/>
      <c r="D80" s="698"/>
      <c r="E80" s="245"/>
      <c r="F80" s="245"/>
      <c r="G80" s="245"/>
      <c r="H80" s="689"/>
      <c r="I80" s="245"/>
      <c r="J80" s="245"/>
      <c r="K80" s="245"/>
      <c r="L80" s="205"/>
      <c r="M80" s="244"/>
      <c r="N80" s="1161"/>
      <c r="O80" s="1161"/>
      <c r="P80" s="1161"/>
    </row>
    <row r="81" spans="1:16" x14ac:dyDescent="0.2">
      <c r="A81" s="239"/>
      <c r="B81" s="240"/>
      <c r="C81" s="239"/>
      <c r="D81" s="695" t="s">
        <v>966</v>
      </c>
      <c r="F81" s="245"/>
      <c r="G81" s="1005"/>
      <c r="H81" s="689" t="s">
        <v>1069</v>
      </c>
      <c r="I81" s="245"/>
      <c r="J81" s="1141" t="str">
        <f>_xlfn.IFNA(VLOOKUP(G81,Stammdaten_DropDown!$B$14:$C$55,2,FALSE),"")</f>
        <v/>
      </c>
      <c r="K81" s="1141"/>
      <c r="L81" s="266"/>
      <c r="M81" s="244"/>
      <c r="N81" s="1161"/>
      <c r="O81" s="1161"/>
      <c r="P81" s="1161"/>
    </row>
    <row r="82" spans="1:16" x14ac:dyDescent="0.2">
      <c r="A82" s="239"/>
      <c r="B82" s="240"/>
      <c r="C82" s="239"/>
      <c r="D82" s="698"/>
      <c r="E82" s="245"/>
      <c r="F82" s="245"/>
      <c r="G82" s="246"/>
      <c r="H82" s="245"/>
      <c r="I82" s="245"/>
      <c r="J82" s="245"/>
      <c r="K82" s="245"/>
      <c r="L82" s="205"/>
      <c r="M82" s="244"/>
      <c r="N82" s="1161"/>
      <c r="O82" s="1161"/>
      <c r="P82" s="1161"/>
    </row>
    <row r="83" spans="1:16" x14ac:dyDescent="0.2">
      <c r="A83" s="239"/>
      <c r="B83" s="240"/>
      <c r="C83" s="239"/>
      <c r="D83" s="695" t="str">
        <f>IF(J14&lt;&gt;"","LOGIB-Code bereits vorhanden","Höchstausbildung LOGIB*")</f>
        <v>Höchstausbildung LOGIB*</v>
      </c>
      <c r="F83" s="245"/>
      <c r="G83" s="843"/>
      <c r="H83" s="1135"/>
      <c r="I83" s="1135"/>
      <c r="J83" s="1135"/>
      <c r="K83" s="1135"/>
      <c r="L83" s="205"/>
      <c r="M83" s="244"/>
      <c r="N83" s="1161"/>
      <c r="O83" s="1161"/>
      <c r="P83" s="1161"/>
    </row>
    <row r="84" spans="1:16" x14ac:dyDescent="0.2">
      <c r="A84" s="239"/>
      <c r="B84" s="240"/>
      <c r="C84" s="239"/>
      <c r="D84" s="698"/>
      <c r="E84" s="986" t="s">
        <v>2023</v>
      </c>
      <c r="F84" s="245"/>
      <c r="G84" s="843"/>
      <c r="H84" s="245"/>
      <c r="I84" s="245"/>
      <c r="J84" s="245"/>
      <c r="K84" s="245"/>
      <c r="L84" s="205"/>
      <c r="M84" s="244"/>
      <c r="N84" s="1161"/>
      <c r="O84" s="1161"/>
      <c r="P84" s="1161"/>
    </row>
    <row r="85" spans="1:16" ht="12.75" customHeight="1" x14ac:dyDescent="0.2">
      <c r="A85" s="239"/>
      <c r="B85" s="240"/>
      <c r="C85" s="239"/>
      <c r="D85" s="698" t="s">
        <v>994</v>
      </c>
      <c r="E85" s="664"/>
      <c r="G85" s="1137"/>
      <c r="H85" s="1137"/>
      <c r="I85" s="1137"/>
      <c r="J85" s="1137"/>
      <c r="K85" s="1137"/>
      <c r="L85" s="205"/>
      <c r="M85" s="244"/>
      <c r="N85" s="1161"/>
      <c r="O85" s="1161"/>
      <c r="P85" s="1161"/>
    </row>
    <row r="86" spans="1:16" x14ac:dyDescent="0.2">
      <c r="A86" s="239"/>
      <c r="B86" s="240"/>
      <c r="C86" s="239"/>
      <c r="D86" s="206"/>
      <c r="E86" s="64"/>
      <c r="F86" s="64"/>
      <c r="G86" s="65"/>
      <c r="H86" s="64"/>
      <c r="I86" s="64"/>
      <c r="J86" s="64"/>
      <c r="K86" s="64"/>
      <c r="L86" s="207"/>
      <c r="M86" s="244"/>
      <c r="N86" s="1161"/>
      <c r="O86" s="1161"/>
      <c r="P86" s="1161"/>
    </row>
    <row r="87" spans="1:16" ht="6" customHeight="1" x14ac:dyDescent="0.2">
      <c r="A87" s="239"/>
      <c r="B87" s="240"/>
      <c r="C87" s="239"/>
      <c r="D87" s="239"/>
      <c r="E87" s="239"/>
      <c r="F87" s="239"/>
      <c r="G87" s="280"/>
      <c r="H87" s="239"/>
      <c r="I87" s="239"/>
      <c r="J87" s="239"/>
      <c r="K87" s="239"/>
      <c r="L87" s="239"/>
      <c r="M87" s="244"/>
      <c r="N87" s="1161"/>
      <c r="O87" s="1161"/>
      <c r="P87" s="1161"/>
    </row>
    <row r="88" spans="1:16" x14ac:dyDescent="0.2">
      <c r="A88" s="239"/>
      <c r="B88" s="240"/>
      <c r="C88" s="239"/>
      <c r="D88" s="202"/>
      <c r="E88" s="67"/>
      <c r="F88" s="67"/>
      <c r="G88" s="68"/>
      <c r="H88" s="67"/>
      <c r="I88" s="67"/>
      <c r="J88" s="67"/>
      <c r="K88" s="67"/>
      <c r="L88" s="203"/>
      <c r="M88" s="244"/>
      <c r="N88" s="1161"/>
      <c r="O88" s="1161"/>
      <c r="P88" s="1161"/>
    </row>
    <row r="89" spans="1:16" x14ac:dyDescent="0.2">
      <c r="A89" s="239"/>
      <c r="B89" s="240"/>
      <c r="C89" s="239"/>
      <c r="D89" s="204"/>
      <c r="E89" s="1165" t="s">
        <v>978</v>
      </c>
      <c r="F89" s="1165"/>
      <c r="G89" s="1165"/>
      <c r="H89" s="1165"/>
      <c r="I89" s="1165"/>
      <c r="J89" s="1165"/>
      <c r="K89" s="245"/>
      <c r="L89" s="205"/>
      <c r="M89" s="244"/>
      <c r="N89" s="1161"/>
      <c r="O89" s="1161"/>
      <c r="P89" s="1161"/>
    </row>
    <row r="90" spans="1:16" x14ac:dyDescent="0.2">
      <c r="A90" s="239"/>
      <c r="B90" s="240"/>
      <c r="C90" s="239"/>
      <c r="D90" s="204"/>
      <c r="E90" s="245"/>
      <c r="F90" s="245"/>
      <c r="G90" s="246"/>
      <c r="H90" s="245"/>
      <c r="I90" s="245"/>
      <c r="J90" s="245"/>
      <c r="K90" s="245"/>
      <c r="L90" s="205"/>
      <c r="M90" s="244"/>
      <c r="N90" s="1161"/>
      <c r="O90" s="1161"/>
      <c r="P90" s="1161"/>
    </row>
    <row r="91" spans="1:16" x14ac:dyDescent="0.2">
      <c r="A91" s="239"/>
      <c r="B91" s="240"/>
      <c r="C91" s="239"/>
      <c r="D91" s="204"/>
      <c r="E91" s="1136"/>
      <c r="F91" s="1136"/>
      <c r="G91" s="1136"/>
      <c r="H91" s="1136"/>
      <c r="I91" s="1136"/>
      <c r="J91" s="1136"/>
      <c r="K91" s="1136"/>
      <c r="L91" s="205"/>
      <c r="M91" s="244"/>
      <c r="N91" s="1161"/>
      <c r="O91" s="1161"/>
      <c r="P91" s="1161"/>
    </row>
    <row r="92" spans="1:16" x14ac:dyDescent="0.2">
      <c r="A92" s="239"/>
      <c r="B92" s="240"/>
      <c r="C92" s="239"/>
      <c r="D92" s="204"/>
      <c r="E92" s="1136"/>
      <c r="F92" s="1136"/>
      <c r="G92" s="1136"/>
      <c r="H92" s="1136"/>
      <c r="I92" s="1136"/>
      <c r="J92" s="1136"/>
      <c r="K92" s="1136"/>
      <c r="L92" s="205"/>
      <c r="M92" s="244"/>
      <c r="N92" s="1161"/>
      <c r="O92" s="1161"/>
      <c r="P92" s="1161"/>
    </row>
    <row r="93" spans="1:16" x14ac:dyDescent="0.2">
      <c r="A93" s="239"/>
      <c r="B93" s="240"/>
      <c r="C93" s="239"/>
      <c r="D93" s="204"/>
      <c r="E93" s="1136"/>
      <c r="F93" s="1136"/>
      <c r="G93" s="1136"/>
      <c r="H93" s="1136"/>
      <c r="I93" s="1136"/>
      <c r="J93" s="1136"/>
      <c r="K93" s="1136"/>
      <c r="L93" s="205"/>
      <c r="M93" s="244"/>
      <c r="N93" s="1161"/>
      <c r="O93" s="1161"/>
      <c r="P93" s="1161"/>
    </row>
    <row r="94" spans="1:16" x14ac:dyDescent="0.2">
      <c r="A94" s="239"/>
      <c r="B94" s="240"/>
      <c r="C94" s="239"/>
      <c r="D94" s="206"/>
      <c r="E94" s="64"/>
      <c r="F94" s="64"/>
      <c r="G94" s="65"/>
      <c r="H94" s="64"/>
      <c r="I94" s="64"/>
      <c r="J94" s="64"/>
      <c r="K94" s="64"/>
      <c r="L94" s="207"/>
      <c r="M94" s="244"/>
      <c r="N94" s="1161"/>
      <c r="O94" s="1161"/>
      <c r="P94" s="1161"/>
    </row>
    <row r="95" spans="1:16" ht="6" customHeight="1" x14ac:dyDescent="0.2">
      <c r="A95" s="239"/>
      <c r="B95" s="240"/>
      <c r="C95" s="239"/>
      <c r="D95" s="239"/>
      <c r="E95" s="239"/>
      <c r="F95" s="239"/>
      <c r="G95" s="280"/>
      <c r="H95" s="239"/>
      <c r="I95" s="239"/>
      <c r="J95" s="239"/>
      <c r="K95" s="239"/>
      <c r="L95" s="239"/>
      <c r="M95" s="244"/>
      <c r="N95" s="1161"/>
      <c r="O95" s="1161"/>
      <c r="P95" s="1161"/>
    </row>
    <row r="96" spans="1:16" x14ac:dyDescent="0.2">
      <c r="A96" s="239"/>
      <c r="B96" s="240"/>
      <c r="C96" s="239"/>
      <c r="D96" s="202"/>
      <c r="E96" s="67"/>
      <c r="F96" s="67"/>
      <c r="G96" s="68"/>
      <c r="H96" s="67"/>
      <c r="I96" s="67"/>
      <c r="J96" s="67"/>
      <c r="K96" s="67"/>
      <c r="L96" s="203"/>
      <c r="M96" s="244"/>
      <c r="N96" s="1161"/>
      <c r="O96" s="1161"/>
      <c r="P96" s="1161"/>
    </row>
    <row r="97" spans="1:16" x14ac:dyDescent="0.2">
      <c r="A97" s="239"/>
      <c r="B97" s="240"/>
      <c r="C97" s="239"/>
      <c r="D97" s="204"/>
      <c r="E97" s="1165" t="s">
        <v>767</v>
      </c>
      <c r="F97" s="1165"/>
      <c r="G97" s="1165"/>
      <c r="H97" s="245"/>
      <c r="I97" s="245"/>
      <c r="J97" s="245"/>
      <c r="K97" s="245"/>
      <c r="L97" s="205"/>
      <c r="M97" s="244"/>
    </row>
    <row r="98" spans="1:16" x14ac:dyDescent="0.2">
      <c r="A98" s="239"/>
      <c r="B98" s="240"/>
      <c r="C98" s="239"/>
      <c r="D98" s="204"/>
      <c r="E98" s="245"/>
      <c r="F98" s="245"/>
      <c r="G98" s="246"/>
      <c r="H98" s="245"/>
      <c r="I98" s="245"/>
      <c r="J98" s="245"/>
      <c r="K98" s="245"/>
      <c r="L98" s="205"/>
      <c r="M98" s="244"/>
    </row>
    <row r="99" spans="1:16" x14ac:dyDescent="0.2">
      <c r="A99" s="239"/>
      <c r="B99" s="240"/>
      <c r="C99" s="239"/>
      <c r="D99" s="204"/>
      <c r="E99" s="1136"/>
      <c r="F99" s="1136"/>
      <c r="G99" s="1136"/>
      <c r="H99" s="1136"/>
      <c r="I99" s="1136"/>
      <c r="J99" s="1136"/>
      <c r="K99" s="1136"/>
      <c r="L99" s="205"/>
      <c r="M99" s="244"/>
    </row>
    <row r="100" spans="1:16" x14ac:dyDescent="0.2">
      <c r="A100" s="239"/>
      <c r="B100" s="240"/>
      <c r="C100" s="239"/>
      <c r="D100" s="204"/>
      <c r="E100" s="1136"/>
      <c r="F100" s="1136"/>
      <c r="G100" s="1136"/>
      <c r="H100" s="1136"/>
      <c r="I100" s="1136"/>
      <c r="J100" s="1136"/>
      <c r="K100" s="1136"/>
      <c r="L100" s="205"/>
      <c r="M100" s="244"/>
    </row>
    <row r="101" spans="1:16" x14ac:dyDescent="0.2">
      <c r="A101" s="239"/>
      <c r="B101" s="240"/>
      <c r="C101" s="239"/>
      <c r="D101" s="204"/>
      <c r="E101" s="1136"/>
      <c r="F101" s="1136"/>
      <c r="G101" s="1136"/>
      <c r="H101" s="1136"/>
      <c r="I101" s="1136"/>
      <c r="J101" s="1136"/>
      <c r="K101" s="1136"/>
      <c r="L101" s="205"/>
      <c r="M101" s="244"/>
    </row>
    <row r="102" spans="1:16" x14ac:dyDescent="0.2">
      <c r="A102" s="239"/>
      <c r="B102" s="240"/>
      <c r="C102" s="239"/>
      <c r="D102" s="206"/>
      <c r="E102" s="64"/>
      <c r="F102" s="64"/>
      <c r="G102" s="65"/>
      <c r="H102" s="64"/>
      <c r="I102" s="64"/>
      <c r="J102" s="64"/>
      <c r="K102" s="64"/>
      <c r="L102" s="207"/>
      <c r="M102" s="244"/>
    </row>
    <row r="103" spans="1:16" ht="6" customHeight="1" x14ac:dyDescent="0.2">
      <c r="A103" s="239"/>
      <c r="B103" s="240"/>
      <c r="C103" s="239"/>
      <c r="D103" s="239"/>
      <c r="E103" s="245"/>
      <c r="F103" s="245"/>
      <c r="G103" s="246"/>
      <c r="H103" s="245"/>
      <c r="I103" s="245"/>
      <c r="J103" s="245"/>
      <c r="K103" s="245"/>
      <c r="L103" s="239"/>
      <c r="M103" s="244"/>
    </row>
    <row r="104" spans="1:16" x14ac:dyDescent="0.2">
      <c r="A104" s="239"/>
      <c r="B104" s="240"/>
      <c r="C104" s="239"/>
      <c r="D104" s="202"/>
      <c r="E104" s="67"/>
      <c r="F104" s="67"/>
      <c r="G104" s="68"/>
      <c r="H104" s="67"/>
      <c r="I104" s="67"/>
      <c r="J104" s="67"/>
      <c r="K104" s="67"/>
      <c r="L104" s="203"/>
      <c r="M104" s="244"/>
    </row>
    <row r="105" spans="1:16" x14ac:dyDescent="0.2">
      <c r="A105" s="239"/>
      <c r="B105" s="240"/>
      <c r="C105" s="239"/>
      <c r="D105" s="204"/>
      <c r="E105" s="210" t="s">
        <v>929</v>
      </c>
      <c r="F105" s="210"/>
      <c r="G105" s="320"/>
      <c r="H105" s="319"/>
      <c r="I105" s="319"/>
      <c r="J105" s="319"/>
      <c r="K105" s="319"/>
      <c r="L105" s="266"/>
      <c r="M105" s="244"/>
      <c r="N105" s="1176" t="str">
        <f>Stammdaten_DropDown!A114</f>
        <v>Lohnentwicklung</v>
      </c>
      <c r="O105" s="1176"/>
      <c r="P105" s="1176"/>
    </row>
    <row r="106" spans="1:16" x14ac:dyDescent="0.2">
      <c r="A106" s="239"/>
      <c r="B106" s="240"/>
      <c r="C106" s="239"/>
      <c r="D106" s="204"/>
      <c r="E106" s="245"/>
      <c r="F106" s="245"/>
      <c r="G106" s="246"/>
      <c r="H106" s="245"/>
      <c r="I106" s="245"/>
      <c r="J106" s="245"/>
      <c r="K106" s="245"/>
      <c r="L106" s="266"/>
      <c r="M106" s="244"/>
      <c r="N106" s="1185" t="str">
        <f>Stammdaten_DropDown!A115</f>
        <v>Bitte angeben, ob eine individuelle Lohnentwicklung gewährt werden soll.</v>
      </c>
      <c r="O106" s="1185"/>
      <c r="P106" s="1185"/>
    </row>
    <row r="107" spans="1:16" x14ac:dyDescent="0.2">
      <c r="A107" s="239"/>
      <c r="B107" s="240"/>
      <c r="C107" s="239"/>
      <c r="D107" s="204"/>
      <c r="E107" s="245" t="s">
        <v>940</v>
      </c>
      <c r="F107" s="245"/>
      <c r="G107" s="246"/>
      <c r="H107" s="245"/>
      <c r="I107" s="245"/>
      <c r="J107" s="1166"/>
      <c r="K107" s="1166"/>
      <c r="L107" s="266"/>
      <c r="M107" s="244"/>
      <c r="N107" s="1185" t="str">
        <f>Stammdaten_DropDown!A116</f>
        <v>Bei einem Neueintritt nach dem 01.07.2026 ist keine individuelle Lohnentwicklung vorgesehen.</v>
      </c>
      <c r="O107" s="1185"/>
      <c r="P107" s="1185"/>
    </row>
    <row r="108" spans="1:16" x14ac:dyDescent="0.2">
      <c r="A108" s="239"/>
      <c r="B108" s="240"/>
      <c r="C108" s="239"/>
      <c r="D108" s="204"/>
      <c r="E108" s="245"/>
      <c r="F108" s="245"/>
      <c r="G108" s="246"/>
      <c r="H108" s="245"/>
      <c r="I108" s="245"/>
      <c r="J108" s="245"/>
      <c r="K108" s="245"/>
      <c r="L108" s="266"/>
      <c r="M108" s="244"/>
      <c r="N108" s="1185" t="str">
        <f>Stammdaten_DropDown!A117</f>
        <v>In dem Fall ist das Prädikat auf dem Wert «NA» (keine Beurteilung) zu belassen.</v>
      </c>
      <c r="O108" s="1185"/>
      <c r="P108" s="1185"/>
    </row>
    <row r="109" spans="1:16" x14ac:dyDescent="0.2">
      <c r="A109" s="239"/>
      <c r="B109" s="240"/>
      <c r="C109" s="239"/>
      <c r="D109" s="204"/>
      <c r="E109" s="275" t="s">
        <v>764</v>
      </c>
      <c r="F109" s="244"/>
      <c r="G109" s="1011" t="str">
        <f>IF(ISBLANK($J$107),IF(BandLohnBer="",IF(BandLohnRechner="","",BandLohnRechner),IF(BandLohnRechner="",BandLohnBer,"FEHLER")),"-")</f>
        <v/>
      </c>
      <c r="I109" s="737" t="s">
        <v>808</v>
      </c>
      <c r="J109" s="244"/>
      <c r="K109" s="1006" t="str">
        <f>IF(ISBLANK($J$107),IF(EWLohnBer="",IF(EWLohnRechner="","",EWLohnRechner),IF(EWLohnRechner="",EWLohnBer,"FEHLER")),"-")</f>
        <v/>
      </c>
      <c r="L109" s="266"/>
      <c r="M109" s="244"/>
      <c r="N109" s="856"/>
    </row>
    <row r="110" spans="1:16" x14ac:dyDescent="0.2">
      <c r="A110" s="239"/>
      <c r="B110" s="240"/>
      <c r="C110" s="239"/>
      <c r="D110" s="204"/>
      <c r="E110" s="429" t="b">
        <f>AND(BandLohnBer&lt;&gt;"",BandLohnRechner&lt;&gt;"")</f>
        <v>0</v>
      </c>
      <c r="F110" s="245"/>
      <c r="G110" s="430" t="str">
        <f>IF(E110,"2 Lohnbänder gefunden","")</f>
        <v/>
      </c>
      <c r="H110" s="687" t="b">
        <f>AND(EWLohnBer&lt;&gt;"",EWLohnRechner&lt;&gt;"")</f>
        <v>0</v>
      </c>
      <c r="J110" s="538" t="str">
        <f>IF(H110,"2 Erfahrungswerte gefunden","")</f>
        <v/>
      </c>
      <c r="K110" s="538"/>
      <c r="L110" s="266"/>
      <c r="M110" s="244"/>
      <c r="N110" s="1174" t="str">
        <f>Stammdaten_DropDown!A118</f>
        <v xml:space="preserve">Falls eine individuelle  Lohnentwicklung gewährt werden soll, ist das entsprechende Prädikat aus der relevanten MAG-Phase im Dropdown-Menu auszuwählen. </v>
      </c>
      <c r="O110" s="1174"/>
      <c r="P110" s="1174"/>
    </row>
    <row r="111" spans="1:16" x14ac:dyDescent="0.2">
      <c r="A111" s="239"/>
      <c r="B111" s="240"/>
      <c r="C111" s="239"/>
      <c r="D111" s="204"/>
      <c r="E111" s="734"/>
      <c r="F111" s="244"/>
      <c r="G111" s="244"/>
      <c r="I111" s="737" t="s">
        <v>1100</v>
      </c>
      <c r="K111" s="1049" t="str">
        <f>IF(ISBLANK($J$107),IF(LohnLohnBer="",IF(LohnLohnRechner="","",LohnLohnRechner),IF(LohnLohnRechner="",LohnLohnBer,"FEHLER")),"-")</f>
        <v/>
      </c>
      <c r="L111" s="266"/>
      <c r="M111" s="244"/>
      <c r="N111" s="1174"/>
      <c r="O111" s="1174"/>
      <c r="P111" s="1174"/>
    </row>
    <row r="112" spans="1:16" x14ac:dyDescent="0.2">
      <c r="A112" s="239"/>
      <c r="B112" s="240"/>
      <c r="C112" s="239"/>
      <c r="D112" s="204"/>
      <c r="E112" s="245"/>
      <c r="F112" s="245"/>
      <c r="G112" s="245"/>
      <c r="H112" s="566"/>
      <c r="I112" s="429" t="b">
        <f>AND(LohnLohnBer&lt;&gt;"",LohnLohnRechner&lt;&gt;"")</f>
        <v>0</v>
      </c>
      <c r="J112" s="1173" t="str">
        <f>IF(I112,"2 Löhne gefunden","")</f>
        <v/>
      </c>
      <c r="K112" s="1173"/>
      <c r="L112" s="266"/>
      <c r="M112" s="244"/>
      <c r="N112" s="1185" t="str">
        <f>Stammdaten_DropDown!A119</f>
        <v>Ist noch keine Beurteilung hinterlegt, so ist das Prädikat auf «A» zu belassen.</v>
      </c>
      <c r="O112" s="1185"/>
      <c r="P112" s="1185"/>
    </row>
    <row r="113" spans="1:13" x14ac:dyDescent="0.2">
      <c r="A113" s="239"/>
      <c r="B113" s="240"/>
      <c r="C113" s="239"/>
      <c r="D113" s="204"/>
      <c r="F113" s="245"/>
      <c r="G113" s="245"/>
      <c r="H113" s="566" t="s">
        <v>995</v>
      </c>
      <c r="J113" s="239"/>
      <c r="K113" s="1016" t="str">
        <f>IFERROR(ROUND(G49*K111,2), "aus SAP")</f>
        <v>aus SAP</v>
      </c>
      <c r="L113" s="266"/>
      <c r="M113" s="244"/>
    </row>
    <row r="114" spans="1:13" x14ac:dyDescent="0.2">
      <c r="A114" s="239"/>
      <c r="B114" s="240"/>
      <c r="C114" s="239"/>
      <c r="D114" s="204"/>
      <c r="F114" s="245"/>
      <c r="G114" s="245"/>
      <c r="H114" s="566"/>
      <c r="J114" s="239"/>
      <c r="K114" s="864"/>
      <c r="L114" s="266"/>
      <c r="M114" s="244"/>
    </row>
    <row r="115" spans="1:13" x14ac:dyDescent="0.2">
      <c r="A115" s="239"/>
      <c r="B115" s="240"/>
      <c r="C115" s="239"/>
      <c r="D115" s="204"/>
      <c r="E115" s="262" t="str">
        <f>CONCATENATE("Lohnentwicklung per 01.01.",LohntabelleM!I1+1," gewähren?")</f>
        <v>Lohnentwicklung per 01.01.2027 gewähren?</v>
      </c>
      <c r="F115" s="245"/>
      <c r="G115" s="245"/>
      <c r="H115" s="872"/>
      <c r="J115" s="862" t="s">
        <v>1948</v>
      </c>
      <c r="K115" s="1041" t="str">
        <f>L115</f>
        <v/>
      </c>
      <c r="L115" s="858" t="str">
        <f>IF(H115="Ja","A",IF(H115="Nein","NA",""))</f>
        <v/>
      </c>
      <c r="M115" s="244"/>
    </row>
    <row r="116" spans="1:13" ht="6" customHeight="1" x14ac:dyDescent="0.2">
      <c r="A116" s="239"/>
      <c r="B116" s="240"/>
      <c r="C116" s="239"/>
      <c r="D116" s="206"/>
      <c r="E116" s="64"/>
      <c r="F116" s="64"/>
      <c r="G116" s="65"/>
      <c r="H116" s="64"/>
      <c r="I116" s="64"/>
      <c r="J116" s="64"/>
      <c r="K116" s="64"/>
      <c r="L116" s="279"/>
      <c r="M116" s="244"/>
    </row>
    <row r="117" spans="1:13" ht="10.9" customHeight="1" x14ac:dyDescent="0.2">
      <c r="A117" s="239"/>
      <c r="B117" s="240"/>
      <c r="C117" s="239"/>
      <c r="D117" s="239"/>
      <c r="E117" s="245"/>
      <c r="F117" s="239"/>
      <c r="G117" s="239"/>
      <c r="H117" s="239"/>
      <c r="I117" s="239"/>
      <c r="J117" s="239"/>
      <c r="K117" s="239"/>
      <c r="L117" s="239"/>
      <c r="M117" s="244"/>
    </row>
    <row r="118" spans="1:13" ht="85.15" customHeight="1" x14ac:dyDescent="0.2">
      <c r="A118" s="239"/>
      <c r="B118" s="240"/>
      <c r="C118" s="239"/>
      <c r="D118" s="1143" t="s">
        <v>959</v>
      </c>
      <c r="E118" s="1143"/>
      <c r="F118" s="1143"/>
      <c r="G118" s="1143"/>
      <c r="H118" s="1143"/>
      <c r="I118" s="1143"/>
      <c r="J118" s="1143"/>
      <c r="K118" s="1143"/>
      <c r="L118" s="245"/>
      <c r="M118" s="244"/>
    </row>
    <row r="119" spans="1:13" x14ac:dyDescent="0.2">
      <c r="A119" s="239"/>
      <c r="B119" s="240"/>
      <c r="C119" s="239"/>
      <c r="E119" s="245"/>
      <c r="F119" s="245"/>
      <c r="G119" s="245"/>
      <c r="H119" s="245"/>
      <c r="I119" s="245"/>
      <c r="J119" s="245"/>
      <c r="K119" s="245"/>
      <c r="L119" s="245"/>
      <c r="M119" s="244"/>
    </row>
    <row r="120" spans="1:13" x14ac:dyDescent="0.2">
      <c r="A120" s="239"/>
      <c r="B120" s="239"/>
      <c r="C120" s="239"/>
      <c r="E120" s="245"/>
      <c r="F120" s="245"/>
      <c r="G120" s="245"/>
      <c r="H120" s="245"/>
      <c r="I120" s="245"/>
      <c r="J120" s="239"/>
      <c r="K120" s="239"/>
      <c r="L120" s="239"/>
      <c r="M120" s="244"/>
    </row>
    <row r="121" spans="1:13" x14ac:dyDescent="0.2">
      <c r="A121" s="239"/>
      <c r="B121" s="239"/>
      <c r="C121" s="239"/>
      <c r="E121" s="245"/>
      <c r="F121" s="245"/>
      <c r="G121" s="245"/>
      <c r="H121" s="245"/>
      <c r="I121" s="245"/>
      <c r="J121" s="262"/>
      <c r="K121" s="262"/>
      <c r="L121" s="262"/>
      <c r="M121" s="244"/>
    </row>
    <row r="122" spans="1:13" x14ac:dyDescent="0.2">
      <c r="A122" s="239"/>
      <c r="B122" s="239"/>
      <c r="C122" s="239"/>
      <c r="E122" s="245"/>
      <c r="F122" s="245"/>
      <c r="G122" s="245"/>
      <c r="H122" s="245"/>
      <c r="I122" s="245"/>
      <c r="M122" s="244"/>
    </row>
    <row r="123" spans="1:13" x14ac:dyDescent="0.2">
      <c r="A123" s="239"/>
      <c r="B123" s="239"/>
      <c r="C123" s="239"/>
      <c r="E123" s="245"/>
      <c r="F123" s="245"/>
      <c r="G123" s="245"/>
      <c r="H123" s="245"/>
      <c r="I123" s="245"/>
      <c r="M123" s="244"/>
    </row>
    <row r="124" spans="1:13" x14ac:dyDescent="0.2">
      <c r="E124" s="245"/>
      <c r="F124" s="245"/>
      <c r="G124" s="245"/>
      <c r="H124" s="245"/>
      <c r="I124" s="245"/>
    </row>
    <row r="125" spans="1:13" x14ac:dyDescent="0.2">
      <c r="E125" s="245"/>
      <c r="F125" s="245"/>
      <c r="G125" s="245"/>
      <c r="H125" s="245"/>
      <c r="I125" s="245"/>
    </row>
  </sheetData>
  <sheetProtection algorithmName="SHA-512" hashValue="8gD/fsD1Sp0ZhZwfZwe7y8po58i1WdDn7pbtjGJsb9DiUOrYshBTycwZO3RmynERygyrtZO6d1dTM2AxNkMQoA==" saltValue="9nEtbd7nBA9MvRd3z6aopQ==" spinCount="100000" sheet="1" objects="1" scenarios="1"/>
  <mergeCells count="55">
    <mergeCell ref="N106:P106"/>
    <mergeCell ref="N107:P107"/>
    <mergeCell ref="N108:P108"/>
    <mergeCell ref="N110:P111"/>
    <mergeCell ref="N112:P112"/>
    <mergeCell ref="N12:O13"/>
    <mergeCell ref="N35:O37"/>
    <mergeCell ref="H83:K83"/>
    <mergeCell ref="N71:P96"/>
    <mergeCell ref="N105:P105"/>
    <mergeCell ref="E101:K101"/>
    <mergeCell ref="I53:L53"/>
    <mergeCell ref="D37:L38"/>
    <mergeCell ref="J51:K51"/>
    <mergeCell ref="E97:G97"/>
    <mergeCell ref="E93:K93"/>
    <mergeCell ref="E63:G63"/>
    <mergeCell ref="H63:K63"/>
    <mergeCell ref="G85:K85"/>
    <mergeCell ref="J81:K81"/>
    <mergeCell ref="E92:K92"/>
    <mergeCell ref="D118:K118"/>
    <mergeCell ref="E100:K100"/>
    <mergeCell ref="E99:K99"/>
    <mergeCell ref="J107:K107"/>
    <mergeCell ref="J112:K112"/>
    <mergeCell ref="E91:K91"/>
    <mergeCell ref="J76:K76"/>
    <mergeCell ref="E64:G64"/>
    <mergeCell ref="E59:G59"/>
    <mergeCell ref="H59:K59"/>
    <mergeCell ref="E89:J89"/>
    <mergeCell ref="E61:H61"/>
    <mergeCell ref="H57:K57"/>
    <mergeCell ref="E57:F57"/>
    <mergeCell ref="E16:F16"/>
    <mergeCell ref="G16:K16"/>
    <mergeCell ref="E18:F18"/>
    <mergeCell ref="E20:F20"/>
    <mergeCell ref="E43:J43"/>
    <mergeCell ref="E55:G55"/>
    <mergeCell ref="H55:K55"/>
    <mergeCell ref="F26:K26"/>
    <mergeCell ref="J22:K22"/>
    <mergeCell ref="F22:H22"/>
    <mergeCell ref="F27:K27"/>
    <mergeCell ref="F28:I28"/>
    <mergeCell ref="F29:G29"/>
    <mergeCell ref="I18:K18"/>
    <mergeCell ref="E10:F10"/>
    <mergeCell ref="E12:F12"/>
    <mergeCell ref="G12:H12"/>
    <mergeCell ref="J12:K12"/>
    <mergeCell ref="G14:H14"/>
    <mergeCell ref="J14:K14"/>
  </mergeCells>
  <conditionalFormatting sqref="G109 K111">
    <cfRule type="expression" dxfId="121" priority="8">
      <formula>E110</formula>
    </cfRule>
  </conditionalFormatting>
  <conditionalFormatting sqref="K109">
    <cfRule type="expression" dxfId="120" priority="176">
      <formula>H110</formula>
    </cfRule>
  </conditionalFormatting>
  <conditionalFormatting sqref="J115">
    <cfRule type="expression" dxfId="119" priority="5">
      <formula>#REF!</formula>
    </cfRule>
  </conditionalFormatting>
  <conditionalFormatting sqref="J115:K115 N108:P112">
    <cfRule type="expression" dxfId="118" priority="4">
      <formula>$H$115=""</formula>
    </cfRule>
  </conditionalFormatting>
  <conditionalFormatting sqref="D85:K85 E105:K115 N105:P116">
    <cfRule type="expression" dxfId="117" priority="2">
      <formula>AND($H$83="",$D$83&lt;&gt;"LOGIB-Code bereits vorhanden")</formula>
    </cfRule>
  </conditionalFormatting>
  <conditionalFormatting sqref="H83:K83 E84">
    <cfRule type="expression" dxfId="116" priority="1">
      <formula>$D$83="LOGIB-Code bereits vorhanden"</formula>
    </cfRule>
  </conditionalFormatting>
  <dataValidations count="8">
    <dataValidation type="whole" operator="greaterThan" allowBlank="1" showInputMessage="1" showErrorMessage="1" errorTitle="Fehler" error="Ungültige Postleitzahl" sqref="G18" xr:uid="{00000000-0002-0000-0C00-000000000000}">
      <formula1>0</formula1>
    </dataValidation>
    <dataValidation type="date" operator="greaterThan" allowBlank="1" showInputMessage="1" showErrorMessage="1" errorTitle="Fehler" error="Geben Sie ein gültiges Datum dd.mm.yyyy ein!" sqref="L58 L51 G20 L49 G51 H76 G77:G78 K76 K78" xr:uid="{00000000-0002-0000-0C00-000001000000}">
      <formula1>1</formula1>
    </dataValidation>
    <dataValidation operator="greaterThan" allowBlank="1" showInputMessage="1" showErrorMessage="1" errorTitle="Fehler" error="Pensum als Ganzzahl angeben" sqref="J115 K111 K113:K114" xr:uid="{00000000-0002-0000-0C00-000002000000}"/>
    <dataValidation allowBlank="1" showInputMessage="1" sqref="J81" xr:uid="{00000000-0002-0000-0C00-000003000000}"/>
    <dataValidation type="list" allowBlank="1" showInputMessage="1" showErrorMessage="1" sqref="H57:K57" xr:uid="{00000000-0002-0000-0C00-000004000000}">
      <formula1>VPFunktSchule</formula1>
    </dataValidation>
    <dataValidation type="list" allowBlank="1" showInputMessage="1" showErrorMessage="1" sqref="J51:K51" xr:uid="{00000000-0002-0000-0C00-000005000000}">
      <formula1>AnstellungsartVP</formula1>
    </dataValidation>
    <dataValidation type="decimal" allowBlank="1" showInputMessage="1" showErrorMessage="1" errorTitle="Fehler" error="Geben Sie einen Wert zwischen 1% und 100% ein." sqref="G49" xr:uid="{00000000-0002-0000-0C00-000006000000}">
      <formula1>0.01</formula1>
      <formula2>1</formula2>
    </dataValidation>
    <dataValidation operator="greaterThan" allowBlank="1" showInputMessage="1" showErrorMessage="1" errorTitle="Fehler" error="Geben Sie ein gültiges Datum dd.mm.yyyy ein!" sqref="G79 K79" xr:uid="{00000000-0002-0000-0C00-000007000000}"/>
  </dataValidations>
  <hyperlinks>
    <hyperlink ref="N12:O13" location="Grunddaten!E9" display="Zurück zu Grunddaten" xr:uid="{00000000-0004-0000-0C00-000000000000}"/>
    <hyperlink ref="N35:O37" location="Pensenberechnung!J15" display="Pensenberechnung" xr:uid="{00000000-0004-0000-0C00-000001000000}"/>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68" max="16383" man="1"/>
  </rowBreaks>
  <ignoredErrors>
    <ignoredError sqref="K11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66596" r:id="rId4" name="Check Box 4">
              <controlPr defaultSize="0" autoFill="0" autoLine="0" autoPict="0">
                <anchor>
                  <from>
                    <xdr:col>8</xdr:col>
                    <xdr:colOff>47625</xdr:colOff>
                    <xdr:row>51</xdr:row>
                    <xdr:rowOff>123825</xdr:rowOff>
                  </from>
                  <to>
                    <xdr:col>10</xdr:col>
                    <xdr:colOff>857250</xdr:colOff>
                    <xdr:row>53</xdr:row>
                    <xdr:rowOff>47625</xdr:rowOff>
                  </to>
                </anchor>
              </controlPr>
            </control>
          </mc:Choice>
        </mc:AlternateContent>
        <mc:AlternateContent xmlns:mc="http://schemas.openxmlformats.org/markup-compatibility/2006">
          <mc:Choice Requires="x14">
            <control shapeId="366597" r:id="rId5" name="Check Box 5">
              <controlPr defaultSize="0" autoFill="0" autoLine="0" autoPict="0">
                <anchor>
                  <from>
                    <xdr:col>4</xdr:col>
                    <xdr:colOff>57150</xdr:colOff>
                    <xdr:row>59</xdr:row>
                    <xdr:rowOff>133350</xdr:rowOff>
                  </from>
                  <to>
                    <xdr:col>7</xdr:col>
                    <xdr:colOff>104775</xdr:colOff>
                    <xdr:row>61</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8000000}">
          <x14:formula1>
            <xm:f>Stammdaten_DropDown!$E$103:$E$104</xm:f>
          </x14:formula1>
          <xm:sqref>H115</xm:sqref>
        </x14:dataValidation>
        <x14:dataValidation type="list" operator="greaterThan" allowBlank="1" showInputMessage="1" showErrorMessage="1" errorTitle="Fehler" error="Pensum als Ganzzahl angeben" xr:uid="{00000000-0002-0000-0C00-000009000000}">
          <x14:formula1>
            <xm:f>Stammdaten_DropDown!$E$107:$E$110</xm:f>
          </x14:formula1>
          <xm:sqref>K115</xm:sqref>
        </x14:dataValidation>
        <x14:dataValidation type="list" allowBlank="1" showInputMessage="1" showErrorMessage="1" xr:uid="{00000000-0002-0000-0C00-00000A000000}">
          <x14:formula1>
            <xm:f>Stammdaten_DropDown!$E$93:$E$100</xm:f>
          </x14:formula1>
          <xm:sqref>H83:K83</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24">
    <pageSetUpPr fitToPage="1"/>
  </sheetPr>
  <dimension ref="A1:S135"/>
  <sheetViews>
    <sheetView zoomScaleNormal="100" zoomScaleSheetLayoutView="55" zoomScalePageLayoutView="85" workbookViewId="0">
      <selection activeCell="F10" sqref="F10:L10"/>
    </sheetView>
  </sheetViews>
  <sheetFormatPr baseColWidth="10" defaultColWidth="11.5703125" defaultRowHeight="12.75" x14ac:dyDescent="0.2"/>
  <cols>
    <col min="1" max="1" width="2.5703125" style="350" customWidth="1"/>
    <col min="2" max="2" width="1.42578125" style="350" customWidth="1"/>
    <col min="3" max="3" width="1" style="350" customWidth="1"/>
    <col min="4" max="4" width="3.7109375" style="350" customWidth="1"/>
    <col min="5" max="5" width="14" style="350" customWidth="1"/>
    <col min="6" max="6" width="11.140625" style="350" customWidth="1"/>
    <col min="7" max="7" width="10.5703125" style="350" customWidth="1"/>
    <col min="8" max="8" width="10.140625" style="350" customWidth="1"/>
    <col min="9" max="9" width="3.42578125" style="350" customWidth="1"/>
    <col min="10" max="10" width="17.5703125" style="350" customWidth="1"/>
    <col min="11" max="11" width="3.42578125" style="350" customWidth="1"/>
    <col min="12" max="12" width="17.42578125" style="350" customWidth="1"/>
    <col min="13" max="13" width="2.140625" style="350" customWidth="1"/>
    <col min="14" max="14" width="3.140625" style="350" customWidth="1"/>
    <col min="15" max="16" width="11.5703125" style="350"/>
    <col min="17" max="17" width="46.7109375" style="350" customWidth="1"/>
    <col min="18" max="18" width="11.5703125" style="350" hidden="1" customWidth="1"/>
    <col min="19" max="19" width="70.42578125" style="350" hidden="1" customWidth="1"/>
    <col min="20" max="20" width="11.5703125" style="350" customWidth="1"/>
    <col min="21" max="16384" width="11.5703125" style="350"/>
  </cols>
  <sheetData>
    <row r="1" spans="1:17" s="284" customFormat="1" ht="9.6" customHeight="1" x14ac:dyDescent="0.2">
      <c r="F1" s="326"/>
      <c r="G1" s="285"/>
      <c r="H1" s="285"/>
      <c r="I1" s="286"/>
      <c r="J1" s="286"/>
      <c r="K1" s="286"/>
      <c r="L1" s="286"/>
    </row>
    <row r="2" spans="1:17" s="284" customFormat="1" ht="17.45" customHeight="1" x14ac:dyDescent="0.2">
      <c r="B2" s="326" t="s">
        <v>1098</v>
      </c>
      <c r="F2" s="326"/>
      <c r="G2" s="285"/>
      <c r="H2" s="285"/>
      <c r="I2" s="286"/>
      <c r="J2" s="286"/>
      <c r="K2" s="286"/>
      <c r="L2" s="286"/>
    </row>
    <row r="3" spans="1:17" s="284" customFormat="1" ht="11.45" customHeight="1" x14ac:dyDescent="0.2">
      <c r="F3" s="326"/>
      <c r="G3" s="285"/>
      <c r="H3" s="285"/>
      <c r="I3" s="286"/>
      <c r="J3" s="286"/>
      <c r="K3" s="286"/>
      <c r="L3" s="286"/>
    </row>
    <row r="4" spans="1:17" s="296" customFormat="1" ht="21" customHeight="1" x14ac:dyDescent="0.2">
      <c r="B4" s="351"/>
      <c r="D4" s="238" t="s">
        <v>945</v>
      </c>
      <c r="F4" s="238"/>
      <c r="I4" s="352"/>
      <c r="J4" s="352"/>
      <c r="K4" s="352"/>
      <c r="L4" s="352"/>
      <c r="M4" s="995" t="str">
        <f>CONCATENATE(LohntabelleM!G1," / ",LohntabelleM!I1)</f>
        <v>V6.0 / 2026</v>
      </c>
      <c r="N4" s="352"/>
      <c r="O4" s="352"/>
    </row>
    <row r="5" spans="1:17" s="284" customFormat="1" ht="6.75" customHeight="1" x14ac:dyDescent="0.2">
      <c r="A5" s="301"/>
      <c r="B5" s="353"/>
      <c r="C5" s="353"/>
      <c r="D5" s="353"/>
      <c r="E5" s="353"/>
      <c r="F5" s="354"/>
      <c r="G5" s="353"/>
      <c r="H5" s="353"/>
      <c r="I5" s="355"/>
      <c r="J5" s="356"/>
      <c r="K5" s="355"/>
      <c r="L5" s="355"/>
      <c r="M5" s="355"/>
      <c r="O5" s="352"/>
    </row>
    <row r="6" spans="1:17" s="284" customFormat="1" ht="6" customHeight="1" x14ac:dyDescent="0.2">
      <c r="A6" s="301"/>
      <c r="B6" s="353"/>
      <c r="C6" s="301"/>
      <c r="D6" s="301"/>
      <c r="E6" s="301"/>
      <c r="F6" s="325"/>
      <c r="G6" s="301"/>
      <c r="H6" s="301"/>
      <c r="I6" s="306"/>
      <c r="J6" s="425"/>
      <c r="K6" s="306"/>
      <c r="L6" s="306"/>
      <c r="M6" s="306"/>
      <c r="N6" s="306"/>
      <c r="O6" s="301"/>
    </row>
    <row r="7" spans="1:17" s="284" customFormat="1" ht="5.0999999999999996" customHeight="1" x14ac:dyDescent="0.2">
      <c r="B7" s="353"/>
      <c r="D7" s="376"/>
      <c r="E7" s="324"/>
      <c r="F7" s="323"/>
      <c r="G7" s="289"/>
      <c r="H7" s="289"/>
      <c r="I7" s="288"/>
      <c r="J7" s="288"/>
      <c r="K7" s="288"/>
      <c r="L7" s="288"/>
      <c r="M7" s="311"/>
    </row>
    <row r="8" spans="1:17" s="284" customFormat="1" ht="15.75" x14ac:dyDescent="0.2">
      <c r="B8" s="353"/>
      <c r="D8" s="377"/>
      <c r="E8" s="325" t="s">
        <v>770</v>
      </c>
      <c r="F8" s="326"/>
      <c r="G8" s="285"/>
      <c r="H8" s="285"/>
      <c r="I8" s="286"/>
      <c r="J8" s="286"/>
      <c r="K8" s="286"/>
      <c r="L8" s="286"/>
      <c r="M8" s="293"/>
    </row>
    <row r="9" spans="1:17" s="284" customFormat="1" x14ac:dyDescent="0.2">
      <c r="B9" s="353"/>
      <c r="D9" s="290"/>
      <c r="E9" s="286"/>
      <c r="F9" s="286"/>
      <c r="G9" s="285"/>
      <c r="H9" s="285"/>
      <c r="I9" s="286"/>
      <c r="J9" s="286"/>
      <c r="K9" s="286"/>
      <c r="L9" s="286"/>
      <c r="M9" s="293"/>
    </row>
    <row r="10" spans="1:17" s="284" customFormat="1" ht="58.15" customHeight="1" x14ac:dyDescent="0.2">
      <c r="B10" s="353"/>
      <c r="D10" s="290"/>
      <c r="E10" s="312" t="s">
        <v>1123</v>
      </c>
      <c r="F10" s="1195"/>
      <c r="G10" s="1195"/>
      <c r="H10" s="1195"/>
      <c r="I10" s="1195"/>
      <c r="J10" s="1195"/>
      <c r="K10" s="1195"/>
      <c r="L10" s="1195"/>
      <c r="M10" s="293"/>
    </row>
    <row r="11" spans="1:17" s="284" customFormat="1" ht="13.35" customHeight="1" x14ac:dyDescent="0.2">
      <c r="B11" s="353"/>
      <c r="D11" s="290"/>
      <c r="E11" s="286"/>
      <c r="F11" s="378"/>
      <c r="G11" s="285"/>
      <c r="H11" s="285"/>
      <c r="I11" s="286"/>
      <c r="J11" s="286"/>
      <c r="K11" s="286"/>
      <c r="L11" s="286"/>
      <c r="M11" s="293"/>
    </row>
    <row r="12" spans="1:17" s="284" customFormat="1" x14ac:dyDescent="0.2">
      <c r="B12" s="353"/>
      <c r="D12" s="290"/>
      <c r="E12" s="306" t="s">
        <v>967</v>
      </c>
      <c r="F12" s="306"/>
      <c r="G12" s="1226" t="str">
        <f>IF(MAAnrede&lt;&gt;"",MAAnrede,"")</f>
        <v/>
      </c>
      <c r="H12" s="1226"/>
      <c r="I12" s="306"/>
      <c r="J12" s="286"/>
      <c r="K12" s="286"/>
      <c r="L12" s="286"/>
      <c r="M12" s="293"/>
    </row>
    <row r="13" spans="1:17" s="284" customFormat="1" ht="13.35" customHeight="1" x14ac:dyDescent="0.2">
      <c r="B13" s="353"/>
      <c r="D13" s="290"/>
      <c r="E13" s="286"/>
      <c r="F13" s="378"/>
      <c r="G13" s="285"/>
      <c r="H13" s="285"/>
      <c r="I13" s="286"/>
      <c r="J13" s="286"/>
      <c r="K13" s="286"/>
      <c r="L13" s="286"/>
      <c r="M13" s="293"/>
    </row>
    <row r="14" spans="1:17" s="284" customFormat="1" ht="12.6" customHeight="1" x14ac:dyDescent="0.2">
      <c r="B14" s="353"/>
      <c r="D14" s="290"/>
      <c r="E14" s="306" t="s">
        <v>756</v>
      </c>
      <c r="F14" s="306"/>
      <c r="G14" s="1226" t="str">
        <f>IF(MAName&lt;&gt;"",MAName,"")</f>
        <v/>
      </c>
      <c r="H14" s="1226"/>
      <c r="I14" s="306"/>
      <c r="J14" s="1197" t="s">
        <v>757</v>
      </c>
      <c r="K14" s="1197"/>
      <c r="L14" s="1012" t="str">
        <f>IF(MAVorname&lt;&gt;"",MAVorname,"")</f>
        <v/>
      </c>
      <c r="M14" s="293"/>
      <c r="O14" s="1149" t="s">
        <v>1029</v>
      </c>
      <c r="P14" s="1150"/>
      <c r="Q14" s="675"/>
    </row>
    <row r="15" spans="1:17" s="284" customFormat="1" ht="12.6" customHeight="1" x14ac:dyDescent="0.2">
      <c r="B15" s="353"/>
      <c r="D15" s="290"/>
      <c r="G15" s="425"/>
      <c r="H15" s="573"/>
      <c r="I15" s="306"/>
      <c r="J15" s="306"/>
      <c r="K15" s="306"/>
      <c r="L15" s="306"/>
      <c r="M15" s="293"/>
      <c r="O15" s="1151"/>
      <c r="P15" s="1152"/>
      <c r="Q15" s="675"/>
    </row>
    <row r="16" spans="1:17" s="284" customFormat="1" x14ac:dyDescent="0.2">
      <c r="B16" s="353"/>
      <c r="D16" s="290"/>
      <c r="E16" s="1197" t="s">
        <v>763</v>
      </c>
      <c r="F16" s="1197"/>
      <c r="G16" s="1226" t="str">
        <f>IF(MAVertragsNr&lt;&gt;"",MAVertragsNr,"")</f>
        <v/>
      </c>
      <c r="H16" s="1226"/>
      <c r="I16" s="306"/>
      <c r="J16" s="306" t="s">
        <v>762</v>
      </c>
      <c r="L16" s="759" t="str">
        <f>IF(MAPersID&lt;&gt;"",MAPersID,"")</f>
        <v/>
      </c>
      <c r="M16" s="293"/>
    </row>
    <row r="17" spans="2:17" s="284" customFormat="1" ht="8.1" customHeight="1" x14ac:dyDescent="0.2">
      <c r="B17" s="353"/>
      <c r="D17" s="297"/>
      <c r="E17" s="298"/>
      <c r="F17" s="298"/>
      <c r="G17" s="299"/>
      <c r="H17" s="299"/>
      <c r="I17" s="298"/>
      <c r="J17" s="298"/>
      <c r="K17" s="298"/>
      <c r="L17" s="298"/>
      <c r="M17" s="313"/>
    </row>
    <row r="18" spans="2:17" s="284" customFormat="1" ht="6" customHeight="1" x14ac:dyDescent="0.2">
      <c r="B18" s="353"/>
      <c r="E18" s="306"/>
      <c r="F18" s="306"/>
      <c r="G18" s="425"/>
      <c r="H18" s="573"/>
      <c r="I18" s="306"/>
      <c r="J18" s="306"/>
      <c r="K18" s="306"/>
      <c r="L18" s="306"/>
    </row>
    <row r="19" spans="2:17" s="284" customFormat="1" ht="8.1" customHeight="1" x14ac:dyDescent="0.2">
      <c r="B19" s="353"/>
      <c r="D19" s="287"/>
      <c r="E19" s="303"/>
      <c r="F19" s="303"/>
      <c r="G19" s="304"/>
      <c r="H19" s="304"/>
      <c r="I19" s="303"/>
      <c r="J19" s="303"/>
      <c r="K19" s="303"/>
      <c r="L19" s="303"/>
      <c r="M19" s="305"/>
    </row>
    <row r="20" spans="2:17" s="284" customFormat="1" ht="12" customHeight="1" x14ac:dyDescent="0.2">
      <c r="B20" s="353"/>
      <c r="D20" s="290"/>
      <c r="E20" s="291" t="s">
        <v>1196</v>
      </c>
      <c r="F20" s="286"/>
      <c r="G20" s="285"/>
      <c r="H20" s="285"/>
      <c r="I20" s="286"/>
      <c r="J20" s="286"/>
      <c r="K20" s="286"/>
      <c r="L20" s="286"/>
      <c r="M20" s="292"/>
    </row>
    <row r="21" spans="2:17" s="284" customFormat="1" ht="6" customHeight="1" x14ac:dyDescent="0.2">
      <c r="B21" s="353"/>
      <c r="D21" s="290"/>
      <c r="E21" s="306"/>
      <c r="G21" s="425"/>
      <c r="I21" s="640"/>
      <c r="J21" s="306"/>
      <c r="K21" s="306"/>
      <c r="L21" s="306"/>
      <c r="M21" s="294"/>
    </row>
    <row r="22" spans="2:17" s="284" customFormat="1" ht="12.75" customHeight="1" x14ac:dyDescent="0.2">
      <c r="B22" s="353"/>
      <c r="D22" s="290"/>
      <c r="E22" s="306" t="s">
        <v>1212</v>
      </c>
      <c r="G22" s="674"/>
      <c r="I22" s="640"/>
      <c r="J22" s="306"/>
      <c r="K22" s="306"/>
      <c r="L22" s="306"/>
      <c r="M22" s="294"/>
    </row>
    <row r="23" spans="2:17" s="284" customFormat="1" ht="6" customHeight="1" x14ac:dyDescent="0.2">
      <c r="B23" s="353"/>
      <c r="D23" s="290"/>
      <c r="E23" s="306"/>
      <c r="G23" s="674"/>
      <c r="I23" s="640"/>
      <c r="J23" s="306"/>
      <c r="K23" s="306"/>
      <c r="L23" s="306"/>
      <c r="M23" s="294"/>
    </row>
    <row r="24" spans="2:17" s="284" customFormat="1" ht="12.75" customHeight="1" x14ac:dyDescent="0.2">
      <c r="B24" s="353"/>
      <c r="D24" s="290"/>
      <c r="E24" s="306"/>
      <c r="F24" s="306" t="s">
        <v>1164</v>
      </c>
      <c r="G24" s="573"/>
      <c r="H24" s="306" t="s">
        <v>1184</v>
      </c>
      <c r="I24" s="640"/>
      <c r="J24" s="1224" t="str">
        <f>IF(AND(F28&lt;&gt;"",F30&lt;&gt;""),"Es kann nur entweder eine Berechnung oder eine manuelle Eingabe erfolgen","")</f>
        <v/>
      </c>
      <c r="K24" s="1224"/>
      <c r="L24" s="1224"/>
      <c r="M24" s="294"/>
      <c r="O24" s="1149" t="s">
        <v>1167</v>
      </c>
      <c r="P24" s="1150"/>
      <c r="Q24" s="863"/>
    </row>
    <row r="25" spans="2:17" s="284" customFormat="1" ht="12.75" customHeight="1" x14ac:dyDescent="0.2">
      <c r="B25" s="353"/>
      <c r="D25" s="290"/>
      <c r="E25" s="306"/>
      <c r="F25" s="306"/>
      <c r="G25" s="573"/>
      <c r="H25" s="640"/>
      <c r="I25" s="640"/>
      <c r="J25" s="1224"/>
      <c r="K25" s="1224"/>
      <c r="L25" s="1224"/>
      <c r="M25" s="294"/>
      <c r="O25" s="1151"/>
      <c r="P25" s="1152"/>
      <c r="Q25" s="863"/>
    </row>
    <row r="26" spans="2:17" s="284" customFormat="1" ht="12.75" customHeight="1" x14ac:dyDescent="0.2">
      <c r="B26" s="353"/>
      <c r="D26" s="701" t="s">
        <v>1132</v>
      </c>
      <c r="F26" s="766"/>
      <c r="H26" s="767"/>
      <c r="I26" s="306"/>
      <c r="J26" s="1224"/>
      <c r="K26" s="1224"/>
      <c r="L26" s="1224"/>
      <c r="M26" s="295"/>
    </row>
    <row r="27" spans="2:17" s="284" customFormat="1" ht="12.75" customHeight="1" x14ac:dyDescent="0.2">
      <c r="B27" s="353"/>
      <c r="D27" s="702"/>
      <c r="F27" s="640"/>
      <c r="G27" s="1203"/>
      <c r="H27" s="1203"/>
      <c r="I27" s="1203"/>
      <c r="J27" s="1203"/>
      <c r="K27" s="425"/>
      <c r="L27" s="425"/>
      <c r="M27" s="295"/>
    </row>
    <row r="28" spans="2:17" s="284" customFormat="1" ht="12.75" customHeight="1" x14ac:dyDescent="0.2">
      <c r="B28" s="353"/>
      <c r="D28" s="701" t="s">
        <v>1176</v>
      </c>
      <c r="F28" s="769" t="str">
        <f>IF(Pensenberechnung!$O$27=0,"",Pensenberechnung!$O$27)</f>
        <v/>
      </c>
      <c r="H28" s="768" t="str">
        <f>IF(Pensenberechnung!$J$15=0,"",Pensenberechnung!$J$15)</f>
        <v/>
      </c>
      <c r="I28" s="306"/>
      <c r="J28" s="306" t="s">
        <v>870</v>
      </c>
      <c r="K28" s="1225" t="str">
        <f>IF(Pensenberechnung!$G$17=0,"",Pensenberechnung!$G$17)</f>
        <v/>
      </c>
      <c r="L28" s="1225"/>
      <c r="M28" s="295"/>
    </row>
    <row r="29" spans="2:17" s="284" customFormat="1" ht="12.75" customHeight="1" x14ac:dyDescent="0.2">
      <c r="B29" s="353"/>
      <c r="D29" s="703" t="s">
        <v>998</v>
      </c>
      <c r="F29" s="640"/>
      <c r="G29" s="308"/>
      <c r="H29" s="308"/>
      <c r="I29" s="308"/>
      <c r="J29" s="308"/>
      <c r="K29" s="634"/>
      <c r="L29" s="634"/>
      <c r="M29" s="295"/>
    </row>
    <row r="30" spans="2:17" s="284" customFormat="1" ht="12.75" customHeight="1" x14ac:dyDescent="0.2">
      <c r="B30" s="353"/>
      <c r="D30" s="701" t="s">
        <v>1177</v>
      </c>
      <c r="F30" s="766"/>
      <c r="H30" s="770"/>
      <c r="I30" s="306"/>
      <c r="J30" s="306" t="s">
        <v>870</v>
      </c>
      <c r="K30" s="1196"/>
      <c r="L30" s="1196"/>
      <c r="M30" s="295"/>
    </row>
    <row r="31" spans="2:17" s="284" customFormat="1" ht="12.75" customHeight="1" x14ac:dyDescent="0.2">
      <c r="B31" s="353"/>
      <c r="D31" s="704"/>
      <c r="F31" s="306"/>
      <c r="G31" s="425"/>
      <c r="H31" s="573"/>
      <c r="I31" s="306"/>
      <c r="J31" s="306"/>
      <c r="K31" s="306"/>
      <c r="L31" s="306"/>
      <c r="M31" s="294"/>
    </row>
    <row r="32" spans="2:17" s="284" customFormat="1" ht="12.75" customHeight="1" x14ac:dyDescent="0.2">
      <c r="B32" s="353"/>
      <c r="D32" s="701" t="s">
        <v>944</v>
      </c>
      <c r="G32" s="1196"/>
      <c r="H32" s="1196"/>
      <c r="I32" s="306"/>
      <c r="K32" s="563" t="s">
        <v>818</v>
      </c>
      <c r="L32" s="425"/>
      <c r="M32" s="295"/>
    </row>
    <row r="33" spans="2:13" s="284" customFormat="1" ht="12.75" customHeight="1" x14ac:dyDescent="0.2">
      <c r="B33" s="353"/>
      <c r="D33" s="297"/>
      <c r="E33" s="298"/>
      <c r="F33" s="298"/>
      <c r="G33" s="299"/>
      <c r="H33" s="299"/>
      <c r="I33" s="298"/>
      <c r="J33" s="298"/>
      <c r="K33" s="298"/>
      <c r="L33" s="298"/>
      <c r="M33" s="300"/>
    </row>
    <row r="34" spans="2:13" s="284" customFormat="1" ht="6" customHeight="1" x14ac:dyDescent="0.2">
      <c r="B34" s="353"/>
      <c r="E34" s="306"/>
      <c r="F34" s="306"/>
      <c r="G34" s="425"/>
      <c r="H34" s="573"/>
      <c r="I34" s="306"/>
      <c r="J34" s="306"/>
      <c r="K34" s="306"/>
      <c r="L34" s="306"/>
      <c r="M34" s="306"/>
    </row>
    <row r="35" spans="2:13" s="284" customFormat="1" ht="8.1" customHeight="1" x14ac:dyDescent="0.2">
      <c r="B35" s="353"/>
      <c r="D35" s="287"/>
      <c r="E35" s="303"/>
      <c r="F35" s="303"/>
      <c r="G35" s="304"/>
      <c r="H35" s="304"/>
      <c r="I35" s="303"/>
      <c r="J35" s="303"/>
      <c r="K35" s="303"/>
      <c r="L35" s="303"/>
      <c r="M35" s="305"/>
    </row>
    <row r="36" spans="2:13" s="284" customFormat="1" ht="12" customHeight="1" x14ac:dyDescent="0.2">
      <c r="B36" s="353"/>
      <c r="D36" s="290"/>
      <c r="E36" s="291" t="s">
        <v>943</v>
      </c>
      <c r="F36" s="286"/>
      <c r="G36" s="285"/>
      <c r="H36" s="285"/>
      <c r="I36" s="286"/>
      <c r="J36" s="286"/>
      <c r="K36" s="286"/>
      <c r="L36" s="286"/>
      <c r="M36" s="292"/>
    </row>
    <row r="37" spans="2:13" s="284" customFormat="1" ht="12.75" customHeight="1" x14ac:dyDescent="0.2">
      <c r="B37" s="353"/>
      <c r="D37" s="290"/>
      <c r="E37" s="306"/>
      <c r="F37" s="306"/>
      <c r="G37" s="621"/>
      <c r="H37" s="640"/>
      <c r="I37" s="640"/>
      <c r="J37" s="306"/>
      <c r="K37" s="306"/>
      <c r="L37" s="306"/>
      <c r="M37" s="294"/>
    </row>
    <row r="38" spans="2:13" s="284" customFormat="1" ht="12.75" customHeight="1" x14ac:dyDescent="0.2">
      <c r="B38" s="353"/>
      <c r="D38" s="290"/>
      <c r="E38" s="306" t="s">
        <v>1165</v>
      </c>
      <c r="F38" s="306"/>
      <c r="G38" s="621"/>
      <c r="H38" s="766"/>
      <c r="I38" s="640"/>
      <c r="J38" s="306"/>
      <c r="K38" s="306"/>
      <c r="L38" s="306"/>
      <c r="M38" s="294"/>
    </row>
    <row r="39" spans="2:13" s="284" customFormat="1" ht="12.75" customHeight="1" x14ac:dyDescent="0.2">
      <c r="B39" s="353"/>
      <c r="D39" s="290"/>
      <c r="E39" s="306"/>
      <c r="F39" s="306"/>
      <c r="G39" s="621"/>
      <c r="H39" s="640"/>
      <c r="I39" s="640"/>
      <c r="J39" s="306"/>
      <c r="K39" s="306"/>
      <c r="L39" s="306"/>
      <c r="M39" s="294"/>
    </row>
    <row r="40" spans="2:13" s="284" customFormat="1" ht="12.75" customHeight="1" x14ac:dyDescent="0.2">
      <c r="B40" s="353"/>
      <c r="D40" s="290"/>
      <c r="E40" s="306" t="s">
        <v>1166</v>
      </c>
      <c r="F40" s="640"/>
      <c r="H40" s="766"/>
      <c r="J40" s="641" t="s">
        <v>870</v>
      </c>
      <c r="K40" s="306"/>
      <c r="L40" s="757"/>
      <c r="M40" s="295"/>
    </row>
    <row r="41" spans="2:13" s="284" customFormat="1" ht="12.75" customHeight="1" x14ac:dyDescent="0.2">
      <c r="B41" s="353"/>
      <c r="D41" s="290"/>
      <c r="E41" s="640"/>
      <c r="F41" s="640"/>
      <c r="H41" s="640"/>
      <c r="I41" s="308"/>
      <c r="J41" s="308"/>
      <c r="K41" s="308"/>
      <c r="L41" s="308"/>
      <c r="M41" s="295"/>
    </row>
    <row r="42" spans="2:13" s="284" customFormat="1" ht="12.75" customHeight="1" x14ac:dyDescent="0.2">
      <c r="B42" s="353"/>
      <c r="D42" s="290"/>
      <c r="E42" s="306" t="s">
        <v>1166</v>
      </c>
      <c r="F42" s="640"/>
      <c r="H42" s="766"/>
      <c r="J42" s="641" t="s">
        <v>870</v>
      </c>
      <c r="K42" s="306"/>
      <c r="L42" s="757"/>
      <c r="M42" s="295"/>
    </row>
    <row r="43" spans="2:13" s="284" customFormat="1" ht="12.75" customHeight="1" x14ac:dyDescent="0.2">
      <c r="B43" s="353"/>
      <c r="D43" s="290"/>
      <c r="F43" s="306"/>
      <c r="G43" s="621"/>
      <c r="H43" s="621"/>
      <c r="I43" s="306"/>
      <c r="J43" s="306"/>
      <c r="K43" s="306"/>
      <c r="L43" s="306"/>
      <c r="M43" s="294"/>
    </row>
    <row r="44" spans="2:13" s="284" customFormat="1" ht="12.75" customHeight="1" x14ac:dyDescent="0.2">
      <c r="B44" s="353"/>
      <c r="D44" s="290"/>
      <c r="E44" s="306" t="s">
        <v>944</v>
      </c>
      <c r="G44" s="1196"/>
      <c r="H44" s="1196"/>
      <c r="I44" s="306"/>
      <c r="K44" s="622" t="s">
        <v>818</v>
      </c>
      <c r="L44" s="621"/>
      <c r="M44" s="295"/>
    </row>
    <row r="45" spans="2:13" s="284" customFormat="1" ht="12.75" customHeight="1" x14ac:dyDescent="0.2">
      <c r="B45" s="353"/>
      <c r="D45" s="297"/>
      <c r="E45" s="298"/>
      <c r="F45" s="298"/>
      <c r="G45" s="299"/>
      <c r="H45" s="299"/>
      <c r="I45" s="298"/>
      <c r="J45" s="298"/>
      <c r="K45" s="298"/>
      <c r="L45" s="298"/>
      <c r="M45" s="300"/>
    </row>
    <row r="46" spans="2:13" s="284" customFormat="1" ht="6" customHeight="1" x14ac:dyDescent="0.2">
      <c r="B46" s="353"/>
      <c r="E46" s="306"/>
      <c r="F46" s="306"/>
      <c r="G46" s="621"/>
      <c r="H46" s="621"/>
      <c r="I46" s="306"/>
      <c r="J46" s="306"/>
      <c r="K46" s="306"/>
      <c r="L46" s="306"/>
      <c r="M46" s="306"/>
    </row>
    <row r="47" spans="2:13" s="284" customFormat="1" ht="5.0999999999999996" customHeight="1" x14ac:dyDescent="0.2">
      <c r="B47" s="353"/>
      <c r="D47" s="287"/>
      <c r="E47" s="303"/>
      <c r="F47" s="303"/>
      <c r="G47" s="304"/>
      <c r="H47" s="304"/>
      <c r="I47" s="303"/>
      <c r="J47" s="303"/>
      <c r="K47" s="303"/>
      <c r="L47" s="303"/>
      <c r="M47" s="311"/>
    </row>
    <row r="48" spans="2:13" s="284" customFormat="1" x14ac:dyDescent="0.2">
      <c r="B48" s="353"/>
      <c r="D48" s="290"/>
      <c r="E48" s="325" t="s">
        <v>957</v>
      </c>
      <c r="F48" s="286"/>
      <c r="G48" s="285"/>
      <c r="H48" s="285"/>
      <c r="I48" s="286"/>
      <c r="J48" s="286"/>
      <c r="K48" s="286"/>
      <c r="L48" s="286"/>
      <c r="M48" s="293"/>
    </row>
    <row r="49" spans="2:19" s="284" customFormat="1" x14ac:dyDescent="0.2">
      <c r="B49" s="353"/>
      <c r="D49" s="290"/>
      <c r="E49" s="306"/>
      <c r="F49" s="306"/>
      <c r="G49" s="425"/>
      <c r="H49" s="573"/>
      <c r="I49" s="306"/>
      <c r="J49" s="306"/>
      <c r="K49" s="306"/>
      <c r="L49" s="306"/>
      <c r="M49" s="293"/>
    </row>
    <row r="50" spans="2:19" s="284" customFormat="1" x14ac:dyDescent="0.2">
      <c r="B50" s="353"/>
      <c r="D50" s="1227" t="s">
        <v>953</v>
      </c>
      <c r="E50" s="1228"/>
      <c r="F50" s="1228"/>
      <c r="G50" s="1196"/>
      <c r="H50" s="1196"/>
      <c r="I50" s="306"/>
      <c r="J50" s="379" t="s">
        <v>954</v>
      </c>
      <c r="K50" s="306"/>
      <c r="L50" s="757"/>
      <c r="M50" s="293"/>
    </row>
    <row r="51" spans="2:19" s="284" customFormat="1" x14ac:dyDescent="0.2">
      <c r="B51" s="353"/>
      <c r="D51" s="290"/>
      <c r="E51" s="306"/>
      <c r="F51" s="306"/>
      <c r="G51" s="425"/>
      <c r="H51" s="573"/>
      <c r="I51" s="306"/>
      <c r="J51" s="306"/>
      <c r="K51" s="306"/>
      <c r="L51" s="306"/>
      <c r="M51" s="293"/>
    </row>
    <row r="52" spans="2:19" s="284" customFormat="1" x14ac:dyDescent="0.2">
      <c r="B52" s="353"/>
      <c r="D52" s="290"/>
      <c r="F52" s="563" t="s">
        <v>1107</v>
      </c>
      <c r="G52" s="306"/>
      <c r="H52" s="306"/>
      <c r="I52" s="306"/>
      <c r="K52" s="306" t="s">
        <v>1108</v>
      </c>
      <c r="L52" s="306"/>
      <c r="M52" s="293"/>
    </row>
    <row r="53" spans="2:19" s="284" customFormat="1" x14ac:dyDescent="0.2">
      <c r="B53" s="353"/>
      <c r="D53" s="290"/>
      <c r="E53" s="306"/>
      <c r="F53" s="306"/>
      <c r="G53" s="425"/>
      <c r="H53" s="573"/>
      <c r="I53" s="306"/>
      <c r="J53" s="306"/>
      <c r="K53" s="306"/>
      <c r="L53" s="306"/>
      <c r="M53" s="293"/>
    </row>
    <row r="54" spans="2:19" s="284" customFormat="1" x14ac:dyDescent="0.2">
      <c r="B54" s="353"/>
      <c r="D54" s="290"/>
      <c r="E54" s="690" t="s">
        <v>987</v>
      </c>
      <c r="G54" s="1204"/>
      <c r="H54" s="1204"/>
      <c r="I54" s="306"/>
      <c r="J54" s="306"/>
      <c r="K54" s="275"/>
      <c r="L54" s="306"/>
      <c r="M54" s="293"/>
    </row>
    <row r="55" spans="2:19" s="284" customFormat="1" ht="8.1" customHeight="1" x14ac:dyDescent="0.2">
      <c r="B55" s="353"/>
      <c r="D55" s="297"/>
      <c r="E55" s="367"/>
      <c r="F55" s="367"/>
      <c r="G55" s="426"/>
      <c r="H55" s="426"/>
      <c r="I55" s="367"/>
      <c r="J55" s="367"/>
      <c r="K55" s="367"/>
      <c r="L55" s="367"/>
      <c r="M55" s="363"/>
    </row>
    <row r="56" spans="2:19" s="284" customFormat="1" ht="6" customHeight="1" x14ac:dyDescent="0.2">
      <c r="B56" s="353"/>
      <c r="E56" s="301"/>
      <c r="F56" s="301"/>
      <c r="G56" s="302"/>
      <c r="H56" s="302"/>
      <c r="I56" s="301"/>
      <c r="J56" s="301"/>
      <c r="K56" s="301"/>
      <c r="L56" s="301"/>
    </row>
    <row r="57" spans="2:19" s="284" customFormat="1" ht="5.0999999999999996" customHeight="1" x14ac:dyDescent="0.2">
      <c r="B57" s="353"/>
      <c r="D57" s="287"/>
      <c r="E57" s="303"/>
      <c r="F57" s="303"/>
      <c r="G57" s="304"/>
      <c r="H57" s="304"/>
      <c r="I57" s="303"/>
      <c r="J57" s="303"/>
      <c r="K57" s="303"/>
      <c r="L57" s="303"/>
      <c r="M57" s="311"/>
    </row>
    <row r="58" spans="2:19" s="284" customFormat="1" x14ac:dyDescent="0.2">
      <c r="B58" s="353"/>
      <c r="D58" s="290"/>
      <c r="E58" s="325" t="s">
        <v>815</v>
      </c>
      <c r="F58" s="286"/>
      <c r="G58" s="285"/>
      <c r="H58" s="285"/>
      <c r="I58" s="286"/>
      <c r="J58" s="286"/>
      <c r="K58" s="286"/>
      <c r="M58" s="293"/>
      <c r="S58" s="1040" t="b">
        <v>0</v>
      </c>
    </row>
    <row r="59" spans="2:19" s="284" customFormat="1" x14ac:dyDescent="0.2">
      <c r="B59" s="353"/>
      <c r="D59" s="290"/>
      <c r="E59" s="306"/>
      <c r="F59" s="306"/>
      <c r="G59" s="425"/>
      <c r="H59" s="573"/>
      <c r="I59" s="306"/>
      <c r="J59" s="306"/>
      <c r="K59" s="306"/>
      <c r="L59" s="306"/>
      <c r="M59" s="293"/>
    </row>
    <row r="60" spans="2:19" s="284" customFormat="1" x14ac:dyDescent="0.2">
      <c r="B60" s="353"/>
      <c r="D60" s="290"/>
      <c r="E60" s="301" t="s">
        <v>870</v>
      </c>
      <c r="F60" s="757"/>
      <c r="G60" s="364"/>
      <c r="H60" s="364"/>
      <c r="I60" s="306"/>
      <c r="J60" s="379"/>
      <c r="K60" s="306"/>
      <c r="M60" s="293"/>
    </row>
    <row r="61" spans="2:19" s="284" customFormat="1" x14ac:dyDescent="0.2">
      <c r="B61" s="353"/>
      <c r="D61" s="290"/>
      <c r="E61" s="306"/>
      <c r="F61" s="306"/>
      <c r="G61" s="425"/>
      <c r="H61" s="573"/>
      <c r="I61" s="306"/>
      <c r="J61" s="306"/>
      <c r="K61" s="306"/>
      <c r="L61" s="306"/>
      <c r="M61" s="293"/>
    </row>
    <row r="62" spans="2:19" s="284" customFormat="1" x14ac:dyDescent="0.2">
      <c r="B62" s="353"/>
      <c r="D62" s="290"/>
      <c r="E62" s="328" t="s">
        <v>1109</v>
      </c>
      <c r="F62" s="380"/>
      <c r="G62" s="306"/>
      <c r="H62" s="306"/>
      <c r="I62" s="306"/>
      <c r="J62" s="379"/>
      <c r="K62" s="1198"/>
      <c r="L62" s="1198"/>
      <c r="M62" s="293"/>
    </row>
    <row r="63" spans="2:19" s="284" customFormat="1" x14ac:dyDescent="0.2">
      <c r="B63" s="353"/>
      <c r="D63" s="290"/>
      <c r="E63" s="547"/>
      <c r="F63" s="380"/>
      <c r="G63" s="306"/>
      <c r="H63" s="306"/>
      <c r="I63" s="306"/>
      <c r="J63" s="379"/>
      <c r="K63" s="425"/>
      <c r="L63" s="425"/>
      <c r="M63" s="293"/>
    </row>
    <row r="64" spans="2:19" s="284" customFormat="1" x14ac:dyDescent="0.2">
      <c r="B64" s="353"/>
      <c r="D64" s="290"/>
      <c r="E64" s="306" t="s">
        <v>1110</v>
      </c>
      <c r="F64" s="547"/>
      <c r="G64" s="1204"/>
      <c r="H64" s="1204"/>
      <c r="I64" s="1204"/>
      <c r="J64" s="1204"/>
      <c r="K64" s="1204"/>
      <c r="L64" s="1204"/>
      <c r="M64" s="293"/>
    </row>
    <row r="65" spans="1:19" s="284" customFormat="1" ht="8.1" customHeight="1" x14ac:dyDescent="0.2">
      <c r="B65" s="353"/>
      <c r="D65" s="297"/>
      <c r="E65" s="367"/>
      <c r="F65" s="367"/>
      <c r="G65" s="426"/>
      <c r="H65" s="426"/>
      <c r="I65" s="367"/>
      <c r="J65" s="367"/>
      <c r="K65" s="367"/>
      <c r="L65" s="367"/>
      <c r="M65" s="363"/>
    </row>
    <row r="66" spans="1:19" s="284" customFormat="1" ht="6" customHeight="1" x14ac:dyDescent="0.2">
      <c r="B66" s="353"/>
      <c r="E66" s="301"/>
      <c r="F66" s="301"/>
      <c r="G66" s="302"/>
      <c r="H66" s="302"/>
      <c r="I66" s="301"/>
      <c r="J66" s="301"/>
      <c r="K66" s="301"/>
      <c r="L66" s="301"/>
      <c r="M66" s="301"/>
    </row>
    <row r="67" spans="1:19" s="284" customFormat="1" ht="9" customHeight="1" x14ac:dyDescent="0.2">
      <c r="B67" s="353"/>
      <c r="D67" s="287"/>
      <c r="E67" s="303"/>
      <c r="F67" s="303"/>
      <c r="G67" s="304"/>
      <c r="H67" s="304"/>
      <c r="I67" s="303"/>
      <c r="J67" s="303"/>
      <c r="K67" s="303"/>
      <c r="L67" s="303"/>
      <c r="M67" s="311"/>
    </row>
    <row r="68" spans="1:19" s="284" customFormat="1" ht="12.75" customHeight="1" x14ac:dyDescent="0.2">
      <c r="B68" s="353"/>
      <c r="D68" s="290"/>
      <c r="E68" s="325" t="s">
        <v>1106</v>
      </c>
      <c r="F68" s="325"/>
      <c r="G68" s="325"/>
      <c r="H68" s="325"/>
      <c r="I68" s="325"/>
      <c r="J68" s="325"/>
      <c r="K68" s="286"/>
      <c r="L68" s="286"/>
      <c r="M68" s="293"/>
    </row>
    <row r="69" spans="1:19" s="284" customFormat="1" ht="12.75" customHeight="1" x14ac:dyDescent="0.2">
      <c r="B69" s="353"/>
      <c r="D69" s="290"/>
      <c r="E69" s="306"/>
      <c r="F69" s="306"/>
      <c r="G69" s="425"/>
      <c r="H69" s="573"/>
      <c r="I69" s="306"/>
      <c r="J69" s="306"/>
      <c r="K69" s="306"/>
      <c r="L69" s="306"/>
      <c r="M69" s="293"/>
    </row>
    <row r="70" spans="1:19" s="284" customFormat="1" x14ac:dyDescent="0.2">
      <c r="B70" s="353"/>
      <c r="D70" s="290"/>
      <c r="E70" s="1199"/>
      <c r="F70" s="1199"/>
      <c r="G70" s="1199"/>
      <c r="H70" s="1199"/>
      <c r="I70" s="1199"/>
      <c r="J70" s="1199"/>
      <c r="K70" s="1199"/>
      <c r="L70" s="1199"/>
      <c r="M70" s="293"/>
      <c r="S70" s="366">
        <f>E70</f>
        <v>0</v>
      </c>
    </row>
    <row r="71" spans="1:19" s="284" customFormat="1" x14ac:dyDescent="0.2">
      <c r="B71" s="353"/>
      <c r="D71" s="290"/>
      <c r="E71" s="1199"/>
      <c r="F71" s="1199"/>
      <c r="G71" s="1199"/>
      <c r="H71" s="1199"/>
      <c r="I71" s="1199"/>
      <c r="J71" s="1199"/>
      <c r="K71" s="1199"/>
      <c r="L71" s="1199"/>
      <c r="M71" s="293"/>
      <c r="S71" s="366">
        <f>E71</f>
        <v>0</v>
      </c>
    </row>
    <row r="72" spans="1:19" s="284" customFormat="1" ht="11.85" customHeight="1" x14ac:dyDescent="0.2">
      <c r="B72" s="353"/>
      <c r="D72" s="297"/>
      <c r="E72" s="298"/>
      <c r="F72" s="298"/>
      <c r="G72" s="299"/>
      <c r="H72" s="299"/>
      <c r="I72" s="298"/>
      <c r="J72" s="298"/>
      <c r="K72" s="298"/>
      <c r="L72" s="298"/>
      <c r="M72" s="313"/>
    </row>
    <row r="73" spans="1:19" s="284" customFormat="1" ht="6" customHeight="1" x14ac:dyDescent="0.2">
      <c r="B73" s="353"/>
      <c r="E73" s="301"/>
      <c r="F73" s="301"/>
      <c r="G73" s="302"/>
      <c r="H73" s="302"/>
      <c r="I73" s="301"/>
      <c r="J73" s="301"/>
      <c r="K73" s="301"/>
      <c r="L73" s="301"/>
      <c r="M73" s="301"/>
    </row>
    <row r="74" spans="1:19" s="284" customFormat="1" ht="9" customHeight="1" x14ac:dyDescent="0.2">
      <c r="B74" s="353"/>
      <c r="D74" s="287"/>
      <c r="E74" s="303"/>
      <c r="F74" s="303"/>
      <c r="G74" s="304"/>
      <c r="H74" s="304"/>
      <c r="I74" s="303"/>
      <c r="J74" s="303"/>
      <c r="K74" s="303"/>
      <c r="L74" s="303"/>
      <c r="M74" s="311"/>
    </row>
    <row r="75" spans="1:19" s="284" customFormat="1" ht="12.75" customHeight="1" x14ac:dyDescent="0.2">
      <c r="B75" s="353"/>
      <c r="D75" s="290"/>
      <c r="E75" s="325" t="s">
        <v>1122</v>
      </c>
      <c r="F75" s="325"/>
      <c r="G75" s="325"/>
      <c r="H75" s="325"/>
      <c r="I75" s="325"/>
      <c r="J75" s="757"/>
      <c r="K75" s="286"/>
      <c r="L75" s="286"/>
      <c r="M75" s="293"/>
    </row>
    <row r="76" spans="1:19" s="284" customFormat="1" ht="7.15" customHeight="1" x14ac:dyDescent="0.2">
      <c r="B76" s="353"/>
      <c r="D76" s="297"/>
      <c r="E76" s="298"/>
      <c r="F76" s="298"/>
      <c r="G76" s="299"/>
      <c r="H76" s="299"/>
      <c r="I76" s="298"/>
      <c r="J76" s="298"/>
      <c r="K76" s="298"/>
      <c r="L76" s="298"/>
      <c r="M76" s="313"/>
    </row>
    <row r="77" spans="1:19" s="284" customFormat="1" ht="6" customHeight="1" x14ac:dyDescent="0.2">
      <c r="B77" s="306"/>
      <c r="E77" s="306"/>
      <c r="F77" s="306"/>
      <c r="G77" s="425"/>
      <c r="H77" s="573"/>
      <c r="I77" s="306"/>
      <c r="J77" s="306"/>
      <c r="K77" s="306"/>
      <c r="L77" s="306"/>
    </row>
    <row r="78" spans="1:19" s="296" customFormat="1" ht="21" customHeight="1" x14ac:dyDescent="0.2">
      <c r="B78" s="351"/>
      <c r="D78" s="238" t="s">
        <v>1221</v>
      </c>
      <c r="F78" s="238"/>
      <c r="I78" s="352"/>
      <c r="J78" s="352"/>
      <c r="K78" s="352"/>
      <c r="L78" s="352"/>
      <c r="M78" s="352"/>
      <c r="N78" s="352"/>
      <c r="O78" s="352"/>
    </row>
    <row r="79" spans="1:19" s="284" customFormat="1" ht="6.75" customHeight="1" x14ac:dyDescent="0.2">
      <c r="A79" s="301"/>
      <c r="B79" s="353"/>
      <c r="C79" s="353"/>
      <c r="D79" s="353"/>
      <c r="E79" s="353"/>
      <c r="F79" s="354"/>
      <c r="G79" s="353"/>
      <c r="H79" s="353"/>
      <c r="I79" s="355"/>
      <c r="J79" s="356"/>
      <c r="K79" s="355"/>
      <c r="L79" s="355"/>
      <c r="M79" s="355"/>
      <c r="O79" s="352"/>
    </row>
    <row r="80" spans="1:19" s="284" customFormat="1" ht="6" customHeight="1" x14ac:dyDescent="0.2">
      <c r="A80" s="301"/>
      <c r="B80" s="353"/>
      <c r="C80" s="301"/>
      <c r="D80" s="301"/>
      <c r="E80" s="301"/>
      <c r="F80" s="325"/>
      <c r="G80" s="301"/>
      <c r="H80" s="301"/>
      <c r="I80" s="306"/>
      <c r="J80" s="425"/>
      <c r="K80" s="306"/>
      <c r="L80" s="306"/>
      <c r="M80" s="306"/>
      <c r="N80" s="306"/>
      <c r="O80" s="1161" t="s">
        <v>2000</v>
      </c>
      <c r="P80" s="1161"/>
      <c r="Q80" s="1161"/>
    </row>
    <row r="81" spans="2:17" s="284" customFormat="1" ht="5.0999999999999996" customHeight="1" x14ac:dyDescent="0.2">
      <c r="B81" s="353"/>
      <c r="C81" s="301"/>
      <c r="D81" s="357"/>
      <c r="E81" s="358"/>
      <c r="F81" s="358"/>
      <c r="G81" s="359"/>
      <c r="H81" s="359"/>
      <c r="I81" s="358"/>
      <c r="J81" s="358"/>
      <c r="K81" s="358"/>
      <c r="L81" s="358"/>
      <c r="M81" s="368"/>
      <c r="O81" s="1161"/>
      <c r="P81" s="1161"/>
      <c r="Q81" s="1161"/>
    </row>
    <row r="82" spans="2:17" s="284" customFormat="1" x14ac:dyDescent="0.2">
      <c r="B82" s="353"/>
      <c r="C82" s="301"/>
      <c r="D82" s="360"/>
      <c r="E82" s="322" t="s">
        <v>941</v>
      </c>
      <c r="F82" s="306"/>
      <c r="G82" s="425"/>
      <c r="H82" s="573"/>
      <c r="I82" s="306"/>
      <c r="J82" s="306"/>
      <c r="K82" s="306"/>
      <c r="L82" s="306"/>
      <c r="M82" s="361"/>
      <c r="O82" s="1161"/>
      <c r="P82" s="1161"/>
      <c r="Q82" s="1161"/>
    </row>
    <row r="83" spans="2:17" s="284" customFormat="1" x14ac:dyDescent="0.2">
      <c r="B83" s="353"/>
      <c r="C83" s="301"/>
      <c r="D83" s="360"/>
      <c r="E83" s="306"/>
      <c r="F83" s="306"/>
      <c r="G83" s="425"/>
      <c r="H83" s="573"/>
      <c r="I83" s="380"/>
      <c r="K83" s="306"/>
      <c r="L83" s="306"/>
      <c r="M83" s="361"/>
      <c r="O83" s="1161"/>
      <c r="P83" s="1161"/>
      <c r="Q83" s="1161"/>
    </row>
    <row r="84" spans="2:17" s="284" customFormat="1" x14ac:dyDescent="0.2">
      <c r="B84" s="353"/>
      <c r="C84" s="301"/>
      <c r="D84" s="360"/>
      <c r="E84" s="306" t="s">
        <v>955</v>
      </c>
      <c r="F84" s="306"/>
      <c r="G84" s="1196"/>
      <c r="H84" s="1196"/>
      <c r="J84" s="306" t="s">
        <v>872</v>
      </c>
      <c r="K84" s="1230"/>
      <c r="L84" s="1230"/>
      <c r="M84" s="361"/>
      <c r="O84" s="1161"/>
      <c r="P84" s="1161"/>
      <c r="Q84" s="1161"/>
    </row>
    <row r="85" spans="2:17" s="284" customFormat="1" x14ac:dyDescent="0.2">
      <c r="B85" s="353"/>
      <c r="C85" s="301"/>
      <c r="D85" s="360"/>
      <c r="E85" s="314" t="s">
        <v>956</v>
      </c>
      <c r="F85" s="306"/>
      <c r="G85" s="306"/>
      <c r="H85" s="306"/>
      <c r="I85" s="700"/>
      <c r="K85" s="306"/>
      <c r="L85" s="306"/>
      <c r="M85" s="361"/>
      <c r="O85" s="1161"/>
      <c r="P85" s="1161"/>
      <c r="Q85" s="1161"/>
    </row>
    <row r="86" spans="2:17" s="284" customFormat="1" x14ac:dyDescent="0.2">
      <c r="B86" s="353"/>
      <c r="C86" s="301"/>
      <c r="D86" s="360"/>
      <c r="F86" s="306"/>
      <c r="G86" s="364"/>
      <c r="H86" s="364"/>
      <c r="I86" s="306"/>
      <c r="J86" s="306"/>
      <c r="K86" s="306"/>
      <c r="L86" s="425"/>
      <c r="M86" s="361"/>
      <c r="O86" s="1161"/>
      <c r="P86" s="1161"/>
      <c r="Q86" s="1161"/>
    </row>
    <row r="87" spans="2:17" s="284" customFormat="1" x14ac:dyDescent="0.2">
      <c r="B87" s="353"/>
      <c r="C87" s="301"/>
      <c r="D87" s="360"/>
      <c r="E87" s="735" t="s">
        <v>996</v>
      </c>
      <c r="G87" s="306"/>
      <c r="H87" s="1012" t="str">
        <f>IF(L87&lt;&gt;"","",IF(MU_maxLB&lt;&gt;"",MU_maxLB,IF(MU_glAusb&lt;&gt;"",MU_glAusb,IF(MU_AnspFu&lt;&gt;"",MU_AnspFu,IF(MULohnberechnung&lt;&gt;"",MULohnberechnung,"")))))</f>
        <v/>
      </c>
      <c r="I87" s="735" t="s">
        <v>1200</v>
      </c>
      <c r="K87" s="306"/>
      <c r="L87" s="1008"/>
      <c r="M87" s="361"/>
      <c r="O87" s="1161"/>
      <c r="P87" s="1161"/>
      <c r="Q87" s="1161"/>
    </row>
    <row r="88" spans="2:17" s="284" customFormat="1" x14ac:dyDescent="0.2">
      <c r="B88" s="353"/>
      <c r="C88" s="301"/>
      <c r="D88" s="360"/>
      <c r="E88" s="306"/>
      <c r="F88" s="306"/>
      <c r="G88" s="425"/>
      <c r="H88" s="573"/>
      <c r="I88" s="380"/>
      <c r="J88" s="306"/>
      <c r="K88" s="306"/>
      <c r="L88" s="306"/>
      <c r="M88" s="361"/>
      <c r="O88" s="1161"/>
      <c r="P88" s="1161"/>
      <c r="Q88" s="1161"/>
    </row>
    <row r="89" spans="2:17" s="284" customFormat="1" x14ac:dyDescent="0.2">
      <c r="B89" s="353"/>
      <c r="C89" s="301"/>
      <c r="D89" s="360"/>
      <c r="E89" s="245" t="s">
        <v>966</v>
      </c>
      <c r="F89" s="245"/>
      <c r="G89" s="1135"/>
      <c r="H89" s="1135"/>
      <c r="I89" s="665" t="s">
        <v>1069</v>
      </c>
      <c r="J89" s="245"/>
      <c r="K89" s="1141" t="str">
        <f>_xlfn.IFNA(VLOOKUP(G89,Stammdaten_DropDown!$B$14:$C$55,2,FALSE),"")</f>
        <v/>
      </c>
      <c r="L89" s="1141"/>
      <c r="M89" s="361"/>
      <c r="O89" s="1161"/>
      <c r="P89" s="1161"/>
      <c r="Q89" s="1161"/>
    </row>
    <row r="90" spans="2:17" s="284" customFormat="1" x14ac:dyDescent="0.2">
      <c r="B90" s="353"/>
      <c r="C90" s="301"/>
      <c r="D90" s="360"/>
      <c r="E90" s="306"/>
      <c r="F90" s="306"/>
      <c r="G90" s="425"/>
      <c r="H90" s="573"/>
      <c r="I90" s="306"/>
      <c r="J90" s="306"/>
      <c r="K90" s="306"/>
      <c r="L90" s="306"/>
      <c r="M90" s="361"/>
      <c r="O90" s="1161"/>
      <c r="P90" s="1161"/>
      <c r="Q90" s="1161"/>
    </row>
    <row r="91" spans="2:17" s="284" customFormat="1" ht="12.95" customHeight="1" x14ac:dyDescent="0.2">
      <c r="B91" s="353"/>
      <c r="C91" s="301"/>
      <c r="D91" s="360"/>
      <c r="E91" s="245" t="str">
        <f>IF(AND(S58=FALSE,G16&lt;&gt;""),"LOGIB-Code bereits vorhanden","Höchstausbildung LOGIB*")</f>
        <v>Höchstausbildung LOGIB*</v>
      </c>
      <c r="F91" s="306"/>
      <c r="G91" s="846"/>
      <c r="H91" s="1208"/>
      <c r="I91" s="1208"/>
      <c r="J91" s="1208"/>
      <c r="K91" s="1208"/>
      <c r="L91" s="1208"/>
      <c r="M91" s="999">
        <f>IF(AND(S58=TRUE,H91=""),1,0)</f>
        <v>0</v>
      </c>
      <c r="O91" s="1161"/>
      <c r="P91" s="1161"/>
      <c r="Q91" s="1161"/>
    </row>
    <row r="92" spans="2:17" s="284" customFormat="1" x14ac:dyDescent="0.2">
      <c r="B92" s="353"/>
      <c r="C92" s="301"/>
      <c r="D92" s="360"/>
      <c r="E92" s="986" t="str">
        <f>IF(S58=TRUE,"(zwingend auszufüllen)","(zwingend auszufüllen falls sich das Ausbildungsniveau geändert hat)")</f>
        <v>(zwingend auszufüllen falls sich das Ausbildungsniveau geändert hat)</v>
      </c>
      <c r="F92" s="306"/>
      <c r="G92" s="846"/>
      <c r="H92" s="846"/>
      <c r="I92" s="306"/>
      <c r="J92" s="306"/>
      <c r="K92" s="306"/>
      <c r="L92" s="306"/>
      <c r="M92" s="361"/>
      <c r="O92" s="1161"/>
      <c r="P92" s="1161"/>
      <c r="Q92" s="1161"/>
    </row>
    <row r="93" spans="2:17" s="284" customFormat="1" x14ac:dyDescent="0.2">
      <c r="B93" s="353"/>
      <c r="C93" s="301"/>
      <c r="D93" s="360"/>
      <c r="E93" s="1205" t="s">
        <v>946</v>
      </c>
      <c r="F93" s="1205"/>
      <c r="G93" s="1229"/>
      <c r="H93" s="1229"/>
      <c r="I93" s="1229"/>
      <c r="J93" s="1229"/>
      <c r="K93" s="1229"/>
      <c r="L93" s="1229"/>
      <c r="M93" s="361"/>
      <c r="O93" s="1161"/>
      <c r="P93" s="1161"/>
      <c r="Q93" s="1161"/>
    </row>
    <row r="94" spans="2:17" s="284" customFormat="1" ht="8.1" customHeight="1" x14ac:dyDescent="0.2">
      <c r="B94" s="353"/>
      <c r="C94" s="301"/>
      <c r="D94" s="362"/>
      <c r="E94" s="369"/>
      <c r="F94" s="369"/>
      <c r="G94" s="369"/>
      <c r="H94" s="369"/>
      <c r="I94" s="369"/>
      <c r="J94" s="369"/>
      <c r="K94" s="369"/>
      <c r="L94" s="369"/>
      <c r="M94" s="363"/>
      <c r="O94" s="1161"/>
      <c r="P94" s="1161"/>
      <c r="Q94" s="1161"/>
    </row>
    <row r="95" spans="2:17" s="284" customFormat="1" ht="6" customHeight="1" x14ac:dyDescent="0.2">
      <c r="B95" s="353"/>
      <c r="C95" s="301"/>
      <c r="D95" s="301"/>
      <c r="E95" s="306"/>
      <c r="F95" s="306"/>
      <c r="G95" s="425"/>
      <c r="H95" s="573"/>
      <c r="I95" s="306"/>
      <c r="J95" s="306"/>
      <c r="K95" s="306"/>
      <c r="L95" s="306"/>
      <c r="M95" s="306"/>
      <c r="O95" s="1161"/>
      <c r="P95" s="1161"/>
      <c r="Q95" s="1161"/>
    </row>
    <row r="96" spans="2:17" s="284" customFormat="1" ht="5.0999999999999996" customHeight="1" x14ac:dyDescent="0.2">
      <c r="B96" s="353"/>
      <c r="C96" s="301"/>
      <c r="D96" s="357"/>
      <c r="E96" s="303"/>
      <c r="F96" s="303"/>
      <c r="G96" s="304"/>
      <c r="H96" s="304"/>
      <c r="I96" s="303"/>
      <c r="J96" s="303"/>
      <c r="K96" s="303"/>
      <c r="L96" s="303"/>
      <c r="M96" s="305"/>
      <c r="O96" s="1161"/>
      <c r="P96" s="1161"/>
      <c r="Q96" s="1161"/>
    </row>
    <row r="97" spans="2:19" s="284" customFormat="1" x14ac:dyDescent="0.2">
      <c r="B97" s="353"/>
      <c r="C97" s="301"/>
      <c r="D97" s="360"/>
      <c r="E97" s="1200" t="s">
        <v>978</v>
      </c>
      <c r="F97" s="1200"/>
      <c r="G97" s="1200"/>
      <c r="H97" s="1200"/>
      <c r="I97" s="1200"/>
      <c r="J97" s="1200"/>
      <c r="K97" s="1200"/>
      <c r="L97" s="306"/>
      <c r="M97" s="361"/>
      <c r="O97" s="1161"/>
      <c r="P97" s="1161"/>
      <c r="Q97" s="1161"/>
    </row>
    <row r="98" spans="2:19" s="284" customFormat="1" x14ac:dyDescent="0.2">
      <c r="B98" s="353"/>
      <c r="C98" s="301"/>
      <c r="D98" s="360"/>
      <c r="E98" s="306"/>
      <c r="F98" s="306"/>
      <c r="G98" s="425"/>
      <c r="H98" s="573"/>
      <c r="I98" s="306"/>
      <c r="J98" s="306"/>
      <c r="K98" s="306"/>
      <c r="L98" s="306"/>
      <c r="M98" s="361"/>
      <c r="O98" s="1161"/>
      <c r="P98" s="1161"/>
      <c r="Q98" s="1161"/>
      <c r="S98" s="284" t="s">
        <v>973</v>
      </c>
    </row>
    <row r="99" spans="2:19" s="284" customFormat="1" x14ac:dyDescent="0.2">
      <c r="B99" s="353"/>
      <c r="C99" s="301"/>
      <c r="D99" s="360"/>
      <c r="E99" s="1199"/>
      <c r="F99" s="1199"/>
      <c r="G99" s="1199"/>
      <c r="H99" s="1199"/>
      <c r="I99" s="1199"/>
      <c r="J99" s="1199"/>
      <c r="K99" s="1199"/>
      <c r="L99" s="1199"/>
      <c r="M99" s="361"/>
      <c r="O99" s="1161"/>
      <c r="P99" s="1161"/>
      <c r="Q99" s="1161"/>
      <c r="S99" s="366"/>
    </row>
    <row r="100" spans="2:19" s="284" customFormat="1" x14ac:dyDescent="0.2">
      <c r="B100" s="353"/>
      <c r="C100" s="301"/>
      <c r="D100" s="360"/>
      <c r="E100" s="1199"/>
      <c r="F100" s="1199"/>
      <c r="G100" s="1199"/>
      <c r="H100" s="1199"/>
      <c r="I100" s="1199"/>
      <c r="J100" s="1199"/>
      <c r="K100" s="1199"/>
      <c r="L100" s="1199"/>
      <c r="M100" s="361"/>
      <c r="O100" s="1161"/>
      <c r="P100" s="1161"/>
      <c r="Q100" s="1161"/>
      <c r="S100" s="366"/>
    </row>
    <row r="101" spans="2:19" s="284" customFormat="1" x14ac:dyDescent="0.2">
      <c r="B101" s="353"/>
      <c r="C101" s="301"/>
      <c r="D101" s="360"/>
      <c r="E101" s="1199"/>
      <c r="F101" s="1199"/>
      <c r="G101" s="1199"/>
      <c r="H101" s="1199"/>
      <c r="I101" s="1199"/>
      <c r="J101" s="1199"/>
      <c r="K101" s="1199"/>
      <c r="L101" s="1199"/>
      <c r="M101" s="361"/>
      <c r="O101" s="1161"/>
      <c r="P101" s="1161"/>
      <c r="Q101" s="1161"/>
      <c r="S101" s="366">
        <f>E101</f>
        <v>0</v>
      </c>
    </row>
    <row r="102" spans="2:19" s="284" customFormat="1" ht="8.1" customHeight="1" x14ac:dyDescent="0.2">
      <c r="B102" s="353"/>
      <c r="C102" s="301"/>
      <c r="D102" s="362"/>
      <c r="E102" s="298"/>
      <c r="F102" s="298"/>
      <c r="G102" s="299"/>
      <c r="H102" s="299"/>
      <c r="I102" s="298"/>
      <c r="J102" s="298"/>
      <c r="K102" s="298"/>
      <c r="L102" s="298"/>
      <c r="M102" s="363"/>
      <c r="O102" s="1161"/>
      <c r="P102" s="1161"/>
      <c r="Q102" s="1161"/>
    </row>
    <row r="103" spans="2:19" s="284" customFormat="1" ht="6" customHeight="1" x14ac:dyDescent="0.2">
      <c r="B103" s="353"/>
      <c r="C103" s="301"/>
      <c r="D103" s="301"/>
      <c r="E103" s="301"/>
      <c r="F103" s="301"/>
      <c r="G103" s="302"/>
      <c r="H103" s="302"/>
      <c r="I103" s="301"/>
      <c r="J103" s="301"/>
      <c r="K103" s="301"/>
      <c r="L103" s="301"/>
      <c r="M103" s="301"/>
      <c r="O103" s="1161"/>
      <c r="P103" s="1161"/>
      <c r="Q103" s="1161"/>
    </row>
    <row r="104" spans="2:19" s="284" customFormat="1" ht="5.0999999999999996" customHeight="1" x14ac:dyDescent="0.2">
      <c r="B104" s="353"/>
      <c r="C104" s="301"/>
      <c r="D104" s="357"/>
      <c r="E104" s="303"/>
      <c r="F104" s="303"/>
      <c r="G104" s="304"/>
      <c r="H104" s="304"/>
      <c r="I104" s="303"/>
      <c r="J104" s="303"/>
      <c r="K104" s="303"/>
      <c r="L104" s="303"/>
      <c r="M104" s="305"/>
    </row>
    <row r="105" spans="2:19" s="284" customFormat="1" x14ac:dyDescent="0.2">
      <c r="B105" s="353"/>
      <c r="C105" s="301"/>
      <c r="D105" s="360"/>
      <c r="E105" s="1200" t="s">
        <v>767</v>
      </c>
      <c r="F105" s="1200"/>
      <c r="G105" s="1200"/>
      <c r="H105" s="574"/>
      <c r="I105" s="306"/>
      <c r="J105" s="306"/>
      <c r="K105" s="306"/>
      <c r="L105" s="306"/>
      <c r="M105" s="361"/>
    </row>
    <row r="106" spans="2:19" s="284" customFormat="1" x14ac:dyDescent="0.2">
      <c r="B106" s="353"/>
      <c r="C106" s="301"/>
      <c r="D106" s="360"/>
      <c r="E106" s="306"/>
      <c r="F106" s="306"/>
      <c r="G106" s="425"/>
      <c r="H106" s="573"/>
      <c r="I106" s="306"/>
      <c r="J106" s="306"/>
      <c r="K106" s="306"/>
      <c r="L106" s="306"/>
      <c r="M106" s="361"/>
    </row>
    <row r="107" spans="2:19" s="284" customFormat="1" x14ac:dyDescent="0.2">
      <c r="B107" s="353"/>
      <c r="C107" s="301"/>
      <c r="D107" s="360"/>
      <c r="E107" s="1199"/>
      <c r="F107" s="1199"/>
      <c r="G107" s="1199"/>
      <c r="H107" s="1199"/>
      <c r="I107" s="1199"/>
      <c r="J107" s="1199"/>
      <c r="K107" s="1199"/>
      <c r="L107" s="1199"/>
      <c r="M107" s="361"/>
      <c r="S107" s="366">
        <f>E107</f>
        <v>0</v>
      </c>
    </row>
    <row r="108" spans="2:19" s="284" customFormat="1" x14ac:dyDescent="0.2">
      <c r="B108" s="353"/>
      <c r="C108" s="301"/>
      <c r="D108" s="360"/>
      <c r="E108" s="1199"/>
      <c r="F108" s="1199"/>
      <c r="G108" s="1199"/>
      <c r="H108" s="1199"/>
      <c r="I108" s="1199"/>
      <c r="J108" s="1199"/>
      <c r="K108" s="1199"/>
      <c r="L108" s="1199"/>
      <c r="M108" s="361"/>
      <c r="S108" s="366">
        <f>E108</f>
        <v>0</v>
      </c>
    </row>
    <row r="109" spans="2:19" s="284" customFormat="1" x14ac:dyDescent="0.2">
      <c r="B109" s="353"/>
      <c r="C109" s="301"/>
      <c r="D109" s="360"/>
      <c r="E109" s="1199"/>
      <c r="F109" s="1199"/>
      <c r="G109" s="1199"/>
      <c r="H109" s="1199"/>
      <c r="I109" s="1199"/>
      <c r="J109" s="1199"/>
      <c r="K109" s="1199"/>
      <c r="L109" s="1199"/>
      <c r="M109" s="361"/>
      <c r="S109" s="366">
        <f>E109</f>
        <v>0</v>
      </c>
    </row>
    <row r="110" spans="2:19" s="284" customFormat="1" ht="8.1" customHeight="1" x14ac:dyDescent="0.2">
      <c r="B110" s="353"/>
      <c r="C110" s="301"/>
      <c r="D110" s="362"/>
      <c r="E110" s="298"/>
      <c r="F110" s="298"/>
      <c r="G110" s="299"/>
      <c r="H110" s="299"/>
      <c r="I110" s="298"/>
      <c r="J110" s="298"/>
      <c r="K110" s="298"/>
      <c r="L110" s="298"/>
      <c r="M110" s="363"/>
    </row>
    <row r="111" spans="2:19" s="284" customFormat="1" ht="6" customHeight="1" x14ac:dyDescent="0.2">
      <c r="B111" s="353"/>
      <c r="C111" s="301"/>
      <c r="D111" s="301"/>
      <c r="E111" s="306"/>
      <c r="F111" s="306"/>
      <c r="G111" s="425"/>
      <c r="H111" s="573"/>
      <c r="I111" s="306"/>
      <c r="J111" s="306"/>
      <c r="K111" s="306"/>
      <c r="L111" s="306"/>
      <c r="M111" s="301"/>
    </row>
    <row r="112" spans="2:19" s="284" customFormat="1" ht="5.0999999999999996" customHeight="1" x14ac:dyDescent="0.2">
      <c r="B112" s="353"/>
      <c r="C112" s="301"/>
      <c r="D112" s="202"/>
      <c r="E112" s="67"/>
      <c r="F112" s="67"/>
      <c r="G112" s="68"/>
      <c r="H112" s="68"/>
      <c r="I112" s="67"/>
      <c r="J112" s="67"/>
      <c r="K112" s="67"/>
      <c r="L112" s="67"/>
      <c r="M112" s="203"/>
    </row>
    <row r="113" spans="2:18" s="284" customFormat="1" x14ac:dyDescent="0.2">
      <c r="B113" s="353"/>
      <c r="C113" s="301"/>
      <c r="D113" s="204"/>
      <c r="E113" s="210" t="s">
        <v>929</v>
      </c>
      <c r="F113" s="210"/>
      <c r="G113" s="320"/>
      <c r="H113" s="320"/>
      <c r="I113" s="319"/>
      <c r="J113" s="319"/>
      <c r="K113" s="319"/>
      <c r="L113" s="319"/>
      <c r="M113" s="266"/>
      <c r="O113" s="1209" t="str">
        <f>Stammdaten_DropDown!A114</f>
        <v>Lohnentwicklung</v>
      </c>
      <c r="P113" s="1209"/>
      <c r="Q113" s="1209"/>
    </row>
    <row r="114" spans="2:18" s="284" customFormat="1" ht="6" customHeight="1" x14ac:dyDescent="0.2">
      <c r="B114" s="353"/>
      <c r="C114" s="301"/>
      <c r="D114" s="204"/>
      <c r="E114" s="245"/>
      <c r="F114" s="245"/>
      <c r="G114" s="535"/>
      <c r="H114" s="572"/>
      <c r="I114" s="245"/>
      <c r="J114" s="245"/>
      <c r="K114" s="245"/>
      <c r="L114" s="245"/>
      <c r="M114" s="266"/>
      <c r="O114" s="865"/>
    </row>
    <row r="115" spans="2:18" s="284" customFormat="1" x14ac:dyDescent="0.2">
      <c r="B115" s="353"/>
      <c r="C115" s="301"/>
      <c r="D115" s="204"/>
      <c r="E115" s="245" t="s">
        <v>940</v>
      </c>
      <c r="F115" s="245"/>
      <c r="G115" s="535"/>
      <c r="H115" s="572"/>
      <c r="I115" s="245"/>
      <c r="J115" s="245"/>
      <c r="K115" s="1166"/>
      <c r="L115" s="1166"/>
      <c r="M115" s="266"/>
      <c r="O115" s="1207" t="str">
        <f>Stammdaten_DropDown!A115</f>
        <v>Bitte angeben, ob eine individuelle Lohnentwicklung gewährt werden soll.</v>
      </c>
      <c r="P115" s="1207"/>
      <c r="Q115" s="1207"/>
      <c r="R115" s="1207"/>
    </row>
    <row r="116" spans="2:18" s="284" customFormat="1" x14ac:dyDescent="0.2">
      <c r="B116" s="353"/>
      <c r="C116" s="301"/>
      <c r="D116" s="204"/>
      <c r="E116" s="245"/>
      <c r="F116" s="245"/>
      <c r="G116" s="535"/>
      <c r="H116" s="572"/>
      <c r="I116" s="245"/>
      <c r="J116" s="245"/>
      <c r="K116" s="245"/>
      <c r="L116" s="245"/>
      <c r="M116" s="266"/>
      <c r="O116" s="1207" t="str">
        <f>Stammdaten_DropDown!A116</f>
        <v>Bei einem Neueintritt nach dem 01.07.2026 ist keine individuelle Lohnentwicklung vorgesehen.</v>
      </c>
      <c r="P116" s="1207"/>
      <c r="Q116" s="1207"/>
      <c r="R116" s="1207"/>
    </row>
    <row r="117" spans="2:18" s="284" customFormat="1" x14ac:dyDescent="0.2">
      <c r="B117" s="353"/>
      <c r="C117" s="301"/>
      <c r="D117" s="204"/>
      <c r="E117" s="275" t="s">
        <v>764</v>
      </c>
      <c r="F117" s="244"/>
      <c r="G117" s="1231" t="str">
        <f>IF(ISBLANK($K$115),IFERROR(IF(LB_maxLB&lt;&gt;"",LB_maxLB,IF(LB_glAusb&lt;&gt;"",LB_glAusb,IF(LB_anspFu&lt;&gt;"",LB_anspFu,IF(BandLohnBer="",IF(BandLohnRechner="","",BandLohnRechner),IF(BandLohnRechner="",BandLohnBer,"FEHLER"))))),""),"-")</f>
        <v/>
      </c>
      <c r="H117" s="1231"/>
      <c r="I117" s="680" t="s">
        <v>808</v>
      </c>
      <c r="K117" s="244"/>
      <c r="L117" s="756" t="str">
        <f ca="1">IF(ISBLANK($K$115),IFERROR(IF(EW_maxLB&lt;&gt;"",EW_maxLB,IF(EW_glAusb&lt;&gt;"",EW_glAusb,IF(EW_anspFu&lt;&gt;"",EW_anspFu,IF(EWLohnBer="",IF(EWLohnRechner="","",EWLohnRechner),IF(EWLohnRechner="",EWLohnBer,"FEHLER"))))),""),"-")</f>
        <v/>
      </c>
      <c r="M117" s="266"/>
      <c r="O117" s="1207" t="str">
        <f>Stammdaten_DropDown!A117</f>
        <v>In dem Fall ist das Prädikat auf dem Wert «NA» (keine Beurteilung) zu belassen.</v>
      </c>
      <c r="P117" s="1207"/>
      <c r="Q117" s="1207"/>
      <c r="R117" s="1207"/>
    </row>
    <row r="118" spans="2:18" s="284" customFormat="1" x14ac:dyDescent="0.2">
      <c r="B118" s="353"/>
      <c r="C118" s="301"/>
      <c r="D118" s="204"/>
      <c r="E118" s="429" t="b">
        <f>AND(BandLohnBer&lt;&gt;"",BandLohnRechner&lt;&gt;"")</f>
        <v>0</v>
      </c>
      <c r="F118" s="245"/>
      <c r="G118" s="536" t="str">
        <f>IF(E118,"2 Lohnbänder gefunden","")</f>
        <v/>
      </c>
      <c r="H118" s="570"/>
      <c r="I118" s="668"/>
      <c r="J118" s="429" t="b">
        <f>AND(EWLohnBer&lt;&gt;"",EWLohnRechner&lt;&gt;"")</f>
        <v>0</v>
      </c>
      <c r="K118" s="1173" t="str">
        <f>IF(J118,"2 Erfahrungswerte gefunden","")</f>
        <v/>
      </c>
      <c r="L118" s="1173"/>
      <c r="M118" s="266"/>
      <c r="O118" s="865"/>
    </row>
    <row r="119" spans="2:18" s="284" customFormat="1" x14ac:dyDescent="0.2">
      <c r="B119" s="353"/>
      <c r="C119" s="301"/>
      <c r="D119" s="204"/>
      <c r="E119" s="731"/>
      <c r="F119" s="244"/>
      <c r="G119" s="244"/>
      <c r="H119" s="244"/>
      <c r="I119" s="680" t="s">
        <v>1100</v>
      </c>
      <c r="K119" s="1201" t="str">
        <f ca="1">IF(ISBLANK($K$115),IFERROR(IF(Lohn_maxLB&lt;&gt;"",Lohn_maxLB,IF(Lohn_glAusb&lt;&gt;"",Lohn_glAusb,IF(Lohn_anspFu&lt;&gt;"",Lohn_anspFu,IF(LohnLohnBer="",IF(LohnLohnRechner="","",LohnLohnRechner),IF(LohnLohnRechner="",LohnLohnBer,"FEHLER"))))),""),"-")</f>
        <v/>
      </c>
      <c r="L119" s="1201"/>
      <c r="M119" s="62"/>
      <c r="O119" s="1206" t="str">
        <f>Stammdaten_DropDown!A118</f>
        <v xml:space="preserve">Falls eine individuelle  Lohnentwicklung gewährt werden soll, ist das entsprechende Prädikat aus der relevanten MAG-Phase im Dropdown-Menu auszuwählen. </v>
      </c>
      <c r="P119" s="1206"/>
      <c r="Q119" s="1206"/>
    </row>
    <row r="120" spans="2:18" s="284" customFormat="1" x14ac:dyDescent="0.2">
      <c r="B120" s="353"/>
      <c r="C120" s="301"/>
      <c r="D120" s="204"/>
      <c r="E120" s="245"/>
      <c r="F120" s="245"/>
      <c r="G120" s="245"/>
      <c r="H120" s="245"/>
      <c r="I120" s="245"/>
      <c r="J120" s="429" t="b">
        <f>AND(LohnLohnBer&lt;&gt;"",LohnLohnRechner&lt;&gt;"")</f>
        <v>0</v>
      </c>
      <c r="K120" s="1173" t="str">
        <f>IF(J120,"2 Löhne gefunden","")</f>
        <v/>
      </c>
      <c r="L120" s="1173"/>
      <c r="M120" s="266"/>
      <c r="O120" s="1206"/>
      <c r="P120" s="1206"/>
      <c r="Q120" s="1206"/>
    </row>
    <row r="121" spans="2:18" s="284" customFormat="1" x14ac:dyDescent="0.2">
      <c r="B121" s="353"/>
      <c r="C121" s="301"/>
      <c r="D121" s="204"/>
      <c r="E121" s="245" t="str">
        <f>CONCATENATE("Lohnentwicklung per 01.01.",LohntabelleM!I1+1," gewähren?")</f>
        <v>Lohnentwicklung per 01.01.2027 gewähren?</v>
      </c>
      <c r="F121" s="245"/>
      <c r="G121" s="245"/>
      <c r="H121" s="1005"/>
      <c r="I121" s="245"/>
      <c r="J121" s="429"/>
      <c r="K121" s="862" t="s">
        <v>1948</v>
      </c>
      <c r="L121" s="869" t="str">
        <f>M121</f>
        <v/>
      </c>
      <c r="M121" s="858" t="str">
        <f>IF(H121="Ja","A",IF(H121="Nein","NA",""))</f>
        <v/>
      </c>
      <c r="O121" s="1207" t="str">
        <f>Stammdaten_DropDown!A119</f>
        <v>Ist noch keine Beurteilung hinterlegt, so ist das Prädikat auf «A» zu belassen.</v>
      </c>
      <c r="P121" s="1207"/>
      <c r="Q121" s="1207"/>
    </row>
    <row r="122" spans="2:18" s="284" customFormat="1" ht="8.1" customHeight="1" x14ac:dyDescent="0.2">
      <c r="B122" s="353"/>
      <c r="C122" s="301"/>
      <c r="D122" s="206"/>
      <c r="E122" s="64"/>
      <c r="F122" s="64"/>
      <c r="G122" s="65"/>
      <c r="H122" s="65"/>
      <c r="I122" s="64"/>
      <c r="J122" s="64"/>
      <c r="K122" s="64"/>
      <c r="L122" s="64"/>
      <c r="M122" s="279"/>
    </row>
    <row r="123" spans="2:18" s="284" customFormat="1" ht="10.9" customHeight="1" x14ac:dyDescent="0.2">
      <c r="B123" s="353"/>
      <c r="C123" s="301"/>
      <c r="M123" s="301"/>
    </row>
    <row r="124" spans="2:18" s="284" customFormat="1" ht="91.5" customHeight="1" x14ac:dyDescent="0.2">
      <c r="B124" s="353"/>
      <c r="C124" s="301"/>
      <c r="D124" s="1143" t="s">
        <v>959</v>
      </c>
      <c r="E124" s="1143"/>
      <c r="F124" s="1143"/>
      <c r="G124" s="1143"/>
      <c r="H124" s="1143"/>
      <c r="I124" s="1143"/>
      <c r="J124" s="1143"/>
      <c r="K124" s="1143"/>
      <c r="L124" s="1143"/>
      <c r="M124" s="301"/>
    </row>
    <row r="125" spans="2:18" s="284" customFormat="1" x14ac:dyDescent="0.2">
      <c r="C125" s="301"/>
      <c r="M125" s="301"/>
    </row>
    <row r="126" spans="2:18" s="284" customFormat="1" x14ac:dyDescent="0.2">
      <c r="C126" s="301"/>
      <c r="M126" s="301"/>
    </row>
    <row r="127" spans="2:18" s="284" customFormat="1" x14ac:dyDescent="0.2"/>
    <row r="128" spans="2:18" s="284" customFormat="1" x14ac:dyDescent="0.2"/>
    <row r="129" s="284" customFormat="1" x14ac:dyDescent="0.2"/>
    <row r="130" s="284" customFormat="1" x14ac:dyDescent="0.2"/>
    <row r="131" s="284" customFormat="1" x14ac:dyDescent="0.2"/>
    <row r="132" s="284" customFormat="1" x14ac:dyDescent="0.2"/>
    <row r="133" s="284" customFormat="1" x14ac:dyDescent="0.2"/>
    <row r="134" s="284" customFormat="1" x14ac:dyDescent="0.2"/>
    <row r="135" s="284" customFormat="1" x14ac:dyDescent="0.2"/>
  </sheetData>
  <sheetProtection algorithmName="SHA-512" hashValue="z8dR3LFAqBqPbEqPCBF8fzdn/88IOl/bxzEWUGujD5jL1M/vIOTXIYD7B1IXiSjhNogElWnSkfOv5zvAU4fU3Q==" saltValue="O0P6gt9W2rmmP+obbcAS7A==" spinCount="100000" sheet="1" objects="1" scenarios="1"/>
  <mergeCells count="49">
    <mergeCell ref="O119:Q120"/>
    <mergeCell ref="O121:Q121"/>
    <mergeCell ref="D124:L124"/>
    <mergeCell ref="E101:L101"/>
    <mergeCell ref="E105:G105"/>
    <mergeCell ref="E107:L107"/>
    <mergeCell ref="E108:L108"/>
    <mergeCell ref="K115:L115"/>
    <mergeCell ref="E109:L109"/>
    <mergeCell ref="K118:L118"/>
    <mergeCell ref="K120:L120"/>
    <mergeCell ref="G117:H117"/>
    <mergeCell ref="O116:R116"/>
    <mergeCell ref="O115:R115"/>
    <mergeCell ref="O117:R117"/>
    <mergeCell ref="O80:Q103"/>
    <mergeCell ref="D50:F50"/>
    <mergeCell ref="K119:L119"/>
    <mergeCell ref="G64:L64"/>
    <mergeCell ref="E70:L70"/>
    <mergeCell ref="G84:H84"/>
    <mergeCell ref="G89:H89"/>
    <mergeCell ref="E100:L100"/>
    <mergeCell ref="E71:L71"/>
    <mergeCell ref="K89:L89"/>
    <mergeCell ref="E93:F93"/>
    <mergeCell ref="G93:L93"/>
    <mergeCell ref="E97:K97"/>
    <mergeCell ref="E99:L99"/>
    <mergeCell ref="K62:L62"/>
    <mergeCell ref="H91:L91"/>
    <mergeCell ref="K84:L84"/>
    <mergeCell ref="F10:L10"/>
    <mergeCell ref="G12:H12"/>
    <mergeCell ref="G14:H14"/>
    <mergeCell ref="G16:H16"/>
    <mergeCell ref="E16:F16"/>
    <mergeCell ref="J14:K14"/>
    <mergeCell ref="O113:Q113"/>
    <mergeCell ref="O14:P15"/>
    <mergeCell ref="G54:H54"/>
    <mergeCell ref="G44:H44"/>
    <mergeCell ref="G32:H32"/>
    <mergeCell ref="K30:L30"/>
    <mergeCell ref="G50:H50"/>
    <mergeCell ref="J24:L26"/>
    <mergeCell ref="G27:J27"/>
    <mergeCell ref="K28:L28"/>
    <mergeCell ref="O24:P25"/>
  </mergeCells>
  <conditionalFormatting sqref="G117">
    <cfRule type="expression" dxfId="115" priority="9">
      <formula>E118</formula>
    </cfRule>
  </conditionalFormatting>
  <conditionalFormatting sqref="L117">
    <cfRule type="expression" dxfId="114" priority="8">
      <formula>J118</formula>
    </cfRule>
  </conditionalFormatting>
  <conditionalFormatting sqref="K119:L119">
    <cfRule type="expression" dxfId="113" priority="7">
      <formula>J120</formula>
    </cfRule>
  </conditionalFormatting>
  <conditionalFormatting sqref="J24">
    <cfRule type="expression" dxfId="112" priority="6">
      <formula>AND($F$28&lt;&gt;"",$F$30&lt;&gt;"")</formula>
    </cfRule>
  </conditionalFormatting>
  <conditionalFormatting sqref="K121">
    <cfRule type="expression" dxfId="111" priority="5">
      <formula>#REF!</formula>
    </cfRule>
  </conditionalFormatting>
  <conditionalFormatting sqref="J121:L121 O118:Q121 O117">
    <cfRule type="expression" dxfId="110" priority="4">
      <formula>$H$121=""</formula>
    </cfRule>
  </conditionalFormatting>
  <conditionalFormatting sqref="E93:L93 E113:L121">
    <cfRule type="expression" dxfId="109" priority="2">
      <formula>$M$91=1</formula>
    </cfRule>
  </conditionalFormatting>
  <conditionalFormatting sqref="H91:L91 E92">
    <cfRule type="expression" dxfId="108" priority="1">
      <formula>$E$91="LOGIB-Code bereits vorhanden"</formula>
    </cfRule>
  </conditionalFormatting>
  <dataValidations count="4">
    <dataValidation allowBlank="1" showInputMessage="1" sqref="K89" xr:uid="{00000000-0002-0000-0D00-000000000000}"/>
    <dataValidation type="date" operator="greaterThan" allowBlank="1" showInputMessage="1" showErrorMessage="1" errorTitle="Fehler" error="Geben Sie ein gültiges Datum dd.mm.yyyy ein!" sqref="G60:H60 H85 G86:H86 G84:G85 M84" xr:uid="{00000000-0002-0000-0D00-000001000000}">
      <formula1>1</formula1>
    </dataValidation>
    <dataValidation operator="greaterThan" allowBlank="1" showInputMessage="1" showErrorMessage="1" errorTitle="Fehler" error="Pensum als Ganzzahl angeben" sqref="K119 K121" xr:uid="{00000000-0002-0000-0D00-000002000000}"/>
    <dataValidation type="decimal" operator="greaterThan" allowBlank="1" showInputMessage="1" showErrorMessage="1" errorTitle="Fehler" error="Pensum als Ganzzahl angeben" sqref="G44 L42 L40 G32 K30" xr:uid="{00000000-0002-0000-0D00-000003000000}">
      <formula1>0</formula1>
    </dataValidation>
  </dataValidations>
  <hyperlinks>
    <hyperlink ref="O24" location="Pensenberechnung!A1" display="Pensenberechnung" xr:uid="{00000000-0004-0000-0D00-000000000000}"/>
    <hyperlink ref="O14:P15" location="Grunddaten!E9" display="Zurück zu Grunddaten" xr:uid="{00000000-0004-0000-0D00-000001000000}"/>
    <hyperlink ref="O24:P25" location="Pensenberechnung!J15" display="Pensenberechnung" xr:uid="{00000000-0004-0000-0D00-000002000000}"/>
  </hyperlinks>
  <pageMargins left="0.70866141732283472" right="0.70866141732283472" top="0.78740157480314965" bottom="0.78740157480314965" header="0.31496062992125984" footer="0.31496062992125984"/>
  <pageSetup paperSize="9" scale="93" fitToHeight="0" orientation="portrait" r:id="rId1"/>
  <headerFooter>
    <oddFooter>Seite &amp;P von &amp;N</oddFooter>
  </headerFooter>
  <rowBreaks count="1" manualBreakCount="1">
    <brk id="66" max="12" man="1"/>
  </rowBreaks>
  <ignoredErrors>
    <ignoredError sqref="L121"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2433" r:id="rId4" name="Check Box 1">
              <controlPr defaultSize="0" autoFill="0" autoLine="0" autoPict="0">
                <anchor moveWithCells="1">
                  <from>
                    <xdr:col>3</xdr:col>
                    <xdr:colOff>47625</xdr:colOff>
                    <xdr:row>60</xdr:row>
                    <xdr:rowOff>104775</xdr:rowOff>
                  </from>
                  <to>
                    <xdr:col>7</xdr:col>
                    <xdr:colOff>19050</xdr:colOff>
                    <xdr:row>62</xdr:row>
                    <xdr:rowOff>19050</xdr:rowOff>
                  </to>
                </anchor>
              </controlPr>
            </control>
          </mc:Choice>
        </mc:AlternateContent>
        <mc:AlternateContent xmlns:mc="http://schemas.openxmlformats.org/markup-compatibility/2006">
          <mc:Choice Requires="x14">
            <control shapeId="402436" r:id="rId5" name="Check Box 4">
              <controlPr defaultSize="0" autoFill="0" autoLine="0" autoPict="0">
                <anchor moveWithCells="1">
                  <from>
                    <xdr:col>3</xdr:col>
                    <xdr:colOff>19050</xdr:colOff>
                    <xdr:row>55</xdr:row>
                    <xdr:rowOff>66675</xdr:rowOff>
                  </from>
                  <to>
                    <xdr:col>7</xdr:col>
                    <xdr:colOff>266700</xdr:colOff>
                    <xdr:row>58</xdr:row>
                    <xdr:rowOff>66675</xdr:rowOff>
                  </to>
                </anchor>
              </controlPr>
            </control>
          </mc:Choice>
        </mc:AlternateContent>
        <mc:AlternateContent xmlns:mc="http://schemas.openxmlformats.org/markup-compatibility/2006">
          <mc:Choice Requires="x14">
            <control shapeId="402437" r:id="rId6" name="Check Box 5">
              <controlPr defaultSize="0" autoFill="0" autoLine="0" autoPict="0">
                <anchor moveWithCells="1">
                  <from>
                    <xdr:col>3</xdr:col>
                    <xdr:colOff>19050</xdr:colOff>
                    <xdr:row>66</xdr:row>
                    <xdr:rowOff>66675</xdr:rowOff>
                  </from>
                  <to>
                    <xdr:col>9</xdr:col>
                    <xdr:colOff>647700</xdr:colOff>
                    <xdr:row>68</xdr:row>
                    <xdr:rowOff>47625</xdr:rowOff>
                  </to>
                </anchor>
              </controlPr>
            </control>
          </mc:Choice>
        </mc:AlternateContent>
        <mc:AlternateContent xmlns:mc="http://schemas.openxmlformats.org/markup-compatibility/2006">
          <mc:Choice Requires="x14">
            <control shapeId="402438" r:id="rId7" name="Check Box 6">
              <controlPr defaultSize="0" autoFill="0" autoLine="0" autoPict="0">
                <anchor moveWithCells="1">
                  <from>
                    <xdr:col>3</xdr:col>
                    <xdr:colOff>19050</xdr:colOff>
                    <xdr:row>46</xdr:row>
                    <xdr:rowOff>19050</xdr:rowOff>
                  </from>
                  <to>
                    <xdr:col>9</xdr:col>
                    <xdr:colOff>762000</xdr:colOff>
                    <xdr:row>48</xdr:row>
                    <xdr:rowOff>47625</xdr:rowOff>
                  </to>
                </anchor>
              </controlPr>
            </control>
          </mc:Choice>
        </mc:AlternateContent>
        <mc:AlternateContent xmlns:mc="http://schemas.openxmlformats.org/markup-compatibility/2006">
          <mc:Choice Requires="x14">
            <control shapeId="402440" r:id="rId8" name="Check Box 8">
              <controlPr defaultSize="0" autoFill="0" autoLine="0" autoPict="0">
                <anchor moveWithCells="1">
                  <from>
                    <xdr:col>9</xdr:col>
                    <xdr:colOff>952500</xdr:colOff>
                    <xdr:row>50</xdr:row>
                    <xdr:rowOff>142875</xdr:rowOff>
                  </from>
                  <to>
                    <xdr:col>11</xdr:col>
                    <xdr:colOff>666750</xdr:colOff>
                    <xdr:row>52</xdr:row>
                    <xdr:rowOff>19050</xdr:rowOff>
                  </to>
                </anchor>
              </controlPr>
            </control>
          </mc:Choice>
        </mc:AlternateContent>
        <mc:AlternateContent xmlns:mc="http://schemas.openxmlformats.org/markup-compatibility/2006">
          <mc:Choice Requires="x14">
            <control shapeId="402441" r:id="rId9" name="Check Box 9">
              <controlPr defaultSize="0" autoFill="0" autoLine="0" autoPict="0">
                <anchor moveWithCells="1">
                  <from>
                    <xdr:col>4</xdr:col>
                    <xdr:colOff>628650</xdr:colOff>
                    <xdr:row>50</xdr:row>
                    <xdr:rowOff>142875</xdr:rowOff>
                  </from>
                  <to>
                    <xdr:col>7</xdr:col>
                    <xdr:colOff>428625</xdr:colOff>
                    <xdr:row>52</xdr:row>
                    <xdr:rowOff>19050</xdr:rowOff>
                  </to>
                </anchor>
              </controlPr>
            </control>
          </mc:Choice>
        </mc:AlternateContent>
        <mc:AlternateContent xmlns:mc="http://schemas.openxmlformats.org/markup-compatibility/2006">
          <mc:Choice Requires="x14">
            <control shapeId="402445" r:id="rId10" name="Check Box 13">
              <controlPr defaultSize="0" autoFill="0" autoLine="0" autoPict="0">
                <anchor moveWithCells="1">
                  <from>
                    <xdr:col>3</xdr:col>
                    <xdr:colOff>47625</xdr:colOff>
                    <xdr:row>62</xdr:row>
                    <xdr:rowOff>114300</xdr:rowOff>
                  </from>
                  <to>
                    <xdr:col>5</xdr:col>
                    <xdr:colOff>457200</xdr:colOff>
                    <xdr:row>64</xdr:row>
                    <xdr:rowOff>57150</xdr:rowOff>
                  </to>
                </anchor>
              </controlPr>
            </control>
          </mc:Choice>
        </mc:AlternateContent>
        <mc:AlternateContent xmlns:mc="http://schemas.openxmlformats.org/markup-compatibility/2006">
          <mc:Choice Requires="x14">
            <control shapeId="402435" r:id="rId11" name="Check Box 3">
              <controlPr defaultSize="0" autoFill="0" autoLine="0" autoPict="0">
                <anchor moveWithCells="1">
                  <from>
                    <xdr:col>9</xdr:col>
                    <xdr:colOff>895350</xdr:colOff>
                    <xdr:row>30</xdr:row>
                    <xdr:rowOff>152400</xdr:rowOff>
                  </from>
                  <to>
                    <xdr:col>11</xdr:col>
                    <xdr:colOff>514350</xdr:colOff>
                    <xdr:row>32</xdr:row>
                    <xdr:rowOff>19050</xdr:rowOff>
                  </to>
                </anchor>
              </controlPr>
            </control>
          </mc:Choice>
        </mc:AlternateContent>
        <mc:AlternateContent xmlns:mc="http://schemas.openxmlformats.org/markup-compatibility/2006">
          <mc:Choice Requires="x14">
            <control shapeId="402446" r:id="rId12" name="Check Box 14">
              <controlPr defaultSize="0" autoFill="0" autoLine="0" autoPict="0">
                <anchor moveWithCells="1">
                  <from>
                    <xdr:col>9</xdr:col>
                    <xdr:colOff>952500</xdr:colOff>
                    <xdr:row>43</xdr:row>
                    <xdr:rowOff>0</xdr:rowOff>
                  </from>
                  <to>
                    <xdr:col>11</xdr:col>
                    <xdr:colOff>571500</xdr:colOff>
                    <xdr:row>44</xdr:row>
                    <xdr:rowOff>28575</xdr:rowOff>
                  </to>
                </anchor>
              </controlPr>
            </control>
          </mc:Choice>
        </mc:AlternateContent>
        <mc:AlternateContent xmlns:mc="http://schemas.openxmlformats.org/markup-compatibility/2006">
          <mc:Choice Requires="x14">
            <control shapeId="402447" r:id="rId13" name="Check Box 15">
              <controlPr defaultSize="0" autoFill="0" autoLine="0" autoPict="0">
                <anchor moveWithCells="1">
                  <from>
                    <xdr:col>3</xdr:col>
                    <xdr:colOff>19050</xdr:colOff>
                    <xdr:row>34</xdr:row>
                    <xdr:rowOff>57150</xdr:rowOff>
                  </from>
                  <to>
                    <xdr:col>11</xdr:col>
                    <xdr:colOff>609600</xdr:colOff>
                    <xdr:row>36</xdr:row>
                    <xdr:rowOff>57150</xdr:rowOff>
                  </to>
                </anchor>
              </controlPr>
            </control>
          </mc:Choice>
        </mc:AlternateContent>
        <mc:AlternateContent xmlns:mc="http://schemas.openxmlformats.org/markup-compatibility/2006">
          <mc:Choice Requires="x14">
            <control shapeId="402443" r:id="rId14" name="Check Box 11">
              <controlPr defaultSize="0" autoFill="0" autoLine="0" autoPict="0">
                <anchor moveWithCells="1">
                  <from>
                    <xdr:col>3</xdr:col>
                    <xdr:colOff>19050</xdr:colOff>
                    <xdr:row>18</xdr:row>
                    <xdr:rowOff>28575</xdr:rowOff>
                  </from>
                  <to>
                    <xdr:col>9</xdr:col>
                    <xdr:colOff>590550</xdr:colOff>
                    <xdr:row>20</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D00-000004000000}">
          <x14:formula1>
            <xm:f>Stammdaten_DropDown!$E$103:$E$104</xm:f>
          </x14:formula1>
          <xm:sqref>H121</xm:sqref>
        </x14:dataValidation>
        <x14:dataValidation type="list" allowBlank="1" showInputMessage="1" showErrorMessage="1" xr:uid="{00000000-0002-0000-0D00-000005000000}">
          <x14:formula1>
            <xm:f>Stammdaten_DropDown!$E$107:$E$110</xm:f>
          </x14:formula1>
          <xm:sqref>L121</xm:sqref>
        </x14:dataValidation>
        <x14:dataValidation type="list" allowBlank="1" showInputMessage="1" showErrorMessage="1" xr:uid="{00000000-0002-0000-0D00-000006000000}">
          <x14:formula1>
            <xm:f>Stammdaten_DropDown!$E$93:$E$100</xm:f>
          </x14:formula1>
          <xm:sqref>H91</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241">
    <pageSetUpPr fitToPage="1"/>
  </sheetPr>
  <dimension ref="A1:P118"/>
  <sheetViews>
    <sheetView zoomScaleNormal="100" workbookViewId="0">
      <selection activeCell="N12" sqref="N12:O13"/>
    </sheetView>
  </sheetViews>
  <sheetFormatPr baseColWidth="10" defaultColWidth="11.5703125" defaultRowHeight="12.75" x14ac:dyDescent="0.2"/>
  <cols>
    <col min="1" max="1" width="3.5703125" style="235" customWidth="1"/>
    <col min="2" max="3" width="0.85546875" style="235" customWidth="1"/>
    <col min="4" max="4" width="3.5703125" style="235" customWidth="1"/>
    <col min="5" max="5" width="11.5703125" style="235"/>
    <col min="6" max="6" width="8.5703125" style="235" customWidth="1"/>
    <col min="7" max="7" width="16.7109375" style="235" customWidth="1"/>
    <col min="8" max="8" width="12.28515625" style="235" customWidth="1"/>
    <col min="9" max="9" width="18" style="235" customWidth="1"/>
    <col min="10" max="10" width="9.28515625" style="235" customWidth="1"/>
    <col min="11" max="11" width="13.42578125" style="235" customWidth="1"/>
    <col min="12" max="12" width="3.5703125" style="235" customWidth="1"/>
    <col min="13" max="13" width="3.42578125" style="235" customWidth="1"/>
    <col min="14" max="15" width="11.5703125" style="91"/>
    <col min="16" max="16" width="45.7109375" style="91" customWidth="1"/>
    <col min="17" max="16384" width="11.5703125" style="91"/>
  </cols>
  <sheetData>
    <row r="1" spans="1:16" ht="12" customHeight="1" x14ac:dyDescent="0.2"/>
    <row r="2" spans="1:16" ht="20.25" customHeight="1" x14ac:dyDescent="0.2">
      <c r="B2" s="236" t="s">
        <v>1099</v>
      </c>
      <c r="D2" s="236"/>
      <c r="F2" s="237"/>
      <c r="G2" s="237"/>
      <c r="H2" s="237"/>
      <c r="I2" s="237"/>
      <c r="J2" s="237"/>
      <c r="K2" s="237"/>
      <c r="L2" s="237"/>
    </row>
    <row r="3" spans="1:16" ht="11.25" customHeight="1" x14ac:dyDescent="0.2">
      <c r="B3" s="236"/>
      <c r="D3" s="776"/>
      <c r="F3" s="237"/>
      <c r="G3" s="237"/>
      <c r="H3" s="237"/>
      <c r="I3" s="237"/>
      <c r="J3" s="237"/>
      <c r="K3" s="237"/>
      <c r="L3" s="237"/>
    </row>
    <row r="4" spans="1:16" ht="15.75" x14ac:dyDescent="0.2">
      <c r="B4" s="236"/>
      <c r="D4" s="238" t="s">
        <v>945</v>
      </c>
      <c r="F4" s="237"/>
      <c r="G4" s="237"/>
      <c r="H4" s="237"/>
      <c r="I4" s="237"/>
      <c r="J4" s="237"/>
      <c r="K4" s="237"/>
      <c r="L4" s="994" t="str">
        <f>CONCATENATE(LohntabelleM!G1," / ",LohntabelleM!I1)</f>
        <v>V6.0 / 2026</v>
      </c>
    </row>
    <row r="5" spans="1:16" ht="6.75" customHeight="1" x14ac:dyDescent="0.2">
      <c r="A5" s="239"/>
      <c r="B5" s="240"/>
      <c r="C5" s="240"/>
      <c r="D5" s="241"/>
      <c r="E5" s="240"/>
      <c r="F5" s="242"/>
      <c r="G5" s="243"/>
      <c r="H5" s="242"/>
      <c r="I5" s="242"/>
      <c r="J5" s="242"/>
      <c r="K5" s="242"/>
      <c r="L5" s="240"/>
      <c r="M5" s="244"/>
    </row>
    <row r="6" spans="1:16" ht="6" customHeight="1" x14ac:dyDescent="0.2">
      <c r="A6" s="239"/>
      <c r="B6" s="240"/>
      <c r="C6" s="239"/>
      <c r="D6" s="239"/>
      <c r="E6" s="245"/>
      <c r="F6" s="245"/>
      <c r="G6" s="246"/>
      <c r="H6" s="245"/>
      <c r="I6" s="245"/>
      <c r="J6" s="245"/>
      <c r="K6" s="245"/>
      <c r="L6" s="239"/>
      <c r="M6" s="244"/>
    </row>
    <row r="7" spans="1:16" ht="16.5" x14ac:dyDescent="0.2">
      <c r="B7" s="247"/>
      <c r="D7" s="248"/>
      <c r="E7" s="249"/>
      <c r="F7" s="250"/>
      <c r="G7" s="249"/>
      <c r="H7" s="249"/>
      <c r="I7" s="249"/>
      <c r="J7" s="249"/>
      <c r="K7" s="249"/>
      <c r="L7" s="251"/>
    </row>
    <row r="8" spans="1:16" x14ac:dyDescent="0.2">
      <c r="B8" s="247"/>
      <c r="D8" s="252"/>
      <c r="E8" s="253" t="s">
        <v>770</v>
      </c>
      <c r="F8" s="237"/>
      <c r="G8" s="237"/>
      <c r="H8" s="237"/>
      <c r="I8" s="237"/>
      <c r="J8" s="237"/>
      <c r="K8" s="237"/>
      <c r="L8" s="254"/>
    </row>
    <row r="9" spans="1:16" ht="7.5" customHeight="1" x14ac:dyDescent="0.2">
      <c r="B9" s="247"/>
      <c r="D9" s="252"/>
      <c r="E9" s="253"/>
      <c r="F9" s="237"/>
      <c r="G9" s="237"/>
      <c r="H9" s="237"/>
      <c r="I9" s="237"/>
      <c r="J9" s="237"/>
      <c r="K9" s="237"/>
      <c r="L9" s="254"/>
    </row>
    <row r="10" spans="1:16" x14ac:dyDescent="0.2">
      <c r="B10" s="247"/>
      <c r="D10" s="252"/>
      <c r="E10" s="1210" t="s">
        <v>967</v>
      </c>
      <c r="F10" s="1210"/>
      <c r="G10" s="1006" t="str">
        <f>IF(MAAnrede&lt;&gt;"",MAAnrede,"")</f>
        <v/>
      </c>
      <c r="H10" s="237"/>
      <c r="I10" s="424"/>
      <c r="J10" s="237"/>
      <c r="K10" s="237"/>
      <c r="L10" s="254"/>
    </row>
    <row r="11" spans="1:16" ht="16.5" x14ac:dyDescent="0.2">
      <c r="B11" s="247"/>
      <c r="D11" s="252"/>
      <c r="E11" s="237"/>
      <c r="F11" s="256"/>
      <c r="G11" s="237"/>
      <c r="H11" s="237"/>
      <c r="I11" s="237"/>
      <c r="J11" s="237"/>
      <c r="K11" s="237"/>
      <c r="L11" s="254"/>
    </row>
    <row r="12" spans="1:16" x14ac:dyDescent="0.2">
      <c r="B12" s="247"/>
      <c r="D12" s="252"/>
      <c r="E12" s="1210" t="s">
        <v>756</v>
      </c>
      <c r="F12" s="1210"/>
      <c r="G12" s="1181" t="str">
        <f>IF(MAName&lt;&gt;"",MAName,"")</f>
        <v/>
      </c>
      <c r="H12" s="1181"/>
      <c r="I12" s="665" t="s">
        <v>757</v>
      </c>
      <c r="J12" s="1181" t="str">
        <f>IF(MAVorname&lt;&gt;"",MAVorname,"")</f>
        <v/>
      </c>
      <c r="K12" s="1181"/>
      <c r="L12" s="254"/>
      <c r="N12" s="1149" t="s">
        <v>1029</v>
      </c>
      <c r="O12" s="1150"/>
      <c r="P12" s="675"/>
    </row>
    <row r="13" spans="1:16" x14ac:dyDescent="0.2">
      <c r="B13" s="247"/>
      <c r="D13" s="252"/>
      <c r="E13" s="424"/>
      <c r="F13" s="424"/>
      <c r="G13" s="424"/>
      <c r="H13" s="424"/>
      <c r="I13" s="665"/>
      <c r="J13" s="424"/>
      <c r="K13" s="424"/>
      <c r="L13" s="257"/>
      <c r="N13" s="1151"/>
      <c r="O13" s="1152"/>
      <c r="P13" s="675"/>
    </row>
    <row r="14" spans="1:16" x14ac:dyDescent="0.2">
      <c r="B14" s="247"/>
      <c r="D14" s="252"/>
      <c r="E14" s="1210"/>
      <c r="F14" s="1210"/>
      <c r="G14" s="237"/>
      <c r="H14" s="237"/>
      <c r="I14" s="665" t="s">
        <v>964</v>
      </c>
      <c r="J14" s="1181" t="str">
        <f>IF(MAPersID&lt;&gt;"",MAPersID,"")</f>
        <v/>
      </c>
      <c r="K14" s="1181"/>
      <c r="L14" s="254"/>
    </row>
    <row r="15" spans="1:16" x14ac:dyDescent="0.2">
      <c r="B15" s="247"/>
      <c r="D15" s="252"/>
      <c r="E15" s="669"/>
      <c r="H15" s="669"/>
      <c r="I15" s="669"/>
      <c r="J15" s="669"/>
      <c r="K15" s="669"/>
      <c r="L15" s="254"/>
    </row>
    <row r="16" spans="1:16" x14ac:dyDescent="0.2">
      <c r="B16" s="247"/>
      <c r="D16" s="252"/>
      <c r="E16" s="245" t="s">
        <v>1189</v>
      </c>
      <c r="F16" s="1213"/>
      <c r="G16" s="1213"/>
      <c r="H16" s="1213"/>
      <c r="I16" s="666" t="s">
        <v>1190</v>
      </c>
      <c r="J16" s="1213"/>
      <c r="K16" s="1213"/>
      <c r="L16" s="254"/>
    </row>
    <row r="17" spans="2:16" ht="6" customHeight="1" x14ac:dyDescent="0.2">
      <c r="B17" s="247"/>
      <c r="D17" s="252"/>
      <c r="G17" s="669"/>
      <c r="H17" s="669"/>
      <c r="I17" s="669"/>
      <c r="J17" s="669"/>
      <c r="K17" s="669"/>
      <c r="L17" s="257"/>
    </row>
    <row r="18" spans="2:16" x14ac:dyDescent="0.2">
      <c r="B18" s="247"/>
      <c r="D18" s="252"/>
      <c r="E18" s="273" t="s">
        <v>1194</v>
      </c>
      <c r="F18" s="669"/>
      <c r="G18" s="669"/>
      <c r="H18" s="669"/>
      <c r="I18" s="669"/>
      <c r="J18" s="669"/>
      <c r="K18" s="669"/>
      <c r="L18" s="257"/>
    </row>
    <row r="19" spans="2:16" ht="7.5" customHeight="1" x14ac:dyDescent="0.2">
      <c r="B19" s="247"/>
      <c r="D19" s="252"/>
      <c r="E19" s="424"/>
      <c r="F19" s="424"/>
      <c r="G19" s="424"/>
      <c r="H19" s="424"/>
      <c r="I19" s="424"/>
      <c r="J19" s="424"/>
      <c r="K19" s="424"/>
      <c r="L19" s="257"/>
    </row>
    <row r="20" spans="2:16" s="244" customFormat="1" ht="13.15" customHeight="1" x14ac:dyDescent="0.2">
      <c r="B20" s="240"/>
      <c r="D20" s="61"/>
      <c r="E20" s="336" t="s">
        <v>825</v>
      </c>
      <c r="F20" s="1190" t="s">
        <v>1072</v>
      </c>
      <c r="G20" s="1190"/>
      <c r="H20" s="1190"/>
      <c r="I20" s="1190"/>
      <c r="J20" s="1190"/>
      <c r="K20" s="932"/>
      <c r="L20" s="62"/>
    </row>
    <row r="21" spans="2:16" s="244" customFormat="1" ht="13.15" customHeight="1" x14ac:dyDescent="0.2">
      <c r="B21" s="240"/>
      <c r="D21" s="61"/>
      <c r="E21" s="336"/>
      <c r="F21" s="1190" t="s">
        <v>1070</v>
      </c>
      <c r="G21" s="1190"/>
      <c r="H21" s="1190"/>
      <c r="I21" s="1190"/>
      <c r="J21" s="1190"/>
      <c r="K21" s="1190"/>
      <c r="L21" s="62"/>
    </row>
    <row r="22" spans="2:16" s="244" customFormat="1" ht="12.75" customHeight="1" x14ac:dyDescent="0.2">
      <c r="B22" s="240"/>
      <c r="D22" s="61"/>
      <c r="E22" s="336"/>
      <c r="F22" s="1190" t="s">
        <v>1071</v>
      </c>
      <c r="G22" s="1190"/>
      <c r="H22" s="1190"/>
      <c r="I22" s="1190"/>
      <c r="J22" s="340"/>
      <c r="K22" s="340"/>
      <c r="L22" s="62"/>
    </row>
    <row r="23" spans="2:16" s="244" customFormat="1" ht="12.75" customHeight="1" x14ac:dyDescent="0.2">
      <c r="B23" s="240"/>
      <c r="D23" s="61"/>
      <c r="E23" s="336"/>
      <c r="F23" s="1190" t="s">
        <v>1073</v>
      </c>
      <c r="G23" s="1190"/>
      <c r="H23" s="340"/>
      <c r="I23" s="340"/>
      <c r="J23" s="340"/>
      <c r="K23" s="340"/>
      <c r="L23" s="62"/>
    </row>
    <row r="24" spans="2:16" x14ac:dyDescent="0.2">
      <c r="B24" s="247"/>
      <c r="D24" s="259"/>
      <c r="E24" s="260"/>
      <c r="F24" s="260"/>
      <c r="G24" s="260"/>
      <c r="H24" s="260"/>
      <c r="I24" s="260"/>
      <c r="J24" s="260"/>
      <c r="K24" s="260"/>
      <c r="L24" s="261"/>
    </row>
    <row r="25" spans="2:16" ht="6" customHeight="1" x14ac:dyDescent="0.2">
      <c r="B25" s="247"/>
      <c r="E25" s="262"/>
      <c r="F25" s="262"/>
      <c r="G25" s="262"/>
      <c r="H25" s="262"/>
      <c r="I25" s="262"/>
      <c r="J25" s="262"/>
      <c r="K25" s="262"/>
      <c r="L25" s="262"/>
    </row>
    <row r="26" spans="2:16" ht="4.9000000000000004" customHeight="1" x14ac:dyDescent="0.2">
      <c r="B26" s="247"/>
      <c r="D26" s="248"/>
      <c r="E26" s="263"/>
      <c r="F26" s="263"/>
      <c r="G26" s="263"/>
      <c r="H26" s="263"/>
      <c r="I26" s="263"/>
      <c r="J26" s="263"/>
      <c r="K26" s="263"/>
      <c r="L26" s="264"/>
    </row>
    <row r="27" spans="2:16" x14ac:dyDescent="0.2">
      <c r="B27" s="247"/>
      <c r="D27" s="252"/>
      <c r="E27" s="436" t="s">
        <v>1210</v>
      </c>
      <c r="F27" s="437"/>
      <c r="G27" s="437"/>
      <c r="H27" s="437"/>
      <c r="I27" s="437"/>
      <c r="J27" s="437"/>
      <c r="K27" s="437"/>
      <c r="L27" s="254"/>
    </row>
    <row r="28" spans="2:16" ht="7.5" customHeight="1" x14ac:dyDescent="0.2">
      <c r="B28" s="247"/>
      <c r="D28" s="252"/>
      <c r="E28" s="436"/>
      <c r="F28" s="437"/>
      <c r="G28" s="437"/>
      <c r="H28" s="437"/>
      <c r="I28" s="437"/>
      <c r="L28" s="254"/>
    </row>
    <row r="29" spans="2:16" ht="12.75" customHeight="1" x14ac:dyDescent="0.2">
      <c r="B29" s="247"/>
      <c r="D29" s="252"/>
      <c r="E29" s="436" t="s">
        <v>1211</v>
      </c>
      <c r="F29" s="437"/>
      <c r="G29" s="437"/>
      <c r="H29" s="437"/>
      <c r="I29" s="437"/>
      <c r="L29" s="254"/>
      <c r="N29" s="1149" t="s">
        <v>1167</v>
      </c>
      <c r="O29" s="1150"/>
      <c r="P29" s="675"/>
    </row>
    <row r="30" spans="2:16" ht="6" customHeight="1" x14ac:dyDescent="0.2">
      <c r="B30" s="247"/>
      <c r="D30" s="252"/>
      <c r="E30" s="436"/>
      <c r="F30" s="437"/>
      <c r="G30" s="437"/>
      <c r="H30" s="437"/>
      <c r="I30" s="437"/>
      <c r="L30" s="254"/>
      <c r="N30" s="1217"/>
      <c r="O30" s="1218"/>
      <c r="P30" s="675"/>
    </row>
    <row r="31" spans="2:16" ht="12.75" customHeight="1" x14ac:dyDescent="0.2">
      <c r="B31" s="247"/>
      <c r="D31" s="1221" t="s">
        <v>1213</v>
      </c>
      <c r="E31" s="1222"/>
      <c r="F31" s="1222"/>
      <c r="G31" s="1222"/>
      <c r="H31" s="1222"/>
      <c r="I31" s="1222"/>
      <c r="J31" s="1222"/>
      <c r="K31" s="1222"/>
      <c r="L31" s="1223"/>
      <c r="N31" s="1151"/>
      <c r="O31" s="1152"/>
      <c r="P31" s="675"/>
    </row>
    <row r="32" spans="2:16" ht="25.5" customHeight="1" x14ac:dyDescent="0.2">
      <c r="B32" s="247"/>
      <c r="D32" s="1221"/>
      <c r="E32" s="1222"/>
      <c r="F32" s="1222"/>
      <c r="G32" s="1222"/>
      <c r="H32" s="1222"/>
      <c r="I32" s="1222"/>
      <c r="J32" s="1222"/>
      <c r="K32" s="1222"/>
      <c r="L32" s="1223"/>
    </row>
    <row r="33" spans="2:14" ht="6" customHeight="1" x14ac:dyDescent="0.2">
      <c r="B33" s="247"/>
      <c r="D33" s="252"/>
      <c r="E33" s="436"/>
      <c r="F33" s="437"/>
      <c r="G33" s="437"/>
      <c r="H33" s="437"/>
      <c r="I33" s="437"/>
      <c r="J33" s="437"/>
      <c r="K33" s="437"/>
      <c r="L33" s="254"/>
    </row>
    <row r="34" spans="2:14" x14ac:dyDescent="0.2">
      <c r="B34" s="247"/>
      <c r="D34" s="252"/>
      <c r="E34" s="642" t="s">
        <v>1168</v>
      </c>
      <c r="F34" s="437"/>
      <c r="G34" s="437"/>
      <c r="H34" s="437"/>
      <c r="I34" s="1003" t="str">
        <f>IF(Pensenberechnung!$J$15=0,"",Pensenberechnung!$J$15)</f>
        <v/>
      </c>
      <c r="J34" s="437"/>
      <c r="L34" s="254"/>
    </row>
    <row r="35" spans="2:14" x14ac:dyDescent="0.2">
      <c r="B35" s="247"/>
      <c r="D35" s="252"/>
      <c r="E35" s="436"/>
      <c r="F35" s="437"/>
      <c r="G35" s="437"/>
      <c r="H35" s="437"/>
      <c r="I35" s="437"/>
      <c r="J35" s="437"/>
      <c r="K35" s="437"/>
      <c r="L35" s="254"/>
    </row>
    <row r="36" spans="2:14" x14ac:dyDescent="0.2">
      <c r="B36" s="247"/>
      <c r="D36" s="252"/>
      <c r="E36" s="620" t="s">
        <v>1141</v>
      </c>
      <c r="F36" s="437"/>
      <c r="G36" s="437"/>
      <c r="H36" s="437"/>
      <c r="I36" s="1014" t="str">
        <f>IF(Pensenberechnung!$O$27=0,"",Pensenberechnung!$O$27)</f>
        <v/>
      </c>
      <c r="J36" s="437"/>
      <c r="K36" s="437"/>
      <c r="L36" s="254"/>
    </row>
    <row r="37" spans="2:14" ht="12.75" customHeight="1" x14ac:dyDescent="0.2">
      <c r="B37" s="247"/>
      <c r="D37" s="252"/>
      <c r="E37" s="1212" t="s">
        <v>1142</v>
      </c>
      <c r="F37" s="1212"/>
      <c r="G37" s="1212"/>
      <c r="H37" s="1212"/>
      <c r="I37" s="1212"/>
      <c r="J37" s="1212"/>
      <c r="K37" s="437"/>
      <c r="L37" s="254"/>
    </row>
    <row r="38" spans="2:14" x14ac:dyDescent="0.2">
      <c r="B38" s="247"/>
      <c r="D38" s="259"/>
      <c r="E38" s="260"/>
      <c r="F38" s="260"/>
      <c r="G38" s="260"/>
      <c r="H38" s="260"/>
      <c r="I38" s="260"/>
      <c r="J38" s="260"/>
      <c r="K38" s="260"/>
      <c r="L38" s="261"/>
    </row>
    <row r="39" spans="2:14" ht="6" customHeight="1" x14ac:dyDescent="0.2">
      <c r="B39" s="247"/>
      <c r="E39" s="262"/>
      <c r="F39" s="262"/>
      <c r="G39" s="262"/>
      <c r="H39" s="262"/>
      <c r="I39" s="262"/>
      <c r="J39" s="262"/>
      <c r="K39" s="262"/>
      <c r="L39" s="262"/>
    </row>
    <row r="40" spans="2:14" ht="4.9000000000000004" customHeight="1" x14ac:dyDescent="0.2">
      <c r="B40" s="247"/>
      <c r="D40" s="248"/>
      <c r="E40" s="263"/>
      <c r="F40" s="263"/>
      <c r="G40" s="263"/>
      <c r="H40" s="263"/>
      <c r="I40" s="263"/>
      <c r="J40" s="263"/>
      <c r="K40" s="263"/>
      <c r="L40" s="264"/>
    </row>
    <row r="41" spans="2:14" x14ac:dyDescent="0.2">
      <c r="B41" s="247"/>
      <c r="D41" s="252"/>
      <c r="E41" s="436" t="s">
        <v>931</v>
      </c>
      <c r="F41" s="437"/>
      <c r="G41" s="437"/>
      <c r="H41" s="437"/>
      <c r="I41" s="437"/>
      <c r="J41" s="437"/>
      <c r="K41" s="437"/>
      <c r="L41" s="254"/>
    </row>
    <row r="42" spans="2:14" ht="7.5" customHeight="1" x14ac:dyDescent="0.2">
      <c r="B42" s="247"/>
      <c r="D42" s="252"/>
      <c r="E42" s="436"/>
      <c r="F42" s="437"/>
      <c r="G42" s="437"/>
      <c r="H42" s="437"/>
      <c r="I42" s="437"/>
      <c r="J42" s="437"/>
      <c r="K42" s="437"/>
      <c r="L42" s="254"/>
    </row>
    <row r="43" spans="2:14" x14ac:dyDescent="0.2">
      <c r="B43" s="247"/>
      <c r="D43" s="252"/>
      <c r="E43" s="728" t="s">
        <v>1164</v>
      </c>
      <c r="F43" s="728"/>
      <c r="G43" s="730"/>
      <c r="H43" s="437"/>
      <c r="I43" s="437"/>
      <c r="J43" s="437"/>
      <c r="K43" s="437"/>
      <c r="L43" s="254"/>
    </row>
    <row r="44" spans="2:14" x14ac:dyDescent="0.2">
      <c r="B44" s="247"/>
      <c r="D44" s="252"/>
      <c r="E44" s="620"/>
      <c r="F44" s="620"/>
      <c r="G44" s="620"/>
      <c r="H44" s="620"/>
      <c r="I44" s="620"/>
      <c r="J44" s="620"/>
      <c r="K44" s="620"/>
      <c r="L44" s="257"/>
      <c r="N44" s="444"/>
    </row>
    <row r="45" spans="2:14" x14ac:dyDescent="0.2">
      <c r="B45" s="247"/>
      <c r="D45" s="252"/>
      <c r="E45" s="620" t="s">
        <v>1074</v>
      </c>
      <c r="F45" s="620"/>
      <c r="G45" s="616"/>
      <c r="I45" s="694" t="s">
        <v>988</v>
      </c>
      <c r="J45" s="1139"/>
      <c r="K45" s="1139"/>
      <c r="L45" s="265"/>
      <c r="N45" s="444"/>
    </row>
    <row r="46" spans="2:14" s="244" customFormat="1" ht="13.15" customHeight="1" x14ac:dyDescent="0.2">
      <c r="B46" s="247"/>
      <c r="C46" s="235"/>
      <c r="D46" s="61"/>
      <c r="E46" s="439"/>
      <c r="F46" s="440"/>
      <c r="G46" s="440"/>
      <c r="H46" s="439"/>
      <c r="I46" s="439"/>
      <c r="J46" s="432"/>
      <c r="K46" s="432"/>
      <c r="L46" s="266"/>
      <c r="M46" s="431"/>
      <c r="N46" s="431" t="s">
        <v>805</v>
      </c>
    </row>
    <row r="47" spans="2:14" s="244" customFormat="1" ht="12.75" customHeight="1" x14ac:dyDescent="0.2">
      <c r="B47" s="247"/>
      <c r="C47" s="235"/>
      <c r="D47" s="61"/>
      <c r="E47" s="705" t="s">
        <v>990</v>
      </c>
      <c r="F47" s="433"/>
      <c r="H47" s="1004"/>
      <c r="I47" s="722" t="s">
        <v>1130</v>
      </c>
      <c r="J47" s="722"/>
      <c r="K47" s="722"/>
      <c r="L47" s="254"/>
      <c r="M47" s="431"/>
      <c r="N47" s="431"/>
    </row>
    <row r="48" spans="2:14" s="244" customFormat="1" x14ac:dyDescent="0.2">
      <c r="B48" s="247"/>
      <c r="C48" s="235"/>
      <c r="D48" s="61"/>
      <c r="E48" s="441"/>
      <c r="F48" s="433"/>
      <c r="G48" s="433"/>
      <c r="H48" s="617"/>
      <c r="I48" s="617"/>
      <c r="J48" s="437"/>
      <c r="K48" s="437"/>
      <c r="L48" s="254"/>
      <c r="M48" s="431"/>
      <c r="N48" s="431"/>
    </row>
    <row r="49" spans="1:13" x14ac:dyDescent="0.2">
      <c r="B49" s="247"/>
      <c r="D49" s="252"/>
      <c r="E49" s="1211" t="s">
        <v>993</v>
      </c>
      <c r="F49" s="1211"/>
      <c r="G49" s="1211"/>
      <c r="H49" s="1138"/>
      <c r="I49" s="1138"/>
      <c r="J49" s="1138"/>
      <c r="K49" s="1138"/>
      <c r="L49" s="266"/>
    </row>
    <row r="50" spans="1:13" x14ac:dyDescent="0.2">
      <c r="B50" s="247"/>
      <c r="D50" s="252"/>
      <c r="E50" s="623" t="s">
        <v>998</v>
      </c>
      <c r="F50" s="623"/>
      <c r="G50" s="623"/>
      <c r="H50" s="623"/>
      <c r="I50" s="623"/>
      <c r="J50" s="623"/>
      <c r="K50" s="623"/>
      <c r="L50" s="266"/>
    </row>
    <row r="51" spans="1:13" x14ac:dyDescent="0.2">
      <c r="B51" s="247"/>
      <c r="D51" s="252"/>
      <c r="E51" s="1211" t="s">
        <v>1097</v>
      </c>
      <c r="F51" s="1211"/>
      <c r="G51" s="623"/>
      <c r="H51" s="1138"/>
      <c r="I51" s="1138"/>
      <c r="J51" s="1138"/>
      <c r="K51" s="1138"/>
      <c r="L51" s="266"/>
    </row>
    <row r="52" spans="1:13" x14ac:dyDescent="0.2">
      <c r="B52" s="247"/>
      <c r="D52" s="252"/>
      <c r="E52" s="620"/>
      <c r="F52" s="620"/>
      <c r="G52" s="620"/>
      <c r="H52" s="620"/>
      <c r="I52" s="442"/>
      <c r="J52" s="442"/>
      <c r="K52" s="442"/>
      <c r="L52" s="265"/>
    </row>
    <row r="53" spans="1:13" x14ac:dyDescent="0.2">
      <c r="B53" s="247"/>
      <c r="D53" s="252"/>
      <c r="E53" s="1211" t="s">
        <v>1075</v>
      </c>
      <c r="F53" s="1211"/>
      <c r="G53" s="1211"/>
      <c r="H53" s="1138"/>
      <c r="I53" s="1138"/>
      <c r="J53" s="1138"/>
      <c r="K53" s="1138"/>
      <c r="L53" s="266"/>
    </row>
    <row r="54" spans="1:13" x14ac:dyDescent="0.2">
      <c r="B54" s="247"/>
      <c r="D54" s="252"/>
      <c r="E54" s="671"/>
      <c r="F54" s="671"/>
      <c r="G54" s="671"/>
      <c r="H54" s="671"/>
      <c r="I54" s="671"/>
      <c r="J54" s="671"/>
      <c r="K54" s="671"/>
      <c r="L54" s="266"/>
    </row>
    <row r="55" spans="1:13" ht="12.75" customHeight="1" x14ac:dyDescent="0.2">
      <c r="B55" s="247"/>
      <c r="D55" s="252"/>
      <c r="E55" s="1215" t="s">
        <v>1191</v>
      </c>
      <c r="F55" s="1215"/>
      <c r="G55" s="1215"/>
      <c r="H55" s="1215"/>
      <c r="J55" s="671"/>
      <c r="K55" s="671"/>
      <c r="L55" s="266"/>
    </row>
    <row r="56" spans="1:13" x14ac:dyDescent="0.2">
      <c r="B56" s="247"/>
      <c r="D56" s="252"/>
      <c r="E56" s="623"/>
      <c r="F56" s="623"/>
      <c r="G56" s="623"/>
      <c r="H56" s="623"/>
      <c r="I56" s="623"/>
      <c r="J56" s="623"/>
      <c r="K56" s="623"/>
      <c r="L56" s="266"/>
    </row>
    <row r="57" spans="1:13" x14ac:dyDescent="0.2">
      <c r="B57" s="247"/>
      <c r="D57" s="252"/>
      <c r="E57" s="1211" t="s">
        <v>1195</v>
      </c>
      <c r="F57" s="1211"/>
      <c r="G57" s="1211"/>
      <c r="H57" s="1138"/>
      <c r="I57" s="1138"/>
      <c r="J57" s="1138"/>
      <c r="K57" s="1138"/>
      <c r="L57" s="266"/>
    </row>
    <row r="58" spans="1:13" x14ac:dyDescent="0.2">
      <c r="A58" s="239"/>
      <c r="B58" s="240"/>
      <c r="C58" s="239"/>
      <c r="D58" s="206"/>
      <c r="E58" s="1214" t="s">
        <v>1169</v>
      </c>
      <c r="F58" s="1214"/>
      <c r="G58" s="267"/>
      <c r="H58" s="267"/>
      <c r="I58" s="267"/>
      <c r="J58" s="267"/>
      <c r="K58" s="267"/>
      <c r="L58" s="207"/>
      <c r="M58" s="244"/>
    </row>
    <row r="59" spans="1:13" ht="6" customHeight="1" x14ac:dyDescent="0.2">
      <c r="A59" s="239"/>
      <c r="B59" s="240"/>
      <c r="C59" s="239"/>
      <c r="D59" s="239"/>
      <c r="E59" s="239"/>
      <c r="F59" s="239"/>
      <c r="G59" s="280"/>
      <c r="H59" s="239"/>
      <c r="I59" s="239"/>
      <c r="J59" s="239"/>
      <c r="K59" s="239"/>
      <c r="L59" s="239"/>
      <c r="M59" s="244"/>
    </row>
    <row r="60" spans="1:13" x14ac:dyDescent="0.2">
      <c r="A60" s="239"/>
      <c r="B60" s="240"/>
      <c r="C60" s="239"/>
      <c r="D60" s="202"/>
      <c r="E60" s="67"/>
      <c r="F60" s="67"/>
      <c r="G60" s="68"/>
      <c r="H60" s="67"/>
      <c r="I60" s="67"/>
      <c r="J60" s="67"/>
      <c r="K60" s="67"/>
      <c r="L60" s="203"/>
      <c r="M60" s="244"/>
    </row>
    <row r="61" spans="1:13" x14ac:dyDescent="0.2">
      <c r="A61" s="239"/>
      <c r="B61" s="240"/>
      <c r="C61" s="239"/>
      <c r="D61" s="204"/>
      <c r="E61" s="1165" t="s">
        <v>972</v>
      </c>
      <c r="F61" s="1165"/>
      <c r="G61" s="1165"/>
      <c r="H61" s="245"/>
      <c r="I61" s="245"/>
      <c r="J61" s="245"/>
      <c r="K61" s="245"/>
      <c r="L61" s="205"/>
      <c r="M61" s="244"/>
    </row>
    <row r="62" spans="1:13" x14ac:dyDescent="0.2">
      <c r="A62" s="239"/>
      <c r="B62" s="240"/>
      <c r="C62" s="239"/>
      <c r="D62" s="204"/>
      <c r="E62" s="245"/>
      <c r="F62" s="245"/>
      <c r="G62" s="246"/>
      <c r="H62" s="245"/>
      <c r="I62" s="245"/>
      <c r="J62" s="245"/>
      <c r="K62" s="245"/>
      <c r="L62" s="205"/>
      <c r="M62" s="244"/>
    </row>
    <row r="63" spans="1:13" x14ac:dyDescent="0.2">
      <c r="A63" s="239"/>
      <c r="B63" s="240"/>
      <c r="C63" s="239"/>
      <c r="D63" s="204"/>
      <c r="E63" s="1136"/>
      <c r="F63" s="1136"/>
      <c r="G63" s="1136"/>
      <c r="H63" s="1136"/>
      <c r="I63" s="1136"/>
      <c r="J63" s="1136"/>
      <c r="K63" s="1136"/>
      <c r="L63" s="205"/>
      <c r="M63" s="244"/>
    </row>
    <row r="64" spans="1:13" x14ac:dyDescent="0.2">
      <c r="A64" s="239"/>
      <c r="B64" s="240"/>
      <c r="C64" s="239"/>
      <c r="D64" s="204"/>
      <c r="E64" s="1136"/>
      <c r="F64" s="1136"/>
      <c r="G64" s="1136"/>
      <c r="H64" s="1136"/>
      <c r="I64" s="1136"/>
      <c r="J64" s="1136"/>
      <c r="K64" s="1136"/>
      <c r="L64" s="205"/>
      <c r="M64" s="244"/>
    </row>
    <row r="65" spans="1:16" x14ac:dyDescent="0.2">
      <c r="A65" s="239"/>
      <c r="B65" s="240"/>
      <c r="C65" s="239"/>
      <c r="D65" s="204"/>
      <c r="E65" s="1136"/>
      <c r="F65" s="1136"/>
      <c r="G65" s="1136"/>
      <c r="H65" s="1136"/>
      <c r="I65" s="1136"/>
      <c r="J65" s="1136"/>
      <c r="K65" s="1136"/>
      <c r="L65" s="205"/>
      <c r="M65" s="244"/>
    </row>
    <row r="66" spans="1:16" x14ac:dyDescent="0.2">
      <c r="A66" s="239"/>
      <c r="B66" s="240"/>
      <c r="C66" s="239"/>
      <c r="D66" s="206"/>
      <c r="E66" s="64"/>
      <c r="F66" s="64"/>
      <c r="G66" s="65"/>
      <c r="H66" s="64"/>
      <c r="I66" s="64"/>
      <c r="J66" s="64"/>
      <c r="K66" s="64"/>
      <c r="L66" s="207"/>
      <c r="M66" s="244"/>
    </row>
    <row r="67" spans="1:16" s="284" customFormat="1" ht="6" customHeight="1" x14ac:dyDescent="0.2">
      <c r="B67" s="353"/>
      <c r="E67" s="301"/>
      <c r="F67" s="301"/>
      <c r="G67" s="302"/>
      <c r="H67" s="301"/>
      <c r="I67" s="301"/>
      <c r="J67" s="301"/>
      <c r="K67" s="301"/>
      <c r="L67" s="301"/>
    </row>
    <row r="68" spans="1:16" s="284" customFormat="1" ht="9" customHeight="1" x14ac:dyDescent="0.2">
      <c r="B68" s="353"/>
      <c r="D68" s="287"/>
      <c r="E68" s="303"/>
      <c r="F68" s="303"/>
      <c r="G68" s="304"/>
      <c r="H68" s="303"/>
      <c r="I68" s="303"/>
      <c r="J68" s="303"/>
      <c r="K68" s="303"/>
      <c r="L68" s="311"/>
    </row>
    <row r="69" spans="1:16" s="284" customFormat="1" ht="12.75" customHeight="1" x14ac:dyDescent="0.2">
      <c r="B69" s="353"/>
      <c r="D69" s="290"/>
      <c r="E69" s="325" t="s">
        <v>1122</v>
      </c>
      <c r="F69" s="325"/>
      <c r="G69" s="325"/>
      <c r="H69" s="325"/>
      <c r="I69" s="1009"/>
      <c r="J69" s="286"/>
      <c r="K69" s="286"/>
      <c r="L69" s="293"/>
    </row>
    <row r="70" spans="1:16" s="284" customFormat="1" ht="7.15" customHeight="1" x14ac:dyDescent="0.2">
      <c r="B70" s="353"/>
      <c r="D70" s="297"/>
      <c r="E70" s="298"/>
      <c r="F70" s="298"/>
      <c r="G70" s="299"/>
      <c r="H70" s="298"/>
      <c r="I70" s="298"/>
      <c r="J70" s="298"/>
      <c r="K70" s="298"/>
      <c r="L70" s="313"/>
    </row>
    <row r="71" spans="1:16" ht="6" customHeight="1" x14ac:dyDescent="0.2">
      <c r="A71" s="239"/>
      <c r="B71" s="421"/>
      <c r="C71" s="421"/>
      <c r="D71" s="239"/>
      <c r="E71" s="421"/>
      <c r="F71" s="421"/>
      <c r="G71" s="421"/>
      <c r="H71" s="421"/>
      <c r="I71" s="421"/>
      <c r="J71" s="421"/>
      <c r="K71" s="421"/>
      <c r="L71" s="239"/>
      <c r="M71" s="244"/>
    </row>
    <row r="72" spans="1:16" ht="15.75" x14ac:dyDescent="0.2">
      <c r="B72" s="236"/>
      <c r="D72" s="238" t="s">
        <v>1221</v>
      </c>
      <c r="F72" s="237"/>
      <c r="G72" s="237"/>
      <c r="H72" s="237"/>
      <c r="I72" s="237"/>
      <c r="J72" s="237"/>
      <c r="K72" s="237"/>
      <c r="L72" s="237"/>
    </row>
    <row r="73" spans="1:16" ht="6.75" customHeight="1" x14ac:dyDescent="0.2">
      <c r="A73" s="239"/>
      <c r="B73" s="240"/>
      <c r="C73" s="240"/>
      <c r="D73" s="241"/>
      <c r="E73" s="240"/>
      <c r="F73" s="242"/>
      <c r="G73" s="243"/>
      <c r="H73" s="242"/>
      <c r="I73" s="242"/>
      <c r="J73" s="242"/>
      <c r="K73" s="242"/>
      <c r="L73" s="240"/>
      <c r="M73" s="244"/>
      <c r="N73" s="1161" t="s">
        <v>2000</v>
      </c>
      <c r="O73" s="1161"/>
      <c r="P73" s="1161"/>
    </row>
    <row r="74" spans="1:16" ht="6" customHeight="1" x14ac:dyDescent="0.2">
      <c r="A74" s="239"/>
      <c r="B74" s="240"/>
      <c r="C74" s="239"/>
      <c r="D74" s="239"/>
      <c r="E74" s="245"/>
      <c r="F74" s="245"/>
      <c r="G74" s="246"/>
      <c r="H74" s="245"/>
      <c r="I74" s="245"/>
      <c r="J74" s="245"/>
      <c r="K74" s="245"/>
      <c r="L74" s="239"/>
      <c r="M74" s="244"/>
      <c r="N74" s="1161"/>
      <c r="O74" s="1161"/>
      <c r="P74" s="1161"/>
    </row>
    <row r="75" spans="1:16" x14ac:dyDescent="0.2">
      <c r="A75" s="239"/>
      <c r="B75" s="240"/>
      <c r="C75" s="239"/>
      <c r="D75" s="202"/>
      <c r="E75" s="269"/>
      <c r="F75" s="269"/>
      <c r="G75" s="270"/>
      <c r="H75" s="269"/>
      <c r="I75" s="269"/>
      <c r="J75" s="269"/>
      <c r="K75" s="269"/>
      <c r="L75" s="271"/>
      <c r="M75" s="244"/>
      <c r="N75" s="1161"/>
      <c r="O75" s="1161"/>
      <c r="P75" s="1161"/>
    </row>
    <row r="76" spans="1:16" x14ac:dyDescent="0.2">
      <c r="A76" s="239"/>
      <c r="B76" s="240"/>
      <c r="C76" s="239"/>
      <c r="D76" s="204"/>
      <c r="E76" s="272" t="s">
        <v>941</v>
      </c>
      <c r="F76" s="245"/>
      <c r="G76" s="246"/>
      <c r="H76" s="245"/>
      <c r="I76" s="245"/>
      <c r="J76" s="245"/>
      <c r="K76" s="245"/>
      <c r="L76" s="205"/>
      <c r="M76" s="244"/>
      <c r="N76" s="1161"/>
      <c r="O76" s="1161"/>
      <c r="P76" s="1161"/>
    </row>
    <row r="77" spans="1:16" x14ac:dyDescent="0.2">
      <c r="A77" s="239"/>
      <c r="B77" s="240"/>
      <c r="C77" s="239"/>
      <c r="D77" s="204"/>
      <c r="E77" s="245"/>
      <c r="F77" s="245"/>
      <c r="G77" s="246"/>
      <c r="H77" s="245"/>
      <c r="I77" s="245"/>
      <c r="J77" s="245"/>
      <c r="K77" s="245"/>
      <c r="L77" s="205"/>
      <c r="M77" s="244"/>
      <c r="N77" s="1161"/>
      <c r="O77" s="1161"/>
      <c r="P77" s="1161"/>
    </row>
    <row r="78" spans="1:16" x14ac:dyDescent="0.2">
      <c r="A78" s="239"/>
      <c r="B78" s="240"/>
      <c r="C78" s="239"/>
      <c r="D78" s="743" t="s">
        <v>955</v>
      </c>
      <c r="E78" s="734"/>
      <c r="G78" s="423"/>
      <c r="I78" s="731" t="s">
        <v>971</v>
      </c>
      <c r="J78" s="1166"/>
      <c r="K78" s="1166"/>
      <c r="L78" s="205"/>
      <c r="M78" s="244"/>
      <c r="N78" s="1161"/>
      <c r="O78" s="1161"/>
      <c r="P78" s="1161"/>
    </row>
    <row r="79" spans="1:16" x14ac:dyDescent="0.2">
      <c r="A79" s="239"/>
      <c r="B79" s="240"/>
      <c r="C79" s="239"/>
      <c r="D79" s="744" t="s">
        <v>956</v>
      </c>
      <c r="F79" s="665"/>
      <c r="G79" s="274"/>
      <c r="H79" s="245"/>
      <c r="L79" s="205"/>
      <c r="M79" s="244"/>
      <c r="N79" s="1161"/>
      <c r="O79" s="1161"/>
      <c r="P79" s="1161"/>
    </row>
    <row r="80" spans="1:16" x14ac:dyDescent="0.2">
      <c r="A80" s="239"/>
      <c r="B80" s="240"/>
      <c r="C80" s="239"/>
      <c r="D80" s="204"/>
      <c r="E80" s="245"/>
      <c r="F80" s="245"/>
      <c r="G80" s="245"/>
      <c r="H80" s="245"/>
      <c r="I80" s="706"/>
      <c r="J80" s="665"/>
      <c r="K80" s="274"/>
      <c r="L80" s="205"/>
      <c r="M80" s="244"/>
      <c r="N80" s="1161"/>
      <c r="O80" s="1161"/>
      <c r="P80" s="1161"/>
    </row>
    <row r="81" spans="1:16" x14ac:dyDescent="0.2">
      <c r="A81" s="239"/>
      <c r="B81" s="240"/>
      <c r="C81" s="239"/>
      <c r="D81" s="743" t="s">
        <v>996</v>
      </c>
      <c r="F81" s="707"/>
      <c r="G81" s="1015" t="str">
        <f>IF(K81&lt;&gt;"","",IF(MU_maxLB&lt;&gt;"",MU_maxLB,IF(MU_glAusb&lt;&gt;"",MU_glAusb,IF(MU_AnspFu&lt;&gt;"",MU_AnspFu,IF(MULohnberechnung&lt;&gt;"",MULohnberechnung,"")))))</f>
        <v/>
      </c>
      <c r="H81" s="320" t="s">
        <v>998</v>
      </c>
      <c r="I81" s="731" t="s">
        <v>997</v>
      </c>
      <c r="J81" s="707"/>
      <c r="K81" s="422"/>
      <c r="L81" s="205"/>
      <c r="M81" s="244"/>
      <c r="N81" s="1161"/>
      <c r="O81" s="1161"/>
      <c r="P81" s="1161"/>
    </row>
    <row r="82" spans="1:16" x14ac:dyDescent="0.2">
      <c r="A82" s="239"/>
      <c r="B82" s="240"/>
      <c r="C82" s="239"/>
      <c r="D82" s="204"/>
      <c r="E82" s="245"/>
      <c r="F82" s="245"/>
      <c r="G82" s="245"/>
      <c r="H82" s="245"/>
      <c r="I82" s="245"/>
      <c r="J82" s="245"/>
      <c r="K82" s="245"/>
      <c r="L82" s="205"/>
      <c r="M82" s="244"/>
      <c r="N82" s="1161"/>
      <c r="O82" s="1161"/>
      <c r="P82" s="1161"/>
    </row>
    <row r="83" spans="1:16" x14ac:dyDescent="0.2">
      <c r="A83" s="239"/>
      <c r="B83" s="240"/>
      <c r="C83" s="239"/>
      <c r="D83" s="743" t="s">
        <v>966</v>
      </c>
      <c r="F83" s="245"/>
      <c r="G83" s="1005"/>
      <c r="I83" s="665" t="s">
        <v>1069</v>
      </c>
      <c r="J83" s="1141" t="str">
        <f>_xlfn.IFNA(VLOOKUP(G83,Stammdaten_DropDown!$B$14:$C$55,2,FALSE),"")</f>
        <v/>
      </c>
      <c r="K83" s="1141"/>
      <c r="L83" s="266"/>
      <c r="M83" s="244"/>
      <c r="N83" s="1161"/>
      <c r="O83" s="1161"/>
      <c r="P83" s="1161"/>
    </row>
    <row r="84" spans="1:16" x14ac:dyDescent="0.2">
      <c r="A84" s="239"/>
      <c r="B84" s="240"/>
      <c r="C84" s="239"/>
      <c r="D84" s="204"/>
      <c r="E84" s="245"/>
      <c r="F84" s="245"/>
      <c r="G84" s="246"/>
      <c r="H84" s="245"/>
      <c r="I84" s="245"/>
      <c r="J84" s="245"/>
      <c r="K84" s="245"/>
      <c r="L84" s="205"/>
      <c r="M84" s="244"/>
      <c r="N84" s="1161"/>
      <c r="O84" s="1161"/>
      <c r="P84" s="1161"/>
    </row>
    <row r="85" spans="1:16" x14ac:dyDescent="0.2">
      <c r="A85" s="239"/>
      <c r="B85" s="240"/>
      <c r="C85" s="239"/>
      <c r="D85" s="743" t="s">
        <v>1982</v>
      </c>
      <c r="E85" s="245"/>
      <c r="F85" s="245"/>
      <c r="G85" s="843"/>
      <c r="H85" s="1135"/>
      <c r="I85" s="1135"/>
      <c r="J85" s="1135"/>
      <c r="K85" s="1135"/>
      <c r="L85" s="205"/>
      <c r="M85" s="244"/>
      <c r="N85" s="1161"/>
      <c r="O85" s="1161"/>
      <c r="P85" s="1161"/>
    </row>
    <row r="86" spans="1:16" x14ac:dyDescent="0.2">
      <c r="A86" s="239"/>
      <c r="B86" s="240"/>
      <c r="C86" s="239"/>
      <c r="D86" s="988" t="s">
        <v>2024</v>
      </c>
      <c r="E86" s="245"/>
      <c r="F86" s="245"/>
      <c r="G86" s="843"/>
      <c r="H86" s="245"/>
      <c r="I86" s="245"/>
      <c r="J86" s="245"/>
      <c r="K86" s="245"/>
      <c r="L86" s="205"/>
      <c r="M86" s="244"/>
      <c r="N86" s="1161"/>
      <c r="O86" s="1161"/>
      <c r="P86" s="1161"/>
    </row>
    <row r="87" spans="1:16" ht="12.75" customHeight="1" x14ac:dyDescent="0.2">
      <c r="A87" s="239"/>
      <c r="B87" s="240"/>
      <c r="C87" s="239"/>
      <c r="D87" s="745" t="s">
        <v>994</v>
      </c>
      <c r="G87" s="1137"/>
      <c r="H87" s="1137"/>
      <c r="I87" s="1137"/>
      <c r="J87" s="1137"/>
      <c r="K87" s="1137"/>
      <c r="L87" s="205"/>
      <c r="M87" s="244"/>
      <c r="N87" s="1161"/>
      <c r="O87" s="1161"/>
      <c r="P87" s="1161"/>
    </row>
    <row r="88" spans="1:16" x14ac:dyDescent="0.2">
      <c r="A88" s="239"/>
      <c r="B88" s="240"/>
      <c r="C88" s="239"/>
      <c r="D88" s="206"/>
      <c r="E88" s="64"/>
      <c r="F88" s="64"/>
      <c r="G88" s="65"/>
      <c r="H88" s="64"/>
      <c r="I88" s="64"/>
      <c r="J88" s="64"/>
      <c r="K88" s="64"/>
      <c r="L88" s="207"/>
      <c r="M88" s="244"/>
      <c r="N88" s="1161"/>
      <c r="O88" s="1161"/>
      <c r="P88" s="1161"/>
    </row>
    <row r="89" spans="1:16" ht="6" customHeight="1" x14ac:dyDescent="0.2">
      <c r="A89" s="239"/>
      <c r="B89" s="240"/>
      <c r="C89" s="239"/>
      <c r="D89" s="239"/>
      <c r="E89" s="239"/>
      <c r="F89" s="239"/>
      <c r="G89" s="280"/>
      <c r="H89" s="239"/>
      <c r="I89" s="239"/>
      <c r="J89" s="239"/>
      <c r="K89" s="239"/>
      <c r="L89" s="239"/>
      <c r="M89" s="244"/>
      <c r="N89" s="1161"/>
      <c r="O89" s="1161"/>
      <c r="P89" s="1161"/>
    </row>
    <row r="90" spans="1:16" x14ac:dyDescent="0.2">
      <c r="A90" s="239"/>
      <c r="B90" s="240"/>
      <c r="C90" s="239"/>
      <c r="D90" s="202"/>
      <c r="E90" s="67"/>
      <c r="F90" s="67"/>
      <c r="G90" s="68"/>
      <c r="H90" s="67"/>
      <c r="I90" s="67"/>
      <c r="J90" s="67"/>
      <c r="K90" s="67"/>
      <c r="L90" s="203"/>
      <c r="M90" s="244"/>
      <c r="N90" s="1161"/>
      <c r="O90" s="1161"/>
      <c r="P90" s="1161"/>
    </row>
    <row r="91" spans="1:16" x14ac:dyDescent="0.2">
      <c r="A91" s="239"/>
      <c r="B91" s="240"/>
      <c r="C91" s="239"/>
      <c r="D91" s="204"/>
      <c r="E91" s="1165" t="s">
        <v>978</v>
      </c>
      <c r="F91" s="1165"/>
      <c r="G91" s="1165"/>
      <c r="H91" s="1165"/>
      <c r="I91" s="1165"/>
      <c r="J91" s="1165"/>
      <c r="K91" s="245"/>
      <c r="L91" s="205"/>
      <c r="M91" s="244"/>
      <c r="N91" s="1161"/>
      <c r="O91" s="1161"/>
      <c r="P91" s="1161"/>
    </row>
    <row r="92" spans="1:16" x14ac:dyDescent="0.2">
      <c r="A92" s="239"/>
      <c r="B92" s="240"/>
      <c r="C92" s="239"/>
      <c r="D92" s="204"/>
      <c r="E92" s="245"/>
      <c r="F92" s="245"/>
      <c r="G92" s="246"/>
      <c r="H92" s="245"/>
      <c r="I92" s="245"/>
      <c r="J92" s="245"/>
      <c r="K92" s="245"/>
      <c r="L92" s="205"/>
      <c r="M92" s="244"/>
      <c r="N92" s="1161"/>
      <c r="O92" s="1161"/>
      <c r="P92" s="1161"/>
    </row>
    <row r="93" spans="1:16" x14ac:dyDescent="0.2">
      <c r="A93" s="239"/>
      <c r="B93" s="240"/>
      <c r="C93" s="239"/>
      <c r="D93" s="204"/>
      <c r="E93" s="1136"/>
      <c r="F93" s="1136"/>
      <c r="G93" s="1136"/>
      <c r="H93" s="1136"/>
      <c r="I93" s="1136"/>
      <c r="J93" s="1136"/>
      <c r="K93" s="1136"/>
      <c r="L93" s="205"/>
      <c r="M93" s="244"/>
      <c r="N93" s="1161"/>
      <c r="O93" s="1161"/>
      <c r="P93" s="1161"/>
    </row>
    <row r="94" spans="1:16" x14ac:dyDescent="0.2">
      <c r="A94" s="239"/>
      <c r="B94" s="240"/>
      <c r="C94" s="239"/>
      <c r="D94" s="204"/>
      <c r="E94" s="1136"/>
      <c r="F94" s="1136"/>
      <c r="G94" s="1136"/>
      <c r="H94" s="1136"/>
      <c r="I94" s="1136"/>
      <c r="J94" s="1136"/>
      <c r="K94" s="1136"/>
      <c r="L94" s="205"/>
      <c r="M94" s="244"/>
      <c r="N94" s="1161"/>
      <c r="O94" s="1161"/>
      <c r="P94" s="1161"/>
    </row>
    <row r="95" spans="1:16" x14ac:dyDescent="0.2">
      <c r="A95" s="239"/>
      <c r="B95" s="240"/>
      <c r="C95" s="239"/>
      <c r="D95" s="204"/>
      <c r="E95" s="1136"/>
      <c r="F95" s="1136"/>
      <c r="G95" s="1136"/>
      <c r="H95" s="1136"/>
      <c r="I95" s="1136"/>
      <c r="J95" s="1136"/>
      <c r="K95" s="1136"/>
      <c r="L95" s="205"/>
      <c r="M95" s="244"/>
      <c r="N95" s="1161"/>
      <c r="O95" s="1161"/>
      <c r="P95" s="1161"/>
    </row>
    <row r="96" spans="1:16" x14ac:dyDescent="0.2">
      <c r="A96" s="239"/>
      <c r="B96" s="240"/>
      <c r="C96" s="239"/>
      <c r="D96" s="206"/>
      <c r="E96" s="64"/>
      <c r="F96" s="64"/>
      <c r="G96" s="65"/>
      <c r="H96" s="64"/>
      <c r="I96" s="64"/>
      <c r="J96" s="64"/>
      <c r="K96" s="64"/>
      <c r="L96" s="207"/>
      <c r="M96" s="244"/>
    </row>
    <row r="97" spans="1:16" ht="6" customHeight="1" x14ac:dyDescent="0.2">
      <c r="A97" s="239"/>
      <c r="B97" s="240"/>
      <c r="C97" s="239"/>
      <c r="D97" s="239"/>
      <c r="E97" s="245"/>
      <c r="F97" s="245"/>
      <c r="G97" s="246"/>
      <c r="H97" s="245"/>
      <c r="I97" s="245"/>
      <c r="J97" s="245"/>
      <c r="K97" s="245"/>
      <c r="L97" s="239"/>
      <c r="M97" s="244"/>
    </row>
    <row r="98" spans="1:16" x14ac:dyDescent="0.2">
      <c r="A98" s="239"/>
      <c r="B98" s="240"/>
      <c r="C98" s="239"/>
      <c r="D98" s="202"/>
      <c r="E98" s="67"/>
      <c r="F98" s="67"/>
      <c r="G98" s="68"/>
      <c r="H98" s="67"/>
      <c r="I98" s="67"/>
      <c r="J98" s="67"/>
      <c r="K98" s="67"/>
      <c r="L98" s="203"/>
      <c r="M98" s="244"/>
    </row>
    <row r="99" spans="1:16" x14ac:dyDescent="0.2">
      <c r="A99" s="239"/>
      <c r="B99" s="240"/>
      <c r="C99" s="239"/>
      <c r="D99" s="204"/>
      <c r="E99" s="210" t="s">
        <v>929</v>
      </c>
      <c r="F99" s="210"/>
      <c r="G99" s="320"/>
      <c r="H99" s="319"/>
      <c r="I99" s="319"/>
      <c r="J99" s="319"/>
      <c r="K99" s="319"/>
      <c r="L99" s="266"/>
      <c r="M99" s="244"/>
      <c r="N99" s="1176" t="str">
        <f>Stammdaten_DropDown!A114</f>
        <v>Lohnentwicklung</v>
      </c>
      <c r="O99" s="1176"/>
      <c r="P99" s="1176"/>
    </row>
    <row r="100" spans="1:16" x14ac:dyDescent="0.2">
      <c r="A100" s="239"/>
      <c r="B100" s="240"/>
      <c r="C100" s="239"/>
      <c r="D100" s="204"/>
      <c r="E100" s="245"/>
      <c r="F100" s="245"/>
      <c r="G100" s="535"/>
      <c r="H100" s="245"/>
      <c r="I100" s="245"/>
      <c r="J100" s="245"/>
      <c r="K100" s="245"/>
      <c r="L100" s="266"/>
      <c r="M100" s="244"/>
      <c r="N100" s="1185" t="str">
        <f>Stammdaten_DropDown!A115</f>
        <v>Bitte angeben, ob eine individuelle Lohnentwicklung gewährt werden soll.</v>
      </c>
      <c r="O100" s="1185"/>
      <c r="P100" s="1185"/>
    </row>
    <row r="101" spans="1:16" x14ac:dyDescent="0.2">
      <c r="A101" s="239"/>
      <c r="B101" s="240"/>
      <c r="C101" s="239"/>
      <c r="D101" s="204"/>
      <c r="E101" s="245" t="s">
        <v>940</v>
      </c>
      <c r="F101" s="245"/>
      <c r="G101" s="535"/>
      <c r="H101" s="245"/>
      <c r="I101" s="245"/>
      <c r="J101" s="1166"/>
      <c r="K101" s="1166"/>
      <c r="L101" s="266"/>
      <c r="M101" s="244"/>
      <c r="N101" s="1185" t="str">
        <f>Stammdaten_DropDown!A116</f>
        <v>Bei einem Neueintritt nach dem 01.07.2026 ist keine individuelle Lohnentwicklung vorgesehen.</v>
      </c>
      <c r="O101" s="1185"/>
      <c r="P101" s="1185"/>
    </row>
    <row r="102" spans="1:16" x14ac:dyDescent="0.2">
      <c r="A102" s="239"/>
      <c r="B102" s="240"/>
      <c r="C102" s="239"/>
      <c r="D102" s="204"/>
      <c r="E102" s="245"/>
      <c r="F102" s="245"/>
      <c r="G102" s="535"/>
      <c r="H102" s="245"/>
      <c r="I102" s="245"/>
      <c r="J102" s="245"/>
      <c r="K102" s="245"/>
      <c r="L102" s="266"/>
      <c r="M102" s="244"/>
      <c r="N102" s="1185" t="str">
        <f>Stammdaten_DropDown!A117</f>
        <v>In dem Fall ist das Prädikat auf dem Wert «NA» (keine Beurteilung) zu belassen.</v>
      </c>
      <c r="O102" s="1185"/>
      <c r="P102" s="1185"/>
    </row>
    <row r="103" spans="1:16" x14ac:dyDescent="0.2">
      <c r="A103" s="239"/>
      <c r="B103" s="240"/>
      <c r="C103" s="239"/>
      <c r="D103" s="204"/>
      <c r="E103" s="275" t="s">
        <v>764</v>
      </c>
      <c r="F103" s="244"/>
      <c r="G103" s="1011" t="str">
        <f>IF(ISBLANK($J$101),IF(LB_maxLB&lt;&gt;"",LB_maxLB,IF(LB_glAusb&lt;&gt;"",LB_glAusb,IF(LB_anspFu&lt;&gt;"",LB_anspFu,IF(BandLohnBer="",IF(BandLohnRechner="","",BandLohnRechner),IF(BandLohnRechner="",BandLohnBer,"FEHLER"))))),"-")</f>
        <v/>
      </c>
      <c r="I103" s="682" t="s">
        <v>808</v>
      </c>
      <c r="J103" s="244"/>
      <c r="K103" s="1006" t="str">
        <f ca="1">IF(ISBLANK($J$101),IFERROR(IF(EW_maxLB&lt;&gt;"",EW_maxLB,IF(EW_glAusb&lt;&gt;"",EW_glAusb,IF(EW_anspFu&lt;&gt;"",EW_anspFu,IF(EWLohnBer="",IF(EWLohnRechner="","",EWLohnRechner),IF(EWLohnRechner="",EWLohnBer,"FEHLER"))))),""),"-")</f>
        <v/>
      </c>
      <c r="L103" s="266"/>
      <c r="M103" s="244"/>
      <c r="N103" s="856"/>
    </row>
    <row r="104" spans="1:16" x14ac:dyDescent="0.2">
      <c r="A104" s="239"/>
      <c r="B104" s="240"/>
      <c r="C104" s="239"/>
      <c r="D104" s="204"/>
      <c r="E104" s="429" t="b">
        <f>AND(BandLohnBer&lt;&gt;"",BandLohnRechner&lt;&gt;"")</f>
        <v>0</v>
      </c>
      <c r="F104" s="245"/>
      <c r="G104" s="536" t="str">
        <f>IF(E104,"2 Lohnbänder gefunden","")</f>
        <v/>
      </c>
      <c r="H104" s="708" t="b">
        <f>AND(EWLohnBer&lt;&gt;"",EWLohnRechner&lt;&gt;"")</f>
        <v>0</v>
      </c>
      <c r="J104" s="1173" t="str">
        <f>IF(H104,"2 Erfahrungswerte gefunden","")</f>
        <v/>
      </c>
      <c r="K104" s="1173"/>
      <c r="L104" s="266"/>
      <c r="M104" s="244"/>
      <c r="N104" s="1174" t="str">
        <f>Stammdaten_DropDown!A118</f>
        <v xml:space="preserve">Falls eine individuelle  Lohnentwicklung gewährt werden soll, ist das entsprechende Prädikat aus der relevanten MAG-Phase im Dropdown-Menu auszuwählen. </v>
      </c>
      <c r="O104" s="1174"/>
      <c r="P104" s="1174"/>
    </row>
    <row r="105" spans="1:16" x14ac:dyDescent="0.2">
      <c r="A105" s="239"/>
      <c r="B105" s="240"/>
      <c r="C105" s="239"/>
      <c r="D105" s="204"/>
      <c r="E105" s="731"/>
      <c r="F105" s="244"/>
      <c r="G105" s="244"/>
      <c r="I105" s="682" t="s">
        <v>1100</v>
      </c>
      <c r="K105" s="1049" t="str">
        <f ca="1">IF(ISBLANK($J$101),IFERROR(IF(Lohn_maxLB&lt;&gt;"",Lohn_maxLB,IF(Lohn_glAusb&lt;&gt;"",Lohn_glAusb,IF(Lohn_anspFu&lt;&gt;"",Lohn_anspFu,IF(LohnLohnBer="",IF(LohnLohnRechner="","",LohnLohnRechner),IF(LohnLohnRechner="",LohnLohnBer,"FEHLER"))))),""),"-")</f>
        <v/>
      </c>
      <c r="L105" s="266"/>
      <c r="M105" s="244"/>
      <c r="N105" s="1174"/>
      <c r="O105" s="1174"/>
      <c r="P105" s="1174"/>
    </row>
    <row r="106" spans="1:16" x14ac:dyDescent="0.2">
      <c r="A106" s="239"/>
      <c r="B106" s="240"/>
      <c r="C106" s="239"/>
      <c r="D106" s="204"/>
      <c r="E106" s="245"/>
      <c r="F106" s="245"/>
      <c r="G106" s="245"/>
      <c r="H106" s="245"/>
      <c r="I106" s="429" t="b">
        <f>AND(LohnLohnBer&lt;&gt;"",LohnLohnRechner&lt;&gt;"")</f>
        <v>0</v>
      </c>
      <c r="J106" s="1173" t="str">
        <f>IF(I106,"2 Löhne gefunden","")</f>
        <v/>
      </c>
      <c r="K106" s="1173"/>
      <c r="L106" s="266"/>
      <c r="M106" s="244"/>
      <c r="N106" s="1185" t="str">
        <f>Stammdaten_DropDown!A119</f>
        <v>Ist noch keine Beurteilung hinterlegt, so ist das Prädikat auf «A» zu belassen.</v>
      </c>
      <c r="O106" s="1185"/>
      <c r="P106" s="1185"/>
    </row>
    <row r="107" spans="1:16" x14ac:dyDescent="0.2">
      <c r="A107" s="239"/>
      <c r="B107" s="240"/>
      <c r="C107" s="239"/>
      <c r="D107" s="204"/>
      <c r="F107" s="245"/>
      <c r="G107" s="245"/>
      <c r="H107" s="683" t="s">
        <v>995</v>
      </c>
      <c r="J107" s="239"/>
      <c r="K107" s="1050" t="str">
        <f ca="1">IFERROR(ROUND(G43*K105,2), "aus SAP")</f>
        <v>aus SAP</v>
      </c>
      <c r="L107" s="266"/>
      <c r="M107" s="244"/>
    </row>
    <row r="108" spans="1:16" x14ac:dyDescent="0.2">
      <c r="A108" s="239"/>
      <c r="B108" s="240"/>
      <c r="C108" s="239"/>
      <c r="D108" s="204"/>
      <c r="F108" s="245"/>
      <c r="G108" s="245"/>
      <c r="H108" s="683"/>
      <c r="J108" s="239"/>
      <c r="K108" s="864"/>
      <c r="L108" s="266"/>
      <c r="M108" s="244"/>
    </row>
    <row r="109" spans="1:16" x14ac:dyDescent="0.2">
      <c r="A109" s="239"/>
      <c r="B109" s="240"/>
      <c r="C109" s="239"/>
      <c r="D109" s="204"/>
      <c r="E109" s="235" t="str">
        <f>CONCATENATE("Lohnentwicklung per 01.01.",LohntabelleM!I1+1," gewähren?")</f>
        <v>Lohnentwicklung per 01.01.2027 gewähren?</v>
      </c>
      <c r="F109" s="245"/>
      <c r="G109" s="245"/>
      <c r="H109" s="874"/>
      <c r="J109" s="862" t="s">
        <v>1948</v>
      </c>
      <c r="K109" s="873" t="str">
        <f>L109</f>
        <v/>
      </c>
      <c r="L109" s="858" t="str">
        <f>IF(H109="Ja","A",IF(H109="Nein","NA",""))</f>
        <v/>
      </c>
      <c r="M109" s="244"/>
    </row>
    <row r="110" spans="1:16" ht="7.5" customHeight="1" x14ac:dyDescent="0.2">
      <c r="A110" s="239"/>
      <c r="B110" s="240"/>
      <c r="C110" s="239"/>
      <c r="D110" s="206"/>
      <c r="E110" s="64"/>
      <c r="F110" s="64"/>
      <c r="G110" s="65"/>
      <c r="H110" s="64"/>
      <c r="I110" s="64"/>
      <c r="J110" s="64"/>
      <c r="K110" s="64"/>
      <c r="L110" s="279"/>
      <c r="M110" s="244"/>
    </row>
    <row r="111" spans="1:16" ht="10.9" customHeight="1" x14ac:dyDescent="0.2">
      <c r="A111" s="239"/>
      <c r="B111" s="240"/>
      <c r="C111" s="239"/>
      <c r="D111" s="239"/>
      <c r="E111" s="245"/>
      <c r="F111" s="239"/>
      <c r="G111" s="239"/>
      <c r="H111" s="239"/>
      <c r="I111" s="239"/>
      <c r="J111" s="239"/>
      <c r="K111" s="239"/>
      <c r="L111" s="239"/>
      <c r="M111" s="244"/>
    </row>
    <row r="112" spans="1:16" ht="96" customHeight="1" x14ac:dyDescent="0.2">
      <c r="A112" s="239"/>
      <c r="B112" s="240"/>
      <c r="C112" s="239"/>
      <c r="D112" s="1143" t="s">
        <v>959</v>
      </c>
      <c r="E112" s="1143"/>
      <c r="F112" s="1143"/>
      <c r="G112" s="1143"/>
      <c r="H112" s="1143"/>
      <c r="I112" s="1143"/>
      <c r="J112" s="1143"/>
      <c r="K112" s="1143"/>
      <c r="L112" s="245"/>
      <c r="M112" s="244"/>
    </row>
    <row r="113" spans="1:13" x14ac:dyDescent="0.2">
      <c r="A113" s="239"/>
      <c r="B113" s="239"/>
      <c r="C113" s="239"/>
      <c r="E113" s="245"/>
      <c r="F113" s="245"/>
      <c r="G113" s="245"/>
      <c r="H113" s="245"/>
      <c r="I113" s="245"/>
      <c r="J113" s="239"/>
      <c r="K113" s="239"/>
      <c r="L113" s="239"/>
      <c r="M113" s="244"/>
    </row>
    <row r="114" spans="1:13" x14ac:dyDescent="0.2">
      <c r="A114" s="239"/>
      <c r="B114" s="239"/>
      <c r="C114" s="239"/>
      <c r="E114" s="245"/>
      <c r="F114" s="245"/>
      <c r="G114" s="245"/>
      <c r="H114" s="245"/>
      <c r="I114" s="245"/>
      <c r="J114" s="262"/>
      <c r="K114" s="262"/>
      <c r="L114" s="262"/>
      <c r="M114" s="244"/>
    </row>
    <row r="115" spans="1:13" x14ac:dyDescent="0.2">
      <c r="A115" s="239"/>
      <c r="B115" s="239"/>
      <c r="C115" s="239"/>
      <c r="E115" s="245"/>
      <c r="F115" s="245"/>
      <c r="G115" s="245"/>
      <c r="H115" s="245"/>
      <c r="I115" s="245"/>
      <c r="M115" s="244"/>
    </row>
    <row r="116" spans="1:13" x14ac:dyDescent="0.2">
      <c r="A116" s="239"/>
      <c r="B116" s="239"/>
      <c r="C116" s="239"/>
      <c r="E116" s="245"/>
      <c r="F116" s="245"/>
      <c r="G116" s="245"/>
      <c r="H116" s="245"/>
      <c r="I116" s="245"/>
      <c r="M116" s="244"/>
    </row>
    <row r="117" spans="1:13" x14ac:dyDescent="0.2">
      <c r="E117" s="245"/>
      <c r="F117" s="245"/>
      <c r="G117" s="245"/>
      <c r="H117" s="245"/>
      <c r="I117" s="245"/>
    </row>
    <row r="118" spans="1:13" x14ac:dyDescent="0.2">
      <c r="E118" s="245"/>
      <c r="F118" s="245"/>
      <c r="G118" s="245"/>
      <c r="H118" s="245"/>
      <c r="I118" s="245"/>
    </row>
  </sheetData>
  <sheetProtection algorithmName="SHA-512" hashValue="rFX8SHrozBr7ufNTlIA7WTL1Z+9S5jzey/bjHPMCatrU0zJHMTpaNo4bgqp+tuax051Mxhe8rMrdRXYP7jVhTQ==" saltValue="hvJol90be3if142r3HK0lQ==" spinCount="100000" sheet="1" objects="1" scenarios="1"/>
  <mergeCells count="50">
    <mergeCell ref="N102:P102"/>
    <mergeCell ref="N104:P105"/>
    <mergeCell ref="N106:P106"/>
    <mergeCell ref="E94:K94"/>
    <mergeCell ref="E95:K95"/>
    <mergeCell ref="J101:K101"/>
    <mergeCell ref="N101:P101"/>
    <mergeCell ref="J106:K106"/>
    <mergeCell ref="N29:O31"/>
    <mergeCell ref="H85:K85"/>
    <mergeCell ref="N73:P95"/>
    <mergeCell ref="N99:P99"/>
    <mergeCell ref="N100:P100"/>
    <mergeCell ref="E37:J37"/>
    <mergeCell ref="J45:K45"/>
    <mergeCell ref="E49:G49"/>
    <mergeCell ref="H49:K49"/>
    <mergeCell ref="E55:H55"/>
    <mergeCell ref="E51:F51"/>
    <mergeCell ref="E53:G53"/>
    <mergeCell ref="J78:K78"/>
    <mergeCell ref="D31:L32"/>
    <mergeCell ref="E91:J91"/>
    <mergeCell ref="E93:K93"/>
    <mergeCell ref="E10:F10"/>
    <mergeCell ref="E12:F12"/>
    <mergeCell ref="G12:H12"/>
    <mergeCell ref="J12:K12"/>
    <mergeCell ref="F21:K21"/>
    <mergeCell ref="E14:F14"/>
    <mergeCell ref="J14:K14"/>
    <mergeCell ref="F20:J20"/>
    <mergeCell ref="F16:H16"/>
    <mergeCell ref="J16:K16"/>
    <mergeCell ref="N12:O13"/>
    <mergeCell ref="F22:I22"/>
    <mergeCell ref="F23:G23"/>
    <mergeCell ref="D112:K112"/>
    <mergeCell ref="H57:K57"/>
    <mergeCell ref="H53:K53"/>
    <mergeCell ref="H51:K51"/>
    <mergeCell ref="J83:K83"/>
    <mergeCell ref="E58:F58"/>
    <mergeCell ref="E57:G57"/>
    <mergeCell ref="E61:G61"/>
    <mergeCell ref="E63:K63"/>
    <mergeCell ref="E64:K64"/>
    <mergeCell ref="E65:K65"/>
    <mergeCell ref="G87:K87"/>
    <mergeCell ref="J104:K104"/>
  </mergeCells>
  <conditionalFormatting sqref="G103 K105">
    <cfRule type="expression" dxfId="107" priority="6">
      <formula>E104</formula>
    </cfRule>
  </conditionalFormatting>
  <conditionalFormatting sqref="K103">
    <cfRule type="expression" dxfId="106" priority="175">
      <formula>H104</formula>
    </cfRule>
  </conditionalFormatting>
  <conditionalFormatting sqref="J109">
    <cfRule type="expression" dxfId="105" priority="3">
      <formula>#REF!</formula>
    </cfRule>
  </conditionalFormatting>
  <conditionalFormatting sqref="J109:K109 N102:P106">
    <cfRule type="expression" dxfId="104" priority="2">
      <formula>$H$109=""</formula>
    </cfRule>
  </conditionalFormatting>
  <dataValidations count="7">
    <dataValidation type="list" allowBlank="1" showInputMessage="1" showErrorMessage="1" sqref="H51:K51" xr:uid="{00000000-0002-0000-0E00-000000000000}">
      <formula1>VPFunktSchule</formula1>
    </dataValidation>
    <dataValidation allowBlank="1" showInputMessage="1" sqref="J83" xr:uid="{00000000-0002-0000-0E00-000001000000}"/>
    <dataValidation operator="greaterThan" allowBlank="1" showInputMessage="1" showErrorMessage="1" errorTitle="Fehler" error="Pensum als Ganzzahl angeben" sqref="J109 K105 K107:K108" xr:uid="{00000000-0002-0000-0E00-000002000000}"/>
    <dataValidation type="date" operator="greaterThan" allowBlank="1" showInputMessage="1" showErrorMessage="1" errorTitle="Fehler" error="Geben Sie ein gültiges Datum dd.mm.yyyy ein!" sqref="L52 L45 G45 G78:G80 K80" xr:uid="{00000000-0002-0000-0E00-000003000000}">
      <formula1>1</formula1>
    </dataValidation>
    <dataValidation type="list" allowBlank="1" showInputMessage="1" showErrorMessage="1" sqref="J45:K45" xr:uid="{00000000-0002-0000-0E00-000004000000}">
      <formula1>AnstellungsartVP</formula1>
    </dataValidation>
    <dataValidation operator="greaterThan" allowBlank="1" showInputMessage="1" showErrorMessage="1" errorTitle="Fehler" error="Geben Sie ein gültiges Datum dd.mm.yyyy ein!" sqref="G81 K81" xr:uid="{00000000-0002-0000-0E00-000005000000}"/>
    <dataValidation type="decimal" allowBlank="1" showInputMessage="1" showErrorMessage="1" errorTitle="Fehler" error="Geben Sie einen Wert zwischen 1% und 100% ein." sqref="G43" xr:uid="{00000000-0002-0000-0E00-000006000000}">
      <formula1>0.01</formula1>
      <formula2>1</formula2>
    </dataValidation>
  </dataValidations>
  <hyperlinks>
    <hyperlink ref="N29" location="Pensenberechnung!A1" display="Pensenberechnung" xr:uid="{00000000-0004-0000-0E00-000000000000}"/>
    <hyperlink ref="N12:O13" location="Grunddaten!E9" display="Zurück zu Grunddaten" xr:uid="{00000000-0004-0000-0E00-000001000000}"/>
    <hyperlink ref="N29:O31" location="Pensenberechnung!J15" display="Pensenberechnung" xr:uid="{00000000-0004-0000-0E00-000002000000}"/>
  </hyperlinks>
  <printOptions horizontalCentered="1"/>
  <pageMargins left="0.70866141732283472" right="0.70866141732283472" top="0.74803149606299213" bottom="0.74803149606299213" header="0.31496062992125984" footer="0.31496062992125984"/>
  <pageSetup paperSize="9" scale="89" fitToHeight="0" orientation="portrait" r:id="rId1"/>
  <headerFooter>
    <oddFooter>Seite &amp;P von &amp;N</oddFooter>
  </headerFooter>
  <rowBreaks count="1" manualBreakCount="1">
    <brk id="70" max="16383" man="1"/>
  </rowBreaks>
  <ignoredErrors>
    <ignoredError sqref="K10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03458" r:id="rId4" name="Check Box 2">
              <controlPr defaultSize="0" autoFill="0" autoLine="0" autoPict="0">
                <anchor>
                  <from>
                    <xdr:col>8</xdr:col>
                    <xdr:colOff>266700</xdr:colOff>
                    <xdr:row>45</xdr:row>
                    <xdr:rowOff>104775</xdr:rowOff>
                  </from>
                  <to>
                    <xdr:col>10</xdr:col>
                    <xdr:colOff>742950</xdr:colOff>
                    <xdr:row>47</xdr:row>
                    <xdr:rowOff>19050</xdr:rowOff>
                  </to>
                </anchor>
              </controlPr>
            </control>
          </mc:Choice>
        </mc:AlternateContent>
        <mc:AlternateContent xmlns:mc="http://schemas.openxmlformats.org/markup-compatibility/2006">
          <mc:Choice Requires="x14">
            <control shapeId="403460" r:id="rId5" name="Check Box 4">
              <controlPr defaultSize="0" autoFill="0" autoLine="0" autoPict="0">
                <anchor>
                  <from>
                    <xdr:col>4</xdr:col>
                    <xdr:colOff>76200</xdr:colOff>
                    <xdr:row>53</xdr:row>
                    <xdr:rowOff>123825</xdr:rowOff>
                  </from>
                  <to>
                    <xdr:col>7</xdr:col>
                    <xdr:colOff>19050</xdr:colOff>
                    <xdr:row>55</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E00-000007000000}">
          <x14:formula1>
            <xm:f>Stammdaten_DropDown!$E$93:$E$100</xm:f>
          </x14:formula1>
          <xm:sqref>H85:K85</xm:sqref>
        </x14:dataValidation>
        <x14:dataValidation type="list" allowBlank="1" showInputMessage="1" showErrorMessage="1" xr:uid="{00000000-0002-0000-0E00-000008000000}">
          <x14:formula1>
            <xm:f>Stammdaten_DropDown!$E$103:$E$104</xm:f>
          </x14:formula1>
          <xm:sqref>H109</xm:sqref>
        </x14:dataValidation>
        <x14:dataValidation type="list" operator="greaterThan" allowBlank="1" showInputMessage="1" showErrorMessage="1" errorTitle="Fehler" error="Pensum als Ganzzahl angeben" xr:uid="{00000000-0002-0000-0E00-000009000000}">
          <x14:formula1>
            <xm:f>Stammdaten_DropDown!$E$107:$E$110</xm:f>
          </x14:formula1>
          <xm:sqref>K109</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4">
    <pageSetUpPr fitToPage="1"/>
  </sheetPr>
  <dimension ref="A1:Q118"/>
  <sheetViews>
    <sheetView zoomScaleNormal="100" workbookViewId="0">
      <selection activeCell="P43" sqref="P43"/>
    </sheetView>
  </sheetViews>
  <sheetFormatPr baseColWidth="10" defaultColWidth="11.5703125" defaultRowHeight="12.75" x14ac:dyDescent="0.2"/>
  <cols>
    <col min="1" max="1" width="3.5703125" style="235" customWidth="1"/>
    <col min="2" max="3" width="0.85546875" style="235" customWidth="1"/>
    <col min="4" max="4" width="3.5703125" style="235" customWidth="1"/>
    <col min="5" max="5" width="11.5703125" style="235"/>
    <col min="6" max="6" width="8.5703125" style="235" customWidth="1"/>
    <col min="7" max="7" width="17.140625" style="235" customWidth="1"/>
    <col min="8" max="8" width="13" style="235" customWidth="1"/>
    <col min="9" max="9" width="18" style="235" customWidth="1"/>
    <col min="10" max="10" width="9.28515625" style="235" customWidth="1"/>
    <col min="11" max="11" width="13.42578125" style="235" customWidth="1"/>
    <col min="12" max="12" width="3.5703125" style="235" customWidth="1"/>
    <col min="13" max="13" width="3.42578125" style="235" customWidth="1"/>
    <col min="14" max="15" width="11.5703125" style="91"/>
    <col min="16" max="16" width="45.7109375" style="91" customWidth="1"/>
    <col min="17" max="16384" width="11.5703125" style="91"/>
  </cols>
  <sheetData>
    <row r="1" spans="1:16" ht="12" customHeight="1" x14ac:dyDescent="0.2"/>
    <row r="2" spans="1:16" ht="20.25" customHeight="1" x14ac:dyDescent="0.2">
      <c r="B2" s="236" t="s">
        <v>2007</v>
      </c>
      <c r="D2" s="236"/>
      <c r="F2" s="237"/>
      <c r="G2" s="237"/>
      <c r="H2" s="237"/>
      <c r="I2" s="237"/>
      <c r="J2" s="237"/>
      <c r="K2" s="237"/>
      <c r="L2" s="237"/>
    </row>
    <row r="3" spans="1:16" ht="11.25" customHeight="1" x14ac:dyDescent="0.2">
      <c r="B3" s="236"/>
      <c r="D3" s="776"/>
      <c r="F3" s="237"/>
      <c r="G3" s="237"/>
      <c r="H3" s="237"/>
      <c r="I3" s="237"/>
      <c r="J3" s="237"/>
      <c r="K3" s="237"/>
      <c r="L3" s="237"/>
    </row>
    <row r="4" spans="1:16" ht="15.75" x14ac:dyDescent="0.2">
      <c r="B4" s="236"/>
      <c r="D4" s="238" t="s">
        <v>945</v>
      </c>
      <c r="F4" s="237"/>
      <c r="G4" s="237"/>
      <c r="H4" s="237"/>
      <c r="I4" s="237"/>
      <c r="J4" s="237"/>
      <c r="K4" s="237"/>
      <c r="L4" s="994" t="str">
        <f>CONCATENATE(LohntabelleM!G1," / ",LohntabelleM!I1)</f>
        <v>V6.0 / 2026</v>
      </c>
    </row>
    <row r="5" spans="1:16" ht="6.75" customHeight="1" x14ac:dyDescent="0.2">
      <c r="A5" s="239"/>
      <c r="B5" s="240"/>
      <c r="C5" s="240"/>
      <c r="D5" s="241"/>
      <c r="E5" s="240"/>
      <c r="F5" s="242"/>
      <c r="G5" s="243"/>
      <c r="H5" s="242"/>
      <c r="I5" s="242"/>
      <c r="J5" s="242"/>
      <c r="K5" s="242"/>
      <c r="L5" s="240"/>
      <c r="M5" s="244"/>
    </row>
    <row r="6" spans="1:16" ht="6" customHeight="1" x14ac:dyDescent="0.2">
      <c r="A6" s="239"/>
      <c r="B6" s="240"/>
      <c r="C6" s="239"/>
      <c r="D6" s="239"/>
      <c r="E6" s="245"/>
      <c r="F6" s="245"/>
      <c r="G6" s="941"/>
      <c r="H6" s="245"/>
      <c r="I6" s="245"/>
      <c r="J6" s="245"/>
      <c r="K6" s="245"/>
      <c r="L6" s="239"/>
      <c r="M6" s="244"/>
    </row>
    <row r="7" spans="1:16" ht="16.5" x14ac:dyDescent="0.2">
      <c r="B7" s="247"/>
      <c r="D7" s="248"/>
      <c r="E7" s="249"/>
      <c r="F7" s="250"/>
      <c r="G7" s="249"/>
      <c r="H7" s="249"/>
      <c r="I7" s="249"/>
      <c r="J7" s="249"/>
      <c r="K7" s="249"/>
      <c r="L7" s="251"/>
    </row>
    <row r="8" spans="1:16" x14ac:dyDescent="0.2">
      <c r="B8" s="247"/>
      <c r="D8" s="252"/>
      <c r="E8" s="253" t="s">
        <v>770</v>
      </c>
      <c r="F8" s="237"/>
      <c r="G8" s="237"/>
      <c r="H8" s="237"/>
      <c r="I8" s="237"/>
      <c r="J8" s="237"/>
      <c r="K8" s="237"/>
      <c r="L8" s="254"/>
    </row>
    <row r="9" spans="1:16" ht="7.5" customHeight="1" x14ac:dyDescent="0.2">
      <c r="B9" s="247"/>
      <c r="D9" s="252"/>
      <c r="E9" s="253"/>
      <c r="F9" s="237"/>
      <c r="G9" s="237"/>
      <c r="H9" s="237"/>
      <c r="I9" s="237"/>
      <c r="J9" s="237"/>
      <c r="K9" s="237"/>
      <c r="L9" s="254"/>
    </row>
    <row r="10" spans="1:16" x14ac:dyDescent="0.2">
      <c r="B10" s="247"/>
      <c r="D10" s="252"/>
      <c r="E10" s="1210" t="s">
        <v>967</v>
      </c>
      <c r="F10" s="1210"/>
      <c r="G10" s="1006" t="str">
        <f>IF(MAAnrede&lt;&gt;"",MAAnrede,"")</f>
        <v/>
      </c>
      <c r="H10" s="237"/>
      <c r="I10" s="948"/>
      <c r="J10" s="237"/>
      <c r="K10" s="237"/>
      <c r="L10" s="254"/>
    </row>
    <row r="11" spans="1:16" ht="16.5" x14ac:dyDescent="0.2">
      <c r="B11" s="247"/>
      <c r="D11" s="252"/>
      <c r="E11" s="237"/>
      <c r="F11" s="256"/>
      <c r="G11" s="237"/>
      <c r="H11" s="237"/>
      <c r="I11" s="237"/>
      <c r="J11" s="237"/>
      <c r="K11" s="237"/>
      <c r="L11" s="254"/>
    </row>
    <row r="12" spans="1:16" x14ac:dyDescent="0.2">
      <c r="B12" s="247"/>
      <c r="D12" s="252"/>
      <c r="E12" s="1210" t="s">
        <v>756</v>
      </c>
      <c r="F12" s="1210"/>
      <c r="G12" s="1181" t="str">
        <f>IF(MAName&lt;&gt;"",MAName,"")</f>
        <v/>
      </c>
      <c r="H12" s="1181"/>
      <c r="I12" s="945" t="s">
        <v>757</v>
      </c>
      <c r="J12" s="1181" t="str">
        <f>IF(MAVorname&lt;&gt;"",MAVorname,"")</f>
        <v/>
      </c>
      <c r="K12" s="1181"/>
      <c r="L12" s="254"/>
      <c r="N12" s="1149" t="s">
        <v>1029</v>
      </c>
      <c r="O12" s="1150"/>
      <c r="P12" s="675"/>
    </row>
    <row r="13" spans="1:16" x14ac:dyDescent="0.2">
      <c r="B13" s="247"/>
      <c r="D13" s="252"/>
      <c r="E13" s="948"/>
      <c r="F13" s="948"/>
      <c r="G13" s="948"/>
      <c r="H13" s="948"/>
      <c r="I13" s="945"/>
      <c r="J13" s="948"/>
      <c r="K13" s="948"/>
      <c r="L13" s="257"/>
      <c r="N13" s="1151"/>
      <c r="O13" s="1152"/>
      <c r="P13" s="675"/>
    </row>
    <row r="14" spans="1:16" x14ac:dyDescent="0.2">
      <c r="B14" s="247"/>
      <c r="D14" s="252"/>
      <c r="E14" s="1210" t="s">
        <v>763</v>
      </c>
      <c r="F14" s="1210"/>
      <c r="G14" s="1181" t="str">
        <f>IF(MAVertragsNr&lt;&gt;"",MAVertragsNr,"")</f>
        <v/>
      </c>
      <c r="H14" s="1181"/>
      <c r="I14" s="945" t="s">
        <v>964</v>
      </c>
      <c r="J14" s="1181" t="str">
        <f>IF(MAPersID&lt;&gt;"",MAPersID,"")</f>
        <v/>
      </c>
      <c r="K14" s="1181"/>
      <c r="L14" s="254"/>
    </row>
    <row r="15" spans="1:16" x14ac:dyDescent="0.2">
      <c r="B15" s="247"/>
      <c r="D15" s="252"/>
      <c r="E15" s="948"/>
      <c r="H15" s="948"/>
      <c r="I15" s="948"/>
      <c r="J15" s="948"/>
      <c r="K15" s="948"/>
      <c r="L15" s="254"/>
    </row>
    <row r="16" spans="1:16" x14ac:dyDescent="0.2">
      <c r="B16" s="247"/>
      <c r="D16" s="252"/>
      <c r="E16" s="245" t="s">
        <v>1189</v>
      </c>
      <c r="F16" s="1213"/>
      <c r="G16" s="1213"/>
      <c r="H16" s="1213"/>
      <c r="I16" s="941" t="s">
        <v>1190</v>
      </c>
      <c r="J16" s="1213"/>
      <c r="K16" s="1213"/>
      <c r="L16" s="254"/>
    </row>
    <row r="17" spans="2:16" ht="6" customHeight="1" x14ac:dyDescent="0.2">
      <c r="B17" s="247"/>
      <c r="D17" s="252"/>
      <c r="G17" s="948"/>
      <c r="H17" s="948"/>
      <c r="I17" s="948"/>
      <c r="J17" s="948"/>
      <c r="K17" s="948"/>
      <c r="L17" s="257"/>
    </row>
    <row r="18" spans="2:16" x14ac:dyDescent="0.2">
      <c r="B18" s="247"/>
      <c r="D18" s="252"/>
      <c r="E18" s="273" t="s">
        <v>1194</v>
      </c>
      <c r="F18" s="948"/>
      <c r="G18" s="948"/>
      <c r="H18" s="948"/>
      <c r="I18" s="948"/>
      <c r="J18" s="948"/>
      <c r="K18" s="948"/>
      <c r="L18" s="257"/>
    </row>
    <row r="19" spans="2:16" ht="7.5" customHeight="1" x14ac:dyDescent="0.2">
      <c r="B19" s="247"/>
      <c r="D19" s="252"/>
      <c r="E19" s="948"/>
      <c r="F19" s="948"/>
      <c r="G19" s="948"/>
      <c r="H19" s="948"/>
      <c r="I19" s="948"/>
      <c r="J19" s="948"/>
      <c r="K19" s="948"/>
      <c r="L19" s="257"/>
    </row>
    <row r="20" spans="2:16" s="244" customFormat="1" ht="13.15" customHeight="1" x14ac:dyDescent="0.2">
      <c r="B20" s="240"/>
      <c r="D20" s="61"/>
      <c r="E20" s="336" t="s">
        <v>825</v>
      </c>
      <c r="F20" s="1190" t="s">
        <v>1072</v>
      </c>
      <c r="G20" s="1190"/>
      <c r="H20" s="1190"/>
      <c r="I20" s="1190"/>
      <c r="J20" s="1190"/>
      <c r="K20" s="932"/>
      <c r="L20" s="62"/>
    </row>
    <row r="21" spans="2:16" s="244" customFormat="1" ht="13.15" customHeight="1" x14ac:dyDescent="0.2">
      <c r="B21" s="240"/>
      <c r="D21" s="61"/>
      <c r="E21" s="336"/>
      <c r="F21" s="1190" t="s">
        <v>1070</v>
      </c>
      <c r="G21" s="1190"/>
      <c r="H21" s="1190"/>
      <c r="I21" s="1190"/>
      <c r="J21" s="1190"/>
      <c r="K21" s="1190"/>
      <c r="L21" s="62"/>
    </row>
    <row r="22" spans="2:16" s="244" customFormat="1" ht="12.75" customHeight="1" x14ac:dyDescent="0.2">
      <c r="B22" s="240"/>
      <c r="D22" s="61"/>
      <c r="E22" s="336"/>
      <c r="F22" s="1190" t="s">
        <v>1071</v>
      </c>
      <c r="G22" s="1190"/>
      <c r="H22" s="1190"/>
      <c r="I22" s="1190"/>
      <c r="J22" s="340"/>
      <c r="K22" s="340"/>
      <c r="L22" s="62"/>
    </row>
    <row r="23" spans="2:16" s="244" customFormat="1" ht="12.75" customHeight="1" x14ac:dyDescent="0.2">
      <c r="B23" s="240"/>
      <c r="D23" s="61"/>
      <c r="E23" s="336"/>
      <c r="F23" s="1190" t="s">
        <v>1073</v>
      </c>
      <c r="G23" s="1190"/>
      <c r="H23" s="340"/>
      <c r="I23" s="340"/>
      <c r="J23" s="340"/>
      <c r="K23" s="340"/>
      <c r="L23" s="62"/>
    </row>
    <row r="24" spans="2:16" x14ac:dyDescent="0.2">
      <c r="B24" s="247"/>
      <c r="D24" s="259"/>
      <c r="E24" s="260"/>
      <c r="F24" s="260"/>
      <c r="G24" s="260"/>
      <c r="H24" s="260"/>
      <c r="I24" s="260"/>
      <c r="J24" s="260"/>
      <c r="K24" s="260"/>
      <c r="L24" s="261"/>
    </row>
    <row r="25" spans="2:16" ht="6" customHeight="1" x14ac:dyDescent="0.2">
      <c r="B25" s="247"/>
      <c r="E25" s="262"/>
      <c r="F25" s="262"/>
      <c r="G25" s="262"/>
      <c r="H25" s="262"/>
      <c r="I25" s="262"/>
      <c r="J25" s="262"/>
      <c r="K25" s="262"/>
      <c r="L25" s="262"/>
    </row>
    <row r="26" spans="2:16" ht="4.9000000000000004" customHeight="1" x14ac:dyDescent="0.2">
      <c r="B26" s="247"/>
      <c r="D26" s="248"/>
      <c r="E26" s="263"/>
      <c r="F26" s="263"/>
      <c r="G26" s="263"/>
      <c r="H26" s="263"/>
      <c r="I26" s="263"/>
      <c r="J26" s="263"/>
      <c r="K26" s="263"/>
      <c r="L26" s="264"/>
    </row>
    <row r="27" spans="2:16" x14ac:dyDescent="0.2">
      <c r="B27" s="247"/>
      <c r="D27" s="252"/>
      <c r="E27" s="436" t="s">
        <v>1210</v>
      </c>
      <c r="F27" s="437"/>
      <c r="G27" s="437"/>
      <c r="H27" s="437"/>
      <c r="I27" s="437"/>
      <c r="J27" s="437"/>
      <c r="K27" s="437"/>
      <c r="L27" s="254"/>
    </row>
    <row r="28" spans="2:16" ht="7.5" customHeight="1" x14ac:dyDescent="0.2">
      <c r="B28" s="247"/>
      <c r="D28" s="252"/>
      <c r="E28" s="436"/>
      <c r="F28" s="437"/>
      <c r="G28" s="437"/>
      <c r="H28" s="437"/>
      <c r="I28" s="437"/>
      <c r="L28" s="254"/>
    </row>
    <row r="29" spans="2:16" ht="12.75" customHeight="1" x14ac:dyDescent="0.2">
      <c r="B29" s="247"/>
      <c r="D29" s="252"/>
      <c r="E29" s="436" t="s">
        <v>1211</v>
      </c>
      <c r="F29" s="437"/>
      <c r="G29" s="437"/>
      <c r="H29" s="437"/>
      <c r="I29" s="437"/>
      <c r="L29" s="254"/>
      <c r="N29" s="1149" t="s">
        <v>1167</v>
      </c>
      <c r="O29" s="1150"/>
      <c r="P29" s="675"/>
    </row>
    <row r="30" spans="2:16" ht="6" customHeight="1" x14ac:dyDescent="0.2">
      <c r="B30" s="247"/>
      <c r="D30" s="252"/>
      <c r="E30" s="436"/>
      <c r="F30" s="437"/>
      <c r="G30" s="437"/>
      <c r="H30" s="437"/>
      <c r="I30" s="437"/>
      <c r="L30" s="254"/>
      <c r="N30" s="1217"/>
      <c r="O30" s="1218"/>
      <c r="P30" s="675"/>
    </row>
    <row r="31" spans="2:16" ht="12.75" customHeight="1" x14ac:dyDescent="0.2">
      <c r="B31" s="247"/>
      <c r="D31" s="1221" t="s">
        <v>1213</v>
      </c>
      <c r="E31" s="1222"/>
      <c r="F31" s="1222"/>
      <c r="G31" s="1222"/>
      <c r="H31" s="1222"/>
      <c r="I31" s="1222"/>
      <c r="J31" s="1222"/>
      <c r="K31" s="1222"/>
      <c r="L31" s="1223"/>
      <c r="N31" s="1151"/>
      <c r="O31" s="1152"/>
      <c r="P31" s="675"/>
    </row>
    <row r="32" spans="2:16" ht="25.5" customHeight="1" x14ac:dyDescent="0.2">
      <c r="B32" s="247"/>
      <c r="D32" s="1221"/>
      <c r="E32" s="1222"/>
      <c r="F32" s="1222"/>
      <c r="G32" s="1222"/>
      <c r="H32" s="1222"/>
      <c r="I32" s="1222"/>
      <c r="J32" s="1222"/>
      <c r="K32" s="1222"/>
      <c r="L32" s="1223"/>
    </row>
    <row r="33" spans="2:14" ht="6" customHeight="1" x14ac:dyDescent="0.2">
      <c r="B33" s="247"/>
      <c r="D33" s="252"/>
      <c r="E33" s="436"/>
      <c r="F33" s="437"/>
      <c r="G33" s="437"/>
      <c r="H33" s="437"/>
      <c r="I33" s="437"/>
      <c r="J33" s="437"/>
      <c r="K33" s="437"/>
      <c r="L33" s="254"/>
    </row>
    <row r="34" spans="2:14" x14ac:dyDescent="0.2">
      <c r="B34" s="247"/>
      <c r="D34" s="252"/>
      <c r="E34" s="642" t="s">
        <v>1168</v>
      </c>
      <c r="F34" s="437"/>
      <c r="G34" s="437"/>
      <c r="H34" s="437"/>
      <c r="I34" s="1003" t="str">
        <f>IF(Pensenberechnung!$J$15=0,"",Pensenberechnung!$J$15)</f>
        <v/>
      </c>
      <c r="J34" s="437"/>
      <c r="L34" s="254"/>
    </row>
    <row r="35" spans="2:14" x14ac:dyDescent="0.2">
      <c r="B35" s="247"/>
      <c r="D35" s="252"/>
      <c r="E35" s="436"/>
      <c r="F35" s="437"/>
      <c r="G35" s="437"/>
      <c r="H35" s="437"/>
      <c r="I35" s="437"/>
      <c r="J35" s="437"/>
      <c r="K35" s="437"/>
      <c r="L35" s="254"/>
    </row>
    <row r="36" spans="2:14" x14ac:dyDescent="0.2">
      <c r="B36" s="247"/>
      <c r="D36" s="252"/>
      <c r="E36" s="937" t="s">
        <v>1141</v>
      </c>
      <c r="F36" s="437"/>
      <c r="G36" s="437"/>
      <c r="H36" s="437"/>
      <c r="I36" s="1014" t="str">
        <f>IF(Pensenberechnung!$O$27=0,"",Pensenberechnung!$O$27)</f>
        <v/>
      </c>
      <c r="J36" s="437"/>
      <c r="K36" s="437"/>
      <c r="L36" s="254"/>
    </row>
    <row r="37" spans="2:14" ht="12.75" customHeight="1" x14ac:dyDescent="0.2">
      <c r="B37" s="247"/>
      <c r="D37" s="252"/>
      <c r="E37" s="1212" t="s">
        <v>1142</v>
      </c>
      <c r="F37" s="1212"/>
      <c r="G37" s="1212"/>
      <c r="H37" s="1212"/>
      <c r="I37" s="1212"/>
      <c r="J37" s="1212"/>
      <c r="K37" s="437"/>
      <c r="L37" s="254"/>
    </row>
    <row r="38" spans="2:14" x14ac:dyDescent="0.2">
      <c r="B38" s="247"/>
      <c r="D38" s="259"/>
      <c r="E38" s="260"/>
      <c r="F38" s="260"/>
      <c r="G38" s="260"/>
      <c r="H38" s="260"/>
      <c r="I38" s="260"/>
      <c r="J38" s="260"/>
      <c r="K38" s="260"/>
      <c r="L38" s="261"/>
    </row>
    <row r="39" spans="2:14" ht="6" customHeight="1" x14ac:dyDescent="0.2">
      <c r="B39" s="247"/>
      <c r="E39" s="262"/>
      <c r="F39" s="262"/>
      <c r="G39" s="262"/>
      <c r="H39" s="262"/>
      <c r="I39" s="262"/>
      <c r="J39" s="262"/>
      <c r="K39" s="262"/>
      <c r="L39" s="262"/>
    </row>
    <row r="40" spans="2:14" ht="4.9000000000000004" customHeight="1" x14ac:dyDescent="0.2">
      <c r="B40" s="247"/>
      <c r="D40" s="248"/>
      <c r="E40" s="263"/>
      <c r="F40" s="263"/>
      <c r="G40" s="263"/>
      <c r="H40" s="263"/>
      <c r="I40" s="263"/>
      <c r="J40" s="263"/>
      <c r="K40" s="263"/>
      <c r="L40" s="264"/>
    </row>
    <row r="41" spans="2:14" x14ac:dyDescent="0.2">
      <c r="B41" s="247"/>
      <c r="D41" s="252"/>
      <c r="E41" s="436" t="s">
        <v>931</v>
      </c>
      <c r="F41" s="437"/>
      <c r="G41" s="437"/>
      <c r="H41" s="437"/>
      <c r="I41" s="437"/>
      <c r="J41" s="437"/>
      <c r="K41" s="437"/>
      <c r="L41" s="254"/>
    </row>
    <row r="42" spans="2:14" ht="7.5" customHeight="1" x14ac:dyDescent="0.2">
      <c r="B42" s="247"/>
      <c r="D42" s="252"/>
      <c r="E42" s="436"/>
      <c r="F42" s="437"/>
      <c r="G42" s="437"/>
      <c r="H42" s="437"/>
      <c r="I42" s="437"/>
      <c r="J42" s="437"/>
      <c r="K42" s="437"/>
      <c r="L42" s="254"/>
    </row>
    <row r="43" spans="2:14" x14ac:dyDescent="0.2">
      <c r="B43" s="247"/>
      <c r="D43" s="252"/>
      <c r="E43" s="937" t="s">
        <v>1164</v>
      </c>
      <c r="F43" s="937"/>
      <c r="G43" s="730"/>
      <c r="H43" s="437"/>
      <c r="I43" s="437"/>
      <c r="J43" s="437"/>
      <c r="K43" s="437"/>
      <c r="L43" s="254"/>
    </row>
    <row r="44" spans="2:14" x14ac:dyDescent="0.2">
      <c r="B44" s="247"/>
      <c r="D44" s="252"/>
      <c r="E44" s="937"/>
      <c r="F44" s="937"/>
      <c r="G44" s="937"/>
      <c r="H44" s="937"/>
      <c r="I44" s="937"/>
      <c r="J44" s="937"/>
      <c r="K44" s="937"/>
      <c r="L44" s="257"/>
      <c r="N44" s="444"/>
    </row>
    <row r="45" spans="2:14" x14ac:dyDescent="0.2">
      <c r="B45" s="247"/>
      <c r="D45" s="252"/>
      <c r="E45" s="937" t="s">
        <v>1074</v>
      </c>
      <c r="F45" s="937"/>
      <c r="G45" s="940"/>
      <c r="I45" s="694" t="s">
        <v>988</v>
      </c>
      <c r="J45" s="1139"/>
      <c r="K45" s="1139"/>
      <c r="L45" s="265"/>
      <c r="N45" s="444"/>
    </row>
    <row r="46" spans="2:14" s="244" customFormat="1" ht="13.15" customHeight="1" x14ac:dyDescent="0.2">
      <c r="B46" s="247"/>
      <c r="C46" s="235"/>
      <c r="D46" s="61"/>
      <c r="E46" s="439"/>
      <c r="F46" s="440"/>
      <c r="G46" s="440"/>
      <c r="H46" s="439"/>
      <c r="I46" s="439"/>
      <c r="J46" s="432"/>
      <c r="K46" s="432"/>
      <c r="L46" s="266"/>
      <c r="M46" s="431"/>
      <c r="N46" s="431" t="s">
        <v>805</v>
      </c>
    </row>
    <row r="47" spans="2:14" s="244" customFormat="1" ht="12.75" customHeight="1" x14ac:dyDescent="0.2">
      <c r="B47" s="247"/>
      <c r="C47" s="235"/>
      <c r="D47" s="61"/>
      <c r="E47" s="705" t="s">
        <v>990</v>
      </c>
      <c r="F47" s="939"/>
      <c r="H47" s="1004"/>
      <c r="I47" s="722" t="s">
        <v>1130</v>
      </c>
      <c r="J47" s="722"/>
      <c r="K47" s="722"/>
      <c r="L47" s="254"/>
      <c r="M47" s="431"/>
      <c r="N47" s="431"/>
    </row>
    <row r="48" spans="2:14" s="244" customFormat="1" x14ac:dyDescent="0.2">
      <c r="B48" s="247"/>
      <c r="C48" s="235"/>
      <c r="D48" s="61"/>
      <c r="E48" s="441"/>
      <c r="F48" s="939"/>
      <c r="G48" s="939"/>
      <c r="H48" s="938"/>
      <c r="I48" s="938"/>
      <c r="J48" s="437"/>
      <c r="K48" s="437"/>
      <c r="L48" s="254"/>
      <c r="M48" s="431"/>
      <c r="N48" s="431"/>
    </row>
    <row r="49" spans="1:13" x14ac:dyDescent="0.2">
      <c r="B49" s="247"/>
      <c r="D49" s="252"/>
      <c r="E49" s="1211" t="s">
        <v>993</v>
      </c>
      <c r="F49" s="1211"/>
      <c r="G49" s="1211"/>
      <c r="H49" s="1138"/>
      <c r="I49" s="1138"/>
      <c r="J49" s="1138"/>
      <c r="K49" s="1138"/>
      <c r="L49" s="266"/>
    </row>
    <row r="50" spans="1:13" x14ac:dyDescent="0.2">
      <c r="B50" s="247"/>
      <c r="D50" s="252"/>
      <c r="E50" s="947" t="s">
        <v>998</v>
      </c>
      <c r="F50" s="947"/>
      <c r="G50" s="947"/>
      <c r="H50" s="947"/>
      <c r="I50" s="947"/>
      <c r="J50" s="947"/>
      <c r="K50" s="947"/>
      <c r="L50" s="266"/>
    </row>
    <row r="51" spans="1:13" x14ac:dyDescent="0.2">
      <c r="B51" s="247"/>
      <c r="D51" s="252"/>
      <c r="E51" s="1211" t="s">
        <v>1097</v>
      </c>
      <c r="F51" s="1211"/>
      <c r="G51" s="947"/>
      <c r="H51" s="1138"/>
      <c r="I51" s="1138"/>
      <c r="J51" s="1138"/>
      <c r="K51" s="1138"/>
      <c r="L51" s="266"/>
    </row>
    <row r="52" spans="1:13" x14ac:dyDescent="0.2">
      <c r="B52" s="247"/>
      <c r="D52" s="252"/>
      <c r="E52" s="937"/>
      <c r="F52" s="937"/>
      <c r="G52" s="937"/>
      <c r="H52" s="937"/>
      <c r="I52" s="442"/>
      <c r="J52" s="442"/>
      <c r="K52" s="442"/>
      <c r="L52" s="265"/>
    </row>
    <row r="53" spans="1:13" x14ac:dyDescent="0.2">
      <c r="B53" s="247"/>
      <c r="D53" s="252"/>
      <c r="E53" s="1211" t="s">
        <v>1075</v>
      </c>
      <c r="F53" s="1211"/>
      <c r="G53" s="1211"/>
      <c r="H53" s="1138"/>
      <c r="I53" s="1138"/>
      <c r="J53" s="1138"/>
      <c r="K53" s="1138"/>
      <c r="L53" s="266"/>
    </row>
    <row r="54" spans="1:13" x14ac:dyDescent="0.2">
      <c r="B54" s="247"/>
      <c r="D54" s="252"/>
      <c r="E54" s="947"/>
      <c r="F54" s="947"/>
      <c r="G54" s="947"/>
      <c r="H54" s="947"/>
      <c r="I54" s="947"/>
      <c r="J54" s="947"/>
      <c r="K54" s="947"/>
      <c r="L54" s="266"/>
    </row>
    <row r="55" spans="1:13" ht="12.75" customHeight="1" x14ac:dyDescent="0.2">
      <c r="B55" s="247"/>
      <c r="D55" s="252"/>
      <c r="E55" s="1215" t="s">
        <v>1191</v>
      </c>
      <c r="F55" s="1215"/>
      <c r="G55" s="1215"/>
      <c r="H55" s="1215"/>
      <c r="J55" s="947"/>
      <c r="K55" s="947"/>
      <c r="L55" s="266"/>
    </row>
    <row r="56" spans="1:13" x14ac:dyDescent="0.2">
      <c r="B56" s="247"/>
      <c r="D56" s="252"/>
      <c r="E56" s="947"/>
      <c r="F56" s="947"/>
      <c r="G56" s="947"/>
      <c r="H56" s="947"/>
      <c r="I56" s="947"/>
      <c r="J56" s="947"/>
      <c r="K56" s="947"/>
      <c r="L56" s="266"/>
    </row>
    <row r="57" spans="1:13" x14ac:dyDescent="0.2">
      <c r="B57" s="247"/>
      <c r="D57" s="252"/>
      <c r="E57" s="1211" t="s">
        <v>1195</v>
      </c>
      <c r="F57" s="1211"/>
      <c r="G57" s="1211"/>
      <c r="H57" s="1138"/>
      <c r="I57" s="1138"/>
      <c r="J57" s="1138"/>
      <c r="K57" s="1138"/>
      <c r="L57" s="266"/>
    </row>
    <row r="58" spans="1:13" x14ac:dyDescent="0.2">
      <c r="A58" s="239"/>
      <c r="B58" s="240"/>
      <c r="C58" s="239"/>
      <c r="D58" s="206"/>
      <c r="E58" s="1214" t="s">
        <v>1169</v>
      </c>
      <c r="F58" s="1214"/>
      <c r="G58" s="267"/>
      <c r="H58" s="267"/>
      <c r="I58" s="267"/>
      <c r="J58" s="267"/>
      <c r="K58" s="267"/>
      <c r="L58" s="207"/>
      <c r="M58" s="244"/>
    </row>
    <row r="59" spans="1:13" ht="6" customHeight="1" x14ac:dyDescent="0.2">
      <c r="A59" s="239"/>
      <c r="B59" s="240"/>
      <c r="C59" s="239"/>
      <c r="D59" s="239"/>
      <c r="E59" s="239"/>
      <c r="F59" s="239"/>
      <c r="G59" s="280"/>
      <c r="H59" s="239"/>
      <c r="I59" s="239"/>
      <c r="J59" s="239"/>
      <c r="K59" s="239"/>
      <c r="L59" s="239"/>
      <c r="M59" s="244"/>
    </row>
    <row r="60" spans="1:13" x14ac:dyDescent="0.2">
      <c r="A60" s="239"/>
      <c r="B60" s="240"/>
      <c r="C60" s="239"/>
      <c r="D60" s="202"/>
      <c r="E60" s="67"/>
      <c r="F60" s="67"/>
      <c r="G60" s="68"/>
      <c r="H60" s="67"/>
      <c r="I60" s="67"/>
      <c r="J60" s="67"/>
      <c r="K60" s="67"/>
      <c r="L60" s="203"/>
      <c r="M60" s="244"/>
    </row>
    <row r="61" spans="1:13" x14ac:dyDescent="0.2">
      <c r="A61" s="239"/>
      <c r="B61" s="240"/>
      <c r="C61" s="239"/>
      <c r="D61" s="204"/>
      <c r="E61" s="1165" t="s">
        <v>972</v>
      </c>
      <c r="F61" s="1165"/>
      <c r="G61" s="1165"/>
      <c r="H61" s="245"/>
      <c r="I61" s="245"/>
      <c r="J61" s="245"/>
      <c r="K61" s="245"/>
      <c r="L61" s="205"/>
      <c r="M61" s="244"/>
    </row>
    <row r="62" spans="1:13" x14ac:dyDescent="0.2">
      <c r="A62" s="239"/>
      <c r="B62" s="240"/>
      <c r="C62" s="239"/>
      <c r="D62" s="204"/>
      <c r="E62" s="245"/>
      <c r="F62" s="245"/>
      <c r="G62" s="941"/>
      <c r="H62" s="245"/>
      <c r="I62" s="245"/>
      <c r="J62" s="245"/>
      <c r="K62" s="245"/>
      <c r="L62" s="205"/>
      <c r="M62" s="244"/>
    </row>
    <row r="63" spans="1:13" x14ac:dyDescent="0.2">
      <c r="A63" s="239"/>
      <c r="B63" s="240"/>
      <c r="C63" s="239"/>
      <c r="D63" s="204"/>
      <c r="E63" s="1136"/>
      <c r="F63" s="1136"/>
      <c r="G63" s="1136"/>
      <c r="H63" s="1136"/>
      <c r="I63" s="1136"/>
      <c r="J63" s="1136"/>
      <c r="K63" s="1136"/>
      <c r="L63" s="205"/>
      <c r="M63" s="244"/>
    </row>
    <row r="64" spans="1:13" x14ac:dyDescent="0.2">
      <c r="A64" s="239"/>
      <c r="B64" s="240"/>
      <c r="C64" s="239"/>
      <c r="D64" s="204"/>
      <c r="E64" s="1136"/>
      <c r="F64" s="1136"/>
      <c r="G64" s="1136"/>
      <c r="H64" s="1136"/>
      <c r="I64" s="1136"/>
      <c r="J64" s="1136"/>
      <c r="K64" s="1136"/>
      <c r="L64" s="205"/>
      <c r="M64" s="244"/>
    </row>
    <row r="65" spans="1:16" x14ac:dyDescent="0.2">
      <c r="A65" s="239"/>
      <c r="B65" s="240"/>
      <c r="C65" s="239"/>
      <c r="D65" s="204"/>
      <c r="E65" s="1136"/>
      <c r="F65" s="1136"/>
      <c r="G65" s="1136"/>
      <c r="H65" s="1136"/>
      <c r="I65" s="1136"/>
      <c r="J65" s="1136"/>
      <c r="K65" s="1136"/>
      <c r="L65" s="205"/>
      <c r="M65" s="244"/>
    </row>
    <row r="66" spans="1:16" x14ac:dyDescent="0.2">
      <c r="A66" s="239"/>
      <c r="B66" s="240"/>
      <c r="C66" s="239"/>
      <c r="D66" s="206"/>
      <c r="E66" s="64"/>
      <c r="F66" s="64"/>
      <c r="G66" s="65"/>
      <c r="H66" s="64"/>
      <c r="I66" s="64"/>
      <c r="J66" s="64"/>
      <c r="K66" s="64"/>
      <c r="L66" s="207"/>
      <c r="M66" s="244"/>
    </row>
    <row r="67" spans="1:16" s="284" customFormat="1" ht="6" customHeight="1" x14ac:dyDescent="0.2">
      <c r="B67" s="353"/>
      <c r="E67" s="301"/>
      <c r="F67" s="301"/>
      <c r="G67" s="302"/>
      <c r="H67" s="301"/>
      <c r="I67" s="301"/>
      <c r="J67" s="301"/>
      <c r="K67" s="301"/>
      <c r="L67" s="301"/>
    </row>
    <row r="68" spans="1:16" s="284" customFormat="1" ht="9" customHeight="1" x14ac:dyDescent="0.2">
      <c r="B68" s="353"/>
      <c r="D68" s="287"/>
      <c r="E68" s="303"/>
      <c r="F68" s="303"/>
      <c r="G68" s="304"/>
      <c r="H68" s="303"/>
      <c r="I68" s="303"/>
      <c r="J68" s="303"/>
      <c r="K68" s="303"/>
      <c r="L68" s="311"/>
    </row>
    <row r="69" spans="1:16" s="284" customFormat="1" ht="12.75" customHeight="1" x14ac:dyDescent="0.2">
      <c r="B69" s="353"/>
      <c r="D69" s="290"/>
      <c r="E69" s="325" t="s">
        <v>1122</v>
      </c>
      <c r="F69" s="325"/>
      <c r="G69" s="325"/>
      <c r="H69" s="325"/>
      <c r="I69" s="1009"/>
      <c r="J69" s="286"/>
      <c r="K69" s="286"/>
      <c r="L69" s="293"/>
    </row>
    <row r="70" spans="1:16" s="284" customFormat="1" ht="7.15" customHeight="1" x14ac:dyDescent="0.2">
      <c r="B70" s="353"/>
      <c r="D70" s="297"/>
      <c r="E70" s="298"/>
      <c r="F70" s="298"/>
      <c r="G70" s="299"/>
      <c r="H70" s="298"/>
      <c r="I70" s="298"/>
      <c r="J70" s="298"/>
      <c r="K70" s="298"/>
      <c r="L70" s="313"/>
    </row>
    <row r="71" spans="1:16" ht="6" customHeight="1" x14ac:dyDescent="0.2">
      <c r="A71" s="239"/>
      <c r="B71" s="936"/>
      <c r="C71" s="936"/>
      <c r="D71" s="239"/>
      <c r="E71" s="936"/>
      <c r="F71" s="936"/>
      <c r="G71" s="936"/>
      <c r="H71" s="936"/>
      <c r="I71" s="936"/>
      <c r="J71" s="936"/>
      <c r="K71" s="936"/>
      <c r="L71" s="239"/>
      <c r="M71" s="244"/>
    </row>
    <row r="72" spans="1:16" ht="15.75" x14ac:dyDescent="0.2">
      <c r="B72" s="236"/>
      <c r="D72" s="238" t="s">
        <v>1221</v>
      </c>
      <c r="F72" s="237"/>
      <c r="G72" s="237"/>
      <c r="H72" s="237"/>
      <c r="I72" s="237"/>
      <c r="J72" s="237"/>
      <c r="K72" s="237"/>
      <c r="L72" s="237"/>
    </row>
    <row r="73" spans="1:16" ht="6.75" customHeight="1" x14ac:dyDescent="0.2">
      <c r="A73" s="239"/>
      <c r="B73" s="240"/>
      <c r="C73" s="240"/>
      <c r="D73" s="241"/>
      <c r="E73" s="240"/>
      <c r="F73" s="242"/>
      <c r="G73" s="243"/>
      <c r="H73" s="242"/>
      <c r="I73" s="242"/>
      <c r="J73" s="242"/>
      <c r="K73" s="242"/>
      <c r="L73" s="240"/>
      <c r="M73" s="244"/>
      <c r="N73" s="1161" t="s">
        <v>2000</v>
      </c>
      <c r="O73" s="1161"/>
      <c r="P73" s="1161"/>
    </row>
    <row r="74" spans="1:16" ht="6" customHeight="1" x14ac:dyDescent="0.2">
      <c r="A74" s="239"/>
      <c r="B74" s="240"/>
      <c r="C74" s="239"/>
      <c r="D74" s="239"/>
      <c r="E74" s="245"/>
      <c r="F74" s="245"/>
      <c r="G74" s="941"/>
      <c r="H74" s="245"/>
      <c r="I74" s="245"/>
      <c r="J74" s="245"/>
      <c r="K74" s="245"/>
      <c r="L74" s="239"/>
      <c r="M74" s="244"/>
      <c r="N74" s="1161"/>
      <c r="O74" s="1161"/>
      <c r="P74" s="1161"/>
    </row>
    <row r="75" spans="1:16" x14ac:dyDescent="0.2">
      <c r="A75" s="239"/>
      <c r="B75" s="240"/>
      <c r="C75" s="239"/>
      <c r="D75" s="202"/>
      <c r="E75" s="269"/>
      <c r="F75" s="269"/>
      <c r="G75" s="270"/>
      <c r="H75" s="269"/>
      <c r="I75" s="269"/>
      <c r="J75" s="269"/>
      <c r="K75" s="269"/>
      <c r="L75" s="271"/>
      <c r="M75" s="244"/>
      <c r="N75" s="1161"/>
      <c r="O75" s="1161"/>
      <c r="P75" s="1161"/>
    </row>
    <row r="76" spans="1:16" x14ac:dyDescent="0.2">
      <c r="A76" s="239"/>
      <c r="B76" s="240"/>
      <c r="C76" s="239"/>
      <c r="D76" s="204"/>
      <c r="E76" s="272" t="s">
        <v>941</v>
      </c>
      <c r="F76" s="245"/>
      <c r="G76" s="941"/>
      <c r="H76" s="245"/>
      <c r="I76" s="245"/>
      <c r="J76" s="245"/>
      <c r="K76" s="245"/>
      <c r="L76" s="205"/>
      <c r="M76" s="244"/>
      <c r="N76" s="1161"/>
      <c r="O76" s="1161"/>
      <c r="P76" s="1161"/>
    </row>
    <row r="77" spans="1:16" x14ac:dyDescent="0.2">
      <c r="A77" s="239"/>
      <c r="B77" s="240"/>
      <c r="C77" s="239"/>
      <c r="D77" s="204"/>
      <c r="E77" s="245"/>
      <c r="F77" s="245"/>
      <c r="G77" s="941"/>
      <c r="H77" s="245"/>
      <c r="I77" s="245"/>
      <c r="J77" s="245"/>
      <c r="K77" s="245"/>
      <c r="L77" s="205"/>
      <c r="M77" s="244"/>
      <c r="N77" s="1161"/>
      <c r="O77" s="1161"/>
      <c r="P77" s="1161"/>
    </row>
    <row r="78" spans="1:16" x14ac:dyDescent="0.2">
      <c r="A78" s="239"/>
      <c r="B78" s="240"/>
      <c r="C78" s="239"/>
      <c r="D78" s="743" t="s">
        <v>955</v>
      </c>
      <c r="E78" s="946"/>
      <c r="G78" s="944"/>
      <c r="I78" s="945" t="s">
        <v>971</v>
      </c>
      <c r="J78" s="1166"/>
      <c r="K78" s="1166"/>
      <c r="L78" s="205"/>
      <c r="M78" s="244"/>
      <c r="N78" s="1161"/>
      <c r="O78" s="1161"/>
      <c r="P78" s="1161"/>
    </row>
    <row r="79" spans="1:16" x14ac:dyDescent="0.2">
      <c r="A79" s="239"/>
      <c r="B79" s="240"/>
      <c r="C79" s="239"/>
      <c r="D79" s="744" t="s">
        <v>956</v>
      </c>
      <c r="F79" s="945"/>
      <c r="G79" s="274"/>
      <c r="H79" s="245"/>
      <c r="L79" s="205"/>
      <c r="M79" s="244"/>
      <c r="N79" s="1161"/>
      <c r="O79" s="1161"/>
      <c r="P79" s="1161"/>
    </row>
    <row r="80" spans="1:16" x14ac:dyDescent="0.2">
      <c r="A80" s="239"/>
      <c r="B80" s="240"/>
      <c r="C80" s="239"/>
      <c r="D80" s="204"/>
      <c r="E80" s="245"/>
      <c r="F80" s="245"/>
      <c r="G80" s="245"/>
      <c r="H80" s="245"/>
      <c r="I80" s="706"/>
      <c r="J80" s="945"/>
      <c r="K80" s="274"/>
      <c r="L80" s="205"/>
      <c r="M80" s="244"/>
      <c r="N80" s="1161"/>
      <c r="O80" s="1161"/>
      <c r="P80" s="1161"/>
    </row>
    <row r="81" spans="1:16" x14ac:dyDescent="0.2">
      <c r="A81" s="239"/>
      <c r="B81" s="240"/>
      <c r="C81" s="239"/>
      <c r="D81" s="743" t="s">
        <v>996</v>
      </c>
      <c r="F81" s="707"/>
      <c r="G81" s="1015" t="str">
        <f>IF(K81&lt;&gt;"","",IF(MU_maxLB&lt;&gt;"",MU_maxLB,IF(MU_glAusb&lt;&gt;"",MU_glAusb,IF(MU_AnspFu&lt;&gt;"",MU_AnspFu,IF(MULohnberechnung&lt;&gt;"",MULohnberechnung,"")))))</f>
        <v/>
      </c>
      <c r="H81" s="320" t="s">
        <v>998</v>
      </c>
      <c r="I81" s="945" t="s">
        <v>997</v>
      </c>
      <c r="J81" s="707"/>
      <c r="K81" s="943"/>
      <c r="L81" s="205"/>
      <c r="M81" s="244"/>
      <c r="N81" s="1161"/>
      <c r="O81" s="1161"/>
      <c r="P81" s="1161"/>
    </row>
    <row r="82" spans="1:16" x14ac:dyDescent="0.2">
      <c r="A82" s="239"/>
      <c r="B82" s="240"/>
      <c r="C82" s="239"/>
      <c r="D82" s="204"/>
      <c r="E82" s="245"/>
      <c r="F82" s="245"/>
      <c r="G82" s="245"/>
      <c r="H82" s="245"/>
      <c r="I82" s="245"/>
      <c r="J82" s="245"/>
      <c r="K82" s="245"/>
      <c r="L82" s="205"/>
      <c r="M82" s="244"/>
      <c r="N82" s="1161"/>
      <c r="O82" s="1161"/>
      <c r="P82" s="1161"/>
    </row>
    <row r="83" spans="1:16" x14ac:dyDescent="0.2">
      <c r="A83" s="239"/>
      <c r="B83" s="240"/>
      <c r="C83" s="239"/>
      <c r="D83" s="743" t="s">
        <v>966</v>
      </c>
      <c r="F83" s="245"/>
      <c r="G83" s="1005"/>
      <c r="I83" s="945" t="s">
        <v>1069</v>
      </c>
      <c r="J83" s="1141" t="str">
        <f>_xlfn.IFNA(VLOOKUP(G83,Stammdaten_DropDown!$B$14:$C$55,2,FALSE),"")</f>
        <v/>
      </c>
      <c r="K83" s="1141"/>
      <c r="L83" s="266"/>
      <c r="M83" s="244"/>
      <c r="N83" s="1161"/>
      <c r="O83" s="1161"/>
      <c r="P83" s="1161"/>
    </row>
    <row r="84" spans="1:16" x14ac:dyDescent="0.2">
      <c r="A84" s="239"/>
      <c r="B84" s="240"/>
      <c r="C84" s="239"/>
      <c r="D84" s="204"/>
      <c r="E84" s="245"/>
      <c r="F84" s="245"/>
      <c r="G84" s="941"/>
      <c r="H84" s="245"/>
      <c r="I84" s="245"/>
      <c r="J84" s="245"/>
      <c r="K84" s="245"/>
      <c r="L84" s="205"/>
      <c r="M84" s="244"/>
      <c r="N84" s="1161"/>
      <c r="O84" s="1161"/>
      <c r="P84" s="1161"/>
    </row>
    <row r="85" spans="1:16" x14ac:dyDescent="0.2">
      <c r="A85" s="239"/>
      <c r="B85" s="240"/>
      <c r="C85" s="239"/>
      <c r="D85" s="743" t="str">
        <f>IF(G14&lt;&gt;"","LOGIB-Code bereits vorhanden","Höchstausbildung LOGIB*")</f>
        <v>Höchstausbildung LOGIB*</v>
      </c>
      <c r="E85" s="245"/>
      <c r="F85" s="245"/>
      <c r="G85" s="941"/>
      <c r="H85" s="1135"/>
      <c r="I85" s="1135"/>
      <c r="J85" s="1135"/>
      <c r="K85" s="1135"/>
      <c r="L85" s="205"/>
      <c r="M85" s="244"/>
      <c r="N85" s="1161"/>
      <c r="O85" s="1161"/>
      <c r="P85" s="1161"/>
    </row>
    <row r="86" spans="1:16" x14ac:dyDescent="0.2">
      <c r="A86" s="239"/>
      <c r="B86" s="240"/>
      <c r="C86" s="239"/>
      <c r="D86" s="988" t="s">
        <v>2013</v>
      </c>
      <c r="E86" s="245"/>
      <c r="F86" s="245"/>
      <c r="G86" s="941"/>
      <c r="H86" s="245"/>
      <c r="I86" s="245"/>
      <c r="J86" s="245"/>
      <c r="K86" s="245"/>
      <c r="L86" s="205"/>
      <c r="M86" s="244"/>
      <c r="N86" s="1161"/>
      <c r="O86" s="1161"/>
      <c r="P86" s="1161"/>
    </row>
    <row r="87" spans="1:16" ht="12.75" customHeight="1" x14ac:dyDescent="0.2">
      <c r="A87" s="239"/>
      <c r="B87" s="240"/>
      <c r="C87" s="239"/>
      <c r="D87" s="745" t="s">
        <v>994</v>
      </c>
      <c r="G87" s="1137"/>
      <c r="H87" s="1137"/>
      <c r="I87" s="1137"/>
      <c r="J87" s="1137"/>
      <c r="K87" s="1137"/>
      <c r="L87" s="205"/>
      <c r="M87" s="244"/>
      <c r="N87" s="1161"/>
      <c r="O87" s="1161"/>
      <c r="P87" s="1161"/>
    </row>
    <row r="88" spans="1:16" x14ac:dyDescent="0.2">
      <c r="A88" s="239"/>
      <c r="B88" s="240"/>
      <c r="C88" s="239"/>
      <c r="D88" s="206"/>
      <c r="E88" s="64"/>
      <c r="F88" s="64"/>
      <c r="G88" s="65"/>
      <c r="H88" s="64"/>
      <c r="I88" s="64"/>
      <c r="J88" s="64"/>
      <c r="K88" s="64"/>
      <c r="L88" s="207"/>
      <c r="M88" s="244"/>
      <c r="N88" s="1161"/>
      <c r="O88" s="1161"/>
      <c r="P88" s="1161"/>
    </row>
    <row r="89" spans="1:16" ht="6" customHeight="1" x14ac:dyDescent="0.2">
      <c r="A89" s="239"/>
      <c r="B89" s="240"/>
      <c r="C89" s="239"/>
      <c r="D89" s="239"/>
      <c r="E89" s="239"/>
      <c r="F89" s="239"/>
      <c r="G89" s="280"/>
      <c r="H89" s="239"/>
      <c r="I89" s="239"/>
      <c r="J89" s="239"/>
      <c r="K89" s="239"/>
      <c r="L89" s="239"/>
      <c r="M89" s="244"/>
      <c r="N89" s="1161"/>
      <c r="O89" s="1161"/>
      <c r="P89" s="1161"/>
    </row>
    <row r="90" spans="1:16" x14ac:dyDescent="0.2">
      <c r="A90" s="239"/>
      <c r="B90" s="240"/>
      <c r="C90" s="239"/>
      <c r="D90" s="202"/>
      <c r="E90" s="67"/>
      <c r="F90" s="67"/>
      <c r="G90" s="68"/>
      <c r="H90" s="67"/>
      <c r="I90" s="67"/>
      <c r="J90" s="67"/>
      <c r="K90" s="67"/>
      <c r="L90" s="203"/>
      <c r="M90" s="244"/>
      <c r="N90" s="1161"/>
      <c r="O90" s="1161"/>
      <c r="P90" s="1161"/>
    </row>
    <row r="91" spans="1:16" x14ac:dyDescent="0.2">
      <c r="A91" s="239"/>
      <c r="B91" s="240"/>
      <c r="C91" s="239"/>
      <c r="D91" s="204"/>
      <c r="E91" s="1165" t="s">
        <v>978</v>
      </c>
      <c r="F91" s="1165"/>
      <c r="G91" s="1165"/>
      <c r="H91" s="1165"/>
      <c r="I91" s="1165"/>
      <c r="J91" s="1165"/>
      <c r="K91" s="245"/>
      <c r="L91" s="205"/>
      <c r="M91" s="244"/>
      <c r="N91" s="1161"/>
      <c r="O91" s="1161"/>
      <c r="P91" s="1161"/>
    </row>
    <row r="92" spans="1:16" x14ac:dyDescent="0.2">
      <c r="A92" s="239"/>
      <c r="B92" s="240"/>
      <c r="C92" s="239"/>
      <c r="D92" s="204"/>
      <c r="E92" s="245"/>
      <c r="F92" s="245"/>
      <c r="G92" s="941"/>
      <c r="H92" s="245"/>
      <c r="I92" s="245"/>
      <c r="J92" s="245"/>
      <c r="K92" s="245"/>
      <c r="L92" s="205"/>
      <c r="M92" s="244"/>
      <c r="N92" s="1161"/>
      <c r="O92" s="1161"/>
      <c r="P92" s="1161"/>
    </row>
    <row r="93" spans="1:16" x14ac:dyDescent="0.2">
      <c r="A93" s="239"/>
      <c r="B93" s="240"/>
      <c r="C93" s="239"/>
      <c r="D93" s="204"/>
      <c r="E93" s="1136"/>
      <c r="F93" s="1136"/>
      <c r="G93" s="1136"/>
      <c r="H93" s="1136"/>
      <c r="I93" s="1136"/>
      <c r="J93" s="1136"/>
      <c r="K93" s="1136"/>
      <c r="L93" s="205"/>
      <c r="M93" s="244"/>
      <c r="N93" s="1161"/>
      <c r="O93" s="1161"/>
      <c r="P93" s="1161"/>
    </row>
    <row r="94" spans="1:16" x14ac:dyDescent="0.2">
      <c r="A94" s="239"/>
      <c r="B94" s="240"/>
      <c r="C94" s="239"/>
      <c r="D94" s="204"/>
      <c r="E94" s="1136"/>
      <c r="F94" s="1136"/>
      <c r="G94" s="1136"/>
      <c r="H94" s="1136"/>
      <c r="I94" s="1136"/>
      <c r="J94" s="1136"/>
      <c r="K94" s="1136"/>
      <c r="L94" s="205"/>
      <c r="M94" s="244"/>
      <c r="N94" s="1161"/>
      <c r="O94" s="1161"/>
      <c r="P94" s="1161"/>
    </row>
    <row r="95" spans="1:16" x14ac:dyDescent="0.2">
      <c r="A95" s="239"/>
      <c r="B95" s="240"/>
      <c r="C95" s="239"/>
      <c r="D95" s="204"/>
      <c r="E95" s="1136"/>
      <c r="F95" s="1136"/>
      <c r="G95" s="1136"/>
      <c r="H95" s="1136"/>
      <c r="I95" s="1136"/>
      <c r="J95" s="1136"/>
      <c r="K95" s="1136"/>
      <c r="L95" s="205"/>
      <c r="M95" s="244"/>
      <c r="N95" s="1161"/>
      <c r="O95" s="1161"/>
      <c r="P95" s="1161"/>
    </row>
    <row r="96" spans="1:16" x14ac:dyDescent="0.2">
      <c r="A96" s="239"/>
      <c r="B96" s="240"/>
      <c r="C96" s="239"/>
      <c r="D96" s="206"/>
      <c r="E96" s="64"/>
      <c r="F96" s="64"/>
      <c r="G96" s="65"/>
      <c r="H96" s="64"/>
      <c r="I96" s="64"/>
      <c r="J96" s="64"/>
      <c r="K96" s="64"/>
      <c r="L96" s="207"/>
      <c r="M96" s="244"/>
    </row>
    <row r="97" spans="1:17" ht="6" customHeight="1" x14ac:dyDescent="0.2">
      <c r="A97" s="239"/>
      <c r="B97" s="240"/>
      <c r="C97" s="239"/>
      <c r="D97" s="239"/>
      <c r="E97" s="245"/>
      <c r="F97" s="245"/>
      <c r="G97" s="941"/>
      <c r="H97" s="245"/>
      <c r="I97" s="245"/>
      <c r="J97" s="245"/>
      <c r="K97" s="245"/>
      <c r="L97" s="239"/>
      <c r="M97" s="244"/>
    </row>
    <row r="98" spans="1:17" x14ac:dyDescent="0.2">
      <c r="A98" s="239"/>
      <c r="B98" s="240"/>
      <c r="C98" s="239"/>
      <c r="D98" s="202"/>
      <c r="E98" s="67"/>
      <c r="F98" s="67"/>
      <c r="G98" s="68"/>
      <c r="H98" s="67"/>
      <c r="I98" s="67"/>
      <c r="J98" s="67"/>
      <c r="K98" s="67"/>
      <c r="L98" s="203"/>
      <c r="M98" s="244"/>
    </row>
    <row r="99" spans="1:17" x14ac:dyDescent="0.2">
      <c r="A99" s="239"/>
      <c r="B99" s="240"/>
      <c r="C99" s="239"/>
      <c r="D99" s="204"/>
      <c r="E99" s="210" t="s">
        <v>929</v>
      </c>
      <c r="F99" s="210"/>
      <c r="G99" s="320"/>
      <c r="H99" s="319"/>
      <c r="I99" s="319"/>
      <c r="J99" s="319"/>
      <c r="K99" s="319"/>
      <c r="L99" s="266"/>
      <c r="M99" s="244"/>
      <c r="N99" s="1176" t="str">
        <f>Stammdaten_DropDown!A114</f>
        <v>Lohnentwicklung</v>
      </c>
      <c r="O99" s="1176"/>
      <c r="P99" s="1176"/>
    </row>
    <row r="100" spans="1:17" x14ac:dyDescent="0.2">
      <c r="A100" s="239"/>
      <c r="B100" s="240"/>
      <c r="C100" s="239"/>
      <c r="D100" s="204"/>
      <c r="E100" s="245"/>
      <c r="F100" s="245"/>
      <c r="G100" s="941"/>
      <c r="H100" s="245"/>
      <c r="I100" s="245"/>
      <c r="J100" s="245"/>
      <c r="K100" s="245"/>
      <c r="L100" s="266"/>
      <c r="M100" s="244"/>
      <c r="N100" s="1185" t="str">
        <f>Stammdaten_DropDown!A115</f>
        <v>Bitte angeben, ob eine individuelle Lohnentwicklung gewährt werden soll.</v>
      </c>
      <c r="O100" s="1185"/>
      <c r="P100" s="1185"/>
      <c r="Q100" s="1185"/>
    </row>
    <row r="101" spans="1:17" x14ac:dyDescent="0.2">
      <c r="A101" s="239"/>
      <c r="B101" s="240"/>
      <c r="C101" s="239"/>
      <c r="D101" s="204"/>
      <c r="E101" s="245" t="s">
        <v>940</v>
      </c>
      <c r="F101" s="245"/>
      <c r="G101" s="941"/>
      <c r="H101" s="245"/>
      <c r="I101" s="245"/>
      <c r="J101" s="1166"/>
      <c r="K101" s="1166"/>
      <c r="L101" s="266"/>
      <c r="M101" s="244"/>
      <c r="N101" s="960" t="str">
        <f>Stammdaten_DropDown!A116</f>
        <v>Bei einem Neueintritt nach dem 01.07.2026 ist keine individuelle Lohnentwicklung vorgesehen.</v>
      </c>
      <c r="O101" s="960"/>
      <c r="P101" s="960"/>
      <c r="Q101" s="964"/>
    </row>
    <row r="102" spans="1:17" x14ac:dyDescent="0.2">
      <c r="A102" s="239"/>
      <c r="B102" s="240"/>
      <c r="C102" s="239"/>
      <c r="D102" s="204"/>
      <c r="E102" s="245"/>
      <c r="F102" s="245"/>
      <c r="G102" s="941"/>
      <c r="H102" s="245"/>
      <c r="I102" s="245"/>
      <c r="J102" s="245"/>
      <c r="K102" s="245"/>
      <c r="L102" s="266"/>
      <c r="M102" s="244"/>
      <c r="N102" s="1185" t="str">
        <f>Stammdaten_DropDown!A117</f>
        <v>In dem Fall ist das Prädikat auf dem Wert «NA» (keine Beurteilung) zu belassen.</v>
      </c>
      <c r="O102" s="1185"/>
      <c r="P102" s="1185"/>
    </row>
    <row r="103" spans="1:17" x14ac:dyDescent="0.2">
      <c r="A103" s="239"/>
      <c r="B103" s="240"/>
      <c r="C103" s="239"/>
      <c r="D103" s="204"/>
      <c r="E103" s="275" t="s">
        <v>764</v>
      </c>
      <c r="F103" s="244"/>
      <c r="G103" s="1011" t="str">
        <f>IF(ISBLANK($J$101),IF(LB_maxLB&lt;&gt;"",LB_maxLB,IF(LB_glAusb&lt;&gt;"",LB_glAusb,IF(LB_anspFu&lt;&gt;"",LB_anspFu,IF(BandLohnBer="",IF(BandLohnRechner="","",BandLohnRechner),IF(BandLohnRechner="",BandLohnBer,"FEHLER"))))),"-")</f>
        <v/>
      </c>
      <c r="I103" s="682" t="s">
        <v>808</v>
      </c>
      <c r="J103" s="244"/>
      <c r="K103" s="1006" t="str">
        <f ca="1">IF(ISBLANK($J$101),IFERROR(IF(EW_maxLB&lt;&gt;"",EW_maxLB,IF(EW_glAusb&lt;&gt;"",EW_glAusb,IF(EW_anspFu&lt;&gt;"",EW_anspFu,IF(EWLohnBer="",IF(EWLohnRechner="","",EWLohnRechner),IF(EWLohnRechner="",EWLohnBer,"FEHLER"))))),""),"-")</f>
        <v/>
      </c>
      <c r="L103" s="266"/>
      <c r="M103" s="244"/>
      <c r="N103" s="856"/>
    </row>
    <row r="104" spans="1:17" x14ac:dyDescent="0.2">
      <c r="A104" s="239"/>
      <c r="B104" s="240"/>
      <c r="C104" s="239"/>
      <c r="D104" s="204"/>
      <c r="E104" s="429" t="b">
        <f>AND(BandLohnBer&lt;&gt;"",BandLohnRechner&lt;&gt;"")</f>
        <v>0</v>
      </c>
      <c r="F104" s="245"/>
      <c r="G104" s="942" t="str">
        <f>IF(E104,"2 Lohnbänder gefunden","")</f>
        <v/>
      </c>
      <c r="H104" s="708" t="b">
        <f>AND(EWLohnBer&lt;&gt;"",EWLohnRechner&lt;&gt;"")</f>
        <v>0</v>
      </c>
      <c r="J104" s="1173" t="str">
        <f>IF(H104,"2 Erfahrungswerte gefunden","")</f>
        <v/>
      </c>
      <c r="K104" s="1173"/>
      <c r="L104" s="266"/>
      <c r="M104" s="244"/>
      <c r="N104" s="1174" t="str">
        <f>Stammdaten_DropDown!A118</f>
        <v xml:space="preserve">Falls eine individuelle  Lohnentwicklung gewährt werden soll, ist das entsprechende Prädikat aus der relevanten MAG-Phase im Dropdown-Menu auszuwählen. </v>
      </c>
      <c r="O104" s="1174"/>
      <c r="P104" s="1174"/>
    </row>
    <row r="105" spans="1:17" x14ac:dyDescent="0.2">
      <c r="A105" s="239"/>
      <c r="B105" s="240"/>
      <c r="C105" s="239"/>
      <c r="D105" s="204"/>
      <c r="E105" s="945"/>
      <c r="F105" s="244"/>
      <c r="G105" s="244"/>
      <c r="I105" s="682" t="s">
        <v>1100</v>
      </c>
      <c r="K105" s="1049" t="str">
        <f ca="1">IF(ISBLANK($J$101),IFERROR(IF(Lohn_maxLB&lt;&gt;"",Lohn_maxLB,IF(Lohn_glAusb&lt;&gt;"",Lohn_glAusb,IF(Lohn_anspFu&lt;&gt;"",Lohn_anspFu,IF(LohnLohnBer="",IF(LohnLohnRechner="","",LohnLohnRechner),IF(LohnLohnRechner="",LohnLohnBer,"FEHLER"))))),""),"-")</f>
        <v/>
      </c>
      <c r="L105" s="266"/>
      <c r="M105" s="244"/>
      <c r="N105" s="1174"/>
      <c r="O105" s="1174"/>
      <c r="P105" s="1174"/>
    </row>
    <row r="106" spans="1:17" x14ac:dyDescent="0.2">
      <c r="A106" s="239"/>
      <c r="B106" s="240"/>
      <c r="C106" s="239"/>
      <c r="D106" s="204"/>
      <c r="E106" s="245"/>
      <c r="F106" s="245"/>
      <c r="G106" s="245"/>
      <c r="H106" s="245"/>
      <c r="I106" s="429" t="b">
        <f>AND(LohnLohnBer&lt;&gt;"",LohnLohnRechner&lt;&gt;"")</f>
        <v>0</v>
      </c>
      <c r="J106" s="1173" t="str">
        <f>IF(I106,"2 Löhne gefunden","")</f>
        <v/>
      </c>
      <c r="K106" s="1173"/>
      <c r="L106" s="266"/>
      <c r="M106" s="244"/>
      <c r="N106" s="1185" t="str">
        <f>Stammdaten_DropDown!A119</f>
        <v>Ist noch keine Beurteilung hinterlegt, so ist das Prädikat auf «A» zu belassen.</v>
      </c>
      <c r="O106" s="1185"/>
      <c r="P106" s="1185"/>
    </row>
    <row r="107" spans="1:17" x14ac:dyDescent="0.2">
      <c r="A107" s="239"/>
      <c r="B107" s="240"/>
      <c r="C107" s="239"/>
      <c r="D107" s="204"/>
      <c r="F107" s="245"/>
      <c r="G107" s="245"/>
      <c r="H107" s="683" t="s">
        <v>995</v>
      </c>
      <c r="J107" s="239"/>
      <c r="K107" s="1050" t="str">
        <f ca="1">IFERROR(ROUND(G43*K105,2), "aus SAP")</f>
        <v>aus SAP</v>
      </c>
      <c r="L107" s="266"/>
      <c r="M107" s="244"/>
    </row>
    <row r="108" spans="1:17" x14ac:dyDescent="0.2">
      <c r="A108" s="239"/>
      <c r="B108" s="240"/>
      <c r="C108" s="239"/>
      <c r="D108" s="204"/>
      <c r="F108" s="245"/>
      <c r="G108" s="245"/>
      <c r="H108" s="683"/>
      <c r="J108" s="239"/>
      <c r="K108" s="864"/>
      <c r="L108" s="266"/>
      <c r="M108" s="244"/>
    </row>
    <row r="109" spans="1:17" x14ac:dyDescent="0.2">
      <c r="A109" s="239"/>
      <c r="B109" s="240"/>
      <c r="C109" s="239"/>
      <c r="D109" s="204"/>
      <c r="E109" s="235" t="str">
        <f>CONCATENATE("Lohnentwicklung per 01.01.",LohntabelleM!I1+1," gewähren?")</f>
        <v>Lohnentwicklung per 01.01.2027 gewähren?</v>
      </c>
      <c r="F109" s="245"/>
      <c r="G109" s="245"/>
      <c r="H109" s="874"/>
      <c r="J109" s="862" t="s">
        <v>1948</v>
      </c>
      <c r="K109" s="873" t="str">
        <f>L109</f>
        <v/>
      </c>
      <c r="L109" s="858" t="str">
        <f>IF(H109="Ja","A",IF(H109="Nein","NA",""))</f>
        <v/>
      </c>
      <c r="M109" s="244"/>
    </row>
    <row r="110" spans="1:17" ht="7.5" customHeight="1" x14ac:dyDescent="0.2">
      <c r="A110" s="239"/>
      <c r="B110" s="240"/>
      <c r="C110" s="239"/>
      <c r="D110" s="206"/>
      <c r="E110" s="64"/>
      <c r="F110" s="64"/>
      <c r="G110" s="65"/>
      <c r="H110" s="64"/>
      <c r="I110" s="64"/>
      <c r="J110" s="64"/>
      <c r="K110" s="64"/>
      <c r="L110" s="279"/>
      <c r="M110" s="244"/>
    </row>
    <row r="111" spans="1:17" ht="10.9" customHeight="1" x14ac:dyDescent="0.2">
      <c r="A111" s="239"/>
      <c r="B111" s="240"/>
      <c r="C111" s="239"/>
      <c r="D111" s="239"/>
      <c r="E111" s="245"/>
      <c r="F111" s="239"/>
      <c r="G111" s="239"/>
      <c r="H111" s="239"/>
      <c r="I111" s="239"/>
      <c r="J111" s="239"/>
      <c r="K111" s="239"/>
      <c r="L111" s="239"/>
      <c r="M111" s="244"/>
    </row>
    <row r="112" spans="1:17" ht="96" customHeight="1" x14ac:dyDescent="0.2">
      <c r="A112" s="239"/>
      <c r="B112" s="240"/>
      <c r="C112" s="239"/>
      <c r="D112" s="1143" t="s">
        <v>959</v>
      </c>
      <c r="E112" s="1143"/>
      <c r="F112" s="1143"/>
      <c r="G112" s="1143"/>
      <c r="H112" s="1143"/>
      <c r="I112" s="1143"/>
      <c r="J112" s="1143"/>
      <c r="K112" s="1143"/>
      <c r="L112" s="245"/>
      <c r="M112" s="244"/>
    </row>
    <row r="113" spans="1:13" x14ac:dyDescent="0.2">
      <c r="A113" s="239"/>
      <c r="B113" s="239"/>
      <c r="C113" s="239"/>
      <c r="E113" s="245"/>
      <c r="F113" s="245"/>
      <c r="G113" s="245"/>
      <c r="H113" s="245"/>
      <c r="I113" s="245"/>
      <c r="J113" s="239"/>
      <c r="K113" s="239"/>
      <c r="L113" s="239"/>
      <c r="M113" s="244"/>
    </row>
    <row r="114" spans="1:13" x14ac:dyDescent="0.2">
      <c r="A114" s="239"/>
      <c r="B114" s="239"/>
      <c r="C114" s="239"/>
      <c r="E114" s="245"/>
      <c r="F114" s="245"/>
      <c r="G114" s="245"/>
      <c r="H114" s="245"/>
      <c r="I114" s="245"/>
      <c r="J114" s="262"/>
      <c r="K114" s="262"/>
      <c r="L114" s="262"/>
      <c r="M114" s="244"/>
    </row>
    <row r="115" spans="1:13" x14ac:dyDescent="0.2">
      <c r="A115" s="239"/>
      <c r="B115" s="239"/>
      <c r="C115" s="239"/>
      <c r="E115" s="245"/>
      <c r="F115" s="245"/>
      <c r="G115" s="245"/>
      <c r="H115" s="245"/>
      <c r="I115" s="245"/>
      <c r="M115" s="244"/>
    </row>
    <row r="116" spans="1:13" x14ac:dyDescent="0.2">
      <c r="A116" s="239"/>
      <c r="B116" s="239"/>
      <c r="C116" s="239"/>
      <c r="E116" s="245"/>
      <c r="F116" s="245"/>
      <c r="G116" s="245"/>
      <c r="H116" s="245"/>
      <c r="I116" s="245"/>
      <c r="M116" s="244"/>
    </row>
    <row r="117" spans="1:13" x14ac:dyDescent="0.2">
      <c r="E117" s="245"/>
      <c r="F117" s="245"/>
      <c r="G117" s="245"/>
      <c r="H117" s="245"/>
      <c r="I117" s="245"/>
    </row>
    <row r="118" spans="1:13" x14ac:dyDescent="0.2">
      <c r="E118" s="245"/>
      <c r="F118" s="245"/>
      <c r="G118" s="245"/>
      <c r="H118" s="245"/>
      <c r="I118" s="245"/>
    </row>
  </sheetData>
  <mergeCells count="50">
    <mergeCell ref="N99:P99"/>
    <mergeCell ref="D112:K112"/>
    <mergeCell ref="J101:K101"/>
    <mergeCell ref="N102:P102"/>
    <mergeCell ref="J104:K104"/>
    <mergeCell ref="N104:P105"/>
    <mergeCell ref="J106:K106"/>
    <mergeCell ref="N106:P106"/>
    <mergeCell ref="N100:Q100"/>
    <mergeCell ref="N73:P95"/>
    <mergeCell ref="J78:K78"/>
    <mergeCell ref="J83:K83"/>
    <mergeCell ref="H85:K85"/>
    <mergeCell ref="G87:K87"/>
    <mergeCell ref="E91:J91"/>
    <mergeCell ref="E93:K93"/>
    <mergeCell ref="E94:K94"/>
    <mergeCell ref="E95:K95"/>
    <mergeCell ref="E58:F58"/>
    <mergeCell ref="E61:G61"/>
    <mergeCell ref="E63:K63"/>
    <mergeCell ref="E64:K64"/>
    <mergeCell ref="E65:K65"/>
    <mergeCell ref="E10:F10"/>
    <mergeCell ref="E12:F12"/>
    <mergeCell ref="G12:H12"/>
    <mergeCell ref="J12:K12"/>
    <mergeCell ref="F16:H16"/>
    <mergeCell ref="J16:K16"/>
    <mergeCell ref="G14:H14"/>
    <mergeCell ref="N12:O13"/>
    <mergeCell ref="E14:F14"/>
    <mergeCell ref="J14:K14"/>
    <mergeCell ref="F23:G23"/>
    <mergeCell ref="F20:J20"/>
    <mergeCell ref="F21:K21"/>
    <mergeCell ref="F22:I22"/>
    <mergeCell ref="E57:G57"/>
    <mergeCell ref="H57:K57"/>
    <mergeCell ref="N29:O31"/>
    <mergeCell ref="D31:L32"/>
    <mergeCell ref="E37:J37"/>
    <mergeCell ref="J45:K45"/>
    <mergeCell ref="E49:G49"/>
    <mergeCell ref="H49:K49"/>
    <mergeCell ref="E51:F51"/>
    <mergeCell ref="H51:K51"/>
    <mergeCell ref="E53:G53"/>
    <mergeCell ref="H53:K53"/>
    <mergeCell ref="E55:H55"/>
  </mergeCells>
  <conditionalFormatting sqref="G103 K105">
    <cfRule type="expression" dxfId="103" priority="5">
      <formula>E104</formula>
    </cfRule>
  </conditionalFormatting>
  <conditionalFormatting sqref="K103">
    <cfRule type="expression" dxfId="102" priority="6">
      <formula>H104</formula>
    </cfRule>
  </conditionalFormatting>
  <conditionalFormatting sqref="J109">
    <cfRule type="expression" dxfId="101" priority="4">
      <formula>#REF!</formula>
    </cfRule>
  </conditionalFormatting>
  <conditionalFormatting sqref="J109:K109 N102:P106">
    <cfRule type="expression" dxfId="100" priority="3">
      <formula>$H$109=""</formula>
    </cfRule>
  </conditionalFormatting>
  <conditionalFormatting sqref="D86 H85:K85">
    <cfRule type="expression" dxfId="99" priority="1">
      <formula>$D$85="LOGIB-Code bereits vorhanden"</formula>
    </cfRule>
  </conditionalFormatting>
  <dataValidations count="7">
    <dataValidation type="decimal" allowBlank="1" showInputMessage="1" showErrorMessage="1" errorTitle="Fehler" error="Geben Sie einen Wert zwischen 1% und 100% ein." sqref="G43" xr:uid="{00000000-0002-0000-0F00-000000000000}">
      <formula1>0.01</formula1>
      <formula2>1</formula2>
    </dataValidation>
    <dataValidation operator="greaterThan" allowBlank="1" showInputMessage="1" showErrorMessage="1" errorTitle="Fehler" error="Geben Sie ein gültiges Datum dd.mm.yyyy ein!" sqref="G81 K81" xr:uid="{00000000-0002-0000-0F00-000001000000}"/>
    <dataValidation type="list" allowBlank="1" showInputMessage="1" showErrorMessage="1" sqref="J45:K45" xr:uid="{00000000-0002-0000-0F00-000002000000}">
      <formula1>AnstellungsartVP</formula1>
    </dataValidation>
    <dataValidation type="date" operator="greaterThan" allowBlank="1" showInputMessage="1" showErrorMessage="1" errorTitle="Fehler" error="Geben Sie ein gültiges Datum dd.mm.yyyy ein!" sqref="L52 L45 G45 G78:G80 K80" xr:uid="{00000000-0002-0000-0F00-000003000000}">
      <formula1>1</formula1>
    </dataValidation>
    <dataValidation operator="greaterThan" allowBlank="1" showInputMessage="1" showErrorMessage="1" errorTitle="Fehler" error="Pensum als Ganzzahl angeben" sqref="J109 K105 K107:K108" xr:uid="{00000000-0002-0000-0F00-000004000000}"/>
    <dataValidation allowBlank="1" showInputMessage="1" sqref="J83" xr:uid="{00000000-0002-0000-0F00-000005000000}"/>
    <dataValidation type="list" allowBlank="1" showInputMessage="1" showErrorMessage="1" sqref="H51:K51" xr:uid="{00000000-0002-0000-0F00-000006000000}">
      <formula1>VPFunktSchule</formula1>
    </dataValidation>
  </dataValidations>
  <hyperlinks>
    <hyperlink ref="N29" location="Pensenberechnung!A1" display="Pensenberechnung" xr:uid="{00000000-0004-0000-0F00-000000000000}"/>
    <hyperlink ref="N12:O13" location="Grunddaten!E9" display="Zurück zu Grunddaten" xr:uid="{00000000-0004-0000-0F00-000001000000}"/>
    <hyperlink ref="N29:O31" location="Pensenberechnung!J15" display="Pensenberechnung" xr:uid="{00000000-0004-0000-0F00-000002000000}"/>
  </hyperlinks>
  <printOptions horizontalCentered="1"/>
  <pageMargins left="0.70866141732283472" right="0.70866141732283472" top="0.74803149606299213" bottom="0.74803149606299213" header="0.31496062992125984" footer="0.31496062992125984"/>
  <pageSetup paperSize="9" scale="89" fitToHeight="0" orientation="portrait" r:id="rId1"/>
  <headerFooter>
    <oddFooter>Seite &amp;P von &amp;N</oddFooter>
  </headerFooter>
  <rowBreaks count="1" manualBreakCount="1">
    <brk id="70" max="16383" man="1"/>
  </rowBreaks>
  <ignoredErrors>
    <ignoredError sqref="K10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421889" r:id="rId4" name="Check Box 1">
              <controlPr defaultSize="0" autoFill="0" autoLine="0" autoPict="0">
                <anchor>
                  <from>
                    <xdr:col>8</xdr:col>
                    <xdr:colOff>190500</xdr:colOff>
                    <xdr:row>45</xdr:row>
                    <xdr:rowOff>104775</xdr:rowOff>
                  </from>
                  <to>
                    <xdr:col>10</xdr:col>
                    <xdr:colOff>666750</xdr:colOff>
                    <xdr:row>47</xdr:row>
                    <xdr:rowOff>19050</xdr:rowOff>
                  </to>
                </anchor>
              </controlPr>
            </control>
          </mc:Choice>
        </mc:AlternateContent>
        <mc:AlternateContent xmlns:mc="http://schemas.openxmlformats.org/markup-compatibility/2006">
          <mc:Choice Requires="x14">
            <control shapeId="421890" r:id="rId5" name="Check Box 2">
              <controlPr defaultSize="0" autoFill="0" autoLine="0" autoPict="0">
                <anchor>
                  <from>
                    <xdr:col>4</xdr:col>
                    <xdr:colOff>76200</xdr:colOff>
                    <xdr:row>53</xdr:row>
                    <xdr:rowOff>123825</xdr:rowOff>
                  </from>
                  <to>
                    <xdr:col>6</xdr:col>
                    <xdr:colOff>1133475</xdr:colOff>
                    <xdr:row>55</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operator="greaterThan" allowBlank="1" showInputMessage="1" showErrorMessage="1" errorTitle="Fehler" error="Pensum als Ganzzahl angeben" xr:uid="{00000000-0002-0000-0F00-000007000000}">
          <x14:formula1>
            <xm:f>Stammdaten_DropDown!$E$107:$E$110</xm:f>
          </x14:formula1>
          <xm:sqref>K109</xm:sqref>
        </x14:dataValidation>
        <x14:dataValidation type="list" allowBlank="1" showInputMessage="1" showErrorMessage="1" xr:uid="{00000000-0002-0000-0F00-000008000000}">
          <x14:formula1>
            <xm:f>Stammdaten_DropDown!$E$103:$E$104</xm:f>
          </x14:formula1>
          <xm:sqref>H109</xm:sqref>
        </x14:dataValidation>
        <x14:dataValidation type="list" allowBlank="1" showInputMessage="1" showErrorMessage="1" xr:uid="{00000000-0002-0000-0F00-000009000000}">
          <x14:formula1>
            <xm:f>Stammdaten_DropDown!$E$93:$E$100</xm:f>
          </x14:formula1>
          <xm:sqref>H85:K85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5">
    <pageSetUpPr fitToPage="1"/>
  </sheetPr>
  <dimension ref="A1:X46"/>
  <sheetViews>
    <sheetView zoomScaleNormal="100" workbookViewId="0">
      <selection activeCell="H13" sqref="H13:I13"/>
    </sheetView>
  </sheetViews>
  <sheetFormatPr baseColWidth="10" defaultColWidth="11.5703125" defaultRowHeight="12.75" x14ac:dyDescent="0.2"/>
  <cols>
    <col min="1" max="1" width="3.5703125" style="93" customWidth="1"/>
    <col min="2" max="2" width="1.42578125" style="195" customWidth="1"/>
    <col min="3" max="3" width="0.5703125" style="195" customWidth="1"/>
    <col min="4" max="4" width="3.5703125" style="93" customWidth="1"/>
    <col min="5" max="5" width="11.5703125" style="93"/>
    <col min="6" max="6" width="7.7109375" style="93" customWidth="1"/>
    <col min="7" max="7" width="5.28515625" style="93" customWidth="1"/>
    <col min="8" max="8" width="9.7109375" style="93" customWidth="1"/>
    <col min="9" max="9" width="6.7109375" style="93" customWidth="1"/>
    <col min="10" max="10" width="9.5703125" style="93" customWidth="1"/>
    <col min="11" max="11" width="3.28515625" style="93" customWidth="1"/>
    <col min="12" max="12" width="2.42578125" style="93" customWidth="1"/>
    <col min="13" max="13" width="9.28515625" style="93" customWidth="1"/>
    <col min="14" max="14" width="11.7109375" style="93" customWidth="1"/>
    <col min="15" max="15" width="12.140625" style="93" customWidth="1"/>
    <col min="16" max="16" width="2.7109375" style="93" customWidth="1"/>
    <col min="17" max="17" width="3.5703125" style="93" customWidth="1"/>
    <col min="18" max="18" width="11.5703125" style="93"/>
    <col min="19" max="19" width="4.5703125" style="93" customWidth="1"/>
    <col min="20" max="20" width="6" style="93" customWidth="1"/>
    <col min="21" max="23" width="8.28515625" style="93" customWidth="1"/>
    <col min="24" max="24" width="4.5703125" style="93" customWidth="1"/>
    <col min="25" max="16384" width="11.5703125" style="93"/>
  </cols>
  <sheetData>
    <row r="1" spans="1:24" s="46" customFormat="1" ht="5.0999999999999996" customHeight="1" x14ac:dyDescent="0.2">
      <c r="B1" s="195"/>
      <c r="C1" s="195"/>
    </row>
    <row r="2" spans="1:24" s="46" customFormat="1" ht="45" customHeight="1" x14ac:dyDescent="0.2">
      <c r="B2" s="408"/>
      <c r="C2" s="195"/>
      <c r="D2" s="1236" t="s">
        <v>1140</v>
      </c>
      <c r="E2" s="1236"/>
      <c r="F2" s="1236"/>
      <c r="G2" s="1236"/>
      <c r="H2" s="1236"/>
      <c r="I2" s="1236"/>
      <c r="J2" s="1236"/>
      <c r="K2" s="1236"/>
      <c r="L2" s="1236"/>
      <c r="M2" s="1236"/>
      <c r="N2" s="96"/>
      <c r="O2" s="96"/>
      <c r="P2" s="96"/>
    </row>
    <row r="3" spans="1:24" s="46" customFormat="1" ht="10.5" customHeight="1" x14ac:dyDescent="0.2">
      <c r="K3" s="96"/>
      <c r="L3" s="96"/>
      <c r="M3" s="96"/>
      <c r="N3" s="96"/>
      <c r="O3" s="96"/>
      <c r="P3" s="96"/>
      <c r="Q3" s="996" t="str">
        <f>CONCATENATE(LohntabelleM!G1," / ",LohntabelleM!I1)</f>
        <v>V6.0 / 2026</v>
      </c>
    </row>
    <row r="4" spans="1:24" s="46" customFormat="1" ht="6.75" customHeight="1" x14ac:dyDescent="0.2">
      <c r="A4" s="98"/>
      <c r="B4" s="209"/>
      <c r="C4" s="209"/>
      <c r="D4" s="209"/>
      <c r="E4" s="209"/>
      <c r="F4" s="410"/>
      <c r="G4" s="410"/>
      <c r="H4" s="209"/>
      <c r="I4" s="411"/>
      <c r="J4" s="411"/>
      <c r="K4" s="412"/>
      <c r="L4" s="412"/>
      <c r="M4" s="411"/>
      <c r="N4" s="411"/>
      <c r="O4" s="411"/>
      <c r="P4" s="411"/>
      <c r="Q4" s="411"/>
      <c r="R4" s="196"/>
    </row>
    <row r="5" spans="1:24" s="46" customFormat="1" ht="6.75" customHeight="1" x14ac:dyDescent="0.2">
      <c r="A5" s="98"/>
      <c r="B5" s="209"/>
      <c r="C5" s="98"/>
      <c r="D5" s="98"/>
      <c r="E5" s="98"/>
      <c r="F5" s="94"/>
      <c r="G5" s="94"/>
      <c r="H5" s="98"/>
      <c r="I5" s="97"/>
      <c r="J5" s="97"/>
      <c r="K5" s="234"/>
      <c r="L5" s="234"/>
      <c r="M5" s="97"/>
      <c r="N5" s="97"/>
      <c r="O5" s="97"/>
      <c r="P5" s="97"/>
      <c r="Q5" s="97"/>
      <c r="R5" s="98"/>
    </row>
    <row r="6" spans="1:24" s="46" customFormat="1" ht="5.0999999999999996" customHeight="1" x14ac:dyDescent="0.2">
      <c r="B6" s="209"/>
      <c r="D6" s="47"/>
      <c r="E6" s="48"/>
      <c r="F6" s="89"/>
      <c r="G6" s="89"/>
      <c r="H6" s="49"/>
      <c r="I6" s="48"/>
      <c r="J6" s="48"/>
      <c r="K6" s="48"/>
      <c r="L6" s="48"/>
      <c r="M6" s="48"/>
      <c r="N6" s="48"/>
      <c r="O6" s="48"/>
      <c r="P6" s="48"/>
      <c r="Q6" s="90"/>
    </row>
    <row r="7" spans="1:24" s="46" customFormat="1" x14ac:dyDescent="0.2">
      <c r="B7" s="209"/>
      <c r="D7" s="50"/>
      <c r="E7" s="94" t="s">
        <v>770</v>
      </c>
      <c r="F7" s="96"/>
      <c r="G7" s="96"/>
      <c r="H7" s="95"/>
      <c r="I7" s="96"/>
      <c r="J7" s="96"/>
      <c r="K7" s="96"/>
      <c r="L7" s="96"/>
      <c r="M7" s="96"/>
      <c r="N7" s="96"/>
      <c r="O7" s="96"/>
      <c r="P7" s="96"/>
      <c r="Q7" s="52"/>
    </row>
    <row r="8" spans="1:24" s="46" customFormat="1" x14ac:dyDescent="0.2">
      <c r="B8" s="209"/>
      <c r="C8" s="98"/>
      <c r="D8" s="50"/>
      <c r="E8" s="97"/>
      <c r="F8" s="97"/>
      <c r="G8" s="97"/>
      <c r="H8" s="234"/>
      <c r="I8" s="97"/>
      <c r="J8" s="97"/>
      <c r="K8" s="97"/>
      <c r="L8" s="97"/>
      <c r="M8" s="97"/>
      <c r="N8" s="97"/>
      <c r="O8" s="97"/>
      <c r="P8" s="97"/>
      <c r="Q8" s="52"/>
    </row>
    <row r="9" spans="1:24" s="46" customFormat="1" x14ac:dyDescent="0.2">
      <c r="B9" s="208"/>
      <c r="C9" s="195"/>
      <c r="D9" s="50"/>
      <c r="E9" s="97" t="s">
        <v>967</v>
      </c>
      <c r="F9" s="97"/>
      <c r="G9" s="97"/>
      <c r="H9" s="618" t="str">
        <f>IF(MAAnrede&lt;&gt;"",MAAnrede,"")</f>
        <v/>
      </c>
      <c r="I9" s="97"/>
      <c r="J9" s="97"/>
      <c r="K9" s="97"/>
      <c r="L9" s="709" t="s">
        <v>762</v>
      </c>
      <c r="O9" s="1013" t="str">
        <f>IF(MAPersID&lt;&gt;"",MAPersID,"")</f>
        <v/>
      </c>
      <c r="P9" s="97"/>
      <c r="Q9" s="52"/>
    </row>
    <row r="10" spans="1:24" s="46" customFormat="1" x14ac:dyDescent="0.2">
      <c r="B10" s="209"/>
      <c r="C10" s="98"/>
      <c r="D10" s="50"/>
      <c r="E10" s="97"/>
      <c r="F10" s="97"/>
      <c r="G10" s="97"/>
      <c r="H10" s="234"/>
      <c r="I10" s="97"/>
      <c r="J10" s="97"/>
      <c r="K10" s="97"/>
      <c r="L10" s="709"/>
      <c r="N10" s="97"/>
      <c r="O10" s="97"/>
      <c r="P10" s="97"/>
      <c r="Q10" s="52"/>
      <c r="S10" s="1149" t="s">
        <v>1029</v>
      </c>
      <c r="T10" s="1232"/>
      <c r="U10" s="1232"/>
      <c r="V10" s="1232"/>
      <c r="W10" s="1232"/>
      <c r="X10" s="1150"/>
    </row>
    <row r="11" spans="1:24" s="46" customFormat="1" x14ac:dyDescent="0.2">
      <c r="B11" s="208"/>
      <c r="C11" s="195"/>
      <c r="D11" s="50"/>
      <c r="E11" s="97" t="s">
        <v>756</v>
      </c>
      <c r="F11" s="97"/>
      <c r="G11" s="97"/>
      <c r="H11" s="1237" t="str">
        <f>IF(MAName&lt;&gt;"",MAName,"")</f>
        <v/>
      </c>
      <c r="I11" s="1237"/>
      <c r="J11" s="1237"/>
      <c r="K11" s="97"/>
      <c r="L11" s="709" t="s">
        <v>757</v>
      </c>
      <c r="N11" s="1237" t="str">
        <f>IF(MAVorname&lt;&gt;"",MAVorname,"")</f>
        <v/>
      </c>
      <c r="O11" s="1237"/>
      <c r="P11" s="97"/>
      <c r="Q11" s="52"/>
      <c r="S11" s="1151"/>
      <c r="T11" s="1233"/>
      <c r="U11" s="1233"/>
      <c r="V11" s="1233"/>
      <c r="W11" s="1233"/>
      <c r="X11" s="1152"/>
    </row>
    <row r="12" spans="1:24" s="46" customFormat="1" x14ac:dyDescent="0.2">
      <c r="B12" s="208"/>
      <c r="C12" s="195"/>
      <c r="D12" s="50"/>
      <c r="E12" s="97"/>
      <c r="F12" s="97"/>
      <c r="G12" s="97"/>
      <c r="H12" s="97"/>
      <c r="I12" s="97"/>
      <c r="J12" s="97"/>
      <c r="K12" s="97"/>
      <c r="L12" s="709"/>
      <c r="N12" s="97"/>
      <c r="O12" s="97"/>
      <c r="P12" s="97"/>
      <c r="Q12" s="52"/>
    </row>
    <row r="13" spans="1:24" s="46" customFormat="1" x14ac:dyDescent="0.2">
      <c r="B13" s="208"/>
      <c r="C13" s="195"/>
      <c r="D13" s="50"/>
      <c r="E13" s="97" t="s">
        <v>763</v>
      </c>
      <c r="F13" s="97"/>
      <c r="G13" s="97"/>
      <c r="H13" s="1237" t="str">
        <f>IF(MAVertragsNr&lt;&gt;"",MAVertragsNr,"")</f>
        <v/>
      </c>
      <c r="I13" s="1237"/>
      <c r="J13" s="575"/>
      <c r="K13" s="413"/>
      <c r="L13" s="709" t="s">
        <v>760</v>
      </c>
      <c r="O13" s="457" t="str">
        <f>IF(MAGeburtsdatum&lt;&gt;"",MAGeburtsdatum,"")</f>
        <v/>
      </c>
      <c r="P13" s="97"/>
      <c r="Q13" s="52"/>
      <c r="S13" s="1149" t="s">
        <v>1174</v>
      </c>
      <c r="T13" s="1232"/>
      <c r="U13" s="1232"/>
      <c r="V13" s="1232"/>
      <c r="W13" s="1232"/>
      <c r="X13" s="1150"/>
    </row>
    <row r="14" spans="1:24" s="46" customFormat="1" x14ac:dyDescent="0.2">
      <c r="B14" s="208"/>
      <c r="C14" s="195"/>
      <c r="D14" s="50"/>
      <c r="E14" s="97"/>
      <c r="F14" s="97"/>
      <c r="G14" s="97"/>
      <c r="H14" s="234"/>
      <c r="I14" s="97"/>
      <c r="J14" s="97"/>
      <c r="K14" s="97"/>
      <c r="L14" s="709"/>
      <c r="N14" s="97"/>
      <c r="O14" s="97"/>
      <c r="P14" s="97"/>
      <c r="Q14" s="52"/>
      <c r="S14" s="1151"/>
      <c r="T14" s="1233"/>
      <c r="U14" s="1233"/>
      <c r="V14" s="1233"/>
      <c r="W14" s="1233"/>
      <c r="X14" s="1152"/>
    </row>
    <row r="15" spans="1:24" s="46" customFormat="1" x14ac:dyDescent="0.2">
      <c r="B15" s="208"/>
      <c r="C15" s="195"/>
      <c r="D15" s="50"/>
      <c r="E15" s="51" t="s">
        <v>1197</v>
      </c>
      <c r="F15" s="51"/>
      <c r="G15" s="51"/>
      <c r="I15" s="51"/>
      <c r="J15" s="1235"/>
      <c r="K15" s="1235"/>
      <c r="L15" s="710" t="s">
        <v>1182</v>
      </c>
      <c r="N15" s="51"/>
      <c r="O15" s="625">
        <f>IFERROR(YEAR(BeginnArbeitsdauer)-YEAR(MAGeburtsdatum),"")</f>
        <v>0</v>
      </c>
      <c r="P15" s="51"/>
      <c r="Q15" s="52"/>
    </row>
    <row r="16" spans="1:24" s="46" customFormat="1" x14ac:dyDescent="0.2">
      <c r="B16" s="209"/>
      <c r="C16" s="98"/>
      <c r="D16" s="50"/>
      <c r="E16" s="736"/>
      <c r="F16" s="612"/>
      <c r="G16" s="612"/>
      <c r="H16" s="613"/>
      <c r="I16" s="612"/>
      <c r="J16" s="612"/>
      <c r="K16" s="612"/>
      <c r="L16" s="711"/>
      <c r="N16" s="612"/>
      <c r="O16" s="612"/>
      <c r="P16" s="612"/>
      <c r="Q16" s="53"/>
      <c r="S16" s="1149" t="s">
        <v>1175</v>
      </c>
      <c r="T16" s="1232"/>
      <c r="U16" s="1232"/>
      <c r="V16" s="1232"/>
      <c r="W16" s="1232"/>
      <c r="X16" s="1150"/>
    </row>
    <row r="17" spans="2:24" s="46" customFormat="1" ht="12.75" customHeight="1" x14ac:dyDescent="0.2">
      <c r="B17" s="209"/>
      <c r="C17" s="98"/>
      <c r="D17" s="50"/>
      <c r="E17" s="624" t="s">
        <v>1134</v>
      </c>
      <c r="F17" s="51"/>
      <c r="G17" s="1139"/>
      <c r="H17" s="1139"/>
      <c r="I17" s="576" t="s">
        <v>7</v>
      </c>
      <c r="J17" s="1139"/>
      <c r="K17" s="1139"/>
      <c r="L17" s="710" t="s">
        <v>1159</v>
      </c>
      <c r="N17" s="51"/>
      <c r="O17" s="615">
        <f>Tage_Anstellung</f>
        <v>0</v>
      </c>
      <c r="P17" s="614"/>
      <c r="Q17" s="53"/>
      <c r="S17" s="1151"/>
      <c r="T17" s="1233"/>
      <c r="U17" s="1233"/>
      <c r="V17" s="1233"/>
      <c r="W17" s="1233"/>
      <c r="X17" s="1152"/>
    </row>
    <row r="18" spans="2:24" s="46" customFormat="1" x14ac:dyDescent="0.2">
      <c r="B18" s="209"/>
      <c r="C18" s="98"/>
      <c r="D18" s="50"/>
      <c r="E18" s="51"/>
      <c r="F18" s="51"/>
      <c r="G18" s="51"/>
      <c r="H18" s="51"/>
      <c r="I18" s="51"/>
      <c r="J18" s="51"/>
      <c r="K18" s="51"/>
      <c r="L18" s="710"/>
      <c r="N18" s="51"/>
      <c r="O18" s="51"/>
      <c r="P18" s="45"/>
      <c r="Q18" s="53"/>
    </row>
    <row r="19" spans="2:24" s="46" customFormat="1" x14ac:dyDescent="0.2">
      <c r="B19" s="209"/>
      <c r="C19" s="98"/>
      <c r="D19" s="50"/>
      <c r="E19" s="51" t="s">
        <v>1160</v>
      </c>
      <c r="F19" s="51"/>
      <c r="G19" s="51"/>
      <c r="I19" s="51"/>
      <c r="J19" s="1017">
        <f>Schulferien_wArbeitsdauer</f>
        <v>0</v>
      </c>
      <c r="L19" s="712" t="s">
        <v>1207</v>
      </c>
      <c r="N19" s="51"/>
      <c r="O19" s="625">
        <f>Ferien_KJ</f>
        <v>0</v>
      </c>
      <c r="Q19" s="53"/>
      <c r="S19" s="1149" t="s">
        <v>1185</v>
      </c>
      <c r="T19" s="1232"/>
      <c r="U19" s="1232"/>
      <c r="V19" s="1232"/>
      <c r="W19" s="1232"/>
      <c r="X19" s="1150"/>
    </row>
    <row r="20" spans="2:24" s="46" customFormat="1" x14ac:dyDescent="0.2">
      <c r="B20" s="209"/>
      <c r="C20" s="98"/>
      <c r="D20" s="50"/>
      <c r="E20" s="51"/>
      <c r="F20" s="51"/>
      <c r="G20" s="51"/>
      <c r="H20" s="51"/>
      <c r="I20" s="51"/>
      <c r="L20" s="710"/>
      <c r="N20" s="51"/>
      <c r="O20" s="51"/>
      <c r="P20" s="51"/>
      <c r="Q20" s="53"/>
      <c r="S20" s="1151"/>
      <c r="T20" s="1233"/>
      <c r="U20" s="1233"/>
      <c r="V20" s="1233"/>
      <c r="W20" s="1233"/>
      <c r="X20" s="1152"/>
    </row>
    <row r="21" spans="2:24" s="46" customFormat="1" x14ac:dyDescent="0.2">
      <c r="B21" s="209"/>
      <c r="C21" s="98"/>
      <c r="D21" s="50"/>
      <c r="E21" s="51" t="s">
        <v>1158</v>
      </c>
      <c r="F21" s="51"/>
      <c r="G21" s="51"/>
      <c r="H21" s="51"/>
      <c r="I21" s="51"/>
      <c r="J21" s="1017">
        <f>Tage_ohne_Schulferien</f>
        <v>0</v>
      </c>
      <c r="L21" s="710" t="s">
        <v>1208</v>
      </c>
      <c r="N21" s="51"/>
      <c r="O21" s="631">
        <f>Ferien_pro_Rata+Ferien_WE</f>
        <v>0</v>
      </c>
      <c r="Q21" s="53"/>
    </row>
    <row r="22" spans="2:24" s="46" customFormat="1" x14ac:dyDescent="0.2">
      <c r="B22" s="209"/>
      <c r="C22" s="98"/>
      <c r="D22" s="50"/>
      <c r="E22" s="51"/>
      <c r="F22" s="51"/>
      <c r="G22" s="51"/>
      <c r="H22" s="51"/>
      <c r="I22" s="51"/>
      <c r="J22" s="51"/>
      <c r="L22" s="710"/>
      <c r="N22" s="51"/>
      <c r="O22" s="51"/>
      <c r="P22" s="51"/>
      <c r="Q22" s="53"/>
      <c r="S22" s="1149" t="s">
        <v>2012</v>
      </c>
      <c r="T22" s="1232"/>
      <c r="U22" s="1232"/>
      <c r="V22" s="1232"/>
      <c r="W22" s="1232"/>
      <c r="X22" s="1150"/>
    </row>
    <row r="23" spans="2:24" s="46" customFormat="1" x14ac:dyDescent="0.2">
      <c r="B23" s="209"/>
      <c r="C23" s="98"/>
      <c r="D23" s="50"/>
      <c r="E23" s="626"/>
      <c r="F23" s="51"/>
      <c r="G23" s="51"/>
      <c r="H23" s="51"/>
      <c r="I23" s="51"/>
      <c r="J23" s="51" t="s">
        <v>1209</v>
      </c>
      <c r="L23" s="713"/>
      <c r="N23" s="51"/>
      <c r="O23" s="631">
        <f>Tage_Anstellungen_oFerien</f>
        <v>0</v>
      </c>
      <c r="Q23" s="53"/>
      <c r="S23" s="1151"/>
      <c r="T23" s="1233"/>
      <c r="U23" s="1233"/>
      <c r="V23" s="1233"/>
      <c r="W23" s="1233"/>
      <c r="X23" s="1152"/>
    </row>
    <row r="24" spans="2:24" s="46" customFormat="1" x14ac:dyDescent="0.2">
      <c r="B24" s="209"/>
      <c r="C24" s="98"/>
      <c r="D24" s="50"/>
      <c r="E24" s="51"/>
      <c r="F24" s="51"/>
      <c r="G24" s="51"/>
      <c r="H24" s="51"/>
      <c r="I24" s="51"/>
      <c r="J24" s="51"/>
      <c r="K24" s="51"/>
      <c r="L24" s="710"/>
      <c r="N24" s="51"/>
      <c r="O24" s="51"/>
      <c r="P24" s="612"/>
      <c r="Q24" s="53"/>
    </row>
    <row r="25" spans="2:24" s="46" customFormat="1" x14ac:dyDescent="0.2">
      <c r="B25" s="209"/>
      <c r="C25" s="98"/>
      <c r="D25" s="50"/>
      <c r="E25" s="51" t="s">
        <v>1138</v>
      </c>
      <c r="F25" s="51"/>
      <c r="G25" s="51"/>
      <c r="H25" s="51"/>
      <c r="I25" s="51"/>
      <c r="J25" s="1018">
        <f>Stundenansatz_Woche</f>
        <v>0</v>
      </c>
      <c r="K25" s="51"/>
      <c r="L25" s="710" t="s">
        <v>1139</v>
      </c>
      <c r="N25" s="51"/>
      <c r="O25" s="631">
        <f>Stundenansatz_Tag</f>
        <v>0</v>
      </c>
      <c r="P25" s="612"/>
      <c r="Q25" s="53"/>
      <c r="S25" s="1149" t="s">
        <v>1186</v>
      </c>
      <c r="T25" s="1232"/>
      <c r="U25" s="1232"/>
      <c r="V25" s="1232"/>
      <c r="W25" s="1232"/>
      <c r="X25" s="1150"/>
    </row>
    <row r="26" spans="2:24" s="46" customFormat="1" x14ac:dyDescent="0.2">
      <c r="B26" s="209"/>
      <c r="C26" s="98"/>
      <c r="D26" s="50"/>
      <c r="E26" s="51"/>
      <c r="F26" s="51"/>
      <c r="G26" s="51"/>
      <c r="H26" s="51"/>
      <c r="I26" s="51"/>
      <c r="J26" s="51"/>
      <c r="K26" s="51"/>
      <c r="L26" s="710"/>
      <c r="N26" s="51"/>
      <c r="O26" s="51"/>
      <c r="P26" s="612"/>
      <c r="Q26" s="53"/>
      <c r="S26" s="1151"/>
      <c r="T26" s="1233"/>
      <c r="U26" s="1233"/>
      <c r="V26" s="1233"/>
      <c r="W26" s="1233"/>
      <c r="X26" s="1152"/>
    </row>
    <row r="27" spans="2:24" s="46" customFormat="1" x14ac:dyDescent="0.2">
      <c r="B27" s="209"/>
      <c r="C27" s="98"/>
      <c r="D27" s="50"/>
      <c r="E27" s="1234" t="str">
        <f>IF(OR(BeginnArbeitsdauer="",EndeArbeitsdauer="",MAGeburtsdatum=""),"Ein Datumswert fehlt","")</f>
        <v>Ein Datumswert fehlt</v>
      </c>
      <c r="F27" s="1234"/>
      <c r="G27" s="1234"/>
      <c r="H27" s="1234"/>
      <c r="I27" s="92"/>
      <c r="J27" s="92"/>
      <c r="K27" s="92"/>
      <c r="L27" s="714" t="s">
        <v>1131</v>
      </c>
      <c r="N27" s="51"/>
      <c r="O27" s="632">
        <f>Pensum</f>
        <v>0</v>
      </c>
      <c r="P27" s="92"/>
      <c r="Q27" s="53"/>
    </row>
    <row r="28" spans="2:24" s="46" customFormat="1" ht="8.1" customHeight="1" x14ac:dyDescent="0.2">
      <c r="B28" s="209"/>
      <c r="C28" s="98"/>
      <c r="D28" s="54"/>
      <c r="E28" s="227"/>
      <c r="F28" s="227"/>
      <c r="G28" s="227"/>
      <c r="H28" s="227"/>
      <c r="I28" s="227"/>
      <c r="J28" s="227"/>
      <c r="K28" s="227"/>
      <c r="L28" s="227"/>
      <c r="M28" s="227"/>
      <c r="N28" s="227"/>
      <c r="O28" s="227"/>
      <c r="P28" s="227"/>
      <c r="Q28" s="57"/>
    </row>
    <row r="29" spans="2:24" s="46" customFormat="1" x14ac:dyDescent="0.2">
      <c r="B29" s="209"/>
      <c r="C29" s="98"/>
      <c r="E29" s="93"/>
      <c r="F29" s="93"/>
      <c r="G29" s="93"/>
      <c r="H29" s="93"/>
      <c r="I29" s="93"/>
      <c r="J29" s="93"/>
      <c r="K29" s="93"/>
      <c r="L29" s="93"/>
      <c r="M29" s="93"/>
      <c r="N29" s="93"/>
      <c r="O29" s="93"/>
      <c r="P29" s="93"/>
    </row>
    <row r="30" spans="2:24" s="46" customFormat="1" x14ac:dyDescent="0.2">
      <c r="B30" s="93"/>
      <c r="C30" s="195"/>
      <c r="E30" s="93"/>
      <c r="F30" s="93"/>
      <c r="G30" s="93"/>
      <c r="H30" s="93"/>
      <c r="I30" s="93"/>
      <c r="J30" s="93"/>
      <c r="K30" s="93"/>
      <c r="L30" s="93"/>
      <c r="M30" s="93"/>
      <c r="N30" s="93"/>
      <c r="O30" s="93"/>
      <c r="P30" s="93"/>
    </row>
    <row r="31" spans="2:24" s="46" customFormat="1" x14ac:dyDescent="0.2">
      <c r="B31" s="93"/>
      <c r="C31" s="195"/>
      <c r="E31" s="93"/>
      <c r="F31" s="93"/>
      <c r="G31" s="93"/>
      <c r="H31" s="93"/>
      <c r="I31" s="93"/>
      <c r="J31" s="93"/>
      <c r="K31" s="93"/>
      <c r="L31" s="93"/>
      <c r="M31" s="93"/>
      <c r="N31" s="93"/>
      <c r="O31" s="93"/>
      <c r="P31" s="93"/>
    </row>
    <row r="32" spans="2:24" s="46" customFormat="1" x14ac:dyDescent="0.2">
      <c r="B32" s="93"/>
      <c r="C32" s="195"/>
      <c r="E32" s="93"/>
      <c r="F32" s="93"/>
      <c r="G32" s="93"/>
      <c r="H32" s="93"/>
      <c r="I32" s="93"/>
      <c r="J32" s="93"/>
      <c r="K32" s="93"/>
      <c r="L32" s="93"/>
      <c r="M32" s="93"/>
      <c r="N32" s="93"/>
      <c r="O32" s="93"/>
      <c r="P32" s="93"/>
    </row>
    <row r="33" spans="1:22" s="46" customFormat="1" x14ac:dyDescent="0.2">
      <c r="B33" s="93"/>
      <c r="C33" s="195"/>
      <c r="E33" s="93"/>
      <c r="F33" s="93"/>
      <c r="G33" s="93"/>
      <c r="H33" s="93"/>
      <c r="I33" s="93"/>
      <c r="J33" s="93"/>
      <c r="K33" s="93"/>
      <c r="L33" s="93"/>
      <c r="M33" s="93"/>
      <c r="N33" s="93"/>
      <c r="O33" s="93"/>
      <c r="P33" s="93"/>
    </row>
    <row r="34" spans="1:22" s="46" customFormat="1" x14ac:dyDescent="0.2">
      <c r="B34" s="93"/>
      <c r="C34" s="195"/>
      <c r="E34" s="93"/>
      <c r="F34" s="93"/>
      <c r="G34" s="93"/>
      <c r="H34" s="93"/>
      <c r="I34" s="93"/>
      <c r="J34" s="93"/>
      <c r="K34" s="93"/>
      <c r="L34" s="93"/>
      <c r="M34" s="93"/>
      <c r="N34" s="93"/>
      <c r="O34" s="93"/>
      <c r="P34" s="93"/>
    </row>
    <row r="35" spans="1:22" s="46" customFormat="1" x14ac:dyDescent="0.2">
      <c r="B35" s="93"/>
      <c r="C35" s="195"/>
      <c r="E35" s="93"/>
      <c r="F35" s="93"/>
      <c r="G35" s="93"/>
      <c r="H35" s="93"/>
      <c r="I35" s="93"/>
      <c r="J35" s="93"/>
      <c r="K35" s="93"/>
      <c r="L35" s="93"/>
      <c r="M35" s="93"/>
      <c r="N35" s="93"/>
      <c r="O35" s="93"/>
      <c r="P35" s="93"/>
    </row>
    <row r="36" spans="1:22" s="46" customFormat="1" x14ac:dyDescent="0.2">
      <c r="B36" s="93"/>
      <c r="C36" s="195"/>
      <c r="E36" s="93"/>
      <c r="F36" s="93"/>
      <c r="G36" s="93"/>
      <c r="H36" s="93"/>
      <c r="I36" s="93"/>
      <c r="J36" s="93"/>
      <c r="K36" s="93"/>
      <c r="L36" s="93"/>
      <c r="M36" s="93"/>
      <c r="N36" s="93"/>
      <c r="O36" s="93"/>
      <c r="P36" s="93"/>
    </row>
    <row r="37" spans="1:22" s="46" customFormat="1" x14ac:dyDescent="0.2">
      <c r="B37" s="93"/>
      <c r="C37" s="195"/>
      <c r="E37" s="93"/>
      <c r="F37" s="93"/>
      <c r="G37" s="93"/>
      <c r="H37" s="93"/>
      <c r="I37" s="93"/>
      <c r="J37" s="93"/>
      <c r="K37" s="93"/>
      <c r="L37" s="93"/>
      <c r="M37" s="93"/>
      <c r="N37" s="93"/>
      <c r="O37" s="93"/>
      <c r="P37" s="93"/>
    </row>
    <row r="38" spans="1:22" s="46" customFormat="1" x14ac:dyDescent="0.2">
      <c r="B38" s="93"/>
      <c r="C38" s="195"/>
      <c r="D38" s="93"/>
      <c r="E38" s="93"/>
      <c r="F38" s="93"/>
      <c r="G38" s="93"/>
      <c r="H38" s="93"/>
      <c r="I38" s="93"/>
      <c r="J38" s="93"/>
      <c r="K38" s="93"/>
      <c r="L38" s="93"/>
      <c r="M38" s="93"/>
      <c r="N38" s="93"/>
      <c r="O38" s="93"/>
      <c r="P38" s="93"/>
      <c r="Q38" s="93"/>
    </row>
    <row r="39" spans="1:22" s="195" customFormat="1" x14ac:dyDescent="0.2">
      <c r="A39" s="93"/>
      <c r="B39" s="93"/>
      <c r="D39" s="93"/>
      <c r="E39" s="93"/>
      <c r="F39" s="93"/>
      <c r="G39" s="93"/>
      <c r="H39" s="93"/>
      <c r="I39" s="93"/>
      <c r="J39" s="93"/>
      <c r="K39" s="93"/>
      <c r="L39" s="93"/>
      <c r="M39" s="93"/>
      <c r="N39" s="93"/>
      <c r="O39" s="93"/>
      <c r="P39" s="93"/>
      <c r="Q39" s="93"/>
      <c r="R39" s="93"/>
      <c r="S39" s="93"/>
      <c r="T39" s="93"/>
      <c r="U39" s="93"/>
      <c r="V39" s="93"/>
    </row>
    <row r="40" spans="1:22" s="195" customFormat="1" x14ac:dyDescent="0.2">
      <c r="A40" s="93"/>
      <c r="B40" s="93"/>
      <c r="D40" s="93"/>
      <c r="E40" s="93"/>
      <c r="F40" s="93"/>
      <c r="G40" s="93"/>
      <c r="H40" s="93"/>
      <c r="I40" s="93"/>
      <c r="J40" s="93"/>
      <c r="K40" s="93"/>
      <c r="L40" s="93"/>
      <c r="M40" s="93"/>
      <c r="N40" s="93"/>
      <c r="O40" s="93"/>
      <c r="P40" s="93"/>
      <c r="Q40" s="93"/>
      <c r="R40" s="93"/>
      <c r="S40" s="93"/>
      <c r="T40" s="93"/>
      <c r="U40" s="93"/>
      <c r="V40" s="93"/>
    </row>
    <row r="41" spans="1:22" s="195" customFormat="1" x14ac:dyDescent="0.2">
      <c r="A41" s="93"/>
      <c r="B41" s="93"/>
      <c r="D41" s="93"/>
      <c r="E41" s="93"/>
      <c r="F41" s="93"/>
      <c r="G41" s="93"/>
      <c r="H41" s="93"/>
      <c r="I41" s="93"/>
      <c r="J41" s="93"/>
      <c r="K41" s="93"/>
      <c r="L41" s="93"/>
      <c r="M41" s="93"/>
      <c r="N41" s="93"/>
      <c r="O41" s="93"/>
      <c r="P41" s="93"/>
      <c r="Q41" s="93"/>
      <c r="R41" s="93"/>
      <c r="S41" s="93"/>
      <c r="T41" s="93"/>
      <c r="U41" s="93"/>
      <c r="V41" s="93"/>
    </row>
    <row r="42" spans="1:22" s="195" customFormat="1" x14ac:dyDescent="0.2">
      <c r="A42" s="93"/>
      <c r="B42" s="93"/>
      <c r="D42" s="93"/>
      <c r="E42" s="93"/>
      <c r="F42" s="93"/>
      <c r="G42" s="93"/>
      <c r="H42" s="93"/>
      <c r="I42" s="93"/>
      <c r="J42" s="93"/>
      <c r="K42" s="93"/>
      <c r="L42" s="93"/>
      <c r="M42" s="93"/>
      <c r="N42" s="93"/>
      <c r="O42" s="93"/>
      <c r="P42" s="93"/>
      <c r="Q42" s="93"/>
      <c r="R42" s="93"/>
      <c r="S42" s="93"/>
      <c r="T42" s="93"/>
      <c r="U42" s="93"/>
      <c r="V42" s="93"/>
    </row>
    <row r="43" spans="1:22" s="195" customFormat="1" x14ac:dyDescent="0.2">
      <c r="A43" s="93"/>
      <c r="B43" s="93"/>
      <c r="D43" s="93"/>
      <c r="E43" s="93"/>
      <c r="F43" s="93"/>
      <c r="G43" s="93"/>
      <c r="H43" s="93"/>
      <c r="I43" s="93"/>
      <c r="J43" s="93"/>
      <c r="K43" s="93"/>
      <c r="L43" s="93"/>
      <c r="M43" s="93"/>
      <c r="N43" s="93"/>
      <c r="O43" s="93"/>
      <c r="P43" s="93"/>
      <c r="Q43" s="93"/>
      <c r="R43" s="93"/>
      <c r="S43" s="93"/>
      <c r="T43" s="93"/>
      <c r="U43" s="93"/>
      <c r="V43" s="93"/>
    </row>
    <row r="44" spans="1:22" s="195" customFormat="1" x14ac:dyDescent="0.2">
      <c r="A44" s="93"/>
      <c r="B44" s="93"/>
      <c r="D44" s="93"/>
      <c r="E44" s="93"/>
      <c r="F44" s="93"/>
      <c r="G44" s="93"/>
      <c r="H44" s="93"/>
      <c r="I44" s="93"/>
      <c r="J44" s="93"/>
      <c r="K44" s="93"/>
      <c r="L44" s="93"/>
      <c r="M44" s="93"/>
      <c r="N44" s="93"/>
      <c r="O44" s="93"/>
      <c r="P44" s="93"/>
      <c r="Q44" s="93"/>
      <c r="R44" s="93"/>
      <c r="S44" s="93"/>
      <c r="T44" s="93"/>
      <c r="U44" s="93"/>
      <c r="V44" s="93"/>
    </row>
    <row r="45" spans="1:22" s="195" customFormat="1" x14ac:dyDescent="0.2">
      <c r="A45" s="93"/>
      <c r="B45" s="93"/>
      <c r="D45" s="93"/>
      <c r="E45" s="93"/>
      <c r="F45" s="93"/>
      <c r="G45" s="93"/>
      <c r="H45" s="93"/>
      <c r="I45" s="93"/>
      <c r="J45" s="93"/>
      <c r="K45" s="93"/>
      <c r="L45" s="93"/>
      <c r="M45" s="93"/>
      <c r="N45" s="93"/>
      <c r="O45" s="93"/>
      <c r="P45" s="93"/>
      <c r="Q45" s="93"/>
      <c r="R45" s="93"/>
      <c r="S45" s="93"/>
      <c r="T45" s="93"/>
      <c r="U45" s="93"/>
      <c r="V45" s="93"/>
    </row>
    <row r="46" spans="1:22" s="195" customFormat="1" x14ac:dyDescent="0.2">
      <c r="A46" s="93"/>
      <c r="B46" s="93"/>
      <c r="D46" s="93"/>
      <c r="E46" s="93"/>
      <c r="F46" s="93"/>
      <c r="G46" s="93"/>
      <c r="H46" s="93"/>
      <c r="I46" s="93"/>
      <c r="J46" s="93"/>
      <c r="K46" s="93"/>
      <c r="L46" s="93"/>
      <c r="M46" s="93"/>
      <c r="N46" s="93"/>
      <c r="O46" s="93"/>
      <c r="P46" s="93"/>
      <c r="Q46" s="93"/>
      <c r="R46" s="93"/>
      <c r="S46" s="93"/>
      <c r="T46" s="93"/>
      <c r="U46" s="93"/>
      <c r="V46" s="93"/>
    </row>
  </sheetData>
  <sheetProtection algorithmName="SHA-512" hashValue="BCoeps6/p7wUL6Cg0hjXChfCBmYUymQwbzF6HII+K7X3CBefZVku2cL+ZbbQ0DbBKjzkj+YSTQ1Qomtqg5JJLQ==" saltValue="75hiwp99kd+8JBx53gBkXA==" spinCount="100000" sheet="1" objects="1" scenarios="1"/>
  <mergeCells count="14">
    <mergeCell ref="S19:X20"/>
    <mergeCell ref="S22:X23"/>
    <mergeCell ref="E27:H27"/>
    <mergeCell ref="J15:K15"/>
    <mergeCell ref="D2:M2"/>
    <mergeCell ref="G17:H17"/>
    <mergeCell ref="J17:K17"/>
    <mergeCell ref="S10:X11"/>
    <mergeCell ref="N11:O11"/>
    <mergeCell ref="H13:I13"/>
    <mergeCell ref="S13:X14"/>
    <mergeCell ref="S16:X17"/>
    <mergeCell ref="H11:J11"/>
    <mergeCell ref="S25:X26"/>
  </mergeCells>
  <conditionalFormatting sqref="E27:H27">
    <cfRule type="expression" dxfId="98" priority="1">
      <formula>OR(BeginnArbeitsdauer="",EndeArbeitsdauer="",MAGeburtsdatum="")</formula>
    </cfRule>
  </conditionalFormatting>
  <hyperlinks>
    <hyperlink ref="S10:U11" location="Grunddaten!A1" tooltip="Zurück zu Grunddaten" display="Zurück zu Grunddaten" xr:uid="{00000000-0004-0000-1000-000000000000}"/>
    <hyperlink ref="S13:U14" location="Grunddaten!A1" tooltip="Zurück zu Grunddaten" display="Zurück zu Grunddaten" xr:uid="{00000000-0004-0000-1000-000001000000}"/>
    <hyperlink ref="S16:U17" location="Grunddaten!A1" tooltip="Zurück zu Grunddaten" display="Zurück zu Grunddaten" xr:uid="{00000000-0004-0000-1000-000002000000}"/>
    <hyperlink ref="S13:X14" location="'VP Anstellung'!G16" tooltip="Zurück zu Grunddaten" display="Zurück zu VP Anstellung" xr:uid="{00000000-0004-0000-1000-000003000000}"/>
    <hyperlink ref="S16:X17" location="'VP Zusätzlicher Vertrag'!F16" tooltip="Zurück zu Grunddaten" display="Zurück zu VP Zusätzlicher Vertrag" xr:uid="{00000000-0004-0000-1000-000004000000}"/>
    <hyperlink ref="S19:U20" location="Grunddaten!A1" tooltip="Zurück zu Grunddaten" display="Zurück zu Grunddaten" xr:uid="{00000000-0004-0000-1000-000005000000}"/>
    <hyperlink ref="S19:X20" location="'VP Vertragsaenderung'!F10" tooltip="Zurück zu Grunddaten" display="Zurück zu VP Vertragsänderung" xr:uid="{00000000-0004-0000-1000-000006000000}"/>
    <hyperlink ref="S22:U23" location="Grunddaten!A1" tooltip="Zurück zu Grunddaten" display="Zurück zu Grunddaten" xr:uid="{00000000-0004-0000-1000-000007000000}"/>
    <hyperlink ref="S22:X23" location="'VP Folgevertrag Stundenlohn'!F16" tooltip="Zurück zu Grunddaten" display="Zurück zu Folgevertrag Stundenlohn" xr:uid="{00000000-0004-0000-1000-000008000000}"/>
    <hyperlink ref="S10:X11" location="Grunddaten!E9" tooltip="Zurück zu Grunddaten" display="Zurück zu Grunddaten" xr:uid="{00000000-0004-0000-1000-000009000000}"/>
    <hyperlink ref="S25:U26" location="Grunddaten!A1" tooltip="Zurück zu Grunddaten" display="Zurück zu Grunddaten" xr:uid="{00000000-0004-0000-1000-00000A000000}"/>
    <hyperlink ref="S25:X26" location="'Ferienplan Pensenberechnung'!A1" tooltip="Zurück zu Grunddaten" display="Zum hinterlegten Ferienplan" xr:uid="{00000000-0004-0000-1000-00000B000000}"/>
  </hyperlinks>
  <pageMargins left="0.7" right="0.7" top="0.78740157499999996" bottom="0.78740157499999996" header="0.3" footer="0.3"/>
  <pageSetup paperSize="9" scale="85"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26"/>
  <dimension ref="A2:M35"/>
  <sheetViews>
    <sheetView zoomScaleNormal="100" workbookViewId="0">
      <selection activeCell="H4" sqref="H4"/>
    </sheetView>
  </sheetViews>
  <sheetFormatPr baseColWidth="10" defaultColWidth="11.5703125" defaultRowHeight="12.75" x14ac:dyDescent="0.2"/>
  <cols>
    <col min="1" max="1" width="11.5703125" style="212"/>
    <col min="2" max="3" width="13.85546875" style="212" customWidth="1"/>
    <col min="4" max="5" width="13.7109375" style="636" bestFit="1" customWidth="1"/>
    <col min="6" max="6" width="18.28515625" style="212" bestFit="1" customWidth="1"/>
    <col min="7" max="7" width="11.5703125" style="212"/>
    <col min="8" max="8" width="12.85546875" style="212" customWidth="1"/>
    <col min="9" max="11" width="9.140625" style="212" customWidth="1"/>
    <col min="12" max="12" width="10.140625" style="212" customWidth="1"/>
    <col min="13" max="13" width="11.5703125" style="657"/>
    <col min="14" max="16384" width="11.5703125" style="212"/>
  </cols>
  <sheetData>
    <row r="2" spans="1:13" x14ac:dyDescent="0.2">
      <c r="B2" s="211" t="s">
        <v>1135</v>
      </c>
      <c r="C2" s="651" t="str">
        <f>IF(BeginnArbeitsdauer&lt;&gt;"",BeginnArbeitsdauer,"")</f>
        <v/>
      </c>
      <c r="D2" s="638" t="s">
        <v>1136</v>
      </c>
      <c r="E2" s="651" t="str">
        <f>IF(EndeArbeitsdauer&lt;&gt;"",EndeArbeitsdauer,"")</f>
        <v/>
      </c>
    </row>
    <row r="3" spans="1:13" x14ac:dyDescent="0.2">
      <c r="C3" s="635"/>
    </row>
    <row r="4" spans="1:13" ht="43.9" customHeight="1" x14ac:dyDescent="0.2">
      <c r="A4" s="637" t="s">
        <v>1152</v>
      </c>
      <c r="B4" s="637" t="s">
        <v>1143</v>
      </c>
      <c r="C4" s="637" t="s">
        <v>1144</v>
      </c>
      <c r="D4" s="637" t="s">
        <v>1145</v>
      </c>
      <c r="E4" s="637" t="s">
        <v>1146</v>
      </c>
      <c r="F4" s="637" t="s">
        <v>1147</v>
      </c>
      <c r="M4" s="993" t="str">
        <f>CONCATENATE(LohntabelleM!G1," / ",LohntabelleM!I1)</f>
        <v>V6.0 / 2026</v>
      </c>
    </row>
    <row r="5" spans="1:13" x14ac:dyDescent="0.2">
      <c r="A5" s="1238" t="s">
        <v>1151</v>
      </c>
      <c r="B5" s="654">
        <v>44382</v>
      </c>
      <c r="C5" s="654">
        <v>44424</v>
      </c>
      <c r="D5" s="652">
        <f t="shared" ref="D5:D35" si="0">IFERROR(MAX(MIN(_xlfn.DAYS(C5,BeginnArbeitsdauer),_xlfn.DAYS(C5,B5)),0),"")</f>
        <v>42</v>
      </c>
      <c r="E5" s="652">
        <f t="shared" ref="E5:E35" si="1">IFERROR(MIN(MAX(_xlfn.DAYS(C5,EndeArbeitsdauer),0),_xlfn.DAYS(C5,B5)),"")</f>
        <v>42</v>
      </c>
      <c r="F5" s="653">
        <f>IFERROR(D5-E5,"")</f>
        <v>0</v>
      </c>
      <c r="H5" s="1149" t="s">
        <v>1187</v>
      </c>
      <c r="I5" s="1232"/>
      <c r="J5" s="1232"/>
      <c r="K5" s="1150"/>
      <c r="M5" s="212"/>
    </row>
    <row r="6" spans="1:13" x14ac:dyDescent="0.2">
      <c r="A6" s="1238"/>
      <c r="B6" s="651">
        <v>44473</v>
      </c>
      <c r="C6" s="651">
        <v>44487</v>
      </c>
      <c r="D6" s="652">
        <f t="shared" si="0"/>
        <v>14</v>
      </c>
      <c r="E6" s="652">
        <f t="shared" si="1"/>
        <v>14</v>
      </c>
      <c r="F6" s="653">
        <f t="shared" ref="F6:F35" si="2">IFERROR(D6-E6,"")</f>
        <v>0</v>
      </c>
      <c r="H6" s="1151"/>
      <c r="I6" s="1233"/>
      <c r="J6" s="1233"/>
      <c r="K6" s="1152"/>
      <c r="M6" s="212"/>
    </row>
    <row r="7" spans="1:13" x14ac:dyDescent="0.2">
      <c r="A7" s="1238"/>
      <c r="B7" s="651">
        <v>44550</v>
      </c>
      <c r="C7" s="651">
        <v>44564</v>
      </c>
      <c r="D7" s="652">
        <f t="shared" si="0"/>
        <v>14</v>
      </c>
      <c r="E7" s="652">
        <f t="shared" si="1"/>
        <v>14</v>
      </c>
      <c r="F7" s="653">
        <f t="shared" si="2"/>
        <v>0</v>
      </c>
    </row>
    <row r="8" spans="1:13" x14ac:dyDescent="0.2">
      <c r="A8" s="1238"/>
      <c r="B8" s="651">
        <v>44620</v>
      </c>
      <c r="C8" s="651">
        <v>44634</v>
      </c>
      <c r="D8" s="652">
        <f t="shared" si="0"/>
        <v>14</v>
      </c>
      <c r="E8" s="652">
        <f t="shared" si="1"/>
        <v>14</v>
      </c>
      <c r="F8" s="653">
        <f t="shared" si="2"/>
        <v>0</v>
      </c>
      <c r="H8" s="673"/>
      <c r="I8" s="648"/>
      <c r="J8" s="648"/>
      <c r="K8" s="648"/>
      <c r="L8" s="648"/>
      <c r="M8" s="658"/>
    </row>
    <row r="9" spans="1:13" x14ac:dyDescent="0.2">
      <c r="A9" s="1238"/>
      <c r="B9" s="651">
        <v>44662</v>
      </c>
      <c r="C9" s="651">
        <v>44676</v>
      </c>
      <c r="D9" s="652">
        <f t="shared" si="0"/>
        <v>14</v>
      </c>
      <c r="E9" s="652">
        <f t="shared" si="1"/>
        <v>14</v>
      </c>
      <c r="F9" s="653">
        <f t="shared" si="2"/>
        <v>0</v>
      </c>
      <c r="H9" s="655" t="s">
        <v>1163</v>
      </c>
      <c r="I9" s="649"/>
      <c r="J9" s="1234" t="str">
        <f>IF(OR(C2="",E2="",MAGeburtsdatum=""),"Ein Datumswert fehlt","")</f>
        <v>Ein Datumswert fehlt</v>
      </c>
      <c r="K9" s="1234"/>
      <c r="L9" s="1234"/>
      <c r="M9" s="1239"/>
    </row>
    <row r="10" spans="1:13" x14ac:dyDescent="0.2">
      <c r="A10" s="1238"/>
      <c r="B10" s="651">
        <v>44746</v>
      </c>
      <c r="C10" s="651">
        <v>44788</v>
      </c>
      <c r="D10" s="652">
        <f t="shared" si="0"/>
        <v>42</v>
      </c>
      <c r="E10" s="652">
        <f t="shared" si="1"/>
        <v>42</v>
      </c>
      <c r="F10" s="653">
        <f t="shared" si="2"/>
        <v>0</v>
      </c>
      <c r="H10" s="656"/>
      <c r="I10" s="649"/>
      <c r="J10" s="649"/>
      <c r="K10" s="649"/>
      <c r="L10" s="649"/>
      <c r="M10" s="659"/>
    </row>
    <row r="11" spans="1:13" x14ac:dyDescent="0.2">
      <c r="A11" s="1238" t="s">
        <v>1153</v>
      </c>
      <c r="B11" s="651">
        <v>44837</v>
      </c>
      <c r="C11" s="651">
        <v>44851</v>
      </c>
      <c r="D11" s="652">
        <f t="shared" si="0"/>
        <v>14</v>
      </c>
      <c r="E11" s="652">
        <f t="shared" si="1"/>
        <v>14</v>
      </c>
      <c r="F11" s="653">
        <f t="shared" si="2"/>
        <v>0</v>
      </c>
      <c r="H11" s="747" t="s">
        <v>1204</v>
      </c>
      <c r="I11" s="649"/>
      <c r="J11" s="649"/>
      <c r="K11" s="649"/>
      <c r="L11" s="649"/>
      <c r="M11" s="660">
        <f>IFERROR(IF(BeginnArbeitsdauer=EndeArbeitsdauer,0,_xlfn.DAYS(EndeArbeitsdauer,BeginnArbeitsdauer)+1),0)</f>
        <v>0</v>
      </c>
    </row>
    <row r="12" spans="1:13" x14ac:dyDescent="0.2">
      <c r="A12" s="1238"/>
      <c r="B12" s="651">
        <v>44921</v>
      </c>
      <c r="C12" s="651">
        <v>44935</v>
      </c>
      <c r="D12" s="652">
        <f t="shared" si="0"/>
        <v>14</v>
      </c>
      <c r="E12" s="652">
        <f t="shared" si="1"/>
        <v>14</v>
      </c>
      <c r="F12" s="653">
        <f t="shared" si="2"/>
        <v>0</v>
      </c>
      <c r="H12" s="747"/>
      <c r="I12" s="649"/>
      <c r="J12" s="649"/>
      <c r="K12" s="649"/>
      <c r="L12" s="649"/>
      <c r="M12" s="659"/>
    </row>
    <row r="13" spans="1:13" x14ac:dyDescent="0.2">
      <c r="A13" s="1238"/>
      <c r="B13" s="651">
        <v>44977</v>
      </c>
      <c r="C13" s="651">
        <v>44991</v>
      </c>
      <c r="D13" s="652">
        <f t="shared" si="0"/>
        <v>14</v>
      </c>
      <c r="E13" s="652">
        <f t="shared" si="1"/>
        <v>14</v>
      </c>
      <c r="F13" s="653">
        <f t="shared" si="2"/>
        <v>0</v>
      </c>
      <c r="H13" s="747" t="s">
        <v>1201</v>
      </c>
      <c r="I13" s="649"/>
      <c r="J13" s="649"/>
      <c r="K13" s="649"/>
      <c r="L13" s="649"/>
      <c r="M13" s="661">
        <f>IF(MAGeburtsdatum&lt;&gt;"",IF(AlterFerienanspruch&gt;59,'Ferienplan Pensenberechnung'!K35,IF(AlterFerienanspruch&lt;50,'Ferienplan Pensenberechnung'!I35,'Ferienplan Pensenberechnung'!J35)),0)</f>
        <v>0</v>
      </c>
    </row>
    <row r="14" spans="1:13" x14ac:dyDescent="0.2">
      <c r="A14" s="1238"/>
      <c r="B14" s="651">
        <v>45019</v>
      </c>
      <c r="C14" s="651">
        <v>45033</v>
      </c>
      <c r="D14" s="652">
        <f t="shared" si="0"/>
        <v>14</v>
      </c>
      <c r="E14" s="652">
        <f t="shared" si="1"/>
        <v>14</v>
      </c>
      <c r="F14" s="653">
        <f t="shared" si="2"/>
        <v>0</v>
      </c>
      <c r="H14" s="746" t="s">
        <v>1202</v>
      </c>
      <c r="I14" s="649"/>
      <c r="J14" s="649"/>
      <c r="K14" s="649"/>
      <c r="L14" s="649"/>
      <c r="M14" s="661">
        <f>IFERROR(Tage_Anstellung/365*Ferien_KJ,0)</f>
        <v>0</v>
      </c>
    </row>
    <row r="15" spans="1:13" x14ac:dyDescent="0.2">
      <c r="A15" s="1238"/>
      <c r="B15" s="651">
        <v>45110</v>
      </c>
      <c r="C15" s="651">
        <v>45152</v>
      </c>
      <c r="D15" s="652">
        <f t="shared" si="0"/>
        <v>42</v>
      </c>
      <c r="E15" s="652">
        <f t="shared" si="1"/>
        <v>42</v>
      </c>
      <c r="F15" s="653">
        <f t="shared" si="2"/>
        <v>0</v>
      </c>
      <c r="H15" s="746" t="s">
        <v>1203</v>
      </c>
      <c r="I15" s="649"/>
      <c r="J15" s="649"/>
      <c r="K15" s="649"/>
      <c r="L15" s="649"/>
      <c r="M15" s="661">
        <f>Ferien_pro_Rata/5*2</f>
        <v>0</v>
      </c>
    </row>
    <row r="16" spans="1:13" x14ac:dyDescent="0.2">
      <c r="A16" s="1238" t="s">
        <v>1154</v>
      </c>
      <c r="B16" s="651">
        <v>45201</v>
      </c>
      <c r="C16" s="651">
        <v>45215</v>
      </c>
      <c r="D16" s="652">
        <f t="shared" si="0"/>
        <v>14</v>
      </c>
      <c r="E16" s="652">
        <f t="shared" si="1"/>
        <v>14</v>
      </c>
      <c r="F16" s="653">
        <f t="shared" si="2"/>
        <v>0</v>
      </c>
      <c r="H16" s="748" t="s">
        <v>1161</v>
      </c>
      <c r="I16" s="649"/>
      <c r="J16" s="649"/>
      <c r="K16" s="649"/>
      <c r="L16" s="649"/>
      <c r="M16" s="751">
        <f>IFERROR(Tage_Anstellung-Ferien_pro_Rata-Ferien_WE,0)</f>
        <v>0</v>
      </c>
    </row>
    <row r="17" spans="1:13" x14ac:dyDescent="0.2">
      <c r="A17" s="1238"/>
      <c r="B17" s="651">
        <v>45285</v>
      </c>
      <c r="C17" s="651">
        <v>45299</v>
      </c>
      <c r="D17" s="652">
        <f t="shared" si="0"/>
        <v>14</v>
      </c>
      <c r="E17" s="652">
        <f t="shared" si="1"/>
        <v>14</v>
      </c>
      <c r="F17" s="653">
        <f t="shared" si="2"/>
        <v>0</v>
      </c>
      <c r="H17" s="749"/>
      <c r="I17" s="649"/>
      <c r="J17" s="649"/>
      <c r="K17" s="649"/>
      <c r="L17" s="649"/>
      <c r="M17" s="661"/>
    </row>
    <row r="18" spans="1:13" x14ac:dyDescent="0.2">
      <c r="A18" s="1238"/>
      <c r="B18" s="651">
        <v>45334</v>
      </c>
      <c r="C18" s="651">
        <v>45348</v>
      </c>
      <c r="D18" s="652">
        <f t="shared" si="0"/>
        <v>14</v>
      </c>
      <c r="E18" s="652">
        <f t="shared" si="1"/>
        <v>14</v>
      </c>
      <c r="F18" s="653">
        <f t="shared" si="2"/>
        <v>0</v>
      </c>
      <c r="H18" s="747" t="s">
        <v>1192</v>
      </c>
      <c r="I18" s="649"/>
      <c r="J18" s="649"/>
      <c r="K18" s="649"/>
      <c r="L18" s="649"/>
      <c r="M18" s="661">
        <f>SUM(F5:F35)</f>
        <v>0</v>
      </c>
    </row>
    <row r="19" spans="1:13" x14ac:dyDescent="0.2">
      <c r="A19" s="1238"/>
      <c r="B19" s="651">
        <v>45376</v>
      </c>
      <c r="C19" s="651">
        <v>45390</v>
      </c>
      <c r="D19" s="652">
        <f t="shared" si="0"/>
        <v>14</v>
      </c>
      <c r="E19" s="652">
        <f t="shared" si="1"/>
        <v>14</v>
      </c>
      <c r="F19" s="653">
        <f t="shared" si="2"/>
        <v>0</v>
      </c>
      <c r="H19" s="748" t="s">
        <v>1205</v>
      </c>
      <c r="I19" s="649"/>
      <c r="J19" s="649"/>
      <c r="K19" s="649"/>
      <c r="L19" s="649"/>
      <c r="M19" s="751">
        <f>Tage_Anstellung-Schulferien_wArbeitsdauer</f>
        <v>0</v>
      </c>
    </row>
    <row r="20" spans="1:13" x14ac:dyDescent="0.2">
      <c r="A20" s="1238"/>
      <c r="B20" s="651">
        <v>45474</v>
      </c>
      <c r="C20" s="651">
        <v>45516</v>
      </c>
      <c r="D20" s="652">
        <f t="shared" si="0"/>
        <v>42</v>
      </c>
      <c r="E20" s="652">
        <f t="shared" si="1"/>
        <v>42</v>
      </c>
      <c r="F20" s="653">
        <f t="shared" si="2"/>
        <v>0</v>
      </c>
      <c r="H20" s="747"/>
      <c r="I20" s="649"/>
      <c r="J20" s="649"/>
      <c r="K20" s="649"/>
      <c r="L20" s="649"/>
      <c r="M20" s="659"/>
    </row>
    <row r="21" spans="1:13" x14ac:dyDescent="0.2">
      <c r="A21" s="1238" t="s">
        <v>1155</v>
      </c>
      <c r="B21" s="651">
        <v>45565</v>
      </c>
      <c r="C21" s="651">
        <v>45579</v>
      </c>
      <c r="D21" s="652">
        <f t="shared" si="0"/>
        <v>14</v>
      </c>
      <c r="E21" s="652">
        <f t="shared" si="1"/>
        <v>14</v>
      </c>
      <c r="F21" s="653">
        <f t="shared" si="2"/>
        <v>0</v>
      </c>
      <c r="H21" s="748" t="s">
        <v>1148</v>
      </c>
      <c r="I21" s="649"/>
      <c r="J21" s="649"/>
      <c r="K21" s="649"/>
      <c r="L21" s="649"/>
      <c r="M21" s="752">
        <f>IF(ISERROR(Tage_ohne_Schulferien/Tage_Anstellungen_oFerien),0,Tage_ohne_Schulferien/Tage_Anstellungen_oFerien)</f>
        <v>0</v>
      </c>
    </row>
    <row r="22" spans="1:13" x14ac:dyDescent="0.2">
      <c r="A22" s="1238"/>
      <c r="B22" s="651">
        <v>45649</v>
      </c>
      <c r="C22" s="651">
        <v>45663</v>
      </c>
      <c r="D22" s="652">
        <f t="shared" si="0"/>
        <v>14</v>
      </c>
      <c r="E22" s="652">
        <f t="shared" si="1"/>
        <v>14</v>
      </c>
      <c r="F22" s="653">
        <f t="shared" si="2"/>
        <v>0</v>
      </c>
      <c r="H22" s="747"/>
      <c r="I22" s="649"/>
      <c r="J22" s="649"/>
      <c r="K22" s="649"/>
      <c r="L22" s="649"/>
      <c r="M22" s="661"/>
    </row>
    <row r="23" spans="1:13" x14ac:dyDescent="0.2">
      <c r="A23" s="1238"/>
      <c r="B23" s="651">
        <v>45719</v>
      </c>
      <c r="C23" s="651">
        <v>45733</v>
      </c>
      <c r="D23" s="652">
        <f t="shared" si="0"/>
        <v>14</v>
      </c>
      <c r="E23" s="652">
        <f t="shared" si="1"/>
        <v>14</v>
      </c>
      <c r="F23" s="653">
        <f t="shared" si="2"/>
        <v>0</v>
      </c>
      <c r="H23" s="747" t="s">
        <v>1206</v>
      </c>
      <c r="I23" s="649"/>
      <c r="J23" s="649"/>
      <c r="K23" s="649"/>
      <c r="L23" s="649"/>
      <c r="M23" s="661">
        <f>Gepl_Wochenstunden</f>
        <v>0</v>
      </c>
    </row>
    <row r="24" spans="1:13" x14ac:dyDescent="0.2">
      <c r="A24" s="1238"/>
      <c r="B24" s="651">
        <v>45761</v>
      </c>
      <c r="C24" s="651">
        <v>45775</v>
      </c>
      <c r="D24" s="652">
        <f t="shared" si="0"/>
        <v>14</v>
      </c>
      <c r="E24" s="652">
        <f t="shared" si="1"/>
        <v>14</v>
      </c>
      <c r="F24" s="653">
        <f t="shared" si="2"/>
        <v>0</v>
      </c>
      <c r="H24" s="748" t="s">
        <v>1138</v>
      </c>
      <c r="I24" s="649"/>
      <c r="J24" s="649"/>
      <c r="K24" s="649"/>
      <c r="L24" s="649"/>
      <c r="M24" s="751">
        <f>Gepl_Wochenstunden*Umrechnungsfaktor_Tage</f>
        <v>0</v>
      </c>
    </row>
    <row r="25" spans="1:13" x14ac:dyDescent="0.2">
      <c r="A25" s="1238"/>
      <c r="B25" s="651">
        <v>45838</v>
      </c>
      <c r="C25" s="651">
        <v>45880</v>
      </c>
      <c r="D25" s="652">
        <f t="shared" si="0"/>
        <v>42</v>
      </c>
      <c r="E25" s="652">
        <f t="shared" si="1"/>
        <v>42</v>
      </c>
      <c r="F25" s="653">
        <f t="shared" si="2"/>
        <v>0</v>
      </c>
      <c r="H25" s="746" t="s">
        <v>1149</v>
      </c>
      <c r="I25" s="649"/>
      <c r="J25" s="649"/>
      <c r="K25" s="649"/>
      <c r="L25" s="649"/>
      <c r="M25" s="661">
        <f>Stundenansatz_Woche/5</f>
        <v>0</v>
      </c>
    </row>
    <row r="26" spans="1:13" x14ac:dyDescent="0.2">
      <c r="A26" s="1238" t="s">
        <v>1156</v>
      </c>
      <c r="B26" s="651">
        <v>45929</v>
      </c>
      <c r="C26" s="651">
        <v>45943</v>
      </c>
      <c r="D26" s="652">
        <f t="shared" si="0"/>
        <v>14</v>
      </c>
      <c r="E26" s="652">
        <f t="shared" si="1"/>
        <v>14</v>
      </c>
      <c r="F26" s="653">
        <f t="shared" si="2"/>
        <v>0</v>
      </c>
      <c r="H26" s="746" t="s">
        <v>1150</v>
      </c>
      <c r="I26" s="649"/>
      <c r="J26" s="649"/>
      <c r="K26" s="649"/>
      <c r="L26" s="649"/>
      <c r="M26" s="661">
        <f>ROUND(Stundenansatz_Tag_ungerundet*20,0)/20</f>
        <v>0</v>
      </c>
    </row>
    <row r="27" spans="1:13" x14ac:dyDescent="0.2">
      <c r="A27" s="1238"/>
      <c r="B27" s="651">
        <v>46013</v>
      </c>
      <c r="C27" s="651">
        <v>46027</v>
      </c>
      <c r="D27" s="652">
        <f t="shared" si="0"/>
        <v>14</v>
      </c>
      <c r="E27" s="652">
        <f t="shared" si="1"/>
        <v>14</v>
      </c>
      <c r="F27" s="653">
        <f t="shared" si="2"/>
        <v>0</v>
      </c>
      <c r="H27" s="747"/>
      <c r="I27" s="649"/>
      <c r="J27" s="649"/>
      <c r="K27" s="649"/>
      <c r="L27" s="649"/>
      <c r="M27" s="661"/>
    </row>
    <row r="28" spans="1:13" x14ac:dyDescent="0.2">
      <c r="A28" s="1238"/>
      <c r="B28" s="651">
        <v>46069</v>
      </c>
      <c r="C28" s="651">
        <v>46083</v>
      </c>
      <c r="D28" s="652">
        <f t="shared" si="0"/>
        <v>14</v>
      </c>
      <c r="E28" s="652">
        <f t="shared" si="1"/>
        <v>14</v>
      </c>
      <c r="F28" s="653">
        <f t="shared" si="2"/>
        <v>0</v>
      </c>
      <c r="H28" s="747" t="s">
        <v>1162</v>
      </c>
      <c r="I28" s="649"/>
      <c r="J28" s="649"/>
      <c r="K28" s="649"/>
      <c r="L28" s="649"/>
      <c r="M28" s="661">
        <v>42</v>
      </c>
    </row>
    <row r="29" spans="1:13" x14ac:dyDescent="0.2">
      <c r="A29" s="1238"/>
      <c r="B29" s="651">
        <v>46111</v>
      </c>
      <c r="C29" s="651">
        <v>46125</v>
      </c>
      <c r="D29" s="652">
        <f t="shared" si="0"/>
        <v>14</v>
      </c>
      <c r="E29" s="652">
        <f t="shared" si="1"/>
        <v>14</v>
      </c>
      <c r="F29" s="653">
        <f t="shared" si="2"/>
        <v>0</v>
      </c>
      <c r="H29" s="748" t="s">
        <v>1131</v>
      </c>
      <c r="I29" s="649"/>
      <c r="J29" s="649"/>
      <c r="K29" s="649"/>
      <c r="L29" s="649"/>
      <c r="M29" s="750">
        <f>ROUND(Stundenansatz_Woche/Stunden_Vollpensum*10000,0)/10000</f>
        <v>0</v>
      </c>
    </row>
    <row r="30" spans="1:13" x14ac:dyDescent="0.2">
      <c r="A30" s="1238"/>
      <c r="B30" s="651">
        <v>46202</v>
      </c>
      <c r="C30" s="651">
        <v>46244</v>
      </c>
      <c r="D30" s="652">
        <f t="shared" si="0"/>
        <v>42</v>
      </c>
      <c r="E30" s="652">
        <f t="shared" si="1"/>
        <v>42</v>
      </c>
      <c r="F30" s="653">
        <f t="shared" si="2"/>
        <v>0</v>
      </c>
      <c r="H30" s="639"/>
      <c r="I30" s="650"/>
      <c r="J30" s="650"/>
      <c r="K30" s="650"/>
      <c r="L30" s="650"/>
      <c r="M30" s="662"/>
    </row>
    <row r="31" spans="1:13" x14ac:dyDescent="0.2">
      <c r="A31" s="1238" t="s">
        <v>1157</v>
      </c>
      <c r="B31" s="651">
        <v>46293</v>
      </c>
      <c r="C31" s="651">
        <v>46307</v>
      </c>
      <c r="D31" s="652">
        <f t="shared" si="0"/>
        <v>14</v>
      </c>
      <c r="E31" s="652">
        <f t="shared" si="1"/>
        <v>14</v>
      </c>
      <c r="F31" s="653">
        <f t="shared" si="2"/>
        <v>0</v>
      </c>
    </row>
    <row r="32" spans="1:13" x14ac:dyDescent="0.2">
      <c r="A32" s="1238"/>
      <c r="B32" s="651">
        <v>46377</v>
      </c>
      <c r="C32" s="651">
        <v>46391</v>
      </c>
      <c r="D32" s="652">
        <f t="shared" si="0"/>
        <v>14</v>
      </c>
      <c r="E32" s="652">
        <f t="shared" si="1"/>
        <v>14</v>
      </c>
      <c r="F32" s="653">
        <f t="shared" si="2"/>
        <v>0</v>
      </c>
      <c r="H32" s="46" t="s">
        <v>1183</v>
      </c>
      <c r="I32" s="46"/>
      <c r="J32" s="46"/>
      <c r="K32" s="46"/>
      <c r="L32" s="46"/>
      <c r="M32" s="663"/>
    </row>
    <row r="33" spans="1:13" x14ac:dyDescent="0.2">
      <c r="A33" s="1238"/>
      <c r="B33" s="651">
        <v>46426</v>
      </c>
      <c r="C33" s="651">
        <v>46440</v>
      </c>
      <c r="D33" s="652">
        <f t="shared" si="0"/>
        <v>14</v>
      </c>
      <c r="E33" s="652">
        <f t="shared" si="1"/>
        <v>14</v>
      </c>
      <c r="F33" s="653">
        <f t="shared" si="2"/>
        <v>0</v>
      </c>
      <c r="H33" s="46"/>
      <c r="I33" s="46"/>
      <c r="J33" s="46"/>
      <c r="K33" s="46"/>
      <c r="L33" s="46"/>
      <c r="M33" s="663"/>
    </row>
    <row r="34" spans="1:13" x14ac:dyDescent="0.2">
      <c r="A34" s="1238"/>
      <c r="B34" s="651">
        <v>46468</v>
      </c>
      <c r="C34" s="651">
        <v>46482</v>
      </c>
      <c r="D34" s="652">
        <f t="shared" si="0"/>
        <v>14</v>
      </c>
      <c r="E34" s="652">
        <f t="shared" si="1"/>
        <v>14</v>
      </c>
      <c r="F34" s="653">
        <f t="shared" si="2"/>
        <v>0</v>
      </c>
      <c r="H34" s="628" t="s">
        <v>1133</v>
      </c>
      <c r="I34" s="629" t="s">
        <v>1179</v>
      </c>
      <c r="J34" s="629" t="s">
        <v>1181</v>
      </c>
      <c r="K34" s="629" t="s">
        <v>1180</v>
      </c>
      <c r="L34" s="646"/>
      <c r="M34" s="663"/>
    </row>
    <row r="35" spans="1:13" x14ac:dyDescent="0.2">
      <c r="A35" s="1238"/>
      <c r="B35" s="651">
        <v>46573</v>
      </c>
      <c r="C35" s="651">
        <v>46615</v>
      </c>
      <c r="D35" s="652">
        <f t="shared" si="0"/>
        <v>42</v>
      </c>
      <c r="E35" s="652">
        <f t="shared" si="1"/>
        <v>42</v>
      </c>
      <c r="F35" s="653">
        <f t="shared" si="2"/>
        <v>0</v>
      </c>
      <c r="H35" s="630" t="s">
        <v>1137</v>
      </c>
      <c r="I35" s="627">
        <v>25</v>
      </c>
      <c r="J35" s="627">
        <v>27</v>
      </c>
      <c r="K35" s="627">
        <v>30</v>
      </c>
      <c r="L35" s="647"/>
      <c r="M35" s="663"/>
    </row>
  </sheetData>
  <sheetProtection algorithmName="SHA-512" hashValue="1UhWohL/7zRwyHuISVHsrky5MsSE0OB014cT6trXe9XosGLoEcHBc3myYE+M/clTvtXAMnBl2i2EsDEHnFCIGA==" saltValue="ReKDGEXce9KShZQleDVc1g==" spinCount="100000" sheet="1" objects="1" scenarios="1"/>
  <mergeCells count="8">
    <mergeCell ref="A5:A10"/>
    <mergeCell ref="H5:K6"/>
    <mergeCell ref="A31:A35"/>
    <mergeCell ref="A11:A15"/>
    <mergeCell ref="A16:A20"/>
    <mergeCell ref="A21:A25"/>
    <mergeCell ref="A26:A30"/>
    <mergeCell ref="J9:M9"/>
  </mergeCells>
  <conditionalFormatting sqref="J9:M9">
    <cfRule type="expression" dxfId="97" priority="1">
      <formula>OR($C$2="",$E$2="",MAGeburtsdatum="")</formula>
    </cfRule>
  </conditionalFormatting>
  <hyperlinks>
    <hyperlink ref="H5:K6" location="Pensenberechnung!J15" display="Zurück zur Pensenberechnung" xr:uid="{00000000-0004-0000-1100-000000000000}"/>
  </hyperlinks>
  <pageMargins left="0.7" right="0.7" top="0.78740157499999996" bottom="0.78740157499999996" header="0.3" footer="0.3"/>
  <pageSetup paperSize="9" scale="84"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9">
    <pageSetUpPr fitToPage="1"/>
  </sheetPr>
  <dimension ref="A1:X48"/>
  <sheetViews>
    <sheetView zoomScaleNormal="100" workbookViewId="0">
      <selection activeCell="V22" sqref="V22"/>
    </sheetView>
  </sheetViews>
  <sheetFormatPr baseColWidth="10" defaultColWidth="11.5703125" defaultRowHeight="12.75" x14ac:dyDescent="0.2"/>
  <cols>
    <col min="1" max="1" width="3.5703125" style="93" customWidth="1"/>
    <col min="2" max="2" width="1.42578125" style="195" customWidth="1"/>
    <col min="3" max="3" width="0.5703125" style="195" customWidth="1"/>
    <col min="4" max="4" width="3.5703125" style="93" customWidth="1"/>
    <col min="5" max="5" width="11.5703125" style="93"/>
    <col min="6" max="6" width="10.5703125" style="93" customWidth="1"/>
    <col min="7" max="7" width="5.28515625" style="93" customWidth="1"/>
    <col min="8" max="8" width="9.7109375" style="93" customWidth="1"/>
    <col min="9" max="9" width="6.7109375" style="93" customWidth="1"/>
    <col min="10" max="10" width="9.5703125" style="93" customWidth="1"/>
    <col min="11" max="11" width="3.28515625" style="93" customWidth="1"/>
    <col min="12" max="12" width="2.140625" style="93" customWidth="1"/>
    <col min="13" max="13" width="8.140625" style="93" customWidth="1"/>
    <col min="14" max="14" width="8.5703125" style="93" customWidth="1"/>
    <col min="15" max="15" width="12.140625" style="93" customWidth="1"/>
    <col min="16" max="16" width="2.7109375" style="93" customWidth="1"/>
    <col min="17" max="17" width="3.5703125" style="93" customWidth="1"/>
    <col min="18" max="18" width="11.5703125" style="93"/>
    <col min="19" max="24" width="4.5703125" style="93" customWidth="1"/>
    <col min="25" max="16384" width="11.5703125" style="93"/>
  </cols>
  <sheetData>
    <row r="1" spans="1:24" s="46" customFormat="1" ht="5.0999999999999996" customHeight="1" x14ac:dyDescent="0.2">
      <c r="B1" s="195"/>
      <c r="C1" s="195"/>
    </row>
    <row r="2" spans="1:24" s="46" customFormat="1" ht="45" customHeight="1" x14ac:dyDescent="0.2">
      <c r="B2" s="408"/>
      <c r="C2" s="195"/>
      <c r="D2" s="1236" t="s">
        <v>1067</v>
      </c>
      <c r="E2" s="1236"/>
      <c r="F2" s="1236"/>
      <c r="G2" s="1236"/>
      <c r="H2" s="1236"/>
      <c r="I2" s="1236"/>
      <c r="J2" s="409"/>
      <c r="K2" s="96"/>
      <c r="L2" s="96"/>
      <c r="M2" s="96"/>
      <c r="N2" s="96"/>
      <c r="O2" s="96"/>
      <c r="P2" s="96"/>
    </row>
    <row r="3" spans="1:24" s="46" customFormat="1" ht="10.5" customHeight="1" x14ac:dyDescent="0.2">
      <c r="K3" s="96"/>
      <c r="L3" s="96"/>
      <c r="M3" s="96"/>
      <c r="N3" s="96"/>
      <c r="O3" s="96"/>
      <c r="P3" s="96"/>
      <c r="Q3" s="996" t="str">
        <f>CONCATENATE(LohntabelleM!G1," / ",LohntabelleM!I1)</f>
        <v>V6.0 / 2026</v>
      </c>
    </row>
    <row r="4" spans="1:24" s="46" customFormat="1" ht="6.75" customHeight="1" x14ac:dyDescent="0.2">
      <c r="A4" s="98"/>
      <c r="B4" s="209"/>
      <c r="C4" s="209"/>
      <c r="D4" s="209"/>
      <c r="E4" s="209"/>
      <c r="F4" s="410"/>
      <c r="G4" s="410"/>
      <c r="H4" s="209"/>
      <c r="I4" s="411"/>
      <c r="J4" s="411"/>
      <c r="K4" s="412"/>
      <c r="L4" s="412"/>
      <c r="M4" s="411"/>
      <c r="N4" s="411"/>
      <c r="O4" s="411"/>
      <c r="P4" s="411"/>
      <c r="Q4" s="411"/>
      <c r="R4" s="196"/>
    </row>
    <row r="5" spans="1:24" s="46" customFormat="1" ht="6.75" customHeight="1" x14ac:dyDescent="0.2">
      <c r="A5" s="98"/>
      <c r="B5" s="209"/>
      <c r="C5" s="98"/>
      <c r="D5" s="98"/>
      <c r="E5" s="98"/>
      <c r="F5" s="94"/>
      <c r="G5" s="94"/>
      <c r="H5" s="98"/>
      <c r="I5" s="97"/>
      <c r="J5" s="97"/>
      <c r="K5" s="234"/>
      <c r="L5" s="234"/>
      <c r="M5" s="97"/>
      <c r="N5" s="97"/>
      <c r="O5" s="97"/>
      <c r="P5" s="97"/>
      <c r="Q5" s="97"/>
      <c r="R5" s="98"/>
    </row>
    <row r="6" spans="1:24" s="46" customFormat="1" ht="5.0999999999999996" customHeight="1" x14ac:dyDescent="0.2">
      <c r="B6" s="209"/>
      <c r="D6" s="47"/>
      <c r="E6" s="48"/>
      <c r="F6" s="89"/>
      <c r="G6" s="89"/>
      <c r="H6" s="49"/>
      <c r="I6" s="48"/>
      <c r="J6" s="48"/>
      <c r="K6" s="48"/>
      <c r="L6" s="48"/>
      <c r="M6" s="48"/>
      <c r="N6" s="48"/>
      <c r="O6" s="48"/>
      <c r="P6" s="48"/>
      <c r="Q6" s="90"/>
    </row>
    <row r="7" spans="1:24" s="46" customFormat="1" x14ac:dyDescent="0.2">
      <c r="B7" s="209"/>
      <c r="D7" s="50"/>
      <c r="E7" s="94" t="s">
        <v>770</v>
      </c>
      <c r="F7" s="96"/>
      <c r="G7" s="96"/>
      <c r="H7" s="95"/>
      <c r="I7" s="96"/>
      <c r="J7" s="96"/>
      <c r="K7" s="96"/>
      <c r="L7" s="96"/>
      <c r="M7" s="96"/>
      <c r="N7" s="96"/>
      <c r="O7" s="96"/>
      <c r="P7" s="96"/>
      <c r="Q7" s="52"/>
    </row>
    <row r="8" spans="1:24" s="46" customFormat="1" x14ac:dyDescent="0.2">
      <c r="B8" s="209"/>
      <c r="C8" s="98"/>
      <c r="D8" s="50"/>
      <c r="E8" s="97"/>
      <c r="F8" s="97"/>
      <c r="G8" s="97"/>
      <c r="H8" s="234"/>
      <c r="I8" s="97"/>
      <c r="J8" s="97"/>
      <c r="K8" s="97"/>
      <c r="L8" s="97"/>
      <c r="M8" s="97"/>
      <c r="N8" s="97"/>
      <c r="O8" s="97"/>
      <c r="P8" s="97"/>
      <c r="Q8" s="52"/>
    </row>
    <row r="9" spans="1:24" s="46" customFormat="1" x14ac:dyDescent="0.2">
      <c r="B9" s="208"/>
      <c r="C9" s="195"/>
      <c r="D9" s="50"/>
      <c r="E9" s="97" t="s">
        <v>967</v>
      </c>
      <c r="F9" s="97"/>
      <c r="G9" s="97"/>
      <c r="H9" s="618" t="str">
        <f>IF(MAAnrede&lt;&gt;"",MAAnrede,"")</f>
        <v/>
      </c>
      <c r="I9" s="97"/>
      <c r="J9" s="97"/>
      <c r="K9" s="97"/>
      <c r="L9" s="97"/>
      <c r="M9" s="97"/>
      <c r="N9" s="97"/>
      <c r="O9" s="97"/>
      <c r="P9" s="97"/>
      <c r="Q9" s="52"/>
    </row>
    <row r="10" spans="1:24" s="46" customFormat="1" x14ac:dyDescent="0.2">
      <c r="B10" s="209"/>
      <c r="C10" s="98"/>
      <c r="D10" s="50"/>
      <c r="E10" s="97"/>
      <c r="F10" s="97"/>
      <c r="G10" s="97"/>
      <c r="H10" s="234"/>
      <c r="I10" s="97"/>
      <c r="J10" s="97"/>
      <c r="K10" s="97"/>
      <c r="L10" s="97"/>
      <c r="M10" s="97"/>
      <c r="N10" s="97"/>
      <c r="O10" s="97"/>
      <c r="P10" s="97"/>
      <c r="Q10" s="52"/>
      <c r="S10" s="1149" t="s">
        <v>1029</v>
      </c>
      <c r="T10" s="1232"/>
      <c r="U10" s="1232"/>
      <c r="V10" s="1232"/>
      <c r="W10" s="1232"/>
      <c r="X10" s="1150"/>
    </row>
    <row r="11" spans="1:24" s="46" customFormat="1" x14ac:dyDescent="0.2">
      <c r="B11" s="208"/>
      <c r="C11" s="195"/>
      <c r="D11" s="50"/>
      <c r="E11" s="97" t="s">
        <v>756</v>
      </c>
      <c r="F11" s="97"/>
      <c r="G11" s="97"/>
      <c r="H11" s="1237" t="str">
        <f>IF(MAName&lt;&gt;"",MAName,"")</f>
        <v/>
      </c>
      <c r="I11" s="1237"/>
      <c r="J11" s="1237"/>
      <c r="K11" s="97"/>
      <c r="L11" s="413" t="s">
        <v>757</v>
      </c>
      <c r="N11" s="1237" t="str">
        <f>IF(MAVorname&lt;&gt;"",MAVorname,"")</f>
        <v/>
      </c>
      <c r="O11" s="1237"/>
      <c r="P11" s="97"/>
      <c r="Q11" s="52"/>
      <c r="S11" s="1151"/>
      <c r="T11" s="1233"/>
      <c r="U11" s="1233"/>
      <c r="V11" s="1233"/>
      <c r="W11" s="1233"/>
      <c r="X11" s="1152"/>
    </row>
    <row r="12" spans="1:24" s="46" customFormat="1" x14ac:dyDescent="0.2">
      <c r="B12" s="208"/>
      <c r="C12" s="195"/>
      <c r="D12" s="50"/>
      <c r="E12" s="97"/>
      <c r="F12" s="97"/>
      <c r="G12" s="97"/>
      <c r="H12" s="97"/>
      <c r="I12" s="97"/>
      <c r="J12" s="97"/>
      <c r="K12" s="97"/>
      <c r="L12" s="413"/>
      <c r="N12" s="97"/>
      <c r="O12" s="97"/>
      <c r="P12" s="97"/>
      <c r="Q12" s="52"/>
    </row>
    <row r="13" spans="1:24" s="46" customFormat="1" x14ac:dyDescent="0.2">
      <c r="B13" s="208"/>
      <c r="C13" s="195"/>
      <c r="D13" s="50"/>
      <c r="E13" s="97" t="s">
        <v>763</v>
      </c>
      <c r="F13" s="97"/>
      <c r="G13" s="97"/>
      <c r="H13" s="1237" t="str">
        <f>IF(MAVertragsNr&lt;&gt;"",MAVertragsNr,"")</f>
        <v/>
      </c>
      <c r="I13" s="1237"/>
      <c r="J13" s="1237"/>
      <c r="K13" s="413"/>
      <c r="L13" s="413" t="s">
        <v>762</v>
      </c>
      <c r="O13" s="1013" t="str">
        <f>IF(MAPersID&lt;&gt;"",MAPersID,"")</f>
        <v/>
      </c>
      <c r="P13" s="97"/>
      <c r="Q13" s="52"/>
    </row>
    <row r="14" spans="1:24" s="46" customFormat="1" x14ac:dyDescent="0.2">
      <c r="B14" s="208"/>
      <c r="C14" s="195"/>
      <c r="D14" s="50"/>
      <c r="E14" s="97"/>
      <c r="F14" s="97"/>
      <c r="G14" s="97"/>
      <c r="H14" s="234"/>
      <c r="I14" s="97"/>
      <c r="J14" s="97"/>
      <c r="K14" s="97"/>
      <c r="L14" s="413"/>
      <c r="N14" s="97"/>
      <c r="O14" s="97"/>
      <c r="P14" s="97"/>
      <c r="Q14" s="52"/>
    </row>
    <row r="15" spans="1:24" s="46" customFormat="1" x14ac:dyDescent="0.2">
      <c r="B15" s="208"/>
      <c r="C15" s="195"/>
      <c r="D15" s="50"/>
      <c r="F15" s="97"/>
      <c r="G15" s="97"/>
      <c r="H15" s="97" t="s">
        <v>764</v>
      </c>
      <c r="J15" s="1019"/>
      <c r="L15" s="715" t="s">
        <v>808</v>
      </c>
      <c r="O15" s="1019"/>
      <c r="P15" s="97"/>
      <c r="Q15" s="52"/>
    </row>
    <row r="16" spans="1:24" s="46" customFormat="1" x14ac:dyDescent="0.2">
      <c r="B16" s="209"/>
      <c r="C16" s="98"/>
      <c r="D16" s="50"/>
      <c r="E16" s="97"/>
      <c r="K16" s="415" t="e">
        <f>MATCH($J$15,LohntabelleM!$A$4:$A$31,0)</f>
        <v>#N/A</v>
      </c>
      <c r="L16" s="415"/>
      <c r="M16" s="415"/>
      <c r="N16" s="415"/>
      <c r="O16" s="415" t="e">
        <f>MATCH($O$15,LohntabelleM!B3:AE3,0)</f>
        <v>#N/A</v>
      </c>
      <c r="Q16" s="53"/>
    </row>
    <row r="17" spans="2:17" s="46" customFormat="1" ht="3.6" customHeight="1" x14ac:dyDescent="0.2">
      <c r="B17" s="209"/>
      <c r="C17" s="98"/>
      <c r="D17" s="50"/>
      <c r="E17" s="97"/>
      <c r="H17" s="47"/>
      <c r="I17" s="101"/>
      <c r="J17" s="101"/>
      <c r="K17" s="90"/>
      <c r="L17" s="45"/>
      <c r="M17" s="47"/>
      <c r="N17" s="101"/>
      <c r="O17" s="101"/>
      <c r="P17" s="90"/>
      <c r="Q17" s="53"/>
    </row>
    <row r="18" spans="2:17" s="46" customFormat="1" x14ac:dyDescent="0.2">
      <c r="B18" s="209"/>
      <c r="C18" s="98"/>
      <c r="D18" s="50"/>
      <c r="E18" s="97"/>
      <c r="H18" s="1242" t="s">
        <v>1063</v>
      </c>
      <c r="I18" s="1243"/>
      <c r="J18" s="1243"/>
      <c r="K18" s="1244"/>
      <c r="L18" s="45"/>
      <c r="M18" s="1242" t="s">
        <v>1064</v>
      </c>
      <c r="N18" s="1243"/>
      <c r="O18" s="1243"/>
      <c r="P18" s="1244"/>
      <c r="Q18" s="53"/>
    </row>
    <row r="19" spans="2:17" s="46" customFormat="1" x14ac:dyDescent="0.2">
      <c r="B19" s="209"/>
      <c r="C19" s="98"/>
      <c r="D19" s="50"/>
      <c r="E19" s="97"/>
      <c r="F19" s="97"/>
      <c r="G19" s="97"/>
      <c r="H19" s="416"/>
      <c r="I19" s="51"/>
      <c r="J19" s="51"/>
      <c r="K19" s="53"/>
      <c r="L19" s="51"/>
      <c r="M19" s="201"/>
      <c r="N19" s="51"/>
      <c r="O19" s="51"/>
      <c r="P19" s="53"/>
      <c r="Q19" s="53"/>
    </row>
    <row r="20" spans="2:17" s="46" customFormat="1" x14ac:dyDescent="0.2">
      <c r="B20" s="209"/>
      <c r="C20" s="98"/>
      <c r="D20" s="50"/>
      <c r="E20" s="97" t="s">
        <v>1059</v>
      </c>
      <c r="H20" s="50"/>
      <c r="I20" s="1020"/>
      <c r="K20" s="53"/>
      <c r="L20" s="51"/>
      <c r="M20" s="1245"/>
      <c r="N20" s="1246"/>
      <c r="O20" s="51"/>
      <c r="P20" s="53"/>
      <c r="Q20" s="53"/>
    </row>
    <row r="21" spans="2:17" s="46" customFormat="1" x14ac:dyDescent="0.2">
      <c r="B21" s="209"/>
      <c r="C21" s="98"/>
      <c r="D21" s="50"/>
      <c r="E21" s="97"/>
      <c r="F21" s="97"/>
      <c r="G21" s="97"/>
      <c r="H21" s="416"/>
      <c r="I21" s="51"/>
      <c r="J21" s="51"/>
      <c r="K21" s="53"/>
      <c r="L21" s="51"/>
      <c r="M21" s="201"/>
      <c r="N21" s="51"/>
      <c r="O21" s="51"/>
      <c r="P21" s="53"/>
      <c r="Q21" s="53"/>
    </row>
    <row r="22" spans="2:17" s="46" customFormat="1" x14ac:dyDescent="0.2">
      <c r="B22" s="209"/>
      <c r="C22" s="98"/>
      <c r="D22" s="50"/>
      <c r="E22" s="97" t="s">
        <v>1060</v>
      </c>
      <c r="H22" s="417"/>
      <c r="I22" s="1241" t="str">
        <f>IFERROR(INDEX(LohntabelleM!$B$4:$AE$31,Lohnrechner!$K$16,Lohnrechner!$O$16),"")</f>
        <v/>
      </c>
      <c r="J22" s="1241"/>
      <c r="K22" s="52"/>
      <c r="L22" s="45"/>
      <c r="M22" s="201"/>
      <c r="N22" s="1241" t="str" cm="1">
        <f t="array" ref="N22">IFERROR(INDEX(LohntabelleM!$B$4:$AE$31,Lohnrechner!$K$16,Lohnrechner!$O$16),"")</f>
        <v/>
      </c>
      <c r="O22" s="1241"/>
      <c r="P22" s="53"/>
      <c r="Q22" s="53"/>
    </row>
    <row r="23" spans="2:17" s="46" customFormat="1" x14ac:dyDescent="0.2">
      <c r="B23" s="209"/>
      <c r="C23" s="98"/>
      <c r="D23" s="50"/>
      <c r="E23" s="97"/>
      <c r="F23" s="97"/>
      <c r="G23" s="97"/>
      <c r="H23" s="201"/>
      <c r="I23" s="51"/>
      <c r="J23" s="51"/>
      <c r="K23" s="53"/>
      <c r="L23" s="51"/>
      <c r="M23" s="419"/>
      <c r="N23" s="55"/>
      <c r="O23" s="55"/>
      <c r="P23" s="57"/>
      <c r="Q23" s="53"/>
    </row>
    <row r="24" spans="2:17" s="46" customFormat="1" x14ac:dyDescent="0.2">
      <c r="B24" s="209"/>
      <c r="C24" s="98"/>
      <c r="D24" s="50"/>
      <c r="E24" s="97" t="s">
        <v>1061</v>
      </c>
      <c r="F24" s="97"/>
      <c r="G24" s="97"/>
      <c r="H24" s="417"/>
      <c r="I24" s="1241" t="str">
        <f>IF(I22="","",$I$22*$I$20)</f>
        <v/>
      </c>
      <c r="J24" s="1241"/>
      <c r="K24" s="53"/>
      <c r="L24" s="51"/>
      <c r="M24" s="51"/>
      <c r="N24" s="45"/>
      <c r="O24" s="45"/>
      <c r="P24" s="51"/>
      <c r="Q24" s="53"/>
    </row>
    <row r="25" spans="2:17" s="46" customFormat="1" x14ac:dyDescent="0.2">
      <c r="B25" s="209"/>
      <c r="C25" s="98"/>
      <c r="D25" s="50"/>
      <c r="E25" s="97"/>
      <c r="F25" s="97"/>
      <c r="G25" s="97"/>
      <c r="H25" s="417"/>
      <c r="I25" s="51"/>
      <c r="J25" s="51"/>
      <c r="K25" s="53"/>
      <c r="L25" s="51"/>
      <c r="M25" s="51"/>
      <c r="N25" s="45"/>
      <c r="O25" s="45"/>
      <c r="P25" s="51"/>
      <c r="Q25" s="53"/>
    </row>
    <row r="26" spans="2:17" s="46" customFormat="1" x14ac:dyDescent="0.2">
      <c r="B26" s="209"/>
      <c r="C26" s="98"/>
      <c r="D26" s="50"/>
      <c r="E26" s="97" t="s">
        <v>1062</v>
      </c>
      <c r="F26" s="97"/>
      <c r="G26" s="97"/>
      <c r="H26" s="417"/>
      <c r="I26" s="1241" t="str">
        <f>IF(I24="","",I24/182.7)</f>
        <v/>
      </c>
      <c r="J26" s="1241"/>
      <c r="K26" s="53"/>
      <c r="L26" s="51"/>
      <c r="M26" s="51"/>
      <c r="N26" s="45"/>
      <c r="O26" s="45"/>
      <c r="P26" s="51"/>
      <c r="Q26" s="53"/>
    </row>
    <row r="27" spans="2:17" s="46" customFormat="1" x14ac:dyDescent="0.2">
      <c r="B27" s="209"/>
      <c r="C27" s="98"/>
      <c r="D27" s="50"/>
      <c r="E27" s="414"/>
      <c r="F27" s="97"/>
      <c r="G27" s="97"/>
      <c r="H27" s="418"/>
      <c r="I27" s="55"/>
      <c r="J27" s="55"/>
      <c r="K27" s="57"/>
      <c r="L27" s="51"/>
      <c r="M27" s="51"/>
      <c r="N27" s="45"/>
      <c r="O27" s="45"/>
      <c r="P27" s="45"/>
      <c r="Q27" s="53"/>
    </row>
    <row r="28" spans="2:17" s="46" customFormat="1" ht="8.1" customHeight="1" x14ac:dyDescent="0.2">
      <c r="B28" s="209"/>
      <c r="C28" s="98"/>
      <c r="D28" s="54"/>
      <c r="E28" s="55"/>
      <c r="F28" s="55"/>
      <c r="G28" s="55"/>
      <c r="H28" s="56"/>
      <c r="I28" s="55"/>
      <c r="J28" s="55"/>
      <c r="K28" s="55"/>
      <c r="L28" s="55"/>
      <c r="M28" s="55"/>
      <c r="N28" s="55"/>
      <c r="O28" s="55"/>
      <c r="P28" s="55"/>
      <c r="Q28" s="57"/>
    </row>
    <row r="29" spans="2:17" s="46" customFormat="1" x14ac:dyDescent="0.2">
      <c r="B29" s="209"/>
      <c r="C29" s="98"/>
      <c r="E29" s="98"/>
      <c r="F29" s="98"/>
      <c r="G29" s="98"/>
      <c r="H29" s="99"/>
      <c r="I29" s="98"/>
      <c r="J29" s="98"/>
      <c r="K29" s="98"/>
      <c r="L29" s="98"/>
      <c r="M29" s="98"/>
      <c r="N29" s="98"/>
      <c r="O29" s="98"/>
      <c r="P29" s="98"/>
    </row>
    <row r="30" spans="2:17" s="46" customFormat="1" ht="64.349999999999994" customHeight="1" x14ac:dyDescent="0.2">
      <c r="B30" s="209"/>
      <c r="C30" s="195"/>
      <c r="D30" s="1240" t="s">
        <v>959</v>
      </c>
      <c r="E30" s="1240"/>
      <c r="F30" s="1240"/>
      <c r="G30" s="1240"/>
      <c r="H30" s="1240"/>
      <c r="I30" s="1240"/>
      <c r="J30" s="1240"/>
      <c r="K30" s="1240"/>
      <c r="L30" s="1240"/>
      <c r="M30" s="1240"/>
      <c r="N30" s="1240"/>
      <c r="O30" s="1240"/>
      <c r="P30" s="420"/>
    </row>
    <row r="31" spans="2:17" s="46" customFormat="1" ht="17.25" customHeight="1" x14ac:dyDescent="0.2">
      <c r="B31" s="209"/>
      <c r="C31" s="195"/>
      <c r="D31" s="1240"/>
      <c r="E31" s="1240"/>
      <c r="F31" s="1240"/>
      <c r="G31" s="1240"/>
      <c r="H31" s="1240"/>
      <c r="I31" s="1240"/>
      <c r="J31" s="1240"/>
      <c r="K31" s="1240"/>
      <c r="L31" s="1240"/>
      <c r="M31" s="1240"/>
      <c r="N31" s="1240"/>
      <c r="O31" s="1240"/>
      <c r="P31" s="420"/>
    </row>
    <row r="32" spans="2:17" s="46" customFormat="1" x14ac:dyDescent="0.2">
      <c r="B32" s="93"/>
      <c r="C32" s="195"/>
    </row>
    <row r="33" spans="1:22" s="46" customFormat="1" x14ac:dyDescent="0.2">
      <c r="B33" s="93"/>
      <c r="C33" s="195"/>
    </row>
    <row r="34" spans="1:22" s="46" customFormat="1" x14ac:dyDescent="0.2">
      <c r="B34" s="93"/>
      <c r="C34" s="195"/>
    </row>
    <row r="35" spans="1:22" s="46" customFormat="1" x14ac:dyDescent="0.2">
      <c r="B35" s="93"/>
      <c r="C35" s="195"/>
    </row>
    <row r="36" spans="1:22" s="46" customFormat="1" x14ac:dyDescent="0.2">
      <c r="B36" s="93"/>
      <c r="C36" s="195"/>
    </row>
    <row r="37" spans="1:22" s="46" customFormat="1" x14ac:dyDescent="0.2">
      <c r="B37" s="93"/>
      <c r="C37" s="195"/>
    </row>
    <row r="38" spans="1:22" s="46" customFormat="1" x14ac:dyDescent="0.2">
      <c r="B38" s="93"/>
      <c r="C38" s="195"/>
    </row>
    <row r="39" spans="1:22" s="46" customFormat="1" x14ac:dyDescent="0.2">
      <c r="B39" s="93"/>
      <c r="C39" s="195"/>
      <c r="E39" s="98"/>
      <c r="F39" s="98"/>
      <c r="G39" s="98"/>
      <c r="H39" s="99"/>
      <c r="I39" s="98"/>
      <c r="J39" s="98"/>
      <c r="K39" s="98"/>
      <c r="L39" s="98"/>
      <c r="M39" s="98"/>
      <c r="N39" s="98"/>
      <c r="O39" s="98"/>
      <c r="P39" s="98"/>
    </row>
    <row r="40" spans="1:22" s="46" customFormat="1" x14ac:dyDescent="0.2">
      <c r="B40" s="93"/>
      <c r="C40" s="195"/>
      <c r="D40" s="93"/>
      <c r="E40" s="93"/>
      <c r="F40" s="93"/>
      <c r="G40" s="93"/>
      <c r="H40" s="93"/>
      <c r="I40" s="93"/>
      <c r="J40" s="93"/>
      <c r="K40" s="93"/>
      <c r="L40" s="93"/>
      <c r="M40" s="93"/>
      <c r="N40" s="93"/>
      <c r="O40" s="93"/>
      <c r="P40" s="93"/>
      <c r="Q40" s="93"/>
    </row>
    <row r="41" spans="1:22" s="195" customFormat="1" x14ac:dyDescent="0.2">
      <c r="A41" s="93"/>
      <c r="B41" s="93"/>
      <c r="D41" s="93"/>
      <c r="E41" s="93"/>
      <c r="F41" s="93"/>
      <c r="G41" s="93"/>
      <c r="H41" s="93"/>
      <c r="I41" s="93"/>
      <c r="J41" s="93"/>
      <c r="K41" s="93"/>
      <c r="L41" s="93"/>
      <c r="M41" s="93"/>
      <c r="N41" s="93"/>
      <c r="O41" s="93"/>
      <c r="P41" s="93"/>
      <c r="Q41" s="93"/>
      <c r="R41" s="93"/>
      <c r="S41" s="93"/>
      <c r="T41" s="93"/>
      <c r="U41" s="93"/>
      <c r="V41" s="93"/>
    </row>
    <row r="42" spans="1:22" s="195" customFormat="1" x14ac:dyDescent="0.2">
      <c r="A42" s="93"/>
      <c r="B42" s="93"/>
      <c r="D42" s="93"/>
      <c r="E42" s="93"/>
      <c r="F42" s="93"/>
      <c r="G42" s="93"/>
      <c r="H42" s="93"/>
      <c r="I42" s="93"/>
      <c r="J42" s="93"/>
      <c r="K42" s="93"/>
      <c r="L42" s="93"/>
      <c r="M42" s="93"/>
      <c r="N42" s="93"/>
      <c r="O42" s="93"/>
      <c r="P42" s="93"/>
      <c r="Q42" s="93"/>
      <c r="R42" s="93"/>
      <c r="S42" s="93"/>
      <c r="T42" s="93"/>
      <c r="U42" s="93"/>
      <c r="V42" s="93"/>
    </row>
    <row r="43" spans="1:22" s="195" customFormat="1" x14ac:dyDescent="0.2">
      <c r="A43" s="93"/>
      <c r="B43" s="93"/>
      <c r="D43" s="93"/>
      <c r="E43" s="93"/>
      <c r="F43" s="93"/>
      <c r="G43" s="93"/>
      <c r="H43" s="93"/>
      <c r="I43" s="93"/>
      <c r="J43" s="93"/>
      <c r="K43" s="93"/>
      <c r="L43" s="93"/>
      <c r="M43" s="93"/>
      <c r="N43" s="93"/>
      <c r="O43" s="93"/>
      <c r="P43" s="93"/>
      <c r="Q43" s="93"/>
      <c r="R43" s="93"/>
      <c r="S43" s="93"/>
      <c r="T43" s="93"/>
      <c r="U43" s="93"/>
      <c r="V43" s="93"/>
    </row>
    <row r="44" spans="1:22" s="195" customFormat="1" x14ac:dyDescent="0.2">
      <c r="A44" s="93"/>
      <c r="B44" s="93"/>
      <c r="D44" s="93"/>
      <c r="E44" s="93"/>
      <c r="F44" s="93"/>
      <c r="G44" s="93"/>
      <c r="H44" s="93"/>
      <c r="I44" s="93"/>
      <c r="J44" s="93"/>
      <c r="K44" s="93"/>
      <c r="L44" s="93"/>
      <c r="M44" s="93"/>
      <c r="N44" s="93"/>
      <c r="O44" s="93"/>
      <c r="P44" s="93"/>
      <c r="Q44" s="93"/>
      <c r="R44" s="93"/>
      <c r="S44" s="93"/>
      <c r="T44" s="93"/>
      <c r="U44" s="93"/>
      <c r="V44" s="93"/>
    </row>
    <row r="45" spans="1:22" s="195" customFormat="1" x14ac:dyDescent="0.2">
      <c r="A45" s="93"/>
      <c r="B45" s="93"/>
      <c r="D45" s="93"/>
      <c r="E45" s="93"/>
      <c r="F45" s="93"/>
      <c r="G45" s="93"/>
      <c r="H45" s="93"/>
      <c r="I45" s="93"/>
      <c r="J45" s="93"/>
      <c r="K45" s="93"/>
      <c r="L45" s="93"/>
      <c r="M45" s="93"/>
      <c r="N45" s="93"/>
      <c r="O45" s="93"/>
      <c r="P45" s="93"/>
      <c r="Q45" s="93"/>
      <c r="R45" s="93"/>
      <c r="S45" s="93"/>
      <c r="T45" s="93"/>
      <c r="U45" s="93"/>
      <c r="V45" s="93"/>
    </row>
    <row r="46" spans="1:22" s="195" customFormat="1" x14ac:dyDescent="0.2">
      <c r="A46" s="93"/>
      <c r="B46" s="93"/>
      <c r="D46" s="93"/>
      <c r="E46" s="93"/>
      <c r="F46" s="93"/>
      <c r="G46" s="93"/>
      <c r="H46" s="93"/>
      <c r="I46" s="93"/>
      <c r="J46" s="93"/>
      <c r="K46" s="93"/>
      <c r="L46" s="93"/>
      <c r="M46" s="93"/>
      <c r="N46" s="93"/>
      <c r="O46" s="93"/>
      <c r="P46" s="93"/>
      <c r="Q46" s="93"/>
      <c r="R46" s="93"/>
      <c r="S46" s="93"/>
      <c r="T46" s="93"/>
      <c r="U46" s="93"/>
      <c r="V46" s="93"/>
    </row>
    <row r="47" spans="1:22" s="195" customFormat="1" x14ac:dyDescent="0.2">
      <c r="A47" s="93"/>
      <c r="B47" s="93"/>
      <c r="D47" s="93"/>
      <c r="E47" s="93"/>
      <c r="F47" s="93"/>
      <c r="G47" s="93"/>
      <c r="H47" s="93"/>
      <c r="I47" s="93"/>
      <c r="J47" s="93"/>
      <c r="K47" s="93"/>
      <c r="L47" s="93"/>
      <c r="M47" s="93"/>
      <c r="N47" s="93"/>
      <c r="O47" s="93"/>
      <c r="P47" s="93"/>
      <c r="Q47" s="93"/>
      <c r="R47" s="93"/>
      <c r="S47" s="93"/>
      <c r="T47" s="93"/>
      <c r="U47" s="93"/>
      <c r="V47" s="93"/>
    </row>
    <row r="48" spans="1:22" s="195" customFormat="1" x14ac:dyDescent="0.2">
      <c r="A48" s="93"/>
      <c r="B48" s="93"/>
      <c r="D48" s="93"/>
      <c r="E48" s="93"/>
      <c r="F48" s="93"/>
      <c r="G48" s="93"/>
      <c r="H48" s="93"/>
      <c r="I48" s="93"/>
      <c r="J48" s="93"/>
      <c r="K48" s="93"/>
      <c r="L48" s="93"/>
      <c r="M48" s="93"/>
      <c r="N48" s="93"/>
      <c r="O48" s="93"/>
      <c r="P48" s="93"/>
      <c r="Q48" s="93"/>
      <c r="R48" s="93"/>
      <c r="S48" s="93"/>
      <c r="T48" s="93"/>
      <c r="U48" s="93"/>
      <c r="V48" s="93"/>
    </row>
  </sheetData>
  <sheetProtection algorithmName="SHA-512" hashValue="8VWbxxq+/rHgHqQ/bh92iWS5mIP+daSgPCyijW5Sm1VUVc7hjH4I+9a3XB/fvMd7ksLxVLFSXW6zI5t4UsZ5og==" saltValue="Q4KERW6H9xFg9jz2uyWWKw==" spinCount="100000" sheet="1" objects="1" scenarios="1"/>
  <protectedRanges>
    <protectedRange algorithmName="SHA-512" hashValue="uEJvk/2e2QpbancF0lR8jCPdKxzEVJJ5aayplGbzaZlwzzwUYsmFEi4dwgf1k/SEjdyBk39FQLg0Uxn7RY+Q1g==" saltValue="RJF8eqWwUQtLf8J2bVKzAg==" spinCount="100000" sqref="I20 O15 J15" name="LohnrechnerSchutz"/>
  </protectedRanges>
  <mergeCells count="13">
    <mergeCell ref="S10:X11"/>
    <mergeCell ref="D30:O31"/>
    <mergeCell ref="N22:O22"/>
    <mergeCell ref="I26:J26"/>
    <mergeCell ref="D2:I2"/>
    <mergeCell ref="M18:P18"/>
    <mergeCell ref="H18:K18"/>
    <mergeCell ref="M20:N20"/>
    <mergeCell ref="N11:O11"/>
    <mergeCell ref="I22:J22"/>
    <mergeCell ref="I24:J24"/>
    <mergeCell ref="H11:J11"/>
    <mergeCell ref="H13:J13"/>
  </mergeCells>
  <dataValidations count="5">
    <dataValidation type="decimal" operator="greaterThan" allowBlank="1" showInputMessage="1" showErrorMessage="1" errorTitle="Fehler" error="Pensum als Ganzzahl angeben" sqref="N23" xr:uid="{00000000-0002-0000-1200-000000000000}">
      <formula1>0</formula1>
    </dataValidation>
    <dataValidation operator="greaterThan" allowBlank="1" showInputMessage="1" errorTitle="Fehler" error="Pensum als Ganzzahl angeben" sqref="O24:P27 H18 P15 I17" xr:uid="{00000000-0002-0000-1200-000001000000}"/>
    <dataValidation type="list" operator="greaterThan" allowBlank="1" showInputMessage="1" errorTitle="Fehler" error="Pensum als Ganzzahl angeben" sqref="O15" xr:uid="{00000000-0002-0000-1200-000002000000}">
      <formula1>Erfahrungswert</formula1>
    </dataValidation>
    <dataValidation type="list" operator="greaterThan" allowBlank="1" showInputMessage="1" errorTitle="Fehler" error="Pensum als Ganzzahl angeben" sqref="J15" xr:uid="{00000000-0002-0000-1200-000003000000}">
      <formula1>Lohnband</formula1>
    </dataValidation>
    <dataValidation type="decimal" allowBlank="1" showInputMessage="1" showErrorMessage="1" errorTitle="Fehler" error="Muss zwischen 0 und 100% liegen" sqref="K20 I20" xr:uid="{00000000-0002-0000-1200-000004000000}">
      <formula1>0</formula1>
      <formula2>1</formula2>
    </dataValidation>
  </dataValidations>
  <hyperlinks>
    <hyperlink ref="S10:U11" location="Grunddaten!A1" tooltip="Zurück zu Grunddaten" display="Zurück zu Grunddaten" xr:uid="{00000000-0004-0000-1200-000000000000}"/>
    <hyperlink ref="S10:X11" location="Grunddaten!E9" tooltip="Zurück zu Grunddaten" display="Zurück zu Grunddaten" xr:uid="{00000000-0004-0000-1200-000001000000}"/>
  </hyperlinks>
  <pageMargins left="0.7" right="0.7" top="0.78740157499999996" bottom="0.78740157499999996" header="0.3" footer="0.3"/>
  <pageSetup paperSize="9" scale="86" fitToHeight="0" orientation="portrait" r:id="rId1"/>
  <ignoredErrors>
    <ignoredError sqref="K16 O16" evalError="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8"/>
  <dimension ref="B1:AJ59"/>
  <sheetViews>
    <sheetView tabSelected="1" zoomScaleNormal="100" workbookViewId="0">
      <selection activeCell="Y13" sqref="Y13:AB14"/>
    </sheetView>
  </sheetViews>
  <sheetFormatPr baseColWidth="10" defaultColWidth="11.5703125" defaultRowHeight="12.75" x14ac:dyDescent="0.2"/>
  <cols>
    <col min="1" max="1" width="5" style="93" customWidth="1"/>
    <col min="2" max="2" width="3.140625" style="93" customWidth="1"/>
    <col min="3" max="3" width="11.5703125" style="93"/>
    <col min="4" max="4" width="7.85546875" style="93" customWidth="1"/>
    <col min="5" max="5" width="4.85546875" style="93" customWidth="1"/>
    <col min="6" max="7" width="11.7109375" style="93" customWidth="1"/>
    <col min="8" max="8" width="3.140625" style="93" customWidth="1"/>
    <col min="9" max="9" width="5" style="93" customWidth="1"/>
    <col min="10" max="10" width="3.140625" style="93" customWidth="1"/>
    <col min="11" max="14" width="9" style="93" customWidth="1"/>
    <col min="15" max="15" width="3.140625" style="93" customWidth="1"/>
    <col min="16" max="16" width="5" style="93" customWidth="1"/>
    <col min="17" max="17" width="3.140625" style="93" customWidth="1"/>
    <col min="18" max="21" width="9" style="93" customWidth="1"/>
    <col min="22" max="22" width="3.140625" style="93" customWidth="1"/>
    <col min="23" max="23" width="5" style="93" customWidth="1"/>
    <col min="24" max="24" width="3.7109375" style="93" customWidth="1"/>
    <col min="25" max="25" width="8.28515625" style="93" customWidth="1"/>
    <col min="26" max="26" width="8.140625" style="93" customWidth="1"/>
    <col min="27" max="27" width="12.85546875" style="93" customWidth="1"/>
    <col min="28" max="28" width="5.5703125" style="93" customWidth="1"/>
    <col min="29" max="29" width="3.7109375" style="93" customWidth="1"/>
    <col min="30" max="30" width="5" style="93" customWidth="1"/>
    <col min="31" max="31" width="3.7109375" style="93" customWidth="1"/>
    <col min="32" max="32" width="5.42578125" style="93" customWidth="1"/>
    <col min="33" max="33" width="4.42578125" style="93" customWidth="1"/>
    <col min="34" max="34" width="4.28515625" style="93" customWidth="1"/>
    <col min="35" max="35" width="7.28515625" style="93" customWidth="1"/>
    <col min="36" max="36" width="3.7109375" style="93" customWidth="1"/>
    <col min="37" max="16384" width="11.5703125" style="93"/>
  </cols>
  <sheetData>
    <row r="1" spans="2:36" ht="12.6" customHeight="1" x14ac:dyDescent="0.2"/>
    <row r="2" spans="2:36" ht="24" customHeight="1" x14ac:dyDescent="0.2"/>
    <row r="3" spans="2:36" ht="12.6" customHeight="1" x14ac:dyDescent="0.2"/>
    <row r="4" spans="2:36" ht="12.6" customHeight="1" x14ac:dyDescent="0.2">
      <c r="J4" s="1116" t="s">
        <v>999</v>
      </c>
      <c r="K4" s="1116"/>
      <c r="L4" s="1116"/>
      <c r="M4" s="1116"/>
      <c r="N4" s="1116"/>
      <c r="O4" s="1116"/>
      <c r="P4" s="1116"/>
      <c r="Q4" s="1116"/>
      <c r="R4" s="1116"/>
      <c r="S4" s="1116"/>
      <c r="T4" s="1116"/>
      <c r="U4" s="1116"/>
      <c r="V4" s="1116"/>
      <c r="X4" s="1117" t="s">
        <v>2054</v>
      </c>
      <c r="Y4" s="1117"/>
      <c r="Z4" s="1117"/>
      <c r="AA4" s="1117"/>
      <c r="AB4" s="1117"/>
      <c r="AC4" s="1117"/>
    </row>
    <row r="5" spans="2:36" ht="12.6" customHeight="1" x14ac:dyDescent="0.2">
      <c r="Q5" s="92"/>
      <c r="V5" s="92"/>
      <c r="AJ5" s="1044" t="str">
        <f>CONCATENATE("Vertragsbestellung_",LohntabelleM!G1," / ",LohntabelleM!I1," - Schulen")</f>
        <v>Vertragsbestellung_V6.0 / 2026 - Schulen</v>
      </c>
    </row>
    <row r="6" spans="2:36" ht="12.6" customHeight="1" x14ac:dyDescent="0.2">
      <c r="B6" s="219"/>
      <c r="C6" s="220"/>
      <c r="D6" s="220"/>
      <c r="E6" s="220"/>
      <c r="F6" s="220"/>
      <c r="G6" s="220"/>
      <c r="H6" s="221"/>
      <c r="J6" s="578"/>
      <c r="K6" s="579"/>
      <c r="L6" s="579"/>
      <c r="M6" s="579"/>
      <c r="N6" s="579"/>
      <c r="O6" s="580"/>
      <c r="Q6" s="596"/>
      <c r="R6" s="597"/>
      <c r="S6" s="597"/>
      <c r="T6" s="597"/>
      <c r="U6" s="597"/>
      <c r="V6" s="598"/>
      <c r="X6" s="381"/>
      <c r="Y6" s="382"/>
      <c r="Z6" s="382"/>
      <c r="AA6" s="382"/>
      <c r="AB6" s="382"/>
      <c r="AC6" s="383"/>
      <c r="AE6" s="219"/>
      <c r="AF6" s="220"/>
      <c r="AG6" s="220"/>
      <c r="AH6" s="220"/>
      <c r="AI6" s="220"/>
      <c r="AJ6" s="221"/>
    </row>
    <row r="7" spans="2:36" ht="12.6" customHeight="1" x14ac:dyDescent="0.2">
      <c r="B7" s="1110" t="s">
        <v>992</v>
      </c>
      <c r="C7" s="1111"/>
      <c r="D7" s="1111"/>
      <c r="E7" s="1111"/>
      <c r="F7" s="1111"/>
      <c r="G7" s="1111"/>
      <c r="H7" s="1112"/>
      <c r="J7" s="581"/>
      <c r="K7" s="1115" t="s">
        <v>813</v>
      </c>
      <c r="L7" s="1115"/>
      <c r="M7" s="1115"/>
      <c r="N7" s="1115"/>
      <c r="O7" s="582"/>
      <c r="Q7" s="599"/>
      <c r="R7" s="1106" t="s">
        <v>1945</v>
      </c>
      <c r="S7" s="1106"/>
      <c r="T7" s="1106"/>
      <c r="U7" s="1106"/>
      <c r="V7" s="600"/>
      <c r="X7" s="1119" t="s">
        <v>1129</v>
      </c>
      <c r="Y7" s="1120"/>
      <c r="Z7" s="1120"/>
      <c r="AA7" s="1120"/>
      <c r="AB7" s="1120"/>
      <c r="AC7" s="1121"/>
      <c r="AE7" s="222"/>
      <c r="AF7" s="1105" t="s">
        <v>1058</v>
      </c>
      <c r="AG7" s="1105"/>
      <c r="AH7" s="1105"/>
      <c r="AI7" s="1105"/>
      <c r="AJ7" s="483"/>
    </row>
    <row r="8" spans="2:36" ht="12.6" customHeight="1" x14ac:dyDescent="0.25">
      <c r="B8" s="222"/>
      <c r="C8" s="281"/>
      <c r="D8" s="281"/>
      <c r="E8" s="281"/>
      <c r="F8" s="281"/>
      <c r="G8" s="281"/>
      <c r="H8" s="223"/>
      <c r="J8" s="581"/>
      <c r="K8" s="583"/>
      <c r="L8" s="583"/>
      <c r="M8" s="583"/>
      <c r="N8" s="583"/>
      <c r="O8" s="582"/>
      <c r="Q8" s="599"/>
      <c r="R8" s="601"/>
      <c r="S8" s="601"/>
      <c r="T8" s="601"/>
      <c r="U8" s="601"/>
      <c r="V8" s="600"/>
      <c r="X8" s="1119"/>
      <c r="Y8" s="1120"/>
      <c r="Z8" s="1120"/>
      <c r="AA8" s="1120"/>
      <c r="AB8" s="1120"/>
      <c r="AC8" s="1121"/>
      <c r="AE8" s="222"/>
      <c r="AF8" s="403"/>
      <c r="AG8" s="403"/>
      <c r="AH8" s="403"/>
      <c r="AI8" s="403"/>
      <c r="AJ8" s="404"/>
    </row>
    <row r="9" spans="2:36" ht="12.6" customHeight="1" x14ac:dyDescent="0.2">
      <c r="B9" s="222"/>
      <c r="C9" s="92" t="s">
        <v>965</v>
      </c>
      <c r="D9" s="92"/>
      <c r="E9" s="1113"/>
      <c r="F9" s="1113"/>
      <c r="G9" s="1113"/>
      <c r="H9" s="223"/>
      <c r="J9" s="581"/>
      <c r="K9" s="1076" t="s">
        <v>816</v>
      </c>
      <c r="L9" s="1081"/>
      <c r="M9" s="1081"/>
      <c r="N9" s="1077"/>
      <c r="O9" s="582"/>
      <c r="Q9" s="599"/>
      <c r="R9" s="1076" t="s">
        <v>1000</v>
      </c>
      <c r="S9" s="1081"/>
      <c r="T9" s="1081"/>
      <c r="U9" s="1077"/>
      <c r="V9" s="600"/>
      <c r="X9" s="1119"/>
      <c r="Y9" s="1120"/>
      <c r="Z9" s="1120"/>
      <c r="AA9" s="1120"/>
      <c r="AB9" s="1120"/>
      <c r="AC9" s="1121"/>
      <c r="AE9" s="405"/>
      <c r="AF9" s="1070" t="s">
        <v>1057</v>
      </c>
      <c r="AG9" s="1071"/>
      <c r="AH9" s="1071"/>
      <c r="AI9" s="1072"/>
      <c r="AJ9" s="404"/>
    </row>
    <row r="10" spans="2:36" ht="12.6" customHeight="1" x14ac:dyDescent="0.25">
      <c r="B10" s="222"/>
      <c r="C10" s="281"/>
      <c r="D10" s="281"/>
      <c r="E10" s="281"/>
      <c r="F10" s="281"/>
      <c r="G10" s="281"/>
      <c r="H10" s="223"/>
      <c r="J10" s="581"/>
      <c r="K10" s="1078"/>
      <c r="L10" s="1082"/>
      <c r="M10" s="1082"/>
      <c r="N10" s="1079"/>
      <c r="O10" s="582"/>
      <c r="Q10" s="599"/>
      <c r="R10" s="1078"/>
      <c r="S10" s="1082"/>
      <c r="T10" s="1082"/>
      <c r="U10" s="1079"/>
      <c r="V10" s="600"/>
      <c r="X10" s="384"/>
      <c r="Y10" s="1076" t="s">
        <v>1000</v>
      </c>
      <c r="Z10" s="1081"/>
      <c r="AA10" s="1081"/>
      <c r="AB10" s="1077"/>
      <c r="AC10" s="385"/>
      <c r="AE10" s="405"/>
      <c r="AF10" s="1073"/>
      <c r="AG10" s="1074"/>
      <c r="AH10" s="1074"/>
      <c r="AI10" s="1075"/>
      <c r="AJ10" s="223"/>
    </row>
    <row r="11" spans="2:36" ht="12.6" customHeight="1" x14ac:dyDescent="0.2">
      <c r="B11" s="222"/>
      <c r="C11" s="92" t="s">
        <v>964</v>
      </c>
      <c r="D11" s="92"/>
      <c r="E11" s="1113"/>
      <c r="F11" s="1113"/>
      <c r="G11" s="1113"/>
      <c r="H11" s="223"/>
      <c r="I11" s="92"/>
      <c r="J11" s="581"/>
      <c r="K11" s="583"/>
      <c r="L11" s="583"/>
      <c r="M11" s="583"/>
      <c r="N11" s="583"/>
      <c r="O11" s="582"/>
      <c r="Q11" s="599"/>
      <c r="R11" s="601"/>
      <c r="S11" s="601"/>
      <c r="T11" s="601"/>
      <c r="U11" s="601"/>
      <c r="V11" s="600"/>
      <c r="X11" s="384"/>
      <c r="Y11" s="1078"/>
      <c r="Z11" s="1082"/>
      <c r="AA11" s="1082"/>
      <c r="AB11" s="1079"/>
      <c r="AC11" s="385"/>
      <c r="AE11" s="406"/>
      <c r="AF11" s="407"/>
      <c r="AG11" s="407"/>
      <c r="AH11" s="407"/>
      <c r="AI11" s="227"/>
      <c r="AJ11" s="228"/>
    </row>
    <row r="12" spans="2:36" ht="12.6" customHeight="1" x14ac:dyDescent="0.25">
      <c r="B12" s="222"/>
      <c r="C12" s="92"/>
      <c r="D12" s="92"/>
      <c r="E12" s="92"/>
      <c r="F12" s="92"/>
      <c r="G12" s="92"/>
      <c r="H12" s="223"/>
      <c r="I12" s="281"/>
      <c r="J12" s="581"/>
      <c r="K12" s="1076" t="s">
        <v>1001</v>
      </c>
      <c r="L12" s="1081"/>
      <c r="M12" s="1081"/>
      <c r="N12" s="1077"/>
      <c r="O12" s="582"/>
      <c r="Q12" s="599"/>
      <c r="R12" s="1076" t="s">
        <v>1001</v>
      </c>
      <c r="S12" s="1081"/>
      <c r="T12" s="1081"/>
      <c r="U12" s="1077"/>
      <c r="V12" s="600"/>
      <c r="X12" s="384"/>
      <c r="Y12" s="723"/>
      <c r="Z12" s="723"/>
      <c r="AA12" s="723"/>
      <c r="AB12" s="723"/>
      <c r="AC12" s="385"/>
    </row>
    <row r="13" spans="2:36" ht="12.6" customHeight="1" x14ac:dyDescent="0.2">
      <c r="B13" s="222"/>
      <c r="C13" s="92" t="s">
        <v>967</v>
      </c>
      <c r="D13" s="92"/>
      <c r="E13" s="1107"/>
      <c r="F13" s="1107"/>
      <c r="G13" s="92"/>
      <c r="H13" s="223"/>
      <c r="I13" s="92"/>
      <c r="J13" s="581"/>
      <c r="K13" s="1078"/>
      <c r="L13" s="1082"/>
      <c r="M13" s="1082"/>
      <c r="N13" s="1079"/>
      <c r="O13" s="582"/>
      <c r="Q13" s="599"/>
      <c r="R13" s="1078"/>
      <c r="S13" s="1082"/>
      <c r="T13" s="1082"/>
      <c r="U13" s="1079"/>
      <c r="V13" s="600"/>
      <c r="W13" s="92"/>
      <c r="X13" s="384"/>
      <c r="Y13" s="1076" t="s">
        <v>1002</v>
      </c>
      <c r="Z13" s="1081"/>
      <c r="AA13" s="1081"/>
      <c r="AB13" s="1077"/>
      <c r="AC13" s="385"/>
      <c r="AE13" s="1083" t="s">
        <v>1178</v>
      </c>
      <c r="AF13" s="1084"/>
      <c r="AG13" s="1084"/>
      <c r="AH13" s="1084"/>
      <c r="AI13" s="1084"/>
      <c r="AJ13" s="1085"/>
    </row>
    <row r="14" spans="2:36" ht="12.6" customHeight="1" x14ac:dyDescent="0.2">
      <c r="B14" s="222"/>
      <c r="C14" s="92"/>
      <c r="D14" s="92"/>
      <c r="E14" s="92"/>
      <c r="F14" s="92"/>
      <c r="G14" s="92"/>
      <c r="H14" s="223"/>
      <c r="I14" s="92"/>
      <c r="J14" s="581"/>
      <c r="K14" s="583"/>
      <c r="L14" s="583"/>
      <c r="M14" s="583"/>
      <c r="N14" s="583"/>
      <c r="O14" s="582"/>
      <c r="Q14" s="599"/>
      <c r="R14" s="601"/>
      <c r="S14" s="601"/>
      <c r="T14" s="601"/>
      <c r="U14" s="601"/>
      <c r="V14" s="600"/>
      <c r="W14" s="92"/>
      <c r="X14" s="384"/>
      <c r="Y14" s="1078"/>
      <c r="Z14" s="1082"/>
      <c r="AA14" s="1082"/>
      <c r="AB14" s="1079"/>
      <c r="AC14" s="385"/>
      <c r="AE14" s="1086"/>
      <c r="AF14" s="1087"/>
      <c r="AG14" s="1087"/>
      <c r="AH14" s="1087"/>
      <c r="AI14" s="1087"/>
      <c r="AJ14" s="1088"/>
    </row>
    <row r="15" spans="2:36" ht="12.6" customHeight="1" x14ac:dyDescent="0.2">
      <c r="B15" s="222"/>
      <c r="C15" s="92" t="s">
        <v>756</v>
      </c>
      <c r="D15" s="92"/>
      <c r="E15" s="1114"/>
      <c r="F15" s="1114"/>
      <c r="G15" s="1114"/>
      <c r="H15" s="223"/>
      <c r="I15" s="92"/>
      <c r="J15" s="584"/>
      <c r="K15" s="585"/>
      <c r="L15" s="585"/>
      <c r="M15" s="585"/>
      <c r="N15" s="585"/>
      <c r="O15" s="586"/>
      <c r="Q15" s="602"/>
      <c r="R15" s="603"/>
      <c r="S15" s="603"/>
      <c r="T15" s="603"/>
      <c r="U15" s="603"/>
      <c r="V15" s="604"/>
      <c r="W15" s="92"/>
      <c r="X15" s="384"/>
      <c r="Y15" s="723"/>
      <c r="Z15" s="723"/>
      <c r="AA15" s="723"/>
      <c r="AB15" s="723"/>
      <c r="AC15" s="385"/>
      <c r="AE15" s="1086"/>
      <c r="AF15" s="1087"/>
      <c r="AG15" s="1087"/>
      <c r="AH15" s="1087"/>
      <c r="AI15" s="1087"/>
      <c r="AJ15" s="1088"/>
    </row>
    <row r="16" spans="2:36" ht="12.6" customHeight="1" x14ac:dyDescent="0.2">
      <c r="B16" s="224"/>
      <c r="C16" s="92"/>
      <c r="D16" s="92"/>
      <c r="E16" s="92"/>
      <c r="F16" s="92"/>
      <c r="G16" s="92"/>
      <c r="H16" s="225"/>
      <c r="I16" s="92"/>
      <c r="J16" s="92"/>
      <c r="K16" s="92"/>
      <c r="L16" s="92"/>
      <c r="M16" s="92"/>
      <c r="N16" s="92"/>
      <c r="O16" s="92"/>
      <c r="X16" s="384"/>
      <c r="Y16" s="1076" t="s">
        <v>1080</v>
      </c>
      <c r="Z16" s="1081"/>
      <c r="AA16" s="1081"/>
      <c r="AB16" s="1077"/>
      <c r="AC16" s="385"/>
      <c r="AE16" s="1086"/>
      <c r="AF16" s="1087"/>
      <c r="AG16" s="1087"/>
      <c r="AH16" s="1087"/>
      <c r="AI16" s="1087"/>
      <c r="AJ16" s="1088"/>
    </row>
    <row r="17" spans="2:36" ht="12.6" customHeight="1" x14ac:dyDescent="0.2">
      <c r="B17" s="224"/>
      <c r="C17" s="92" t="s">
        <v>757</v>
      </c>
      <c r="D17" s="92"/>
      <c r="E17" s="1107"/>
      <c r="F17" s="1107"/>
      <c r="G17" s="1107"/>
      <c r="H17" s="225"/>
      <c r="I17" s="92"/>
      <c r="J17" s="587"/>
      <c r="K17" s="588"/>
      <c r="L17" s="588"/>
      <c r="M17" s="588"/>
      <c r="N17" s="588"/>
      <c r="O17" s="589"/>
      <c r="Q17" s="605"/>
      <c r="R17" s="1101" t="s">
        <v>2005</v>
      </c>
      <c r="S17" s="1102"/>
      <c r="T17" s="1102"/>
      <c r="U17" s="1102"/>
      <c r="V17" s="606"/>
      <c r="X17" s="384"/>
      <c r="Y17" s="1078"/>
      <c r="Z17" s="1082"/>
      <c r="AA17" s="1082"/>
      <c r="AB17" s="1079"/>
      <c r="AC17" s="385"/>
      <c r="AE17" s="1086"/>
      <c r="AF17" s="1087"/>
      <c r="AG17" s="1087"/>
      <c r="AH17" s="1087"/>
      <c r="AI17" s="1087"/>
      <c r="AJ17" s="1088"/>
    </row>
    <row r="18" spans="2:36" ht="12.6" customHeight="1" x14ac:dyDescent="0.2">
      <c r="B18" s="224"/>
      <c r="C18" s="92"/>
      <c r="D18" s="92"/>
      <c r="E18" s="92"/>
      <c r="F18" s="92"/>
      <c r="G18" s="92"/>
      <c r="H18" s="225"/>
      <c r="I18" s="92"/>
      <c r="J18" s="590"/>
      <c r="K18" s="1109" t="s">
        <v>812</v>
      </c>
      <c r="L18" s="1109"/>
      <c r="M18" s="1109"/>
      <c r="N18" s="1109"/>
      <c r="O18" s="591"/>
      <c r="Q18" s="607"/>
      <c r="R18" s="1103"/>
      <c r="S18" s="1103"/>
      <c r="T18" s="1103"/>
      <c r="U18" s="1103"/>
      <c r="V18" s="608"/>
      <c r="X18" s="384"/>
      <c r="Y18" s="723"/>
      <c r="Z18" s="723"/>
      <c r="AA18" s="723"/>
      <c r="AB18" s="723"/>
      <c r="AC18" s="385"/>
      <c r="AE18" s="1089"/>
      <c r="AF18" s="1090"/>
      <c r="AG18" s="1090"/>
      <c r="AH18" s="1090"/>
      <c r="AI18" s="1090"/>
      <c r="AJ18" s="1091"/>
    </row>
    <row r="19" spans="2:36" ht="12.6" customHeight="1" x14ac:dyDescent="0.2">
      <c r="B19" s="224"/>
      <c r="C19" s="92" t="s">
        <v>760</v>
      </c>
      <c r="D19" s="92"/>
      <c r="E19" s="1108"/>
      <c r="F19" s="1108"/>
      <c r="G19" s="92"/>
      <c r="H19" s="225"/>
      <c r="I19" s="92"/>
      <c r="J19" s="590"/>
      <c r="K19" s="592"/>
      <c r="L19" s="592"/>
      <c r="M19" s="592"/>
      <c r="N19" s="592"/>
      <c r="O19" s="591"/>
      <c r="Q19" s="607"/>
      <c r="R19" s="1104"/>
      <c r="S19" s="1104"/>
      <c r="T19" s="1104"/>
      <c r="U19" s="1104"/>
      <c r="V19" s="608"/>
      <c r="X19" s="384"/>
      <c r="Y19" s="1060" t="s">
        <v>2006</v>
      </c>
      <c r="Z19" s="1061"/>
      <c r="AA19" s="1061"/>
      <c r="AB19" s="1062"/>
      <c r="AC19" s="385"/>
    </row>
    <row r="20" spans="2:36" ht="12.6" customHeight="1" x14ac:dyDescent="0.2">
      <c r="B20" s="224"/>
      <c r="C20" s="92"/>
      <c r="D20" s="92"/>
      <c r="E20" s="92"/>
      <c r="F20" s="92"/>
      <c r="G20" s="92"/>
      <c r="H20" s="225"/>
      <c r="I20" s="92"/>
      <c r="J20" s="590"/>
      <c r="K20" s="1076" t="s">
        <v>1000</v>
      </c>
      <c r="L20" s="1081"/>
      <c r="M20" s="1081"/>
      <c r="N20" s="1077"/>
      <c r="O20" s="591"/>
      <c r="Q20" s="607"/>
      <c r="R20" s="1076" t="s">
        <v>1000</v>
      </c>
      <c r="S20" s="1081"/>
      <c r="T20" s="1081"/>
      <c r="U20" s="1077"/>
      <c r="V20" s="608"/>
      <c r="X20" s="384"/>
      <c r="Y20" s="1066"/>
      <c r="Z20" s="1067"/>
      <c r="AA20" s="1067"/>
      <c r="AB20" s="1068"/>
      <c r="AC20" s="385"/>
      <c r="AE20" s="1092" t="s">
        <v>1188</v>
      </c>
      <c r="AF20" s="1093"/>
      <c r="AG20" s="1093"/>
      <c r="AH20" s="1093"/>
      <c r="AI20" s="1093"/>
      <c r="AJ20" s="1094"/>
    </row>
    <row r="21" spans="2:36" ht="12.6" customHeight="1" x14ac:dyDescent="0.2">
      <c r="B21" s="226"/>
      <c r="C21" s="227"/>
      <c r="D21" s="227"/>
      <c r="E21" s="227"/>
      <c r="F21" s="227"/>
      <c r="G21" s="227"/>
      <c r="H21" s="228"/>
      <c r="I21" s="282"/>
      <c r="J21" s="590"/>
      <c r="K21" s="1078"/>
      <c r="L21" s="1082"/>
      <c r="M21" s="1082"/>
      <c r="N21" s="1079"/>
      <c r="O21" s="591"/>
      <c r="Q21" s="607"/>
      <c r="R21" s="1078"/>
      <c r="S21" s="1082"/>
      <c r="T21" s="1082"/>
      <c r="U21" s="1079"/>
      <c r="V21" s="608"/>
      <c r="X21" s="384"/>
      <c r="Y21" s="386"/>
      <c r="Z21" s="386"/>
      <c r="AA21" s="386"/>
      <c r="AB21" s="386"/>
      <c r="AC21" s="385"/>
      <c r="AE21" s="1095"/>
      <c r="AF21" s="1096"/>
      <c r="AG21" s="1096"/>
      <c r="AH21" s="1096"/>
      <c r="AI21" s="1096"/>
      <c r="AJ21" s="1097"/>
    </row>
    <row r="22" spans="2:36" ht="12.6" customHeight="1" x14ac:dyDescent="0.2">
      <c r="B22" s="229"/>
      <c r="H22" s="229"/>
      <c r="I22" s="282"/>
      <c r="J22" s="590"/>
      <c r="K22" s="592"/>
      <c r="L22" s="592"/>
      <c r="M22" s="592"/>
      <c r="N22" s="592"/>
      <c r="O22" s="591"/>
      <c r="Q22" s="609"/>
      <c r="R22" s="610"/>
      <c r="S22" s="610"/>
      <c r="T22" s="610"/>
      <c r="U22" s="610"/>
      <c r="V22" s="611"/>
      <c r="X22" s="387"/>
      <c r="Y22" s="388"/>
      <c r="Z22" s="388"/>
      <c r="AA22" s="388"/>
      <c r="AB22" s="388"/>
      <c r="AC22" s="389"/>
      <c r="AE22" s="1095"/>
      <c r="AF22" s="1096"/>
      <c r="AG22" s="1096"/>
      <c r="AH22" s="1096"/>
      <c r="AI22" s="1096"/>
      <c r="AJ22" s="1097"/>
    </row>
    <row r="23" spans="2:36" ht="12.6" customHeight="1" x14ac:dyDescent="0.2">
      <c r="B23" s="529"/>
      <c r="C23" s="530"/>
      <c r="D23" s="530"/>
      <c r="E23" s="530"/>
      <c r="F23" s="530"/>
      <c r="G23" s="530"/>
      <c r="H23" s="531"/>
      <c r="I23" s="282"/>
      <c r="J23" s="590"/>
      <c r="K23" s="1076" t="s">
        <v>1001</v>
      </c>
      <c r="L23" s="1081"/>
      <c r="M23" s="1081"/>
      <c r="N23" s="1077"/>
      <c r="O23" s="591"/>
      <c r="Q23" s="92"/>
      <c r="R23" s="92"/>
      <c r="S23" s="92"/>
      <c r="T23" s="92"/>
      <c r="U23" s="92"/>
      <c r="V23" s="92"/>
      <c r="AE23" s="1095"/>
      <c r="AF23" s="1096"/>
      <c r="AG23" s="1096"/>
      <c r="AH23" s="1096"/>
      <c r="AI23" s="1096"/>
      <c r="AJ23" s="1097"/>
    </row>
    <row r="24" spans="2:36" ht="12.6" customHeight="1" x14ac:dyDescent="0.2">
      <c r="B24" s="532"/>
      <c r="C24" s="1080" t="s">
        <v>1214</v>
      </c>
      <c r="D24" s="1080"/>
      <c r="E24" s="1080"/>
      <c r="F24" s="1080"/>
      <c r="G24" s="1080"/>
      <c r="H24" s="533"/>
      <c r="I24" s="282"/>
      <c r="J24" s="590"/>
      <c r="K24" s="1078"/>
      <c r="L24" s="1082"/>
      <c r="M24" s="1082"/>
      <c r="N24" s="1079"/>
      <c r="O24" s="591"/>
      <c r="Q24" s="951"/>
      <c r="R24" s="1122" t="s">
        <v>2019</v>
      </c>
      <c r="S24" s="1123"/>
      <c r="T24" s="1123"/>
      <c r="U24" s="1123"/>
      <c r="V24" s="952"/>
      <c r="AE24" s="1095"/>
      <c r="AF24" s="1096"/>
      <c r="AG24" s="1096"/>
      <c r="AH24" s="1096"/>
      <c r="AI24" s="1096"/>
      <c r="AJ24" s="1097"/>
    </row>
    <row r="25" spans="2:36" ht="12.6" customHeight="1" x14ac:dyDescent="0.2">
      <c r="B25" s="532"/>
      <c r="C25" s="534"/>
      <c r="D25" s="534"/>
      <c r="E25" s="534"/>
      <c r="F25" s="534"/>
      <c r="G25" s="534"/>
      <c r="H25" s="533"/>
      <c r="I25" s="282"/>
      <c r="J25" s="590"/>
      <c r="K25" s="592"/>
      <c r="L25" s="592"/>
      <c r="M25" s="592"/>
      <c r="N25" s="592"/>
      <c r="O25" s="591"/>
      <c r="Q25" s="953"/>
      <c r="R25" s="1124"/>
      <c r="S25" s="1124"/>
      <c r="T25" s="1124"/>
      <c r="U25" s="1124"/>
      <c r="V25" s="954"/>
      <c r="AE25" s="1098"/>
      <c r="AF25" s="1099"/>
      <c r="AG25" s="1099"/>
      <c r="AH25" s="1099"/>
      <c r="AI25" s="1099"/>
      <c r="AJ25" s="1100"/>
    </row>
    <row r="26" spans="2:36" ht="12.6" customHeight="1" x14ac:dyDescent="0.2">
      <c r="B26" s="532"/>
      <c r="C26" s="1076" t="s">
        <v>1067</v>
      </c>
      <c r="D26" s="1077"/>
      <c r="E26" s="534"/>
      <c r="F26" s="1076" t="s">
        <v>811</v>
      </c>
      <c r="G26" s="1077"/>
      <c r="H26" s="533"/>
      <c r="I26" s="92"/>
      <c r="J26" s="593"/>
      <c r="K26" s="594"/>
      <c r="L26" s="594"/>
      <c r="M26" s="594"/>
      <c r="N26" s="594"/>
      <c r="O26" s="595"/>
      <c r="Q26" s="953"/>
      <c r="R26" s="1124"/>
      <c r="S26" s="1124"/>
      <c r="T26" s="1124"/>
      <c r="U26" s="1124"/>
      <c r="V26" s="954"/>
    </row>
    <row r="27" spans="2:36" ht="12.6" customHeight="1" x14ac:dyDescent="0.2">
      <c r="B27" s="532"/>
      <c r="C27" s="1078"/>
      <c r="D27" s="1079"/>
      <c r="E27" s="534"/>
      <c r="F27" s="1078"/>
      <c r="G27" s="1079"/>
      <c r="H27" s="533"/>
      <c r="I27" s="229"/>
      <c r="Q27" s="953"/>
      <c r="R27" s="1125" t="s">
        <v>1000</v>
      </c>
      <c r="S27" s="1126"/>
      <c r="T27" s="1126"/>
      <c r="U27" s="1127"/>
      <c r="V27" s="954"/>
    </row>
    <row r="28" spans="2:36" ht="12.6" customHeight="1" x14ac:dyDescent="0.2">
      <c r="B28" s="532"/>
      <c r="C28" s="534"/>
      <c r="D28" s="534"/>
      <c r="E28" s="534"/>
      <c r="F28" s="534"/>
      <c r="G28" s="534"/>
      <c r="H28" s="533"/>
      <c r="I28" s="230"/>
      <c r="Q28" s="953"/>
      <c r="R28" s="1128"/>
      <c r="S28" s="1129"/>
      <c r="T28" s="1129"/>
      <c r="U28" s="1130"/>
      <c r="V28" s="954"/>
    </row>
    <row r="29" spans="2:36" ht="12.6" customHeight="1" x14ac:dyDescent="0.2">
      <c r="B29" s="532"/>
      <c r="C29" s="1060" t="s">
        <v>1003</v>
      </c>
      <c r="D29" s="1061"/>
      <c r="E29" s="1061"/>
      <c r="F29" s="1061"/>
      <c r="G29" s="1062"/>
      <c r="H29" s="533"/>
      <c r="I29" s="229"/>
      <c r="J29" s="219"/>
      <c r="K29" s="220"/>
      <c r="L29" s="220"/>
      <c r="M29" s="220"/>
      <c r="N29" s="220"/>
      <c r="O29" s="221"/>
      <c r="Q29" s="953"/>
      <c r="R29" s="980"/>
      <c r="S29" s="980"/>
      <c r="T29" s="980"/>
      <c r="U29" s="980"/>
      <c r="V29" s="954"/>
    </row>
    <row r="30" spans="2:36" ht="12.6" customHeight="1" x14ac:dyDescent="0.2">
      <c r="B30" s="532"/>
      <c r="C30" s="1063"/>
      <c r="D30" s="1064"/>
      <c r="E30" s="1064"/>
      <c r="F30" s="1064"/>
      <c r="G30" s="1065"/>
      <c r="H30" s="533"/>
      <c r="J30" s="1131" t="s">
        <v>1033</v>
      </c>
      <c r="K30" s="1105"/>
      <c r="L30" s="1105"/>
      <c r="M30" s="1105"/>
      <c r="N30" s="1105"/>
      <c r="O30" s="1132"/>
      <c r="Q30" s="953"/>
      <c r="R30" s="1125" t="s">
        <v>1001</v>
      </c>
      <c r="S30" s="1126"/>
      <c r="T30" s="1126"/>
      <c r="U30" s="1127"/>
      <c r="V30" s="954"/>
    </row>
    <row r="31" spans="2:36" ht="12.6" customHeight="1" x14ac:dyDescent="0.2">
      <c r="B31" s="532"/>
      <c r="C31" s="1066"/>
      <c r="D31" s="1067"/>
      <c r="E31" s="1067"/>
      <c r="F31" s="1067"/>
      <c r="G31" s="1068"/>
      <c r="H31" s="533"/>
      <c r="J31" s="222"/>
      <c r="K31" s="92"/>
      <c r="L31" s="92"/>
      <c r="M31" s="92"/>
      <c r="N31" s="92"/>
      <c r="O31" s="223"/>
      <c r="Q31" s="953"/>
      <c r="R31" s="1128"/>
      <c r="S31" s="1129"/>
      <c r="T31" s="1129"/>
      <c r="U31" s="1130"/>
      <c r="V31" s="954"/>
    </row>
    <row r="32" spans="2:36" ht="12.6" customHeight="1" x14ac:dyDescent="0.2">
      <c r="B32" s="532"/>
      <c r="C32" s="386"/>
      <c r="D32" s="386"/>
      <c r="E32" s="386"/>
      <c r="F32" s="386"/>
      <c r="G32" s="386"/>
      <c r="H32" s="533"/>
      <c r="I32" s="231"/>
      <c r="J32" s="222"/>
      <c r="K32" s="1070" t="s">
        <v>1002</v>
      </c>
      <c r="L32" s="1071"/>
      <c r="M32" s="1071"/>
      <c r="N32" s="1072"/>
      <c r="O32" s="223"/>
      <c r="Q32" s="955"/>
      <c r="R32" s="982"/>
      <c r="S32" s="982"/>
      <c r="T32" s="982"/>
      <c r="U32" s="982"/>
      <c r="V32" s="956"/>
    </row>
    <row r="33" spans="2:25" ht="12.6" customHeight="1" x14ac:dyDescent="0.2">
      <c r="B33" s="532"/>
      <c r="C33" s="1051" t="s">
        <v>1023</v>
      </c>
      <c r="D33" s="1052"/>
      <c r="E33" s="1052"/>
      <c r="F33" s="1052"/>
      <c r="G33" s="1053"/>
      <c r="H33" s="533"/>
      <c r="I33" s="231"/>
      <c r="J33" s="222"/>
      <c r="K33" s="1073"/>
      <c r="L33" s="1074"/>
      <c r="M33" s="1074"/>
      <c r="N33" s="1075"/>
      <c r="O33" s="223"/>
      <c r="Q33" s="92"/>
      <c r="R33" s="981"/>
      <c r="S33" s="981"/>
      <c r="T33" s="981"/>
      <c r="U33" s="981"/>
      <c r="V33" s="92"/>
    </row>
    <row r="34" spans="2:25" ht="12.6" customHeight="1" x14ac:dyDescent="0.2">
      <c r="B34" s="532"/>
      <c r="C34" s="1054"/>
      <c r="D34" s="1055"/>
      <c r="E34" s="1055"/>
      <c r="F34" s="1055"/>
      <c r="G34" s="1056"/>
      <c r="H34" s="533"/>
      <c r="I34" s="231"/>
      <c r="J34" s="222"/>
      <c r="K34" s="92"/>
      <c r="L34" s="92"/>
      <c r="M34" s="92"/>
      <c r="N34" s="92"/>
      <c r="O34" s="223"/>
      <c r="Q34" s="92"/>
      <c r="R34" s="91"/>
      <c r="S34" s="91"/>
      <c r="T34" s="91"/>
      <c r="U34" s="91"/>
      <c r="V34" s="92"/>
    </row>
    <row r="35" spans="2:25" ht="12.6" customHeight="1" x14ac:dyDescent="0.2">
      <c r="B35" s="532"/>
      <c r="C35" s="1057"/>
      <c r="D35" s="1058"/>
      <c r="E35" s="1058"/>
      <c r="F35" s="1058"/>
      <c r="G35" s="1059"/>
      <c r="H35" s="533"/>
      <c r="I35" s="231"/>
      <c r="J35" s="226"/>
      <c r="K35" s="227"/>
      <c r="L35" s="227"/>
      <c r="M35" s="227"/>
      <c r="N35" s="227"/>
      <c r="O35" s="228"/>
    </row>
    <row r="36" spans="2:25" ht="12.6" customHeight="1" x14ac:dyDescent="0.2">
      <c r="B36" s="532"/>
      <c r="C36" s="679"/>
      <c r="D36" s="679"/>
      <c r="E36" s="679"/>
      <c r="F36" s="679"/>
      <c r="G36" s="679"/>
      <c r="H36" s="533"/>
      <c r="X36" s="92"/>
      <c r="Y36" s="92"/>
    </row>
    <row r="37" spans="2:25" ht="12.6" customHeight="1" x14ac:dyDescent="0.2">
      <c r="B37" s="532"/>
      <c r="C37" s="1051" t="s">
        <v>1015</v>
      </c>
      <c r="D37" s="1052"/>
      <c r="E37" s="1052"/>
      <c r="F37" s="1052"/>
      <c r="G37" s="1053"/>
      <c r="H37" s="533"/>
    </row>
    <row r="38" spans="2:25" ht="12.6" customHeight="1" x14ac:dyDescent="0.2">
      <c r="B38" s="384"/>
      <c r="C38" s="1054"/>
      <c r="D38" s="1055"/>
      <c r="E38" s="1055"/>
      <c r="F38" s="1055"/>
      <c r="G38" s="1056"/>
      <c r="H38" s="385"/>
    </row>
    <row r="39" spans="2:25" ht="12.6" customHeight="1" x14ac:dyDescent="0.2">
      <c r="B39" s="384"/>
      <c r="C39" s="1057"/>
      <c r="D39" s="1058"/>
      <c r="E39" s="1058"/>
      <c r="F39" s="1058"/>
      <c r="G39" s="1059"/>
      <c r="H39" s="385"/>
      <c r="W39" s="92"/>
    </row>
    <row r="40" spans="2:25" ht="12.6" customHeight="1" x14ac:dyDescent="0.2">
      <c r="B40" s="387"/>
      <c r="C40" s="388"/>
      <c r="D40" s="388"/>
      <c r="E40" s="388"/>
      <c r="F40" s="388"/>
      <c r="G40" s="388"/>
      <c r="H40" s="389"/>
      <c r="W40" s="92"/>
    </row>
    <row r="41" spans="2:25" ht="12.6" customHeight="1" x14ac:dyDescent="0.2">
      <c r="W41" s="403"/>
    </row>
    <row r="42" spans="2:25" ht="12.6" customHeight="1" x14ac:dyDescent="0.2">
      <c r="W42" s="403"/>
    </row>
    <row r="43" spans="2:25" ht="12.75" customHeight="1" x14ac:dyDescent="0.2">
      <c r="B43" s="1069"/>
      <c r="C43" s="1069"/>
      <c r="D43" s="1069"/>
      <c r="E43" s="1069"/>
      <c r="F43" s="1069"/>
      <c r="G43" s="1069"/>
      <c r="W43" s="403"/>
    </row>
    <row r="44" spans="2:25" ht="12.75" customHeight="1" x14ac:dyDescent="0.2">
      <c r="B44" s="957"/>
      <c r="C44" s="957"/>
      <c r="D44" s="957"/>
      <c r="E44" s="957"/>
      <c r="F44" s="957"/>
      <c r="G44" s="957"/>
      <c r="J44" s="92"/>
      <c r="K44" s="1118"/>
      <c r="L44" s="1118"/>
      <c r="M44" s="1118"/>
      <c r="N44" s="1118"/>
      <c r="O44" s="92"/>
      <c r="W44" s="403"/>
    </row>
    <row r="45" spans="2:25" ht="12.75" customHeight="1" x14ac:dyDescent="0.2">
      <c r="B45" s="957"/>
      <c r="C45" s="957"/>
      <c r="D45" s="957"/>
      <c r="E45" s="957"/>
      <c r="F45" s="957"/>
      <c r="G45" s="957"/>
      <c r="J45" s="92"/>
      <c r="K45" s="1118"/>
      <c r="L45" s="1118"/>
      <c r="M45" s="1118"/>
      <c r="N45" s="1118"/>
      <c r="O45" s="92"/>
      <c r="W45" s="92"/>
    </row>
    <row r="46" spans="2:25" ht="12.75" customHeight="1" x14ac:dyDescent="0.2">
      <c r="B46" s="957"/>
      <c r="C46" s="957"/>
      <c r="D46" s="957"/>
      <c r="E46" s="957"/>
      <c r="F46" s="957"/>
      <c r="G46" s="957"/>
      <c r="J46" s="92"/>
      <c r="K46" s="958"/>
      <c r="L46" s="958"/>
      <c r="M46" s="958"/>
      <c r="N46" s="958"/>
      <c r="O46" s="92"/>
    </row>
    <row r="47" spans="2:25" x14ac:dyDescent="0.2">
      <c r="B47" s="92"/>
      <c r="C47" s="958"/>
      <c r="D47" s="958"/>
      <c r="E47" s="958"/>
      <c r="F47" s="958"/>
      <c r="G47" s="92"/>
      <c r="J47" s="92"/>
      <c r="K47" s="958"/>
      <c r="L47" s="958"/>
      <c r="M47" s="958"/>
      <c r="N47" s="958"/>
      <c r="O47" s="92"/>
    </row>
    <row r="48" spans="2:25" x14ac:dyDescent="0.2">
      <c r="B48" s="92"/>
      <c r="C48" s="958"/>
      <c r="D48" s="958"/>
      <c r="E48" s="958"/>
      <c r="F48" s="958"/>
      <c r="G48" s="92"/>
      <c r="J48" s="92"/>
      <c r="K48" s="950"/>
      <c r="L48" s="950"/>
      <c r="M48" s="950"/>
      <c r="N48" s="950"/>
      <c r="O48" s="92"/>
    </row>
    <row r="49" spans="2:15" x14ac:dyDescent="0.2">
      <c r="B49" s="92"/>
      <c r="C49" s="950"/>
      <c r="D49" s="950"/>
      <c r="E49" s="950"/>
      <c r="F49" s="950"/>
      <c r="G49" s="92"/>
      <c r="J49" s="92"/>
      <c r="K49" s="959"/>
      <c r="L49" s="959"/>
      <c r="M49" s="959"/>
      <c r="N49" s="959"/>
      <c r="O49" s="92"/>
    </row>
    <row r="50" spans="2:15" ht="12.75" customHeight="1" x14ac:dyDescent="0.2">
      <c r="B50" s="92"/>
      <c r="C50" s="958"/>
      <c r="D50" s="958"/>
      <c r="E50" s="958"/>
      <c r="F50" s="958"/>
      <c r="G50" s="92"/>
      <c r="J50" s="92"/>
      <c r="K50" s="959"/>
      <c r="L50" s="959"/>
      <c r="M50" s="959"/>
      <c r="N50" s="959"/>
      <c r="O50" s="92"/>
    </row>
    <row r="51" spans="2:15" ht="12.75" customHeight="1" x14ac:dyDescent="0.2">
      <c r="B51" s="92"/>
      <c r="C51" s="958"/>
      <c r="D51" s="958"/>
      <c r="E51" s="958"/>
      <c r="F51" s="958"/>
      <c r="G51" s="92"/>
      <c r="J51" s="92"/>
      <c r="K51" s="92"/>
      <c r="L51" s="92"/>
      <c r="M51" s="92"/>
      <c r="N51" s="92"/>
      <c r="O51" s="92"/>
    </row>
    <row r="52" spans="2:15" x14ac:dyDescent="0.2">
      <c r="B52" s="92"/>
      <c r="C52" s="950"/>
      <c r="D52" s="950"/>
      <c r="E52" s="950"/>
      <c r="F52" s="950"/>
      <c r="G52" s="92"/>
    </row>
    <row r="53" spans="2:15" ht="12.75" customHeight="1" x14ac:dyDescent="0.2">
      <c r="B53" s="92"/>
      <c r="C53" s="958"/>
      <c r="D53" s="958"/>
      <c r="E53" s="958"/>
      <c r="F53" s="958"/>
      <c r="G53" s="92"/>
    </row>
    <row r="54" spans="2:15" x14ac:dyDescent="0.2">
      <c r="B54" s="92"/>
      <c r="C54" s="958"/>
      <c r="D54" s="958"/>
      <c r="E54" s="958"/>
      <c r="F54" s="958"/>
      <c r="G54" s="92"/>
    </row>
    <row r="55" spans="2:15" x14ac:dyDescent="0.2">
      <c r="B55" s="92"/>
      <c r="C55" s="950"/>
      <c r="D55" s="950"/>
      <c r="E55" s="950"/>
      <c r="F55" s="950"/>
      <c r="G55" s="92"/>
    </row>
    <row r="56" spans="2:15" ht="12.75" customHeight="1" x14ac:dyDescent="0.2">
      <c r="B56" s="92"/>
      <c r="C56" s="959"/>
      <c r="D56" s="959"/>
      <c r="E56" s="959"/>
      <c r="F56" s="959"/>
      <c r="G56" s="92"/>
    </row>
    <row r="57" spans="2:15" x14ac:dyDescent="0.2">
      <c r="B57" s="92"/>
      <c r="C57" s="959"/>
      <c r="D57" s="959"/>
      <c r="E57" s="959"/>
      <c r="F57" s="959"/>
      <c r="G57" s="92"/>
    </row>
    <row r="58" spans="2:15" x14ac:dyDescent="0.2">
      <c r="B58" s="92"/>
      <c r="C58" s="92"/>
      <c r="D58" s="92"/>
      <c r="E58" s="92"/>
      <c r="F58" s="92"/>
      <c r="G58" s="92"/>
    </row>
    <row r="59" spans="2:15" x14ac:dyDescent="0.2">
      <c r="B59" s="92"/>
      <c r="C59" s="92"/>
      <c r="D59" s="92"/>
      <c r="E59" s="92"/>
      <c r="F59" s="92"/>
      <c r="G59" s="92"/>
    </row>
  </sheetData>
  <sheetProtection algorithmName="SHA-512" hashValue="B3G+w8PEDvLO46tFYXiacWh5KjTg40NY7wTgOE9L+/9rSSF6OPjQ3XrU3b6ZSCpIhr79xFulvctHzokAPwT+5Q==" saltValue="YCcnXB1ALsu4V3+kFERIig==" spinCount="100000" sheet="1" objects="1" scenarios="1"/>
  <mergeCells count="42">
    <mergeCell ref="J4:V4"/>
    <mergeCell ref="X4:AC4"/>
    <mergeCell ref="K44:N45"/>
    <mergeCell ref="X7:AC9"/>
    <mergeCell ref="Y10:AB11"/>
    <mergeCell ref="Y13:AB14"/>
    <mergeCell ref="R24:U26"/>
    <mergeCell ref="R27:U28"/>
    <mergeCell ref="J30:O30"/>
    <mergeCell ref="R30:U31"/>
    <mergeCell ref="E17:G17"/>
    <mergeCell ref="E19:F19"/>
    <mergeCell ref="K18:N18"/>
    <mergeCell ref="B7:H7"/>
    <mergeCell ref="E9:G9"/>
    <mergeCell ref="E11:G11"/>
    <mergeCell ref="E13:F13"/>
    <mergeCell ref="E15:G15"/>
    <mergeCell ref="K7:N7"/>
    <mergeCell ref="AE13:AJ18"/>
    <mergeCell ref="AE20:AJ25"/>
    <mergeCell ref="K12:N13"/>
    <mergeCell ref="R17:U19"/>
    <mergeCell ref="AF7:AI7"/>
    <mergeCell ref="AF9:AI10"/>
    <mergeCell ref="R9:U10"/>
    <mergeCell ref="R12:U13"/>
    <mergeCell ref="R7:U7"/>
    <mergeCell ref="K9:N10"/>
    <mergeCell ref="Y16:AB17"/>
    <mergeCell ref="Y19:AB20"/>
    <mergeCell ref="C26:D27"/>
    <mergeCell ref="F26:G27"/>
    <mergeCell ref="C24:G24"/>
    <mergeCell ref="R20:U21"/>
    <mergeCell ref="K23:N24"/>
    <mergeCell ref="K20:N21"/>
    <mergeCell ref="C33:G35"/>
    <mergeCell ref="C29:G31"/>
    <mergeCell ref="C37:G39"/>
    <mergeCell ref="B43:G43"/>
    <mergeCell ref="K32:N33"/>
  </mergeCells>
  <dataValidations count="2">
    <dataValidation type="list" allowBlank="1" showInputMessage="1" showErrorMessage="1" sqref="E13" xr:uid="{00000000-0002-0000-0100-000000000000}">
      <formula1>Anrede</formula1>
    </dataValidation>
    <dataValidation type="date" operator="greaterThan" allowBlank="1" showInputMessage="1" showErrorMessage="1" sqref="E19" xr:uid="{00000000-0002-0000-0100-000001000000}">
      <formula1>1</formula1>
    </dataValidation>
  </dataValidations>
  <hyperlinks>
    <hyperlink ref="K12" location="Anstellung!G10" display="Anstellung Unterrichtendes Personal" xr:uid="{00000000-0004-0000-0100-000000000000}"/>
    <hyperlink ref="K12:N13" location="'Externe Stv. KigaPrim'!G15" tooltip="Externe Stellvertretung" display="Externe Stellvertretung" xr:uid="{00000000-0004-0000-0100-000001000000}"/>
    <hyperlink ref="K20" location="Anstellung!G10" display="Anstellung Unterrichtendes Personal" xr:uid="{00000000-0004-0000-0100-000002000000}"/>
    <hyperlink ref="K23" location="Anstellung!G10" display="Anstellung Unterrichtendes Personal" xr:uid="{00000000-0004-0000-0100-000003000000}"/>
    <hyperlink ref="K20:N21" location="'Anstellung MS'!G15" tooltip="Formular Anstellung unterrichtendes Personal" display="Anstellung " xr:uid="{00000000-0004-0000-0100-000004000000}"/>
    <hyperlink ref="K23:N24" location="'Externe Stv. MS'!G15" tooltip="Externe Stellvertretung" display="Externe Stellvertretung" xr:uid="{00000000-0004-0000-0100-000005000000}"/>
    <hyperlink ref="R9" location="Anstellung!G10" display="Anstellung Unterrichtendes Personal" xr:uid="{00000000-0004-0000-0100-000006000000}"/>
    <hyperlink ref="R12" location="Anstellung!G10" display="Anstellung Unterrichtendes Personal" xr:uid="{00000000-0004-0000-0100-000007000000}"/>
    <hyperlink ref="R12:U13" location="'Externe Stv. KPTF'!G15" tooltip="Externe Stellvertretung" display="Externe Stellvertretung" xr:uid="{00000000-0004-0000-0100-000008000000}"/>
    <hyperlink ref="R20" location="Anstellung!G10" display="Anstellung Unterrichtendes Personal" xr:uid="{00000000-0004-0000-0100-000009000000}"/>
    <hyperlink ref="R20:U21" location="'Anstellung BFS'!G15" tooltip="Formular Anstellung unterrichtendes Personal" display="Anstellung " xr:uid="{00000000-0004-0000-0100-00000A000000}"/>
    <hyperlink ref="AF9:AG10" location="Druckeinstellungen!A1" display="Druckeinstellungen" xr:uid="{00000000-0004-0000-0100-00000B000000}"/>
    <hyperlink ref="C29:D30" location="Lohnrechner!A1" display="Lohnrechner" xr:uid="{00000000-0004-0000-0100-00000C000000}"/>
    <hyperlink ref="C33:D34" location="Lohnrechner!A1" display="Lohnrechner" xr:uid="{00000000-0004-0000-0100-00000D000000}"/>
    <hyperlink ref="C26:D27" location="Lohnrechner!J15" display="Lohnrechner" xr:uid="{00000000-0004-0000-0100-00000E000000}"/>
    <hyperlink ref="K9" location="Anstellung!G10" display="Anstellung Unterrichtendes Personal" xr:uid="{00000000-0004-0000-0100-00000F000000}"/>
    <hyperlink ref="K9:N10" location="'Anstellung KigaPrim'!G15" tooltip="Externe Stellvertretung" display="Anstellung" xr:uid="{00000000-0004-0000-0100-000010000000}"/>
    <hyperlink ref="C29:G31" location="'Wechsel max. 1 LB'!O12" display="Wechsel von maximal einem Lohnband innerhalb gleicher Funktionskette" xr:uid="{00000000-0004-0000-0100-000011000000}"/>
    <hyperlink ref="C33:G35" location="'Wechsel gleiche Ausb. Anf.'!O12" display="Funktionswechsel bei gleicher Ausbildungsanforderung" xr:uid="{00000000-0004-0000-0100-000012000000}"/>
    <hyperlink ref="R9:U10" location="'Anstellung KPTF'!G15" tooltip="Formular Anstellung unterrichtendes Personal" display="Anstellung " xr:uid="{00000000-0004-0000-0100-000013000000}"/>
    <hyperlink ref="R27" location="Anstellung!G10" display="Anstellung Unterrichtendes Personal" xr:uid="{00000000-0004-0000-0100-000014000000}"/>
    <hyperlink ref="R27:U28" location="'Anstellung Sek I_Gym'!G15" tooltip="Formular Anstellung unterrichtendes Personal" display="Anstellung " xr:uid="{00000000-0004-0000-0100-000015000000}"/>
    <hyperlink ref="K32" location="Anstellung!G10" display="Anstellung Unterrichtendes Personal" xr:uid="{00000000-0004-0000-0100-000016000000}"/>
    <hyperlink ref="K32:N33" location="'UP Vertragsaenderung'!F9" tooltip="Vertragsänderung" display="Vertragsänderung" xr:uid="{00000000-0004-0000-0100-000017000000}"/>
    <hyperlink ref="Y10" location="Anstellung!G10" display="Anstellung Unterrichtendes Personal" xr:uid="{00000000-0004-0000-0100-000018000000}"/>
    <hyperlink ref="Y13" location="Anstellung!G10" display="Anstellung Unterrichtendes Personal" xr:uid="{00000000-0004-0000-0100-000019000000}"/>
    <hyperlink ref="Y16" location="Anstellung!G10" display="Anstellung Unterrichtendes Personal" xr:uid="{00000000-0004-0000-0100-00001A000000}"/>
    <hyperlink ref="Y16:AB17" location="'VP Zusätzlicher Vertrag'!F16" tooltip="Zusätzlicher Vertrag / Folgevertrag" display="Zusätzlicher Vertrag" xr:uid="{00000000-0004-0000-0100-00001B000000}"/>
    <hyperlink ref="Y13:AB14" location="'VP Vertragsaenderung'!F10" tooltip="Vertragsänderung" display="Vertragsänderung" xr:uid="{00000000-0004-0000-0100-00001C000000}"/>
    <hyperlink ref="Y10:AB11" location="'VP Anstellung'!G16" tooltip="Anstellung " display="Anstellung " xr:uid="{00000000-0004-0000-0100-00001D000000}"/>
    <hyperlink ref="F26:G27" location="Lohnberechnung!E6" display="Lohnberechnung" xr:uid="{00000000-0004-0000-0100-00001E000000}"/>
    <hyperlink ref="R30" location="Anstellung!G10" display="Anstellung Unterrichtendes Personal" xr:uid="{00000000-0004-0000-0100-00001F000000}"/>
    <hyperlink ref="R30:U31" location="'Externe Stv. Sek I_Gym'!G15" display="Externe Stellvertretung" xr:uid="{00000000-0004-0000-0100-000020000000}"/>
    <hyperlink ref="C37:D38" location="Lohnrechner!A1" display="Lohnrechner" xr:uid="{00000000-0004-0000-0100-000021000000}"/>
    <hyperlink ref="C37:G39" location="'Wechsel anspruchsvollere Fkt.'!O12" display="'Wechsel anspruchsvollere Fkt.'!O12" xr:uid="{00000000-0004-0000-0100-000022000000}"/>
    <hyperlink ref="Y19" location="Anstellung!G10" display="Anstellung Unterrichtendes Personal" xr:uid="{00000000-0004-0000-0100-000023000000}"/>
    <hyperlink ref="Y19:AB20" location="Pensenberechnung!J15" tooltip="Zusätzlicher Vertrag / Folgevertrag" display="Pensenberechnung!J15" xr:uid="{00000000-0004-0000-0100-000024000000}"/>
  </hyperlinks>
  <pageMargins left="0.7" right="0.7" top="0.78740157499999996" bottom="0.78740157499999996"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12">
    <pageSetUpPr fitToPage="1"/>
  </sheetPr>
  <dimension ref="A1:S103"/>
  <sheetViews>
    <sheetView showGridLines="0" zoomScaleNormal="100" workbookViewId="0">
      <selection activeCell="F5" sqref="F5"/>
    </sheetView>
  </sheetViews>
  <sheetFormatPr baseColWidth="10" defaultColWidth="11.42578125" defaultRowHeight="12.75" x14ac:dyDescent="0.2"/>
  <cols>
    <col min="1" max="1" width="3" style="102" customWidth="1"/>
    <col min="2" max="2" width="6.5703125" style="102" customWidth="1"/>
    <col min="3" max="3" width="3" style="102" customWidth="1"/>
    <col min="4" max="4" width="13" style="102" customWidth="1"/>
    <col min="5" max="5" width="35.5703125" style="102" customWidth="1"/>
    <col min="6" max="6" width="16.5703125" style="102" customWidth="1"/>
    <col min="7" max="7" width="6.5703125" style="102" customWidth="1"/>
    <col min="8" max="8" width="3.5703125" style="102" customWidth="1"/>
    <col min="9" max="9" width="9.5703125" style="135" bestFit="1" customWidth="1"/>
    <col min="10" max="10" width="8.140625" style="136" bestFit="1" customWidth="1"/>
    <col min="11" max="11" width="8.7109375" style="194" customWidth="1"/>
    <col min="12" max="12" width="5.5703125" style="102" customWidth="1"/>
    <col min="13" max="13" width="3.7109375" style="810" customWidth="1"/>
    <col min="14" max="14" width="5.5703125" style="102" customWidth="1"/>
    <col min="15" max="15" width="9.5703125" style="102" customWidth="1"/>
    <col min="16" max="16" width="71.42578125" style="102" customWidth="1"/>
    <col min="17" max="17" width="11.42578125" style="811" hidden="1" customWidth="1"/>
    <col min="18" max="18" width="12.140625" style="120" hidden="1" customWidth="1"/>
    <col min="19" max="19" width="19" style="120" customWidth="1"/>
    <col min="20" max="16384" width="11.42578125" style="102"/>
  </cols>
  <sheetData>
    <row r="1" spans="1:19" ht="13.9" customHeight="1" x14ac:dyDescent="0.25">
      <c r="F1" s="106"/>
      <c r="G1" s="107"/>
      <c r="H1" s="100"/>
      <c r="I1" s="108"/>
      <c r="J1" s="108"/>
      <c r="K1" s="108"/>
      <c r="L1" s="100"/>
      <c r="M1" s="831"/>
      <c r="N1" s="2" t="s">
        <v>343</v>
      </c>
    </row>
    <row r="2" spans="1:19" ht="13.9" customHeight="1" x14ac:dyDescent="0.2">
      <c r="F2" s="109"/>
      <c r="G2" s="110"/>
      <c r="H2" s="100"/>
      <c r="I2" s="108"/>
      <c r="J2" s="108"/>
      <c r="K2" s="108"/>
      <c r="M2" s="831"/>
      <c r="N2" s="111" t="str">
        <f>IF(M6="ok",IF(Q2&lt;&gt;"","Achtung mehrere A1/A2-Varianten, zutreffende Variante mit Ankreuzen wählen","Zutreffende Zeile im gelben Feld ankreuzen"),"")</f>
        <v/>
      </c>
      <c r="O2" s="111"/>
      <c r="P2" s="111"/>
      <c r="Q2" s="811" t="str">
        <f>IFERROR(IF(VLOOKUP(M5,'MU-Daten'!B:N,13,0)&lt;&gt;"","x",""),"")</f>
        <v/>
      </c>
    </row>
    <row r="3" spans="1:19" ht="13.9" customHeight="1" x14ac:dyDescent="0.2">
      <c r="F3" s="109"/>
      <c r="G3" s="110"/>
      <c r="H3" s="100"/>
      <c r="I3" s="108"/>
      <c r="J3" s="108"/>
      <c r="K3" s="108"/>
      <c r="M3" s="831"/>
      <c r="N3" s="111"/>
      <c r="O3" s="111"/>
      <c r="P3" s="111"/>
    </row>
    <row r="4" spans="1:19" ht="21" customHeight="1" x14ac:dyDescent="0.25">
      <c r="A4" s="113" t="s">
        <v>811</v>
      </c>
      <c r="F4" s="103"/>
      <c r="G4" s="100"/>
      <c r="H4" s="100"/>
      <c r="I4" s="108"/>
      <c r="J4" s="108"/>
      <c r="K4" s="997" t="str">
        <f>CONCATENATE(LohntabelleM!G1," / ",LohntabelleM!I1)</f>
        <v>V6.0 / 2026</v>
      </c>
      <c r="L4" s="100"/>
      <c r="M4" s="832"/>
      <c r="N4" s="138"/>
      <c r="O4" s="114" t="s">
        <v>282</v>
      </c>
      <c r="P4" s="114"/>
      <c r="Q4" s="811" t="str">
        <f>CONCATENATE(IF(N5&lt;&gt;"",IF(OR(N6&lt;&gt;"",N7&lt;&gt;""),"Fehler",""),IF(AND(N6&lt;&gt;"",N7&lt;&gt;""),"Fehler","")),IF(AND(O6="",N6&lt;&gt;""),"Fehler",""),IF(AND(O7="",N7&lt;&gt;""),"Fehler",""))</f>
        <v/>
      </c>
    </row>
    <row r="5" spans="1:19" ht="12.4" customHeight="1" x14ac:dyDescent="0.25">
      <c r="A5" s="115"/>
      <c r="B5" s="116"/>
      <c r="C5" s="116"/>
      <c r="D5" s="116"/>
      <c r="E5" s="115"/>
      <c r="F5" s="116"/>
      <c r="G5" s="116"/>
      <c r="H5" s="116"/>
      <c r="I5" s="117"/>
      <c r="J5" s="118"/>
      <c r="K5" s="119"/>
      <c r="L5" s="120"/>
      <c r="M5" s="831" t="str">
        <f>CONCATENATE("M",I6)</f>
        <v>M</v>
      </c>
      <c r="N5" s="459" t="str">
        <f>IF(O5="","",IF(O6="","x",""))</f>
        <v/>
      </c>
      <c r="O5" s="1271" t="str">
        <f>IF(M$6="?","",IF(M$6="ok",CONCATENATE("A1=",VLOOKUP(M$5,'MU-Daten'!B:L,11,0),"/ A2=",Q5,"")))</f>
        <v/>
      </c>
      <c r="P5" s="1272"/>
      <c r="Q5" s="812" t="str">
        <f>IF(M$6="ok",VLOOKUP(M$5,'MU-Daten'!B:K,10,0),"")</f>
        <v/>
      </c>
    </row>
    <row r="6" spans="1:19" ht="12.4" customHeight="1" x14ac:dyDescent="0.2">
      <c r="A6" s="121" t="s">
        <v>707</v>
      </c>
      <c r="E6" s="539"/>
      <c r="F6" s="121" t="s">
        <v>0</v>
      </c>
      <c r="I6" s="1273"/>
      <c r="J6" s="1273"/>
      <c r="K6" s="1273"/>
      <c r="M6" s="831" t="str">
        <f>IF(I6&lt;&gt;"",IF(M5=VLOOKUP(M5,'MU-Daten'!B:B,1,0),"ok","?"),"?")</f>
        <v>?</v>
      </c>
      <c r="N6" s="459"/>
      <c r="O6" s="1271" t="str">
        <f>IFERROR(IF(Q2&lt;&gt;"",CONCATENATE("Variante 1: A1 =",VLOOKUP(M$5,'MU-Daten'!B:S,18,0),"/ A2 =",VLOOKUP(M$5,'MU-Daten'!B:O,14,0),""),""),"")</f>
        <v/>
      </c>
      <c r="P6" s="1272"/>
      <c r="Q6" s="812" t="str">
        <f>IF(Q2&lt;&gt;"",VLOOKUP(M$5,'MU-Daten'!B:O,14),"")</f>
        <v/>
      </c>
    </row>
    <row r="7" spans="1:19" s="116" customFormat="1" ht="12.4" customHeight="1" x14ac:dyDescent="0.2">
      <c r="A7" s="121" t="s">
        <v>756</v>
      </c>
      <c r="B7" s="102"/>
      <c r="C7" s="102"/>
      <c r="D7" s="102"/>
      <c r="E7" s="200" t="str">
        <f>IF(MAName&lt;&gt;"",MAName,"")</f>
        <v/>
      </c>
      <c r="F7" s="121" t="s">
        <v>1</v>
      </c>
      <c r="G7" s="1280"/>
      <c r="H7" s="1280"/>
      <c r="I7" s="1280"/>
      <c r="J7" s="1280"/>
      <c r="K7" s="1280"/>
      <c r="M7" s="831"/>
      <c r="N7" s="459"/>
      <c r="O7" s="1271" t="str">
        <f>IF(Q2&lt;&gt;"",CONCATENATE(IF(VLOOKUP(M$5,'MU-Daten'!B:Q,16,0)&lt;&gt;"",CONCATENATE("Variante 2: A1 =",VLOOKUP(M$5,'MU-Daten'!B:T,19,0),"/ A2 =",Q7,""),""),""),"")</f>
        <v/>
      </c>
      <c r="P7" s="1272"/>
      <c r="Q7" s="812" t="str">
        <f>IF(Q2&lt;&gt;"",VLOOKUP(M$5,'MU-Daten'!B:R,17),"")</f>
        <v/>
      </c>
      <c r="R7" s="120"/>
      <c r="S7" s="120"/>
    </row>
    <row r="8" spans="1:19" ht="12.4" customHeight="1" x14ac:dyDescent="0.2">
      <c r="A8" s="121" t="s">
        <v>757</v>
      </c>
      <c r="E8" s="200" t="str">
        <f>IF(MAVorname&lt;&gt;"",MAVorname,"")</f>
        <v/>
      </c>
      <c r="F8" s="122" t="s">
        <v>594</v>
      </c>
      <c r="G8" s="1295" t="str">
        <f>IF(M6="ok",VLOOKUP(M5,'MU-Daten'!B:K,6,0),"MU ungültig/fehlt")</f>
        <v>MU ungültig/fehlt</v>
      </c>
      <c r="H8" s="1295"/>
      <c r="I8" s="1295"/>
      <c r="J8" s="1295"/>
      <c r="K8" s="1295"/>
      <c r="L8" s="100"/>
      <c r="M8" s="833"/>
      <c r="N8" s="104" t="str">
        <f>IF(Q4&lt;&gt;"","Nur eine gültige Variante ankreuzen !","")</f>
        <v/>
      </c>
      <c r="O8" s="104"/>
      <c r="P8" s="104"/>
    </row>
    <row r="9" spans="1:19" ht="12.4" customHeight="1" x14ac:dyDescent="0.2">
      <c r="A9" s="121"/>
      <c r="I9" s="124" t="s">
        <v>2</v>
      </c>
      <c r="J9" s="125" t="s">
        <v>3</v>
      </c>
      <c r="K9" s="125" t="s">
        <v>4</v>
      </c>
      <c r="M9" s="831"/>
      <c r="N9" s="2" t="s">
        <v>587</v>
      </c>
      <c r="O9" s="3"/>
      <c r="P9" s="3"/>
      <c r="Q9" s="813"/>
    </row>
    <row r="10" spans="1:19" ht="12.4" customHeight="1" x14ac:dyDescent="0.2">
      <c r="E10" s="126" t="s">
        <v>5</v>
      </c>
      <c r="F10" s="127"/>
      <c r="G10" s="127"/>
      <c r="H10" s="128"/>
      <c r="I10" s="460">
        <v>1</v>
      </c>
      <c r="J10" s="461">
        <v>1</v>
      </c>
      <c r="K10" s="462">
        <v>2025</v>
      </c>
      <c r="L10" s="729"/>
      <c r="M10" s="831"/>
      <c r="N10" s="2" t="s">
        <v>280</v>
      </c>
      <c r="O10" s="3"/>
      <c r="P10" s="3"/>
      <c r="Q10" s="814" t="s">
        <v>65</v>
      </c>
    </row>
    <row r="11" spans="1:19" ht="12.4" customHeight="1" x14ac:dyDescent="0.2">
      <c r="E11" s="126" t="s">
        <v>275</v>
      </c>
      <c r="F11" s="127"/>
      <c r="G11" s="127"/>
      <c r="H11" s="128"/>
      <c r="I11" s="129"/>
      <c r="J11" s="130">
        <f>SUM(M27:M58)-(K11*12)</f>
        <v>0</v>
      </c>
      <c r="K11" s="131">
        <f>INT(SUM(M27:M58)/12)</f>
        <v>0</v>
      </c>
      <c r="M11" s="831"/>
      <c r="N11" s="3" t="str">
        <f>IF(Q36&gt;200,"Nur eine Zeile/Ausbildungsvariante ankreuzen!","(Zutreffende Zeile im gelben Feld ankreuzen und ggf. erforderliche A1 Wert bei Varianten anpassen)")</f>
        <v>(Zutreffende Zeile im gelben Feld ankreuzen und ggf. erforderliche A1 Wert bei Varianten anpassen)</v>
      </c>
      <c r="O11" s="3"/>
      <c r="P11" s="3"/>
    </row>
    <row r="12" spans="1:19" ht="12.4" customHeight="1" x14ac:dyDescent="0.2">
      <c r="E12" s="126" t="s">
        <v>274</v>
      </c>
      <c r="F12" s="127"/>
      <c r="G12" s="127"/>
      <c r="H12" s="128"/>
      <c r="I12" s="132">
        <f>I10</f>
        <v>1</v>
      </c>
      <c r="J12" s="133">
        <f>K10*12+J10-J11-K11*12-K12*12</f>
        <v>1</v>
      </c>
      <c r="K12" s="134">
        <f>INT((K10*12+J10-K11*12-J11-1/12)/12)</f>
        <v>2025</v>
      </c>
      <c r="M12" s="831"/>
      <c r="N12" s="4"/>
      <c r="O12" s="5" t="s">
        <v>73</v>
      </c>
      <c r="P12" s="4" t="s">
        <v>282</v>
      </c>
      <c r="Q12" s="150" t="str">
        <f>IF(N12&lt;&gt;"",ROW(N12)-26+100,"")</f>
        <v/>
      </c>
    </row>
    <row r="13" spans="1:19" ht="12.4" customHeight="1" x14ac:dyDescent="0.2">
      <c r="I13" s="102"/>
      <c r="J13" s="135"/>
      <c r="K13" s="136"/>
      <c r="M13" s="831"/>
      <c r="N13" s="463"/>
      <c r="O13" s="137">
        <f>'A1-Texte'!A1</f>
        <v>0</v>
      </c>
      <c r="P13" s="138" t="str">
        <f>'A1-Texte'!B1</f>
        <v>Ohne obligatorische Schulbildung</v>
      </c>
      <c r="Q13" s="150" t="str">
        <f>IF(N13&lt;&gt;"",ROW(N13)-12+100,"")</f>
        <v/>
      </c>
      <c r="R13" s="120" t="str">
        <f>IF(N13&lt;&gt;0,VLOOKUP(O13,Bewertungstabelle!$A$2:$B$32,2,0),"")</f>
        <v/>
      </c>
      <c r="S13" s="120">
        <f>IF(R13="",0,1)</f>
        <v>0</v>
      </c>
    </row>
    <row r="14" spans="1:19" ht="12.4" customHeight="1" x14ac:dyDescent="0.2">
      <c r="E14" s="139" t="str">
        <f>CONCATENATE("Geburtsdatum",IF(I14&lt;&gt;"",CONCATENATE(" (Alter 18 ab ",MONTH(CONCATENATE("01.",J14,".",K14)),".",YEAR(CONCATENATE("01.",J14,".",K14))+18,")"),""))</f>
        <v>Geburtsdatum (Alter 18 ab 1.1918)</v>
      </c>
      <c r="F14" s="127"/>
      <c r="G14" s="127"/>
      <c r="H14" s="128"/>
      <c r="I14" s="197">
        <f>DAY(MAGeburtsdatum)</f>
        <v>0</v>
      </c>
      <c r="J14" s="198">
        <f>MONTH(MAGeburtsdatum)</f>
        <v>1</v>
      </c>
      <c r="K14" s="199">
        <f>YEAR(MAGeburtsdatum)</f>
        <v>1900</v>
      </c>
      <c r="M14" s="831"/>
      <c r="N14" s="463"/>
      <c r="O14" s="137">
        <f>'A1-Texte'!A2</f>
        <v>0.5</v>
      </c>
      <c r="P14" s="138" t="str">
        <f>'A1-Texte'!B2</f>
        <v>Oblig. Schulbildung und kurze Einarbeitung (weniger als 3 Monate)</v>
      </c>
      <c r="Q14" s="150" t="str">
        <f t="shared" ref="Q14:Q34" si="0">IF(N14&lt;&gt;"",ROW(N14)-12+100,"")</f>
        <v/>
      </c>
      <c r="R14" s="120" t="str">
        <f>IF(N14&lt;&gt;0,VLOOKUP(O14,Bewertungstabelle!$A$2:$B$32,2,0),"")</f>
        <v/>
      </c>
      <c r="S14" s="120">
        <f t="shared" ref="S14:S34" si="1">IF(R14="",0,1)</f>
        <v>0</v>
      </c>
    </row>
    <row r="15" spans="1:19" ht="12.4" customHeight="1" x14ac:dyDescent="0.2">
      <c r="E15" s="126"/>
      <c r="F15" s="127"/>
      <c r="G15" s="127"/>
      <c r="H15" s="128"/>
      <c r="I15" s="127"/>
      <c r="J15" s="127"/>
      <c r="K15" s="127"/>
      <c r="M15" s="831"/>
      <c r="N15" s="463"/>
      <c r="O15" s="137">
        <f>'A1-Texte'!A3</f>
        <v>1</v>
      </c>
      <c r="P15" s="138" t="str">
        <f>'A1-Texte'!B3</f>
        <v>Oblig. Schulbildung und Einarbeitung (3 Monate)</v>
      </c>
      <c r="Q15" s="150" t="str">
        <f t="shared" si="0"/>
        <v/>
      </c>
      <c r="R15" s="120" t="str">
        <f>IF(N15&lt;&gt;0,VLOOKUP(O15,Bewertungstabelle!$A$2:$B$32,2,0),"")</f>
        <v/>
      </c>
      <c r="S15" s="120">
        <f t="shared" si="1"/>
        <v>0</v>
      </c>
    </row>
    <row r="16" spans="1:19" ht="12.4" customHeight="1" x14ac:dyDescent="0.2">
      <c r="I16" s="102"/>
      <c r="J16" s="102"/>
      <c r="K16" s="102"/>
      <c r="M16" s="831"/>
      <c r="N16" s="463"/>
      <c r="O16" s="137">
        <f>'A1-Texte'!A4</f>
        <v>1.5</v>
      </c>
      <c r="P16" s="138" t="str">
        <f>'A1-Texte'!B4</f>
        <v>Oblig. Schulbildung und Einarbeitung (6 Monate)</v>
      </c>
      <c r="Q16" s="150" t="str">
        <f t="shared" si="0"/>
        <v/>
      </c>
      <c r="R16" s="120" t="str">
        <f>IF(N16&lt;&gt;0,VLOOKUP(O16,Bewertungstabelle!$A$2:$B$32,2,0),"")</f>
        <v/>
      </c>
      <c r="S16" s="120">
        <f t="shared" si="1"/>
        <v>0</v>
      </c>
    </row>
    <row r="17" spans="1:19" ht="12.4" customHeight="1" x14ac:dyDescent="0.2">
      <c r="A17" s="126" t="s">
        <v>1810</v>
      </c>
      <c r="B17" s="140"/>
      <c r="C17" s="140"/>
      <c r="D17" s="141"/>
      <c r="E17" s="1292" t="str">
        <f>IF(OR(N5&lt;&gt;"",Q4&lt;&gt;""),VLOOKUP(M$5,'MU-Daten'!B:L,11,0),IF(N6&lt;&gt;"",VLOOKUP(M5,'MU-Daten'!B:S,18,0),IF(N7&lt;&gt;"",VLOOKUP(M5,'MU-Daten'!B:T,19,0),"")))</f>
        <v/>
      </c>
      <c r="F17" s="1293"/>
      <c r="G17" s="1293"/>
      <c r="H17" s="1293"/>
      <c r="I17" s="1293"/>
      <c r="J17" s="1293"/>
      <c r="K17" s="1294"/>
      <c r="M17" s="831"/>
      <c r="N17" s="463"/>
      <c r="O17" s="137">
        <f>'A1-Texte'!A5</f>
        <v>2</v>
      </c>
      <c r="P17" s="138" t="str">
        <f>'A1-Texte'!B5</f>
        <v>Oblig. Schulbildung und 1 Jahr Fachausbildung (intern oder extern)</v>
      </c>
      <c r="Q17" s="150" t="str">
        <f t="shared" si="0"/>
        <v/>
      </c>
      <c r="R17" s="120" t="str">
        <f>IF(N17&lt;&gt;0,VLOOKUP(O17,Bewertungstabelle!$A$2:$B$32,2,0),"")</f>
        <v/>
      </c>
      <c r="S17" s="120">
        <f t="shared" si="1"/>
        <v>0</v>
      </c>
    </row>
    <row r="18" spans="1:19" ht="12.4" customHeight="1" x14ac:dyDescent="0.2">
      <c r="B18" s="142" t="s">
        <v>6</v>
      </c>
      <c r="C18" s="142"/>
      <c r="D18" s="142" t="s">
        <v>7</v>
      </c>
      <c r="J18" s="135"/>
      <c r="K18" s="102"/>
      <c r="M18" s="831"/>
      <c r="N18" s="463"/>
      <c r="O18" s="137">
        <f>'A1-Texte'!A6</f>
        <v>3</v>
      </c>
      <c r="P18" s="138" t="str">
        <f>'A1-Texte'!B6</f>
        <v>Anlehre</v>
      </c>
      <c r="Q18" s="150" t="str">
        <f t="shared" si="0"/>
        <v/>
      </c>
      <c r="R18" s="120" t="str">
        <f>IF(N18&lt;&gt;0,VLOOKUP(O18,Bewertungstabelle!$A$2:$B$32,2,0),"")</f>
        <v/>
      </c>
      <c r="S18" s="120">
        <f t="shared" si="1"/>
        <v>0</v>
      </c>
    </row>
    <row r="19" spans="1:19" ht="12.4" customHeight="1" x14ac:dyDescent="0.2">
      <c r="A19" s="124" t="s">
        <v>3</v>
      </c>
      <c r="B19" s="124" t="s">
        <v>4</v>
      </c>
      <c r="C19" s="124" t="s">
        <v>3</v>
      </c>
      <c r="D19" s="124" t="s">
        <v>4</v>
      </c>
      <c r="E19" s="143" t="s">
        <v>595</v>
      </c>
      <c r="H19" s="144"/>
      <c r="I19" s="125" t="str">
        <f>IF(AND(SUM(J20:K24)&gt;0,SUM(J20:K24)&lt;1000),"Total: ","")</f>
        <v/>
      </c>
      <c r="J19" s="145" t="str">
        <f>IF(I19&lt;&gt;"",SUM(J20:J24)+INT((SUM(K20:K24)+0.001)/12),"J")</f>
        <v>J</v>
      </c>
      <c r="K19" s="146" t="str">
        <f>IF(I19&lt;&gt;"",SUM(J20:J24)*12+SUM(K20:K24)-J19*12,"Mt")</f>
        <v>Mt</v>
      </c>
      <c r="M19" s="831"/>
      <c r="N19" s="463"/>
      <c r="O19" s="137">
        <f>'A1-Texte'!A7</f>
        <v>3.5</v>
      </c>
      <c r="P19" s="147" t="str">
        <f>'A1-Texte'!B7</f>
        <v>Anlehre+1 Jahr interne Ausbildung oder 3 Jahre Fachausbildung (ohne eidg. Anerkennung)</v>
      </c>
      <c r="Q19" s="150" t="str">
        <f t="shared" si="0"/>
        <v/>
      </c>
      <c r="R19" s="120" t="str">
        <f>IF(N19&lt;&gt;0,VLOOKUP(O19,Bewertungstabelle!$A$2:$B$32,2,0),"")</f>
        <v/>
      </c>
      <c r="S19" s="120">
        <f t="shared" si="1"/>
        <v>0</v>
      </c>
    </row>
    <row r="20" spans="1:19" ht="12.4" customHeight="1" x14ac:dyDescent="0.2">
      <c r="A20" s="464"/>
      <c r="B20" s="465"/>
      <c r="C20" s="464"/>
      <c r="D20" s="465"/>
      <c r="E20" s="1276"/>
      <c r="F20" s="1277"/>
      <c r="G20" s="1277"/>
      <c r="H20" s="1277"/>
      <c r="I20" s="1278"/>
      <c r="J20" s="148">
        <f>INT(D20-B20+C20/12-A20/12+1/12)</f>
        <v>0</v>
      </c>
      <c r="K20" s="149">
        <f>IF(A20&gt;0,(D20-B20+C20/12-A20/12+1/12-INT(D20-B20+C20/12-A20/12+1/12))*12,0)</f>
        <v>0</v>
      </c>
      <c r="M20" s="831"/>
      <c r="N20" s="463"/>
      <c r="O20" s="137">
        <f>'A1-Texte'!A8</f>
        <v>4</v>
      </c>
      <c r="P20" s="138" t="str">
        <f>'A1-Texte'!B8</f>
        <v>Eidg. Berufsattest EBA, Gymnasiale Maturität, Fachmittelschulabschluss</v>
      </c>
      <c r="Q20" s="150" t="str">
        <f t="shared" si="0"/>
        <v/>
      </c>
      <c r="R20" s="120" t="str">
        <f>IF(N20&lt;&gt;0,VLOOKUP(O20,Bewertungstabelle!$A$2:$B$32,2,0),"")</f>
        <v/>
      </c>
      <c r="S20" s="120">
        <f t="shared" si="1"/>
        <v>0</v>
      </c>
    </row>
    <row r="21" spans="1:19" ht="12.4" customHeight="1" x14ac:dyDescent="0.2">
      <c r="A21" s="466"/>
      <c r="B21" s="467"/>
      <c r="C21" s="466"/>
      <c r="D21" s="467"/>
      <c r="E21" s="1279"/>
      <c r="F21" s="1280"/>
      <c r="G21" s="1280"/>
      <c r="H21" s="1280"/>
      <c r="I21" s="1281"/>
      <c r="J21" s="148">
        <f>INT(D21-B21+C21/12-A21/12+1/12)</f>
        <v>0</v>
      </c>
      <c r="K21" s="149">
        <f>IF(A21&gt;0,(D21-B21+C21/12-A21/12+1/12-INT(D21-B21+C21/12-A21/12+1/12))*12,0)</f>
        <v>0</v>
      </c>
      <c r="M21" s="831"/>
      <c r="N21" s="463"/>
      <c r="O21" s="137">
        <f>'A1-Texte'!A9</f>
        <v>5</v>
      </c>
      <c r="P21" s="138" t="str">
        <f>'A1-Texte'!B9</f>
        <v>Eidg. Fähigkeitszeugnis EFZ (3-4 Jahre)</v>
      </c>
      <c r="Q21" s="150" t="str">
        <f t="shared" si="0"/>
        <v/>
      </c>
      <c r="R21" s="120" t="str">
        <f>IF(N21&lt;&gt;0,VLOOKUP(O21,Bewertungstabelle!$A$2:$B$32,2,0),"")</f>
        <v/>
      </c>
      <c r="S21" s="120">
        <f t="shared" si="1"/>
        <v>0</v>
      </c>
    </row>
    <row r="22" spans="1:19" ht="12.4" customHeight="1" x14ac:dyDescent="0.2">
      <c r="A22" s="466"/>
      <c r="B22" s="467"/>
      <c r="C22" s="466"/>
      <c r="D22" s="467"/>
      <c r="E22" s="1279"/>
      <c r="F22" s="1280"/>
      <c r="G22" s="1280"/>
      <c r="H22" s="1280"/>
      <c r="I22" s="1281"/>
      <c r="J22" s="148">
        <f>INT(D22-B22+C22/12-A22/12+1/12)</f>
        <v>0</v>
      </c>
      <c r="K22" s="149">
        <f>IF(A22&gt;0,(D22-B22+C22/12-A22/12+1/12-INT(D22-B22+C22/12-A22/12+1/12))*12,0)</f>
        <v>0</v>
      </c>
      <c r="M22" s="831"/>
      <c r="N22" s="463"/>
      <c r="O22" s="137">
        <f>'A1-Texte'!A10</f>
        <v>5.5</v>
      </c>
      <c r="P22" s="138" t="str">
        <f>'A1-Texte'!B10</f>
        <v>Eidg. Berufsprüfung/Eidg. Fachausweis, Handels- und Informatikmittelschulabschluss</v>
      </c>
      <c r="Q22" s="150" t="str">
        <f t="shared" si="0"/>
        <v/>
      </c>
      <c r="R22" s="120" t="str">
        <f>IF(N22&lt;&gt;0,VLOOKUP(O22,Bewertungstabelle!$A$2:$B$32,2,0),"")</f>
        <v/>
      </c>
      <c r="S22" s="120">
        <f t="shared" si="1"/>
        <v>0</v>
      </c>
    </row>
    <row r="23" spans="1:19" ht="12.4" customHeight="1" x14ac:dyDescent="0.2">
      <c r="A23" s="466"/>
      <c r="B23" s="468"/>
      <c r="C23" s="466"/>
      <c r="D23" s="468"/>
      <c r="E23" s="1279"/>
      <c r="F23" s="1280"/>
      <c r="G23" s="1280"/>
      <c r="H23" s="1280"/>
      <c r="I23" s="1281"/>
      <c r="J23" s="148">
        <f>INT(D23-B23+C23/12-A23/12+1/12)</f>
        <v>0</v>
      </c>
      <c r="K23" s="149">
        <f>IF(A23&gt;0,(D23-B23+C23/12-A23/12+1/12-INT(D23-B23+C23/12-A23/12+1/12))*12,0)</f>
        <v>0</v>
      </c>
      <c r="M23" s="831"/>
      <c r="N23" s="463"/>
      <c r="O23" s="137">
        <f>'A1-Texte'!A11</f>
        <v>6</v>
      </c>
      <c r="P23" s="138" t="str">
        <f>'A1-Texte'!B11</f>
        <v>Eidg. Berufsprüfung/Eidg. Fachausweis B</v>
      </c>
      <c r="Q23" s="150" t="str">
        <f t="shared" si="0"/>
        <v/>
      </c>
      <c r="R23" s="120" t="str">
        <f>IF(N23&lt;&gt;0,VLOOKUP(O23,Bewertungstabelle!$A$2:$B$32,2,0),"")</f>
        <v/>
      </c>
      <c r="S23" s="120">
        <f t="shared" si="1"/>
        <v>0</v>
      </c>
    </row>
    <row r="24" spans="1:19" ht="12.4" customHeight="1" x14ac:dyDescent="0.2">
      <c r="A24" s="469"/>
      <c r="B24" s="470"/>
      <c r="C24" s="469"/>
      <c r="D24" s="470"/>
      <c r="E24" s="1282"/>
      <c r="F24" s="1255"/>
      <c r="G24" s="1255"/>
      <c r="H24" s="1255"/>
      <c r="I24" s="1256"/>
      <c r="J24" s="148">
        <f>INT(D24-B24+C24/12-A24/12+1/12)</f>
        <v>0</v>
      </c>
      <c r="K24" s="149">
        <f>IF(A24&gt;0,(D24-B24+C24/12-A24/12+1/12-INT(D24-B24+C24/12-A24/12+1/12))*12,0)</f>
        <v>0</v>
      </c>
      <c r="M24" s="831"/>
      <c r="N24" s="463"/>
      <c r="O24" s="137">
        <f>'A1-Texte'!A12</f>
        <v>6.5</v>
      </c>
      <c r="P24" s="138" t="str">
        <f>'A1-Texte'!B12</f>
        <v>Diplom Höhere Fachschulen (HF)</v>
      </c>
      <c r="Q24" s="150" t="str">
        <f t="shared" si="0"/>
        <v/>
      </c>
      <c r="R24" s="120" t="str">
        <f>IF(N24&lt;&gt;0,VLOOKUP(O24,Bewertungstabelle!$A$2:$B$32,2,0),"")</f>
        <v/>
      </c>
      <c r="S24" s="120">
        <f t="shared" si="1"/>
        <v>0</v>
      </c>
    </row>
    <row r="25" spans="1:19" ht="12.4" customHeight="1" x14ac:dyDescent="0.2">
      <c r="A25" s="151"/>
      <c r="B25" s="151"/>
      <c r="C25" s="151"/>
      <c r="D25" s="151"/>
      <c r="E25" s="121" t="str">
        <f>IF(ISERROR(IF(B27&lt;&gt;0,IF(MONTH(CONCATENATE("01.",A27,".",B27))+YEAR(CONCATENATE("01.",A27,".",B27))*12&lt;MONTH(CONCATENATE("01.",J14,".",K14))+YEAR(CONCATENATE("01.",J14,".",K14))*12+216,"x",""),"")),"",IF(B27&lt;&gt;0,IF(MONTH(CONCATENATE("01.",A27,".",B27))+YEAR(CONCATENATE("01.",A27,".",B27))*12&lt;MONTH(CONCATENATE("01.",J14,".",K14))+YEAR(CONCATENATE("01.",J14,".",K14))*12+216,"keine Anrechnung von Erfahrung vor dem 18. Altersjahr",""),""))</f>
        <v/>
      </c>
      <c r="F25" s="121"/>
      <c r="G25" s="121"/>
      <c r="H25" s="121"/>
      <c r="I25" s="152"/>
      <c r="J25" s="152"/>
      <c r="K25" s="153" t="s">
        <v>276</v>
      </c>
      <c r="M25" s="831" t="str">
        <f>IF(B27&lt;&gt;0,IF(MONTH(L16)+YEAR(L16)*12&lt;MONTH(K16)+YEAR(K16)*12+216,"keine Anrechnung von Erfahrung vor dem 18. Altersjahr",""),"")</f>
        <v/>
      </c>
      <c r="N25" s="463"/>
      <c r="O25" s="137">
        <f>'A1-Texte'!A13</f>
        <v>7</v>
      </c>
      <c r="P25" s="138" t="str">
        <f>'A1-Texte'!B13</f>
        <v>Eidg. Diplom, höhere Fachprüfung oder Diplom HF und NDS HF</v>
      </c>
      <c r="Q25" s="150" t="str">
        <f t="shared" si="0"/>
        <v/>
      </c>
      <c r="R25" s="120" t="str">
        <f>IF(N25&lt;&gt;0,VLOOKUP(O25,Bewertungstabelle!$A$2:$B$32,2,0),"")</f>
        <v/>
      </c>
      <c r="S25" s="120">
        <f t="shared" si="1"/>
        <v>0</v>
      </c>
    </row>
    <row r="26" spans="1:19" ht="12.4" customHeight="1" x14ac:dyDescent="0.2">
      <c r="A26" s="125" t="s">
        <v>3</v>
      </c>
      <c r="B26" s="124" t="s">
        <v>4</v>
      </c>
      <c r="C26" s="125" t="s">
        <v>3</v>
      </c>
      <c r="D26" s="124" t="s">
        <v>4</v>
      </c>
      <c r="E26" s="154" t="s">
        <v>14</v>
      </c>
      <c r="F26" s="152" t="s">
        <v>8</v>
      </c>
      <c r="G26" s="125" t="s">
        <v>4</v>
      </c>
      <c r="H26" s="125" t="s">
        <v>3</v>
      </c>
      <c r="I26" s="125" t="s">
        <v>4</v>
      </c>
      <c r="J26" s="125" t="s">
        <v>3</v>
      </c>
      <c r="K26" s="155" t="s">
        <v>277</v>
      </c>
      <c r="M26" s="831"/>
      <c r="N26" s="463"/>
      <c r="O26" s="137">
        <f>'A1-Texte'!A14</f>
        <v>7.5</v>
      </c>
      <c r="P26" s="138" t="str">
        <f>'A1-Texte'!B14</f>
        <v>Eidg. Diplom, höhere Fachprüfung und funktionsspezifische Zusatzausbildung</v>
      </c>
      <c r="Q26" s="150" t="str">
        <f t="shared" si="0"/>
        <v/>
      </c>
      <c r="R26" s="120" t="str">
        <f>IF(N26&lt;&gt;0,VLOOKUP(O26,Bewertungstabelle!$A$2:$B$32,2,0),"")</f>
        <v/>
      </c>
      <c r="S26" s="120">
        <f t="shared" si="1"/>
        <v>0</v>
      </c>
    </row>
    <row r="27" spans="1:19" ht="12.4" customHeight="1" x14ac:dyDescent="0.2">
      <c r="A27" s="466"/>
      <c r="B27" s="467"/>
      <c r="C27" s="466"/>
      <c r="D27" s="467"/>
      <c r="E27" s="933"/>
      <c r="F27" s="472"/>
      <c r="G27" s="156">
        <f t="shared" ref="G27:G58" si="2">INT(D27-B27+C27/12-A27/12+1/12)</f>
        <v>0</v>
      </c>
      <c r="H27" s="157">
        <f t="shared" ref="H27:H58" si="3">IF(A27&gt;0,(D27-B27+C27/12-A27/12+1/12-INT(D27-B27+C27/12-A27/12+1/12))*12,0)</f>
        <v>0</v>
      </c>
      <c r="I27" s="158">
        <f t="shared" ref="I27:I58" si="4">INT(((G27*12+H27)*F27)/12)</f>
        <v>0</v>
      </c>
      <c r="J27" s="159">
        <f t="shared" ref="J27:J58" si="5">F27*(G27*12+H27)-I27*12</f>
        <v>0</v>
      </c>
      <c r="K27" s="473"/>
      <c r="M27" s="831">
        <f>IF(K27&lt;&gt;"",G27*12+H27,0)</f>
        <v>0</v>
      </c>
      <c r="N27" s="463"/>
      <c r="O27" s="137">
        <f>'A1-Texte'!A15</f>
        <v>8</v>
      </c>
      <c r="P27" s="138" t="str">
        <f>'A1-Texte'!B15</f>
        <v>Bachelor (alt Fachhochschulabschluss)</v>
      </c>
      <c r="Q27" s="150" t="str">
        <f t="shared" si="0"/>
        <v/>
      </c>
      <c r="R27" s="120" t="str">
        <f>IF(N27&lt;&gt;0,VLOOKUP(O27,Bewertungstabelle!$A$2:$B$32,2,0),"")</f>
        <v/>
      </c>
      <c r="S27" s="120">
        <f t="shared" si="1"/>
        <v>0</v>
      </c>
    </row>
    <row r="28" spans="1:19" ht="12.4" customHeight="1" x14ac:dyDescent="0.2">
      <c r="A28" s="466"/>
      <c r="B28" s="467"/>
      <c r="C28" s="466"/>
      <c r="D28" s="467"/>
      <c r="E28" s="933"/>
      <c r="F28" s="472"/>
      <c r="G28" s="160">
        <f t="shared" si="2"/>
        <v>0</v>
      </c>
      <c r="H28" s="69">
        <f t="shared" si="3"/>
        <v>0</v>
      </c>
      <c r="I28" s="161">
        <f t="shared" si="4"/>
        <v>0</v>
      </c>
      <c r="J28" s="162">
        <f t="shared" si="5"/>
        <v>0</v>
      </c>
      <c r="K28" s="473"/>
      <c r="M28" s="831">
        <f t="shared" ref="M28:M58" si="6">IF(K28&lt;&gt;"",G28*12+H28,0)</f>
        <v>0</v>
      </c>
      <c r="N28" s="463"/>
      <c r="O28" s="137">
        <f>'A1-Texte'!A16</f>
        <v>8.5</v>
      </c>
      <c r="P28" s="138" t="str">
        <f>'A1-Texte'!B16</f>
        <v>Bachelor und funktionsspezifische Zusatzausbildung</v>
      </c>
      <c r="Q28" s="150" t="str">
        <f t="shared" si="0"/>
        <v/>
      </c>
      <c r="R28" s="120" t="str">
        <f>IF(N28&lt;&gt;0,VLOOKUP(O28,Bewertungstabelle!$A$2:$B$32,2,0),"")</f>
        <v/>
      </c>
      <c r="S28" s="120">
        <f t="shared" si="1"/>
        <v>0</v>
      </c>
    </row>
    <row r="29" spans="1:19" ht="12.4" customHeight="1" x14ac:dyDescent="0.2">
      <c r="A29" s="466"/>
      <c r="B29" s="467"/>
      <c r="C29" s="466"/>
      <c r="D29" s="467"/>
      <c r="E29" s="933"/>
      <c r="F29" s="472"/>
      <c r="G29" s="160">
        <f t="shared" si="2"/>
        <v>0</v>
      </c>
      <c r="H29" s="69">
        <f t="shared" si="3"/>
        <v>0</v>
      </c>
      <c r="I29" s="161">
        <f t="shared" si="4"/>
        <v>0</v>
      </c>
      <c r="J29" s="162">
        <f t="shared" si="5"/>
        <v>0</v>
      </c>
      <c r="K29" s="473"/>
      <c r="M29" s="831">
        <f t="shared" si="6"/>
        <v>0</v>
      </c>
      <c r="N29" s="463"/>
      <c r="O29" s="137">
        <f>'A1-Texte'!A17</f>
        <v>9</v>
      </c>
      <c r="P29" s="138" t="str">
        <f>'A1-Texte'!B17</f>
        <v xml:space="preserve">Bachelor und MAS (Nachdiplomstudium) </v>
      </c>
      <c r="Q29" s="150" t="str">
        <f t="shared" si="0"/>
        <v/>
      </c>
      <c r="R29" s="120" t="str">
        <f>IF(N29&lt;&gt;0,VLOOKUP(O29,Bewertungstabelle!$A$2:$B$32,2,0),"")</f>
        <v/>
      </c>
      <c r="S29" s="120">
        <f t="shared" si="1"/>
        <v>0</v>
      </c>
    </row>
    <row r="30" spans="1:19" ht="12.4" customHeight="1" x14ac:dyDescent="0.2">
      <c r="A30" s="466"/>
      <c r="B30" s="467"/>
      <c r="C30" s="466"/>
      <c r="D30" s="467"/>
      <c r="E30" s="933"/>
      <c r="F30" s="472"/>
      <c r="G30" s="160">
        <f t="shared" si="2"/>
        <v>0</v>
      </c>
      <c r="H30" s="69">
        <f t="shared" si="3"/>
        <v>0</v>
      </c>
      <c r="I30" s="161">
        <f t="shared" si="4"/>
        <v>0</v>
      </c>
      <c r="J30" s="162">
        <f t="shared" si="5"/>
        <v>0</v>
      </c>
      <c r="K30" s="473"/>
      <c r="M30" s="831">
        <f t="shared" si="6"/>
        <v>0</v>
      </c>
      <c r="N30" s="463"/>
      <c r="O30" s="137">
        <f>'A1-Texte'!A18</f>
        <v>9.5</v>
      </c>
      <c r="P30" s="138" t="str">
        <f>'A1-Texte'!B18</f>
        <v>Master (Hochschulabschluss)</v>
      </c>
      <c r="Q30" s="150" t="str">
        <f t="shared" si="0"/>
        <v/>
      </c>
      <c r="R30" s="120" t="str">
        <f>IF(N30&lt;&gt;0,VLOOKUP(O30,Bewertungstabelle!$A$2:$B$32,2,0),"")</f>
        <v/>
      </c>
      <c r="S30" s="120">
        <f t="shared" si="1"/>
        <v>0</v>
      </c>
    </row>
    <row r="31" spans="1:19" ht="12.4" customHeight="1" x14ac:dyDescent="0.2">
      <c r="A31" s="466"/>
      <c r="B31" s="467"/>
      <c r="C31" s="466"/>
      <c r="D31" s="467"/>
      <c r="E31" s="933"/>
      <c r="F31" s="472"/>
      <c r="G31" s="160">
        <f t="shared" si="2"/>
        <v>0</v>
      </c>
      <c r="H31" s="69">
        <f t="shared" si="3"/>
        <v>0</v>
      </c>
      <c r="I31" s="161">
        <f t="shared" si="4"/>
        <v>0</v>
      </c>
      <c r="J31" s="162">
        <f t="shared" si="5"/>
        <v>0</v>
      </c>
      <c r="K31" s="473"/>
      <c r="M31" s="831">
        <f t="shared" si="6"/>
        <v>0</v>
      </c>
      <c r="N31" s="463"/>
      <c r="O31" s="137">
        <f>'A1-Texte'!A19</f>
        <v>10</v>
      </c>
      <c r="P31" s="138" t="str">
        <f>'A1-Texte'!B19</f>
        <v>Master (Hochschulabschluss) und funktionsspezifische Zusatzausbildung</v>
      </c>
      <c r="Q31" s="150" t="str">
        <f t="shared" si="0"/>
        <v/>
      </c>
      <c r="R31" s="120" t="str">
        <f>IF(N31&lt;&gt;0,VLOOKUP(O31,Bewertungstabelle!$A$2:$B$32,2,0),"")</f>
        <v/>
      </c>
      <c r="S31" s="120">
        <f t="shared" si="1"/>
        <v>0</v>
      </c>
    </row>
    <row r="32" spans="1:19" ht="12.4" customHeight="1" x14ac:dyDescent="0.2">
      <c r="A32" s="466"/>
      <c r="B32" s="467"/>
      <c r="C32" s="466"/>
      <c r="D32" s="467"/>
      <c r="E32" s="933"/>
      <c r="F32" s="472"/>
      <c r="G32" s="160">
        <f t="shared" si="2"/>
        <v>0</v>
      </c>
      <c r="H32" s="69">
        <f t="shared" si="3"/>
        <v>0</v>
      </c>
      <c r="I32" s="161">
        <f t="shared" si="4"/>
        <v>0</v>
      </c>
      <c r="J32" s="162">
        <f t="shared" si="5"/>
        <v>0</v>
      </c>
      <c r="K32" s="473"/>
      <c r="M32" s="831">
        <f t="shared" si="6"/>
        <v>0</v>
      </c>
      <c r="N32" s="463"/>
      <c r="O32" s="137">
        <f>'A1-Texte'!A20</f>
        <v>10.5</v>
      </c>
      <c r="P32" s="138" t="str">
        <f>'A1-Texte'!B20</f>
        <v>Master (Hochschulabschluss) und MAS (Nachdiplomstudium)</v>
      </c>
      <c r="Q32" s="150" t="str">
        <f t="shared" si="0"/>
        <v/>
      </c>
      <c r="R32" s="120" t="str">
        <f>IF(N32&lt;&gt;0,VLOOKUP(O32,Bewertungstabelle!$A$2:$B$32,2,0),"")</f>
        <v/>
      </c>
      <c r="S32" s="120">
        <f t="shared" si="1"/>
        <v>0</v>
      </c>
    </row>
    <row r="33" spans="1:19" ht="12.4" customHeight="1" x14ac:dyDescent="0.2">
      <c r="A33" s="466"/>
      <c r="B33" s="467"/>
      <c r="C33" s="466"/>
      <c r="D33" s="467"/>
      <c r="E33" s="933"/>
      <c r="F33" s="472"/>
      <c r="G33" s="160">
        <f t="shared" si="2"/>
        <v>0</v>
      </c>
      <c r="H33" s="69">
        <f t="shared" si="3"/>
        <v>0</v>
      </c>
      <c r="I33" s="161">
        <f t="shared" si="4"/>
        <v>0</v>
      </c>
      <c r="J33" s="162">
        <f t="shared" si="5"/>
        <v>0</v>
      </c>
      <c r="K33" s="473"/>
      <c r="M33" s="831">
        <f t="shared" si="6"/>
        <v>0</v>
      </c>
      <c r="N33" s="463"/>
      <c r="O33" s="137">
        <f>'A1-Texte'!A21</f>
        <v>11</v>
      </c>
      <c r="P33" s="138" t="str">
        <f>'A1-Texte'!B21</f>
        <v>Master (Hochschulabschluss) und 2 MAS oder FMH-Abschluss</v>
      </c>
      <c r="Q33" s="150" t="str">
        <f t="shared" si="0"/>
        <v/>
      </c>
      <c r="R33" s="120" t="str">
        <f>IF(N33&lt;&gt;0,VLOOKUP(O33,Bewertungstabelle!$A$2:$B$32,2,0),"")</f>
        <v/>
      </c>
      <c r="S33" s="120">
        <f t="shared" si="1"/>
        <v>0</v>
      </c>
    </row>
    <row r="34" spans="1:19" ht="12.4" customHeight="1" x14ac:dyDescent="0.2">
      <c r="A34" s="466"/>
      <c r="B34" s="467"/>
      <c r="C34" s="466"/>
      <c r="D34" s="467"/>
      <c r="E34" s="933"/>
      <c r="F34" s="472"/>
      <c r="G34" s="160">
        <f t="shared" si="2"/>
        <v>0</v>
      </c>
      <c r="H34" s="69">
        <f t="shared" si="3"/>
        <v>0</v>
      </c>
      <c r="I34" s="161">
        <f t="shared" si="4"/>
        <v>0</v>
      </c>
      <c r="J34" s="162">
        <f t="shared" si="5"/>
        <v>0</v>
      </c>
      <c r="K34" s="473"/>
      <c r="M34" s="831">
        <f t="shared" si="6"/>
        <v>0</v>
      </c>
      <c r="N34" s="463"/>
      <c r="O34" s="137">
        <f>'A1-Texte'!A22</f>
        <v>12.5</v>
      </c>
      <c r="P34" s="138" t="str">
        <f>'A1-Texte'!B22</f>
        <v>Dissertation oder zwei verschiedene Master (Hochschulabschluss)</v>
      </c>
      <c r="Q34" s="150" t="str">
        <f t="shared" si="0"/>
        <v/>
      </c>
      <c r="R34" s="120" t="str">
        <f>IF(N34&lt;&gt;0,VLOOKUP(O34,Bewertungstabelle!$A$2:$B$32,2,0),"")</f>
        <v/>
      </c>
      <c r="S34" s="120">
        <f t="shared" si="1"/>
        <v>0</v>
      </c>
    </row>
    <row r="35" spans="1:19" ht="12.4" customHeight="1" x14ac:dyDescent="0.2">
      <c r="A35" s="466"/>
      <c r="B35" s="467"/>
      <c r="C35" s="466"/>
      <c r="D35" s="467"/>
      <c r="E35" s="933"/>
      <c r="F35" s="472"/>
      <c r="G35" s="160">
        <f t="shared" si="2"/>
        <v>0</v>
      </c>
      <c r="H35" s="69">
        <f t="shared" si="3"/>
        <v>0</v>
      </c>
      <c r="I35" s="161">
        <f t="shared" si="4"/>
        <v>0</v>
      </c>
      <c r="J35" s="162">
        <f t="shared" si="5"/>
        <v>0</v>
      </c>
      <c r="K35" s="473"/>
      <c r="M35" s="831">
        <f t="shared" si="6"/>
        <v>0</v>
      </c>
      <c r="N35" s="163"/>
      <c r="O35" s="163"/>
      <c r="P35" s="163"/>
      <c r="Q35" s="150"/>
    </row>
    <row r="36" spans="1:19" ht="12.4" customHeight="1" x14ac:dyDescent="0.2">
      <c r="A36" s="466"/>
      <c r="B36" s="467"/>
      <c r="C36" s="466"/>
      <c r="D36" s="467"/>
      <c r="E36" s="933"/>
      <c r="F36" s="472"/>
      <c r="G36" s="160">
        <f t="shared" si="2"/>
        <v>0</v>
      </c>
      <c r="H36" s="69">
        <f t="shared" si="3"/>
        <v>0</v>
      </c>
      <c r="I36" s="161">
        <f t="shared" si="4"/>
        <v>0</v>
      </c>
      <c r="J36" s="162">
        <f t="shared" si="5"/>
        <v>0</v>
      </c>
      <c r="K36" s="473"/>
      <c r="M36" s="831">
        <f t="shared" si="6"/>
        <v>0</v>
      </c>
      <c r="N36" s="164" t="s">
        <v>285</v>
      </c>
      <c r="O36" s="163"/>
      <c r="P36" s="163"/>
      <c r="Q36" s="150">
        <f>IF(SUM(Q12:Q34)=0,101,SUM(Q12:Q34))</f>
        <v>101</v>
      </c>
      <c r="R36" s="120">
        <f>SUM(R12:R34)</f>
        <v>0</v>
      </c>
      <c r="S36" s="120">
        <f>SUM(S13:S34)</f>
        <v>0</v>
      </c>
    </row>
    <row r="37" spans="1:19" ht="12.4" customHeight="1" x14ac:dyDescent="0.2">
      <c r="A37" s="466"/>
      <c r="B37" s="467"/>
      <c r="C37" s="466"/>
      <c r="D37" s="467"/>
      <c r="E37" s="933"/>
      <c r="F37" s="472"/>
      <c r="G37" s="160">
        <f t="shared" si="2"/>
        <v>0</v>
      </c>
      <c r="H37" s="69">
        <f t="shared" si="3"/>
        <v>0</v>
      </c>
      <c r="I37" s="161">
        <f t="shared" si="4"/>
        <v>0</v>
      </c>
      <c r="J37" s="162">
        <f t="shared" si="5"/>
        <v>0</v>
      </c>
      <c r="K37" s="473"/>
      <c r="M37" s="831">
        <f t="shared" si="6"/>
        <v>0</v>
      </c>
      <c r="N37" s="165" t="s">
        <v>281</v>
      </c>
      <c r="O37" s="166" t="str">
        <f>IF(OR(N5&lt;&gt;"",Q4&lt;&gt;""),VLOOKUP(M$5,'MU-Daten'!B:J,9,0),IF(N6&lt;&gt;"",VLOOKUP(M5,'MU-Daten'!B:N,13,0),IF(N7&lt;&gt;"",VLOOKUP(M5,'MU-Daten'!B:Q,16,0),"")))</f>
        <v/>
      </c>
      <c r="P37" s="167" t="str">
        <f>E17</f>
        <v/>
      </c>
      <c r="Q37" s="168" t="e">
        <f ca="1">O37-INDIRECT(CONCATENATE("O",12+Q36-100))</f>
        <v>#VALUE!</v>
      </c>
      <c r="R37" s="120">
        <f>IFERROR(VLOOKUP(O37,Bewertungstabelle!A2:B32,2,0),0)</f>
        <v>0</v>
      </c>
    </row>
    <row r="38" spans="1:19" ht="12.4" customHeight="1" x14ac:dyDescent="0.2">
      <c r="A38" s="466"/>
      <c r="B38" s="467"/>
      <c r="C38" s="466"/>
      <c r="D38" s="467"/>
      <c r="E38" s="933"/>
      <c r="F38" s="472"/>
      <c r="G38" s="160">
        <f t="shared" si="2"/>
        <v>0</v>
      </c>
      <c r="H38" s="69">
        <f t="shared" si="3"/>
        <v>0</v>
      </c>
      <c r="I38" s="161">
        <f t="shared" si="4"/>
        <v>0</v>
      </c>
      <c r="J38" s="162">
        <f t="shared" si="5"/>
        <v>0</v>
      </c>
      <c r="K38" s="473"/>
      <c r="M38" s="831">
        <f t="shared" si="6"/>
        <v>0</v>
      </c>
      <c r="N38" s="6"/>
      <c r="O38" s="3"/>
      <c r="P38" s="3"/>
      <c r="Q38" s="150" t="e">
        <f ca="1">INDIRECT(CONCATENATE("Bewertungstabelle!B",2*O39+2))-INDIRECT(CONCATENATE("Bewertungstabelle!B",2*O40+2))</f>
        <v>#VALUE!</v>
      </c>
      <c r="R38" s="120">
        <f>R36-R37</f>
        <v>0</v>
      </c>
      <c r="S38" s="120">
        <f>IFERROR(VLOOKUP(R38,Bewertungstabelle!C2:D56,2,0),0)</f>
        <v>0</v>
      </c>
    </row>
    <row r="39" spans="1:19" ht="12.4" customHeight="1" x14ac:dyDescent="0.2">
      <c r="A39" s="466"/>
      <c r="B39" s="467"/>
      <c r="C39" s="466"/>
      <c r="D39" s="467"/>
      <c r="E39" s="933"/>
      <c r="F39" s="472"/>
      <c r="G39" s="160">
        <f t="shared" si="2"/>
        <v>0</v>
      </c>
      <c r="H39" s="69">
        <f t="shared" si="3"/>
        <v>0</v>
      </c>
      <c r="I39" s="161">
        <f t="shared" si="4"/>
        <v>0</v>
      </c>
      <c r="J39" s="162">
        <f t="shared" si="5"/>
        <v>0</v>
      </c>
      <c r="K39" s="473"/>
      <c r="M39" s="831">
        <f t="shared" si="6"/>
        <v>0</v>
      </c>
      <c r="N39" s="163"/>
      <c r="O39" s="169" t="e">
        <f ca="1">IF(Q37&gt;=0,O37,"")</f>
        <v>#VALUE!</v>
      </c>
      <c r="P39" s="163" t="e">
        <f ca="1">IF(Q37&lt;0,"Nur Berechnung von fehlender Ausbildung!",CONCATENATE("=Soll A1-Wert     (",INDIRECT(CONCATENATE("Bewertungstabelle!B",2*O39+2))," AW-Punkte)"))</f>
        <v>#VALUE!</v>
      </c>
      <c r="Q39" s="150"/>
    </row>
    <row r="40" spans="1:19" ht="12.4" customHeight="1" x14ac:dyDescent="0.2">
      <c r="A40" s="466"/>
      <c r="B40" s="467"/>
      <c r="C40" s="466"/>
      <c r="D40" s="467"/>
      <c r="E40" s="933"/>
      <c r="F40" s="472"/>
      <c r="G40" s="160">
        <f t="shared" si="2"/>
        <v>0</v>
      </c>
      <c r="H40" s="69">
        <f t="shared" si="3"/>
        <v>0</v>
      </c>
      <c r="I40" s="161">
        <f t="shared" si="4"/>
        <v>0</v>
      </c>
      <c r="J40" s="162">
        <f t="shared" si="5"/>
        <v>0</v>
      </c>
      <c r="K40" s="473"/>
      <c r="M40" s="831">
        <f t="shared" si="6"/>
        <v>0</v>
      </c>
      <c r="N40" s="163"/>
      <c r="O40" s="169" t="e">
        <f ca="1">IF(Q37&gt;=0,INDIRECT(CONCATENATE("O",12+Q36-100,"")),"")</f>
        <v>#VALUE!</v>
      </c>
      <c r="P40" s="163" t="e">
        <f ca="1">IF(Q37&lt;0,"Nur Berechnung von fehlender Ausbildung!",CONCATENATE("=IST  A1-Wert     (",INDIRECT(CONCATENATE("Bewertungstabelle!B",2*O40+2))," AW-Punkte)"))</f>
        <v>#VALUE!</v>
      </c>
      <c r="Q40" s="150"/>
    </row>
    <row r="41" spans="1:19" ht="12.4" customHeight="1" x14ac:dyDescent="0.2">
      <c r="A41" s="466"/>
      <c r="B41" s="467"/>
      <c r="C41" s="466"/>
      <c r="D41" s="467"/>
      <c r="E41" s="933"/>
      <c r="F41" s="472"/>
      <c r="G41" s="160">
        <f t="shared" si="2"/>
        <v>0</v>
      </c>
      <c r="H41" s="69">
        <f t="shared" si="3"/>
        <v>0</v>
      </c>
      <c r="I41" s="161">
        <f t="shared" si="4"/>
        <v>0</v>
      </c>
      <c r="J41" s="162">
        <f t="shared" si="5"/>
        <v>0</v>
      </c>
      <c r="K41" s="473"/>
      <c r="M41" s="831">
        <f t="shared" si="6"/>
        <v>0</v>
      </c>
      <c r="N41" s="163"/>
      <c r="O41" s="163"/>
      <c r="P41" s="163"/>
      <c r="Q41" s="150"/>
    </row>
    <row r="42" spans="1:19" x14ac:dyDescent="0.2">
      <c r="A42" s="466"/>
      <c r="B42" s="467"/>
      <c r="C42" s="466"/>
      <c r="D42" s="467"/>
      <c r="E42" s="933"/>
      <c r="F42" s="472"/>
      <c r="G42" s="160">
        <f t="shared" si="2"/>
        <v>0</v>
      </c>
      <c r="H42" s="69">
        <f t="shared" si="3"/>
        <v>0</v>
      </c>
      <c r="I42" s="161">
        <f t="shared" si="4"/>
        <v>0</v>
      </c>
      <c r="J42" s="162">
        <f t="shared" si="5"/>
        <v>0</v>
      </c>
      <c r="K42" s="473"/>
      <c r="M42" s="831">
        <f t="shared" si="6"/>
        <v>0</v>
      </c>
      <c r="N42" s="163"/>
      <c r="O42" s="823" t="str">
        <f ca="1">IFERROR(VLOOKUP(Q38,Bewertungstabelle!C2:D56,2),"")</f>
        <v/>
      </c>
      <c r="P42" s="824" t="str">
        <f ca="1">IFERROR(IF(Q37&lt;0,"Nur Berechnung von fehlender Ausbildung!"," =Zusätzlicher  A2-Abzug resp. zus. erforderliche Erfahrungsjahre"),"")</f>
        <v/>
      </c>
      <c r="Q42" s="150"/>
    </row>
    <row r="43" spans="1:19" x14ac:dyDescent="0.2">
      <c r="A43" s="466"/>
      <c r="B43" s="467"/>
      <c r="C43" s="466"/>
      <c r="D43" s="467"/>
      <c r="E43" s="933"/>
      <c r="F43" s="472"/>
      <c r="G43" s="160">
        <f t="shared" si="2"/>
        <v>0</v>
      </c>
      <c r="H43" s="69">
        <f t="shared" si="3"/>
        <v>0</v>
      </c>
      <c r="I43" s="161">
        <f t="shared" si="4"/>
        <v>0</v>
      </c>
      <c r="J43" s="162">
        <f t="shared" si="5"/>
        <v>0</v>
      </c>
      <c r="K43" s="473"/>
      <c r="M43" s="831">
        <f t="shared" si="6"/>
        <v>0</v>
      </c>
      <c r="O43" s="194"/>
      <c r="P43" s="822"/>
      <c r="Q43" s="150"/>
    </row>
    <row r="44" spans="1:19" x14ac:dyDescent="0.2">
      <c r="A44" s="466"/>
      <c r="B44" s="467"/>
      <c r="C44" s="466"/>
      <c r="D44" s="467"/>
      <c r="E44" s="933"/>
      <c r="F44" s="472"/>
      <c r="G44" s="160">
        <f t="shared" si="2"/>
        <v>0</v>
      </c>
      <c r="H44" s="69">
        <f t="shared" si="3"/>
        <v>0</v>
      </c>
      <c r="I44" s="161">
        <f t="shared" si="4"/>
        <v>0</v>
      </c>
      <c r="J44" s="162">
        <f t="shared" si="5"/>
        <v>0</v>
      </c>
      <c r="K44" s="473"/>
      <c r="M44" s="831">
        <f t="shared" si="6"/>
        <v>0</v>
      </c>
      <c r="Q44" s="150"/>
    </row>
    <row r="45" spans="1:19" x14ac:dyDescent="0.2">
      <c r="A45" s="466"/>
      <c r="B45" s="467"/>
      <c r="C45" s="466"/>
      <c r="D45" s="467"/>
      <c r="E45" s="933"/>
      <c r="F45" s="472"/>
      <c r="G45" s="160">
        <f t="shared" ref="G45:G56" si="7">INT(D45-B45+C45/12-A45/12+1/12)</f>
        <v>0</v>
      </c>
      <c r="H45" s="69">
        <f t="shared" ref="H45:H56" si="8">IF(A45&gt;0,(D45-B45+C45/12-A45/12+1/12-INT(D45-B45+C45/12-A45/12+1/12))*12,0)</f>
        <v>0</v>
      </c>
      <c r="I45" s="161">
        <f t="shared" ref="I45:I56" si="9">INT(((G45*12+H45)*F45)/12)</f>
        <v>0</v>
      </c>
      <c r="J45" s="162">
        <f t="shared" ref="J45:J56" si="10">F45*(G45*12+H45)-I45*12</f>
        <v>0</v>
      </c>
      <c r="K45" s="473"/>
      <c r="M45" s="831">
        <f t="shared" si="6"/>
        <v>0</v>
      </c>
      <c r="N45" s="826" t="s">
        <v>2001</v>
      </c>
      <c r="Q45" s="150"/>
    </row>
    <row r="46" spans="1:19" x14ac:dyDescent="0.2">
      <c r="A46" s="466"/>
      <c r="B46" s="467"/>
      <c r="C46" s="466"/>
      <c r="D46" s="467"/>
      <c r="E46" s="933"/>
      <c r="F46" s="472"/>
      <c r="G46" s="160">
        <f t="shared" si="7"/>
        <v>0</v>
      </c>
      <c r="H46" s="69">
        <f t="shared" si="8"/>
        <v>0</v>
      </c>
      <c r="I46" s="161">
        <f t="shared" si="9"/>
        <v>0</v>
      </c>
      <c r="J46" s="162">
        <f t="shared" si="10"/>
        <v>0</v>
      </c>
      <c r="K46" s="473"/>
      <c r="M46" s="831">
        <f t="shared" si="6"/>
        <v>0</v>
      </c>
      <c r="N46" s="826" t="s">
        <v>2002</v>
      </c>
      <c r="Q46" s="815"/>
    </row>
    <row r="47" spans="1:19" x14ac:dyDescent="0.2">
      <c r="A47" s="466"/>
      <c r="B47" s="467"/>
      <c r="C47" s="466"/>
      <c r="D47" s="467"/>
      <c r="E47" s="933"/>
      <c r="F47" s="472"/>
      <c r="G47" s="160">
        <f t="shared" si="7"/>
        <v>0</v>
      </c>
      <c r="H47" s="69">
        <f t="shared" si="8"/>
        <v>0</v>
      </c>
      <c r="I47" s="161">
        <f t="shared" si="9"/>
        <v>0</v>
      </c>
      <c r="J47" s="162">
        <f t="shared" si="10"/>
        <v>0</v>
      </c>
      <c r="K47" s="473"/>
      <c r="M47" s="831">
        <f t="shared" si="6"/>
        <v>0</v>
      </c>
      <c r="N47" s="112" t="s">
        <v>2003</v>
      </c>
      <c r="Q47" s="150"/>
    </row>
    <row r="48" spans="1:19" x14ac:dyDescent="0.2">
      <c r="A48" s="469"/>
      <c r="B48" s="470"/>
      <c r="C48" s="469"/>
      <c r="D48" s="470"/>
      <c r="E48" s="934"/>
      <c r="F48" s="935"/>
      <c r="G48" s="170">
        <f t="shared" si="7"/>
        <v>0</v>
      </c>
      <c r="H48" s="171">
        <f t="shared" si="8"/>
        <v>0</v>
      </c>
      <c r="I48" s="172">
        <f t="shared" si="9"/>
        <v>0</v>
      </c>
      <c r="J48" s="173">
        <f t="shared" si="10"/>
        <v>0</v>
      </c>
      <c r="K48" s="475"/>
      <c r="M48" s="831">
        <f t="shared" si="6"/>
        <v>0</v>
      </c>
      <c r="Q48" s="815"/>
    </row>
    <row r="49" spans="1:19" hidden="1" x14ac:dyDescent="0.2">
      <c r="A49" s="466"/>
      <c r="B49" s="468"/>
      <c r="C49" s="466"/>
      <c r="D49" s="468"/>
      <c r="E49" s="471"/>
      <c r="F49" s="472"/>
      <c r="G49" s="160">
        <f t="shared" si="7"/>
        <v>0</v>
      </c>
      <c r="H49" s="69">
        <f t="shared" si="8"/>
        <v>0</v>
      </c>
      <c r="I49" s="161">
        <f t="shared" si="9"/>
        <v>0</v>
      </c>
      <c r="J49" s="162">
        <f t="shared" si="10"/>
        <v>0</v>
      </c>
      <c r="K49" s="473"/>
      <c r="M49" s="831">
        <f>IF(K49&lt;&gt;"",G49*12+H49,0)</f>
        <v>0</v>
      </c>
      <c r="N49" s="112"/>
      <c r="Q49" s="150"/>
    </row>
    <row r="50" spans="1:19" hidden="1" x14ac:dyDescent="0.2">
      <c r="A50" s="466"/>
      <c r="B50" s="468"/>
      <c r="C50" s="466"/>
      <c r="D50" s="468"/>
      <c r="E50" s="471"/>
      <c r="F50" s="472"/>
      <c r="G50" s="160">
        <f t="shared" si="7"/>
        <v>0</v>
      </c>
      <c r="H50" s="69">
        <f t="shared" si="8"/>
        <v>0</v>
      </c>
      <c r="I50" s="161">
        <f t="shared" si="9"/>
        <v>0</v>
      </c>
      <c r="J50" s="162">
        <f t="shared" si="10"/>
        <v>0</v>
      </c>
      <c r="K50" s="473"/>
      <c r="M50" s="831">
        <f t="shared" ref="M50:M56" si="11">IF(K50&lt;&gt;"",G50*12+H50,0)</f>
        <v>0</v>
      </c>
      <c r="Q50" s="815"/>
    </row>
    <row r="51" spans="1:19" hidden="1" x14ac:dyDescent="0.2">
      <c r="A51" s="466"/>
      <c r="B51" s="468"/>
      <c r="C51" s="466"/>
      <c r="D51" s="468"/>
      <c r="E51" s="471"/>
      <c r="F51" s="472"/>
      <c r="G51" s="160">
        <f t="shared" si="7"/>
        <v>0</v>
      </c>
      <c r="H51" s="69">
        <f t="shared" si="8"/>
        <v>0</v>
      </c>
      <c r="I51" s="161">
        <f t="shared" si="9"/>
        <v>0</v>
      </c>
      <c r="J51" s="162">
        <f t="shared" si="10"/>
        <v>0</v>
      </c>
      <c r="K51" s="473"/>
      <c r="M51" s="831">
        <f t="shared" si="11"/>
        <v>0</v>
      </c>
      <c r="N51" s="112"/>
      <c r="Q51" s="150"/>
    </row>
    <row r="52" spans="1:19" hidden="1" x14ac:dyDescent="0.2">
      <c r="A52" s="466"/>
      <c r="B52" s="468"/>
      <c r="C52" s="466"/>
      <c r="D52" s="468"/>
      <c r="E52" s="933"/>
      <c r="F52" s="472"/>
      <c r="G52" s="160">
        <f t="shared" ref="G52:G53" si="12">INT(D52-B52+C52/12-A52/12+1/12)</f>
        <v>0</v>
      </c>
      <c r="H52" s="69">
        <f t="shared" ref="H52:H53" si="13">IF(A52&gt;0,(D52-B52+C52/12-A52/12+1/12-INT(D52-B52+C52/12-A52/12+1/12))*12,0)</f>
        <v>0</v>
      </c>
      <c r="I52" s="161">
        <f t="shared" ref="I52:I53" si="14">INT(((G52*12+H52)*F52)/12)</f>
        <v>0</v>
      </c>
      <c r="J52" s="162">
        <f t="shared" ref="J52:J53" si="15">F52*(G52*12+H52)-I52*12</f>
        <v>0</v>
      </c>
      <c r="K52" s="473"/>
      <c r="M52" s="831">
        <f t="shared" si="11"/>
        <v>0</v>
      </c>
      <c r="N52" s="112"/>
      <c r="Q52" s="150"/>
    </row>
    <row r="53" spans="1:19" hidden="1" x14ac:dyDescent="0.2">
      <c r="A53" s="466"/>
      <c r="B53" s="468"/>
      <c r="C53" s="466"/>
      <c r="D53" s="468"/>
      <c r="E53" s="933"/>
      <c r="F53" s="472"/>
      <c r="G53" s="160">
        <f t="shared" si="12"/>
        <v>0</v>
      </c>
      <c r="H53" s="69">
        <f t="shared" si="13"/>
        <v>0</v>
      </c>
      <c r="I53" s="161">
        <f t="shared" si="14"/>
        <v>0</v>
      </c>
      <c r="J53" s="162">
        <f t="shared" si="15"/>
        <v>0</v>
      </c>
      <c r="K53" s="473"/>
      <c r="M53" s="831">
        <f t="shared" si="11"/>
        <v>0</v>
      </c>
      <c r="N53" s="112"/>
      <c r="Q53" s="150"/>
    </row>
    <row r="54" spans="1:19" hidden="1" x14ac:dyDescent="0.2">
      <c r="A54" s="466"/>
      <c r="B54" s="468"/>
      <c r="C54" s="466"/>
      <c r="D54" s="468"/>
      <c r="E54" s="471"/>
      <c r="F54" s="472"/>
      <c r="G54" s="160">
        <f t="shared" si="7"/>
        <v>0</v>
      </c>
      <c r="H54" s="69">
        <f t="shared" si="8"/>
        <v>0</v>
      </c>
      <c r="I54" s="161">
        <f t="shared" si="9"/>
        <v>0</v>
      </c>
      <c r="J54" s="162">
        <f t="shared" si="10"/>
        <v>0</v>
      </c>
      <c r="K54" s="473"/>
      <c r="M54" s="831">
        <f t="shared" si="11"/>
        <v>0</v>
      </c>
      <c r="Q54" s="815"/>
    </row>
    <row r="55" spans="1:19" hidden="1" x14ac:dyDescent="0.2">
      <c r="A55" s="466"/>
      <c r="B55" s="468"/>
      <c r="C55" s="466"/>
      <c r="D55" s="468"/>
      <c r="E55" s="471"/>
      <c r="F55" s="472"/>
      <c r="G55" s="160">
        <f t="shared" si="7"/>
        <v>0</v>
      </c>
      <c r="H55" s="69">
        <f t="shared" si="8"/>
        <v>0</v>
      </c>
      <c r="I55" s="161">
        <f t="shared" si="9"/>
        <v>0</v>
      </c>
      <c r="J55" s="162">
        <f t="shared" si="10"/>
        <v>0</v>
      </c>
      <c r="K55" s="473"/>
      <c r="M55" s="831">
        <f t="shared" si="11"/>
        <v>0</v>
      </c>
      <c r="N55" s="112"/>
      <c r="Q55" s="150"/>
    </row>
    <row r="56" spans="1:19" hidden="1" x14ac:dyDescent="0.2">
      <c r="A56" s="466"/>
      <c r="B56" s="468"/>
      <c r="C56" s="466"/>
      <c r="D56" s="468"/>
      <c r="E56" s="471"/>
      <c r="F56" s="472"/>
      <c r="G56" s="160">
        <f t="shared" si="7"/>
        <v>0</v>
      </c>
      <c r="H56" s="69">
        <f t="shared" si="8"/>
        <v>0</v>
      </c>
      <c r="I56" s="161">
        <f t="shared" si="9"/>
        <v>0</v>
      </c>
      <c r="J56" s="162">
        <f t="shared" si="10"/>
        <v>0</v>
      </c>
      <c r="K56" s="473"/>
      <c r="M56" s="831">
        <f t="shared" si="11"/>
        <v>0</v>
      </c>
      <c r="N56" s="112"/>
      <c r="Q56" s="815"/>
    </row>
    <row r="57" spans="1:19" hidden="1" x14ac:dyDescent="0.2">
      <c r="A57" s="466"/>
      <c r="B57" s="468"/>
      <c r="C57" s="466"/>
      <c r="D57" s="468"/>
      <c r="E57" s="471"/>
      <c r="F57" s="472"/>
      <c r="G57" s="160">
        <f t="shared" si="2"/>
        <v>0</v>
      </c>
      <c r="H57" s="69">
        <f t="shared" si="3"/>
        <v>0</v>
      </c>
      <c r="I57" s="161">
        <f t="shared" si="4"/>
        <v>0</v>
      </c>
      <c r="J57" s="162">
        <f t="shared" si="5"/>
        <v>0</v>
      </c>
      <c r="K57" s="473"/>
      <c r="M57" s="831">
        <f t="shared" si="6"/>
        <v>0</v>
      </c>
      <c r="N57" s="112"/>
      <c r="Q57" s="150"/>
    </row>
    <row r="58" spans="1:19" hidden="1" x14ac:dyDescent="0.2">
      <c r="A58" s="469"/>
      <c r="B58" s="470"/>
      <c r="C58" s="469"/>
      <c r="D58" s="470"/>
      <c r="E58" s="469"/>
      <c r="F58" s="474"/>
      <c r="G58" s="170">
        <f t="shared" si="2"/>
        <v>0</v>
      </c>
      <c r="H58" s="171">
        <f t="shared" si="3"/>
        <v>0</v>
      </c>
      <c r="I58" s="172">
        <f t="shared" si="4"/>
        <v>0</v>
      </c>
      <c r="J58" s="173">
        <f t="shared" si="5"/>
        <v>0</v>
      </c>
      <c r="K58" s="475"/>
      <c r="M58" s="831">
        <f t="shared" si="6"/>
        <v>0</v>
      </c>
      <c r="Q58" s="815"/>
    </row>
    <row r="59" spans="1:19" s="174" customFormat="1" ht="1.9" customHeight="1" x14ac:dyDescent="0.2">
      <c r="A59" s="122"/>
      <c r="B59" s="122"/>
      <c r="C59" s="122"/>
      <c r="D59" s="122"/>
      <c r="E59" s="122"/>
      <c r="F59" s="122"/>
      <c r="I59" s="175"/>
      <c r="J59" s="176"/>
      <c r="K59" s="177"/>
      <c r="M59" s="831"/>
      <c r="Q59" s="815"/>
      <c r="R59" s="816"/>
      <c r="S59" s="816"/>
    </row>
    <row r="60" spans="1:19" ht="12.4" customHeight="1" x14ac:dyDescent="0.2">
      <c r="A60" s="122"/>
      <c r="B60" s="122"/>
      <c r="C60" s="122"/>
      <c r="D60" s="122"/>
      <c r="E60" s="122"/>
      <c r="F60" s="122"/>
      <c r="G60" s="122"/>
      <c r="H60" s="122"/>
      <c r="I60" s="161">
        <f>SUM(I27:I59)</f>
        <v>0</v>
      </c>
      <c r="J60" s="162">
        <f>SUM(J27:J59)</f>
        <v>0</v>
      </c>
      <c r="K60" s="178">
        <f>IF(SUM(M27:M58)&gt;0,CONCATENATE(K11,"J/",J11,"Mt."),0)</f>
        <v>0</v>
      </c>
      <c r="M60" s="831"/>
      <c r="N60" s="111" t="str">
        <f>IF(K60&gt;0,"= Anzahl angerechnete Monate für Dienstjubiläum/Treueprämie","")</f>
        <v/>
      </c>
      <c r="Q60" s="815"/>
    </row>
    <row r="61" spans="1:19" ht="12.4" customHeight="1" x14ac:dyDescent="0.2">
      <c r="C61" s="125"/>
      <c r="D61" s="124"/>
      <c r="E61" s="100"/>
      <c r="I61" s="179">
        <f>I60+INT(J60/12)</f>
        <v>0</v>
      </c>
      <c r="J61" s="180">
        <f>ROUND(+I60*12+J60-I61*12,0)</f>
        <v>0</v>
      </c>
      <c r="K61" s="102"/>
      <c r="M61" s="831"/>
      <c r="Q61" s="817"/>
    </row>
    <row r="62" spans="1:19" x14ac:dyDescent="0.2">
      <c r="A62" s="129" t="s">
        <v>278</v>
      </c>
      <c r="B62" s="181"/>
      <c r="C62" s="127"/>
      <c r="D62" s="127"/>
      <c r="E62" s="182" t="str">
        <f>IF(M6&lt;&gt;"ok","A2-Wert-Ermittlung gem. Richtlinie",CONCATENATE("A2-Wert aus MU ",I6," =",IF(M6="ok",I62,"")))</f>
        <v>A2-Wert-Ermittlung gem. Richtlinie</v>
      </c>
      <c r="F62" s="183" t="s">
        <v>9</v>
      </c>
      <c r="G62" s="184" t="s">
        <v>10</v>
      </c>
      <c r="H62" s="128"/>
      <c r="I62" s="105" t="str">
        <f>IFERROR(IF(OR(N5&lt;&gt;"",Q4&lt;&gt;""),Q5,IF(N6&lt;&gt;"",Q6,IF(N7&lt;&gt;"",Q7,""))),"")</f>
        <v/>
      </c>
      <c r="J62" s="159"/>
      <c r="K62" s="102"/>
      <c r="M62" s="831"/>
      <c r="Q62" s="817"/>
    </row>
    <row r="63" spans="1:19" x14ac:dyDescent="0.2">
      <c r="A63" s="126" t="s">
        <v>269</v>
      </c>
      <c r="B63" s="127"/>
      <c r="C63" s="127"/>
      <c r="D63" s="127"/>
      <c r="E63" s="476"/>
      <c r="F63" s="1289" t="s">
        <v>1104</v>
      </c>
      <c r="G63" s="1290"/>
      <c r="H63" s="1291"/>
      <c r="I63" s="477"/>
      <c r="J63" s="478"/>
      <c r="K63" s="186"/>
      <c r="M63" s="831"/>
      <c r="Q63" s="120"/>
    </row>
    <row r="64" spans="1:19" x14ac:dyDescent="0.2">
      <c r="A64" s="126" t="s">
        <v>13</v>
      </c>
      <c r="B64" s="127"/>
      <c r="C64" s="127"/>
      <c r="D64" s="127"/>
      <c r="E64" s="476"/>
      <c r="F64" s="1289" t="s">
        <v>1105</v>
      </c>
      <c r="G64" s="1290"/>
      <c r="H64" s="1291"/>
      <c r="I64" s="479">
        <f>IFERROR(IF(S36=0,0,IF(Q38&lt;=0,0,O42)),0)</f>
        <v>0</v>
      </c>
      <c r="J64" s="480"/>
      <c r="K64" s="186"/>
      <c r="L64" s="186"/>
      <c r="M64" s="831"/>
      <c r="Q64" s="120"/>
    </row>
    <row r="65" spans="1:18" x14ac:dyDescent="0.2">
      <c r="E65" s="126"/>
      <c r="F65" s="127"/>
      <c r="G65" s="185" t="s">
        <v>809</v>
      </c>
      <c r="H65" s="128"/>
      <c r="I65" s="161" t="str">
        <f>IFERROR(INT(((I61-I62+I63-I64)*12+J61)/12),"")</f>
        <v/>
      </c>
      <c r="J65" s="541" t="str">
        <f>IFERROR(((I61-I62+I63-I64)*12+J61+J63-J64)-(I65*12),"")</f>
        <v/>
      </c>
      <c r="K65" s="186"/>
      <c r="L65" s="186"/>
      <c r="M65" s="831"/>
      <c r="Q65" s="120"/>
    </row>
    <row r="66" spans="1:18" x14ac:dyDescent="0.2">
      <c r="E66" s="126"/>
      <c r="F66" s="127"/>
      <c r="G66" s="185" t="s">
        <v>810</v>
      </c>
      <c r="H66" s="128"/>
      <c r="I66" s="187" t="e">
        <f>IF(J65&lt;-6,I65-1,IF(J65&lt;6,I65,I65+1))</f>
        <v>#VALUE!</v>
      </c>
      <c r="J66" s="542"/>
      <c r="K66" s="186"/>
      <c r="L66" s="186"/>
      <c r="M66" s="831"/>
      <c r="Q66" s="1269" t="s">
        <v>937</v>
      </c>
      <c r="R66" s="1270"/>
    </row>
    <row r="67" spans="1:18" x14ac:dyDescent="0.2">
      <c r="E67" s="100"/>
      <c r="I67" s="540" t="s">
        <v>753</v>
      </c>
      <c r="J67" s="543" t="s">
        <v>754</v>
      </c>
      <c r="K67" s="1283" t="s">
        <v>1101</v>
      </c>
      <c r="L67" s="1284"/>
      <c r="M67" s="831"/>
      <c r="N67" s="1268" t="s">
        <v>1811</v>
      </c>
      <c r="O67" s="1268"/>
      <c r="P67" s="1268"/>
      <c r="Q67" s="825">
        <v>1</v>
      </c>
      <c r="R67" s="819">
        <v>1</v>
      </c>
    </row>
    <row r="68" spans="1:18" x14ac:dyDescent="0.2">
      <c r="E68" s="100"/>
      <c r="F68" s="1274" t="s">
        <v>1102</v>
      </c>
      <c r="G68" s="1274"/>
      <c r="H68" s="1275"/>
      <c r="I68" s="544" t="str">
        <f>IFERROR(IF(M6="ok",VLOOKUP(M5,'MU-Daten'!B:H,7,0),""),"")</f>
        <v/>
      </c>
      <c r="J68" s="545" t="str">
        <f>IFERROR(IF(I66&gt;26,27,IF(I66&gt;-1,I66+1,IF(I66=-1,"A",IF(I66=-2,"B","C")))),"")</f>
        <v/>
      </c>
      <c r="K68" s="1285"/>
      <c r="L68" s="1286"/>
      <c r="M68" s="831"/>
      <c r="N68" s="1268"/>
      <c r="O68" s="1268"/>
      <c r="P68" s="1268"/>
      <c r="Q68" s="825">
        <v>2</v>
      </c>
      <c r="R68" s="819">
        <v>2</v>
      </c>
    </row>
    <row r="69" spans="1:18" x14ac:dyDescent="0.2">
      <c r="E69" s="100"/>
      <c r="I69" s="540" t="s">
        <v>753</v>
      </c>
      <c r="J69" s="543" t="s">
        <v>754</v>
      </c>
      <c r="K69" s="828" t="s">
        <v>753</v>
      </c>
      <c r="L69" s="829" t="s">
        <v>754</v>
      </c>
      <c r="M69" s="831"/>
      <c r="N69" s="1268"/>
      <c r="O69" s="1268"/>
      <c r="P69" s="1268"/>
      <c r="Q69" s="825"/>
      <c r="R69" s="819"/>
    </row>
    <row r="70" spans="1:18" x14ac:dyDescent="0.2">
      <c r="E70" s="100"/>
      <c r="F70" s="1274" t="s">
        <v>1103</v>
      </c>
      <c r="G70" s="1274"/>
      <c r="H70" s="1275"/>
      <c r="I70" s="217" t="str">
        <f>IF(ISBLANK(K70),I68,K70)</f>
        <v/>
      </c>
      <c r="J70" s="217" t="str">
        <f>IF(ISBLANK(L70),J68,L70)</f>
        <v/>
      </c>
      <c r="K70" s="827"/>
      <c r="L70" s="830"/>
      <c r="M70" s="831"/>
      <c r="N70" s="1268"/>
      <c r="O70" s="1268"/>
      <c r="P70" s="1268"/>
      <c r="Q70" s="825"/>
      <c r="R70" s="819"/>
    </row>
    <row r="71" spans="1:18" ht="12.75" customHeight="1" x14ac:dyDescent="0.2">
      <c r="D71" s="1247" t="str">
        <f>IF(BGLohnBer=100,"",CONCATENATE("Monatslohnansatz (Stand ",LohntabelleM!I1,", x13, bei 100%):"))</f>
        <v>Monatslohnansatz (Stand 2026, x13, bei 100%):</v>
      </c>
      <c r="E71" s="1248"/>
      <c r="F71" s="1248"/>
      <c r="G71" s="1248"/>
      <c r="H71" s="1249"/>
      <c r="I71" s="1287" t="str">
        <f>IFERROR(IF(I70="","",HLOOKUP(J70,LohntabelleM!$A$3:$AE$31,I70+1,FALSE)),"")</f>
        <v/>
      </c>
      <c r="J71" s="1288"/>
      <c r="K71" s="188"/>
      <c r="L71" s="216"/>
      <c r="M71" s="831"/>
      <c r="N71" s="1268"/>
      <c r="O71" s="1268"/>
      <c r="P71" s="1268"/>
      <c r="Q71" s="825">
        <v>3</v>
      </c>
      <c r="R71" s="819">
        <v>3</v>
      </c>
    </row>
    <row r="72" spans="1:18" ht="12.75" customHeight="1" x14ac:dyDescent="0.2">
      <c r="D72" s="1247" t="s">
        <v>960</v>
      </c>
      <c r="E72" s="1248"/>
      <c r="F72" s="1248"/>
      <c r="G72" s="1248"/>
      <c r="H72" s="1249"/>
      <c r="I72" s="1250"/>
      <c r="J72" s="1251"/>
      <c r="K72" s="102"/>
      <c r="L72" s="216"/>
      <c r="M72" s="831"/>
      <c r="N72" s="1268"/>
      <c r="O72" s="1268"/>
      <c r="P72" s="1268"/>
      <c r="Q72" s="825">
        <v>3</v>
      </c>
      <c r="R72" s="819">
        <v>3</v>
      </c>
    </row>
    <row r="73" spans="1:18" ht="12.75" customHeight="1" x14ac:dyDescent="0.2">
      <c r="D73" s="1247" t="str">
        <f>IF(I72=100,CONCATENATE("Monatslohnansatz (Stand ",LohntabelleM!I1,", x13, bei 100%):"),CONCATENATE("Effektiver Monatslohnansatz (Stand ",LohntabelleM!I1,", x13, bei ",BGLohnBer,"%):"))</f>
        <v>Effektiver Monatslohnansatz (Stand 2026, x13, bei %):</v>
      </c>
      <c r="E73" s="1248"/>
      <c r="F73" s="1248"/>
      <c r="G73" s="1248"/>
      <c r="H73" s="1249"/>
      <c r="I73" s="1252" t="str">
        <f>IFERROR(I71*I72%,"")</f>
        <v/>
      </c>
      <c r="J73" s="1253"/>
      <c r="K73" s="218"/>
      <c r="L73" s="216"/>
      <c r="M73" s="831"/>
      <c r="Q73" s="818">
        <v>3</v>
      </c>
      <c r="R73" s="819">
        <v>3</v>
      </c>
    </row>
    <row r="74" spans="1:18" ht="12.75" customHeight="1" x14ac:dyDescent="0.2">
      <c r="D74" s="1263" t="s">
        <v>991</v>
      </c>
      <c r="E74" s="1264"/>
      <c r="F74" s="1264"/>
      <c r="G74" s="1264"/>
      <c r="H74" s="1265"/>
      <c r="I74" s="1266" t="str">
        <f>IFERROR(I71/182.7, "")</f>
        <v/>
      </c>
      <c r="J74" s="1267"/>
      <c r="K74" s="218"/>
      <c r="L74" s="216"/>
      <c r="M74" s="831"/>
      <c r="Q74" s="818">
        <v>3</v>
      </c>
      <c r="R74" s="819">
        <v>3</v>
      </c>
    </row>
    <row r="75" spans="1:18" x14ac:dyDescent="0.2">
      <c r="A75" s="189" t="s">
        <v>11</v>
      </c>
      <c r="B75" s="190"/>
      <c r="C75" s="190"/>
      <c r="D75" s="190"/>
      <c r="E75" s="190"/>
      <c r="F75" s="190"/>
      <c r="G75" s="190"/>
      <c r="H75" s="190"/>
      <c r="I75" s="191"/>
      <c r="J75" s="192"/>
      <c r="K75" s="102"/>
      <c r="M75" s="831"/>
      <c r="Q75" s="818">
        <v>4</v>
      </c>
      <c r="R75" s="819">
        <v>4</v>
      </c>
    </row>
    <row r="76" spans="1:18" ht="12.75" customHeight="1" x14ac:dyDescent="0.2">
      <c r="A76" s="1257" t="str">
        <f>IFERROR(CONCATENATE("Jahreslohn bei 100%: CHF ",TEXT(I71*13,"0'000.00")),"")</f>
        <v/>
      </c>
      <c r="B76" s="1258"/>
      <c r="C76" s="1258"/>
      <c r="D76" s="1258"/>
      <c r="E76" s="1258"/>
      <c r="F76" s="1258"/>
      <c r="G76" s="1258"/>
      <c r="H76" s="1258"/>
      <c r="I76" s="1258"/>
      <c r="J76" s="1258"/>
      <c r="K76" s="1259"/>
      <c r="M76" s="831"/>
      <c r="Q76" s="818">
        <v>5</v>
      </c>
      <c r="R76" s="819">
        <v>5</v>
      </c>
    </row>
    <row r="77" spans="1:18" x14ac:dyDescent="0.2">
      <c r="A77" s="1260" t="str">
        <f>IF(BGLohnBer=100,"",IFERROR(CONCATENATE("Jahreslohn gemäss Beschäftigungsgrad (",BGLohnBer,"%): CHF ",TEXT(I73*13,"0'000.00")),""))</f>
        <v/>
      </c>
      <c r="B77" s="1261"/>
      <c r="C77" s="1261"/>
      <c r="D77" s="1261"/>
      <c r="E77" s="1261"/>
      <c r="F77" s="1261"/>
      <c r="G77" s="1261"/>
      <c r="H77" s="1261"/>
      <c r="I77" s="1261"/>
      <c r="J77" s="1261"/>
      <c r="K77" s="1262"/>
      <c r="M77" s="831"/>
      <c r="Q77" s="818">
        <v>6</v>
      </c>
      <c r="R77" s="819">
        <v>6</v>
      </c>
    </row>
    <row r="78" spans="1:18" x14ac:dyDescent="0.2">
      <c r="A78" s="1254"/>
      <c r="B78" s="1255"/>
      <c r="C78" s="1255"/>
      <c r="D78" s="1255"/>
      <c r="E78" s="1255"/>
      <c r="F78" s="1255"/>
      <c r="G78" s="1255"/>
      <c r="H78" s="1255"/>
      <c r="I78" s="1255"/>
      <c r="J78" s="1255"/>
      <c r="K78" s="1256"/>
      <c r="M78" s="831"/>
      <c r="N78" s="213"/>
      <c r="Q78" s="818">
        <v>7</v>
      </c>
      <c r="R78" s="819">
        <v>7</v>
      </c>
    </row>
    <row r="79" spans="1:18" x14ac:dyDescent="0.2">
      <c r="A79" s="1254"/>
      <c r="B79" s="1255"/>
      <c r="C79" s="1255"/>
      <c r="D79" s="1255"/>
      <c r="E79" s="1255"/>
      <c r="F79" s="1255"/>
      <c r="G79" s="1255"/>
      <c r="H79" s="1255"/>
      <c r="I79" s="1255"/>
      <c r="J79" s="1255"/>
      <c r="K79" s="1256"/>
      <c r="L79" s="123"/>
      <c r="M79" s="831"/>
      <c r="Q79" s="818">
        <v>8</v>
      </c>
      <c r="R79" s="819">
        <v>8</v>
      </c>
    </row>
    <row r="80" spans="1:18" x14ac:dyDescent="0.2">
      <c r="A80" s="1254"/>
      <c r="B80" s="1255"/>
      <c r="C80" s="1255"/>
      <c r="D80" s="1255"/>
      <c r="E80" s="1255"/>
      <c r="F80" s="1255"/>
      <c r="G80" s="1255"/>
      <c r="H80" s="1255"/>
      <c r="I80" s="1255"/>
      <c r="J80" s="1255"/>
      <c r="K80" s="1256"/>
      <c r="L80" s="123"/>
      <c r="M80" s="831"/>
      <c r="Q80" s="818"/>
      <c r="R80" s="819"/>
    </row>
    <row r="81" spans="1:18" x14ac:dyDescent="0.2">
      <c r="A81" s="193" t="s">
        <v>12</v>
      </c>
      <c r="B81" s="190"/>
      <c r="C81" s="190"/>
      <c r="D81" s="190"/>
      <c r="E81" s="481">
        <f ca="1">TODAY()</f>
        <v>46009</v>
      </c>
      <c r="F81" s="190"/>
      <c r="G81" s="190"/>
      <c r="H81" s="190"/>
      <c r="I81" s="191"/>
      <c r="J81" s="191"/>
      <c r="K81" s="123"/>
      <c r="L81" s="123"/>
      <c r="M81" s="831"/>
      <c r="Q81" s="818"/>
      <c r="R81" s="819"/>
    </row>
    <row r="82" spans="1:18" x14ac:dyDescent="0.2">
      <c r="A82" s="193" t="s">
        <v>961</v>
      </c>
      <c r="B82" s="190"/>
      <c r="C82" s="190"/>
      <c r="D82" s="190"/>
      <c r="E82" s="481" t="s">
        <v>963</v>
      </c>
      <c r="F82" s="193"/>
      <c r="G82" s="190"/>
      <c r="H82" s="190"/>
      <c r="I82" s="190"/>
      <c r="J82" s="190"/>
      <c r="K82" s="123"/>
      <c r="M82" s="831"/>
      <c r="Q82" s="818">
        <v>9</v>
      </c>
      <c r="R82" s="819">
        <v>9</v>
      </c>
    </row>
    <row r="83" spans="1:18" ht="15.75" customHeight="1" x14ac:dyDescent="0.2">
      <c r="A83" s="193" t="s">
        <v>962</v>
      </c>
      <c r="B83" s="190"/>
      <c r="C83" s="190"/>
      <c r="D83" s="190"/>
      <c r="E83" s="481" t="s">
        <v>963</v>
      </c>
      <c r="F83" s="193"/>
      <c r="G83" s="190"/>
      <c r="H83" s="190"/>
      <c r="I83" s="190"/>
      <c r="J83" s="190"/>
      <c r="K83" s="123"/>
      <c r="M83" s="831"/>
      <c r="Q83" s="818">
        <v>10</v>
      </c>
      <c r="R83" s="819">
        <v>10</v>
      </c>
    </row>
    <row r="84" spans="1:18" x14ac:dyDescent="0.2">
      <c r="A84" s="58"/>
      <c r="B84" s="190"/>
      <c r="C84" s="190"/>
      <c r="D84" s="190"/>
      <c r="F84" s="190"/>
      <c r="G84" s="190"/>
      <c r="H84" s="190"/>
      <c r="I84" s="190"/>
      <c r="J84" s="191"/>
      <c r="K84" s="135"/>
      <c r="Q84" s="818">
        <v>11</v>
      </c>
      <c r="R84" s="819">
        <v>11</v>
      </c>
    </row>
    <row r="85" spans="1:18" x14ac:dyDescent="0.2">
      <c r="A85" s="482"/>
      <c r="B85" s="482"/>
      <c r="C85" s="482"/>
      <c r="D85" s="1149" t="s">
        <v>1029</v>
      </c>
      <c r="E85" s="1150"/>
      <c r="F85" s="190"/>
      <c r="G85" s="190"/>
      <c r="H85" s="190"/>
      <c r="I85" s="190"/>
      <c r="J85" s="482"/>
      <c r="K85" s="482"/>
      <c r="L85" s="482"/>
      <c r="Q85" s="818">
        <v>12</v>
      </c>
      <c r="R85" s="819">
        <v>12</v>
      </c>
    </row>
    <row r="86" spans="1:18" x14ac:dyDescent="0.2">
      <c r="D86" s="1151"/>
      <c r="E86" s="1152"/>
      <c r="F86" s="190"/>
      <c r="G86" s="190"/>
      <c r="H86" s="190"/>
      <c r="I86" s="190"/>
      <c r="Q86" s="818">
        <v>13</v>
      </c>
      <c r="R86" s="819">
        <v>13</v>
      </c>
    </row>
    <row r="87" spans="1:18" x14ac:dyDescent="0.2">
      <c r="F87" s="190"/>
      <c r="G87" s="190"/>
      <c r="H87" s="190"/>
      <c r="I87" s="190"/>
      <c r="Q87" s="818">
        <v>14</v>
      </c>
      <c r="R87" s="819">
        <v>14</v>
      </c>
    </row>
    <row r="88" spans="1:18" x14ac:dyDescent="0.2">
      <c r="F88" s="190"/>
      <c r="G88" s="190"/>
      <c r="H88" s="190"/>
      <c r="I88" s="190"/>
      <c r="Q88" s="818">
        <v>15</v>
      </c>
      <c r="R88" s="819">
        <v>15</v>
      </c>
    </row>
    <row r="89" spans="1:18" x14ac:dyDescent="0.2">
      <c r="Q89" s="818">
        <v>16</v>
      </c>
      <c r="R89" s="819">
        <v>16</v>
      </c>
    </row>
    <row r="90" spans="1:18" x14ac:dyDescent="0.2">
      <c r="Q90" s="818">
        <v>17</v>
      </c>
      <c r="R90" s="819" t="s">
        <v>932</v>
      </c>
    </row>
    <row r="91" spans="1:18" x14ac:dyDescent="0.2">
      <c r="Q91" s="818">
        <v>18</v>
      </c>
      <c r="R91" s="819" t="s">
        <v>932</v>
      </c>
    </row>
    <row r="92" spans="1:18" x14ac:dyDescent="0.2">
      <c r="Q92" s="818">
        <v>19</v>
      </c>
      <c r="R92" s="819" t="s">
        <v>933</v>
      </c>
    </row>
    <row r="93" spans="1:18" x14ac:dyDescent="0.2">
      <c r="Q93" s="818">
        <v>20</v>
      </c>
      <c r="R93" s="819" t="s">
        <v>933</v>
      </c>
    </row>
    <row r="94" spans="1:18" x14ac:dyDescent="0.2">
      <c r="Q94" s="818">
        <v>21</v>
      </c>
      <c r="R94" s="819" t="s">
        <v>934</v>
      </c>
    </row>
    <row r="95" spans="1:18" x14ac:dyDescent="0.2">
      <c r="Q95" s="818">
        <v>22</v>
      </c>
      <c r="R95" s="819" t="s">
        <v>934</v>
      </c>
    </row>
    <row r="96" spans="1:18" x14ac:dyDescent="0.2">
      <c r="Q96" s="818">
        <v>23</v>
      </c>
      <c r="R96" s="819" t="s">
        <v>935</v>
      </c>
    </row>
    <row r="97" spans="17:18" x14ac:dyDescent="0.2">
      <c r="Q97" s="818">
        <v>24</v>
      </c>
      <c r="R97" s="819" t="s">
        <v>935</v>
      </c>
    </row>
    <row r="98" spans="17:18" x14ac:dyDescent="0.2">
      <c r="Q98" s="818">
        <v>25</v>
      </c>
      <c r="R98" s="819" t="s">
        <v>936</v>
      </c>
    </row>
    <row r="99" spans="17:18" x14ac:dyDescent="0.2">
      <c r="Q99" s="818">
        <v>26</v>
      </c>
      <c r="R99" s="819" t="s">
        <v>936</v>
      </c>
    </row>
    <row r="100" spans="17:18" x14ac:dyDescent="0.2">
      <c r="Q100" s="818">
        <v>27</v>
      </c>
      <c r="R100" s="819">
        <v>27</v>
      </c>
    </row>
    <row r="101" spans="17:18" x14ac:dyDescent="0.2">
      <c r="Q101" s="818" t="s">
        <v>590</v>
      </c>
      <c r="R101" s="819" t="s">
        <v>590</v>
      </c>
    </row>
    <row r="102" spans="17:18" x14ac:dyDescent="0.2">
      <c r="Q102" s="818" t="s">
        <v>589</v>
      </c>
      <c r="R102" s="819" t="s">
        <v>589</v>
      </c>
    </row>
    <row r="103" spans="17:18" x14ac:dyDescent="0.2">
      <c r="Q103" s="820" t="s">
        <v>588</v>
      </c>
      <c r="R103" s="821" t="s">
        <v>588</v>
      </c>
    </row>
  </sheetData>
  <sheetProtection sheet="1" objects="1" scenarios="1"/>
  <protectedRanges>
    <protectedRange algorithmName="SHA-512" hashValue="gEk3j8ijIbm34vaY7LJWKRT4zzyVTAatuU5d+F/THqnb38HzYEkrLuEQKZ8PkNi1gLy1LI5GTqorjnr+usw0RA==" saltValue="0bIDaX74f4yrPhPGXuG8nA==" spinCount="100000" sqref="E6 I6 G7 N5:N7 I10:K10 N13:N34 A20:I24 A27:F58 K27:K58 E63:E64 I63:J64 I72 A78:K80 E81:E83 K70:L70" name="Eingabefelder"/>
  </protectedRanges>
  <mergeCells count="33">
    <mergeCell ref="I6:K6"/>
    <mergeCell ref="D71:H71"/>
    <mergeCell ref="F68:H68"/>
    <mergeCell ref="F70:H70"/>
    <mergeCell ref="E20:I20"/>
    <mergeCell ref="E21:I21"/>
    <mergeCell ref="E22:I22"/>
    <mergeCell ref="E23:I23"/>
    <mergeCell ref="E24:I24"/>
    <mergeCell ref="K67:L68"/>
    <mergeCell ref="I71:J71"/>
    <mergeCell ref="F63:H63"/>
    <mergeCell ref="F64:H64"/>
    <mergeCell ref="G7:K7"/>
    <mergeCell ref="E17:K17"/>
    <mergeCell ref="G8:K8"/>
    <mergeCell ref="N67:P72"/>
    <mergeCell ref="Q66:R66"/>
    <mergeCell ref="O5:P5"/>
    <mergeCell ref="O6:P6"/>
    <mergeCell ref="O7:P7"/>
    <mergeCell ref="D85:E86"/>
    <mergeCell ref="D72:H72"/>
    <mergeCell ref="I72:J72"/>
    <mergeCell ref="D73:H73"/>
    <mergeCell ref="I73:J73"/>
    <mergeCell ref="A80:K80"/>
    <mergeCell ref="A79:K79"/>
    <mergeCell ref="A78:K78"/>
    <mergeCell ref="A76:K76"/>
    <mergeCell ref="A77:K77"/>
    <mergeCell ref="D74:H74"/>
    <mergeCell ref="I74:J74"/>
  </mergeCells>
  <phoneticPr fontId="12" type="noConversion"/>
  <conditionalFormatting sqref="P13:P34">
    <cfRule type="expression" dxfId="96" priority="153" stopIfTrue="1">
      <formula>IF(N13&lt;&gt;"",TRUE,FALSE)</formula>
    </cfRule>
  </conditionalFormatting>
  <conditionalFormatting sqref="O39:O40">
    <cfRule type="cellIs" dxfId="95" priority="154" stopIfTrue="1" operator="lessThan">
      <formula>0</formula>
    </cfRule>
  </conditionalFormatting>
  <conditionalFormatting sqref="G8">
    <cfRule type="cellIs" dxfId="94" priority="155" stopIfTrue="1" operator="equal">
      <formula>"MU ungültig/fehlt"</formula>
    </cfRule>
  </conditionalFormatting>
  <conditionalFormatting sqref="A25:J25">
    <cfRule type="expression" dxfId="93" priority="156" stopIfTrue="1">
      <formula>IF($E$25&lt;&gt;"",TRUE,FALSE)</formula>
    </cfRule>
  </conditionalFormatting>
  <conditionalFormatting sqref="K60">
    <cfRule type="cellIs" dxfId="92" priority="157" stopIfTrue="1" operator="notEqual">
      <formula>0</formula>
    </cfRule>
  </conditionalFormatting>
  <conditionalFormatting sqref="A60:H60">
    <cfRule type="expression" dxfId="91" priority="158" stopIfTrue="1">
      <formula>IF($A$60&lt;&gt;"",TRUE,FALSE)</formula>
    </cfRule>
  </conditionalFormatting>
  <conditionalFormatting sqref="N2:P2">
    <cfRule type="expression" dxfId="90" priority="159" stopIfTrue="1">
      <formula>IF($O$6&lt;&gt;"",TRUE,FALSE)</formula>
    </cfRule>
  </conditionalFormatting>
  <conditionalFormatting sqref="N10:P11">
    <cfRule type="expression" dxfId="89" priority="160" stopIfTrue="1">
      <formula>IF($Q$62&gt;200,TRUE,FALSE)</formula>
    </cfRule>
  </conditionalFormatting>
  <conditionalFormatting sqref="N5:N8 O8:P8">
    <cfRule type="expression" dxfId="88" priority="161" stopIfTrue="1">
      <formula>IF($N$8&lt;&gt;"",TRUE,FALSE)</formula>
    </cfRule>
  </conditionalFormatting>
  <conditionalFormatting sqref="N13:N34">
    <cfRule type="expression" dxfId="87" priority="162" stopIfTrue="1">
      <formula>IF($Q$36&gt;200,TRUE,FALSE)</formula>
    </cfRule>
  </conditionalFormatting>
  <conditionalFormatting sqref="M4">
    <cfRule type="expression" dxfId="86" priority="117" stopIfTrue="1">
      <formula>IF(L4&lt;&gt;"",TRUE,FALSE)</formula>
    </cfRule>
  </conditionalFormatting>
  <conditionalFormatting sqref="A59:F59">
    <cfRule type="expression" dxfId="85" priority="115" stopIfTrue="1">
      <formula>IF($A$60&lt;&gt;"",TRUE,FALSE)</formula>
    </cfRule>
  </conditionalFormatting>
  <conditionalFormatting sqref="A28:A58">
    <cfRule type="expression" dxfId="84" priority="83" stopIfTrue="1">
      <formula>DATEDIF(DATE($D27,$C27,1),DATE($B28,$A28,1),"M")&gt;1</formula>
    </cfRule>
    <cfRule type="expression" dxfId="83" priority="84" stopIfTrue="1">
      <formula>DATE($D27,$C27,1)&gt;=DATE($B28,$A28,1)</formula>
    </cfRule>
  </conditionalFormatting>
  <conditionalFormatting sqref="A27">
    <cfRule type="expression" dxfId="82" priority="80" stopIfTrue="1">
      <formula>DATE(D26,C26,1)&gt;=DATE(B27,A27,1)</formula>
    </cfRule>
  </conditionalFormatting>
  <conditionalFormatting sqref="A27">
    <cfRule type="expression" dxfId="81" priority="79" stopIfTrue="1">
      <formula>DATEDIF(DATE(D26,C26,1),DATE(B27,A27,1),"M")&gt;1</formula>
    </cfRule>
  </conditionalFormatting>
  <conditionalFormatting sqref="B27">
    <cfRule type="expression" dxfId="80" priority="77" stopIfTrue="1">
      <formula>DATEDIF(DATE(D26,C26,1),DATE(B27,A27,1),"M")&gt;1</formula>
    </cfRule>
    <cfRule type="expression" dxfId="79" priority="78" stopIfTrue="1">
      <formula>DATE(D26,C26,1)&gt;=DATE(B27,A27,1)</formula>
    </cfRule>
  </conditionalFormatting>
  <conditionalFormatting sqref="C27">
    <cfRule type="expression" dxfId="78" priority="75" stopIfTrue="1">
      <formula>DATEDIF(DATE(D27,C27,1),DATE(B28,A28,1),"M")&gt;1</formula>
    </cfRule>
    <cfRule type="expression" dxfId="77" priority="76" stopIfTrue="1">
      <formula>DATE(D27,C27,1)&gt;=DATE(B28,A28,1)</formula>
    </cfRule>
  </conditionalFormatting>
  <conditionalFormatting sqref="D27">
    <cfRule type="expression" dxfId="76" priority="73" stopIfTrue="1">
      <formula>DATEDIF(DATE(D27,C27,1),DATE(B28,A28,1),"M")&gt;1</formula>
    </cfRule>
    <cfRule type="expression" dxfId="75" priority="74" stopIfTrue="1">
      <formula>DATE(D27,C27,1)&gt;=DATE(B28,A28,1)</formula>
    </cfRule>
  </conditionalFormatting>
  <conditionalFormatting sqref="I66">
    <cfRule type="containsErrors" dxfId="74" priority="164">
      <formula>ISERROR(I66)</formula>
    </cfRule>
  </conditionalFormatting>
  <conditionalFormatting sqref="O37:P37">
    <cfRule type="containsErrors" dxfId="73" priority="67">
      <formula>ISERROR(O37)</formula>
    </cfRule>
  </conditionalFormatting>
  <conditionalFormatting sqref="O39:P40">
    <cfRule type="containsErrors" dxfId="72" priority="66">
      <formula>ISERROR(O39)</formula>
    </cfRule>
  </conditionalFormatting>
  <conditionalFormatting sqref="O6:P6">
    <cfRule type="containsErrors" dxfId="71" priority="65">
      <formula>ISERROR(O6)</formula>
    </cfRule>
  </conditionalFormatting>
  <conditionalFormatting sqref="N8">
    <cfRule type="containsErrors" dxfId="70" priority="64">
      <formula>ISERROR(N8)</formula>
    </cfRule>
  </conditionalFormatting>
  <conditionalFormatting sqref="E17:K17">
    <cfRule type="containsErrors" dxfId="69" priority="63">
      <formula>ISERROR(E17)</formula>
    </cfRule>
  </conditionalFormatting>
  <conditionalFormatting sqref="I71:J71">
    <cfRule type="expression" dxfId="68" priority="2">
      <formula>$I$72=100</formula>
    </cfRule>
  </conditionalFormatting>
  <conditionalFormatting sqref="N67:P72">
    <cfRule type="expression" dxfId="67" priority="1">
      <formula>OR(ISBLANK($K$70)=FALSE,ISBLANK($L$70)=FALSE)</formula>
    </cfRule>
  </conditionalFormatting>
  <conditionalFormatting sqref="B28:B58">
    <cfRule type="expression" dxfId="66" priority="81" stopIfTrue="1">
      <formula>DATEDIF(DATE($D27,$C27,1),DATE($B28,$A28,1),"M")&gt;1</formula>
    </cfRule>
    <cfRule type="expression" dxfId="65" priority="82" stopIfTrue="1">
      <formula>DATE($D27,$C27,1)&gt;=DATE($B28,$A28,1)</formula>
    </cfRule>
  </conditionalFormatting>
  <conditionalFormatting sqref="C28:C58">
    <cfRule type="expression" dxfId="64" priority="71" stopIfTrue="1">
      <formula>DATEDIF(DATE($D28,$C28,1),DATE($B29,$A29,1),"M")&gt;1</formula>
    </cfRule>
    <cfRule type="expression" dxfId="63" priority="72" stopIfTrue="1">
      <formula>DATE($D28,$C28,1)&gt;=DATE($B29,$A29,1)</formula>
    </cfRule>
  </conditionalFormatting>
  <conditionalFormatting sqref="D28:D58">
    <cfRule type="expression" dxfId="62" priority="69" stopIfTrue="1">
      <formula>DATEDIF(DATE($D28,$C28,1),DATE($B29,$A29,1),"M")&gt;1</formula>
    </cfRule>
    <cfRule type="expression" dxfId="61" priority="70" stopIfTrue="1">
      <formula>DATE($D28,$C28,1)&gt;=DATE($B29,$A29,1)</formula>
    </cfRule>
  </conditionalFormatting>
  <dataValidations count="2">
    <dataValidation type="list" allowBlank="1" showInputMessage="1" showErrorMessage="1" sqref="K70" xr:uid="{00000000-0002-0000-1300-000000000000}">
      <formula1>Lohnband</formula1>
    </dataValidation>
    <dataValidation type="list" allowBlank="1" showInputMessage="1" showErrorMessage="1" sqref="L70" xr:uid="{00000000-0002-0000-1300-000001000000}">
      <formula1>Erfahrungswert</formula1>
    </dataValidation>
  </dataValidations>
  <hyperlinks>
    <hyperlink ref="D85:E86" location="Grunddaten!E9" display="Zurück zu Grunddaten" xr:uid="{00000000-0004-0000-1300-000000000000}"/>
  </hyperlinks>
  <pageMargins left="0.78740157480314965" right="0.27559055118110237" top="0.31496062992125984" bottom="0.19685039370078741" header="0" footer="0"/>
  <pageSetup paperSize="9" scale="78" fitToHeight="0" orientation="portrait" r:id="rId1"/>
  <headerFooter alignWithMargins="0">
    <oddFooter>Seite &amp;P von &amp;N</oddFooter>
  </headerFooter>
  <ignoredErrors>
    <ignoredError sqref="O39:O40 P39:P40" evalError="1"/>
  </ignoredErrors>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11">
    <pageSetUpPr fitToPage="1"/>
  </sheetPr>
  <dimension ref="A1:AG90"/>
  <sheetViews>
    <sheetView zoomScaleNormal="100" workbookViewId="0">
      <selection activeCell="G13" sqref="G13"/>
    </sheetView>
  </sheetViews>
  <sheetFormatPr baseColWidth="10" defaultColWidth="11.5703125" defaultRowHeight="12.75" x14ac:dyDescent="0.2"/>
  <cols>
    <col min="1" max="1" width="1.5703125" style="284" customWidth="1"/>
    <col min="2" max="2" width="3.5703125" style="284" customWidth="1"/>
    <col min="3" max="3" width="8.42578125" style="284" bestFit="1" customWidth="1"/>
    <col min="4" max="13" width="4.5703125" style="284"/>
    <col min="14" max="14" width="6.5703125" style="284" customWidth="1"/>
    <col min="15" max="18" width="4.5703125" style="284"/>
    <col min="19" max="20" width="2.42578125" style="284" customWidth="1"/>
    <col min="21" max="21" width="11.5703125" style="860"/>
    <col min="22" max="25" width="11.5703125" style="91"/>
    <col min="26" max="26" width="22.42578125" style="91" customWidth="1"/>
    <col min="27" max="27" width="10.5703125" style="244" hidden="1" customWidth="1"/>
    <col min="28" max="28" width="4.5703125" style="244" hidden="1" customWidth="1"/>
    <col min="29" max="29" width="9.42578125" style="244" hidden="1" customWidth="1"/>
    <col min="30" max="30" width="24.28515625" style="212" hidden="1" customWidth="1"/>
    <col min="31" max="32" width="11.5703125" style="212" hidden="1" customWidth="1"/>
    <col min="33" max="38" width="11.5703125" style="91" customWidth="1"/>
    <col min="39" max="16384" width="11.5703125" style="91"/>
  </cols>
  <sheetData>
    <row r="1" spans="1:27" ht="15.75" x14ac:dyDescent="0.25">
      <c r="A1" s="484"/>
      <c r="B1" s="484"/>
      <c r="C1" s="484"/>
      <c r="D1" s="484"/>
      <c r="E1" s="484"/>
      <c r="F1" s="484"/>
      <c r="G1" s="484"/>
      <c r="H1" s="485"/>
      <c r="I1" s="486"/>
      <c r="J1" s="484"/>
      <c r="K1" s="487"/>
      <c r="L1" s="487"/>
      <c r="M1" s="487"/>
      <c r="N1" s="484"/>
      <c r="O1" s="484"/>
      <c r="P1" s="484"/>
      <c r="Q1" s="484"/>
      <c r="R1" s="484"/>
      <c r="S1" s="484"/>
      <c r="T1" s="484"/>
    </row>
    <row r="2" spans="1:27" ht="46.15" customHeight="1" x14ac:dyDescent="0.2">
      <c r="A2" s="484"/>
      <c r="B2" s="1301" t="s">
        <v>1003</v>
      </c>
      <c r="C2" s="1301"/>
      <c r="D2" s="1301"/>
      <c r="E2" s="1301"/>
      <c r="F2" s="1301"/>
      <c r="G2" s="1301"/>
      <c r="H2" s="1301"/>
      <c r="I2" s="1301"/>
      <c r="J2" s="1301"/>
      <c r="K2" s="1301"/>
      <c r="L2" s="1301"/>
      <c r="M2" s="1301"/>
      <c r="N2" s="484"/>
      <c r="O2" s="484"/>
      <c r="P2" s="484"/>
      <c r="Q2" s="484"/>
      <c r="R2" s="484"/>
      <c r="S2" s="484"/>
      <c r="T2" s="998" t="str">
        <f>CONCATENATE(LohntabelleM!G1," / ",LohntabelleM!I1)</f>
        <v>V6.0 / 2026</v>
      </c>
    </row>
    <row r="3" spans="1:27" ht="6.6" customHeight="1" x14ac:dyDescent="0.2">
      <c r="A3" s="484"/>
      <c r="B3" s="488"/>
      <c r="C3" s="489"/>
      <c r="D3" s="490"/>
      <c r="E3" s="491"/>
      <c r="F3" s="489"/>
      <c r="G3" s="489"/>
      <c r="H3" s="489"/>
      <c r="I3" s="489"/>
      <c r="J3" s="492"/>
      <c r="K3" s="492"/>
      <c r="L3" s="492"/>
      <c r="M3" s="492"/>
      <c r="N3" s="492"/>
      <c r="O3" s="492"/>
      <c r="P3" s="492"/>
      <c r="Q3" s="492"/>
      <c r="R3" s="492"/>
      <c r="S3" s="492"/>
      <c r="T3" s="493"/>
    </row>
    <row r="4" spans="1:27" x14ac:dyDescent="0.2">
      <c r="A4" s="484"/>
      <c r="B4" s="494"/>
      <c r="C4" s="495" t="s">
        <v>770</v>
      </c>
      <c r="D4" s="496"/>
      <c r="E4" s="497"/>
      <c r="F4" s="496"/>
      <c r="G4" s="496"/>
      <c r="H4" s="496"/>
      <c r="I4" s="496"/>
      <c r="J4" s="484"/>
      <c r="K4" s="484"/>
      <c r="L4" s="484"/>
      <c r="M4" s="484"/>
      <c r="N4" s="484"/>
      <c r="O4" s="484"/>
      <c r="P4" s="484"/>
      <c r="Q4" s="484"/>
      <c r="R4" s="484"/>
      <c r="S4" s="484"/>
      <c r="T4" s="498"/>
      <c r="AA4" s="447"/>
    </row>
    <row r="5" spans="1:27" x14ac:dyDescent="0.2">
      <c r="A5" s="484"/>
      <c r="B5" s="494"/>
      <c r="C5" s="499"/>
      <c r="D5" s="499"/>
      <c r="E5" s="500"/>
      <c r="F5" s="499"/>
      <c r="G5" s="499"/>
      <c r="H5" s="499"/>
      <c r="I5" s="499"/>
      <c r="J5" s="484"/>
      <c r="K5" s="484"/>
      <c r="L5" s="484"/>
      <c r="M5" s="484"/>
      <c r="N5" s="484"/>
      <c r="O5" s="484"/>
      <c r="P5" s="484"/>
      <c r="Q5" s="484"/>
      <c r="R5" s="484"/>
      <c r="S5" s="484"/>
      <c r="T5" s="498"/>
      <c r="AA5" s="319"/>
    </row>
    <row r="6" spans="1:27" x14ac:dyDescent="0.2">
      <c r="A6" s="484"/>
      <c r="B6" s="719" t="s">
        <v>967</v>
      </c>
      <c r="D6" s="499"/>
      <c r="E6" s="1302" t="str">
        <f>IF(MAAnrede&lt;&gt;"",MAAnrede,"")</f>
        <v/>
      </c>
      <c r="F6" s="1302"/>
      <c r="G6" s="499"/>
      <c r="H6" s="499"/>
      <c r="I6" s="499"/>
      <c r="J6" s="484"/>
      <c r="K6" s="484"/>
      <c r="L6" s="484"/>
      <c r="M6" s="484"/>
      <c r="N6" s="484"/>
      <c r="O6" s="484"/>
      <c r="P6" s="484"/>
      <c r="Q6" s="484"/>
      <c r="R6" s="484"/>
      <c r="S6" s="484"/>
      <c r="T6" s="498"/>
      <c r="AA6" s="319"/>
    </row>
    <row r="7" spans="1:27" x14ac:dyDescent="0.2">
      <c r="A7" s="484"/>
      <c r="B7" s="719"/>
      <c r="D7" s="499"/>
      <c r="E7" s="500"/>
      <c r="F7" s="499"/>
      <c r="G7" s="499"/>
      <c r="H7" s="499"/>
      <c r="I7" s="499"/>
      <c r="J7" s="484"/>
      <c r="K7" s="484"/>
      <c r="L7" s="484"/>
      <c r="M7" s="484"/>
      <c r="N7" s="484"/>
      <c r="O7" s="484"/>
      <c r="P7" s="484"/>
      <c r="Q7" s="484"/>
      <c r="R7" s="484"/>
      <c r="S7" s="484"/>
      <c r="T7" s="498"/>
      <c r="AA7" s="319"/>
    </row>
    <row r="8" spans="1:27" x14ac:dyDescent="0.2">
      <c r="A8" s="484"/>
      <c r="B8" s="719" t="s">
        <v>756</v>
      </c>
      <c r="D8" s="499"/>
      <c r="E8" s="1302" t="str">
        <f>IF(MAName&lt;&gt;"",MAName,"")</f>
        <v/>
      </c>
      <c r="F8" s="1302"/>
      <c r="G8" s="1302"/>
      <c r="H8" s="1302"/>
      <c r="I8" s="1302"/>
      <c r="J8" s="1302"/>
      <c r="K8" s="716" t="s">
        <v>757</v>
      </c>
      <c r="L8" s="716"/>
      <c r="M8" s="716"/>
      <c r="O8" s="1302" t="str">
        <f>IF(MAVorname&lt;&gt;"",MAVorname,"")</f>
        <v/>
      </c>
      <c r="P8" s="1302"/>
      <c r="Q8" s="1302"/>
      <c r="R8" s="1302"/>
      <c r="S8" s="484"/>
      <c r="T8" s="498"/>
      <c r="AA8" s="448"/>
    </row>
    <row r="9" spans="1:27" x14ac:dyDescent="0.2">
      <c r="A9" s="484"/>
      <c r="B9" s="719"/>
      <c r="D9" s="499"/>
      <c r="E9" s="500"/>
      <c r="F9" s="499"/>
      <c r="G9" s="499"/>
      <c r="H9" s="499"/>
      <c r="I9" s="499"/>
      <c r="J9" s="484"/>
      <c r="K9" s="717"/>
      <c r="L9" s="717"/>
      <c r="M9" s="717"/>
      <c r="O9" s="484"/>
      <c r="P9" s="484"/>
      <c r="Q9" s="484"/>
      <c r="R9" s="484"/>
      <c r="S9" s="484"/>
      <c r="T9" s="498"/>
      <c r="AA9" s="448"/>
    </row>
    <row r="10" spans="1:27" x14ac:dyDescent="0.2">
      <c r="A10" s="484"/>
      <c r="B10" s="719" t="s">
        <v>964</v>
      </c>
      <c r="D10" s="484"/>
      <c r="E10" s="1302" t="str">
        <f>IF(MAPersID&lt;&gt;"",MAPersID,"")</f>
        <v/>
      </c>
      <c r="F10" s="1302"/>
      <c r="G10" s="1302"/>
      <c r="H10" s="1302"/>
      <c r="I10" s="1302"/>
      <c r="J10" s="1302"/>
      <c r="K10" s="716" t="s">
        <v>763</v>
      </c>
      <c r="L10" s="717"/>
      <c r="M10" s="717"/>
      <c r="O10" s="1302" t="str">
        <f>IF(MAVertragsNr&lt;&gt;"",MAVertragsNr,"")</f>
        <v/>
      </c>
      <c r="P10" s="1302"/>
      <c r="Q10" s="1302"/>
      <c r="R10" s="1302"/>
      <c r="S10" s="484"/>
      <c r="T10" s="498"/>
      <c r="V10" s="1149" t="s">
        <v>1029</v>
      </c>
      <c r="W10" s="1232"/>
      <c r="X10" s="1150"/>
    </row>
    <row r="11" spans="1:27" x14ac:dyDescent="0.2">
      <c r="A11" s="484"/>
      <c r="B11" s="719"/>
      <c r="D11" s="499"/>
      <c r="E11" s="484"/>
      <c r="F11" s="499"/>
      <c r="G11" s="499"/>
      <c r="H11" s="499"/>
      <c r="I11" s="484"/>
      <c r="J11" s="484"/>
      <c r="K11" s="716"/>
      <c r="L11" s="717"/>
      <c r="M11" s="717"/>
      <c r="O11" s="499"/>
      <c r="P11" s="499"/>
      <c r="Q11" s="499"/>
      <c r="R11" s="499"/>
      <c r="S11" s="484"/>
      <c r="T11" s="498"/>
      <c r="V11" s="1151"/>
      <c r="W11" s="1233"/>
      <c r="X11" s="1152"/>
    </row>
    <row r="12" spans="1:27" x14ac:dyDescent="0.2">
      <c r="A12" s="484"/>
      <c r="B12" s="719" t="s">
        <v>760</v>
      </c>
      <c r="D12" s="499"/>
      <c r="E12" s="484"/>
      <c r="F12" s="1305" t="str">
        <f>IF(MAGeburtsdatum="","",MAGeburtsdatum)</f>
        <v/>
      </c>
      <c r="G12" s="1305"/>
      <c r="H12" s="1305"/>
      <c r="I12" s="484"/>
      <c r="J12" s="484"/>
      <c r="K12" s="716" t="s">
        <v>1004</v>
      </c>
      <c r="L12" s="717"/>
      <c r="M12" s="717"/>
      <c r="O12" s="1196"/>
      <c r="P12" s="1196"/>
      <c r="Q12" s="1196"/>
      <c r="R12" s="1196"/>
      <c r="S12" s="484"/>
      <c r="T12" s="498"/>
    </row>
    <row r="13" spans="1:27" s="244" customFormat="1" x14ac:dyDescent="0.2">
      <c r="A13" s="46"/>
      <c r="B13" s="50"/>
      <c r="C13" s="97"/>
      <c r="D13" s="97"/>
      <c r="E13" s="97"/>
      <c r="F13" s="46"/>
      <c r="G13" s="46"/>
      <c r="H13" s="46"/>
      <c r="I13" s="46"/>
      <c r="J13" s="46"/>
      <c r="K13" s="46"/>
      <c r="L13" s="46"/>
      <c r="M13" s="46"/>
      <c r="N13" s="46"/>
      <c r="O13" s="46"/>
      <c r="P13" s="46"/>
      <c r="Q13" s="46"/>
      <c r="R13" s="46"/>
      <c r="S13" s="46"/>
      <c r="T13" s="52"/>
      <c r="U13" s="867"/>
    </row>
    <row r="14" spans="1:27" s="244" customFormat="1" x14ac:dyDescent="0.2">
      <c r="A14" s="46"/>
      <c r="B14" s="718" t="s">
        <v>993</v>
      </c>
      <c r="D14" s="97"/>
      <c r="E14" s="46"/>
      <c r="F14" s="46"/>
      <c r="G14" s="1182"/>
      <c r="H14" s="1182"/>
      <c r="I14" s="1182"/>
      <c r="J14" s="1182"/>
      <c r="K14" s="1182"/>
      <c r="L14" s="1182"/>
      <c r="M14" s="1182"/>
      <c r="N14" s="1182"/>
      <c r="O14" s="1182"/>
      <c r="P14" s="1182"/>
      <c r="Q14" s="1182"/>
      <c r="R14" s="1182"/>
      <c r="S14" s="46"/>
      <c r="T14" s="52"/>
      <c r="U14" s="867"/>
      <c r="V14" s="245" t="s">
        <v>1017</v>
      </c>
    </row>
    <row r="15" spans="1:27" ht="7.9" customHeight="1" x14ac:dyDescent="0.2">
      <c r="A15" s="484"/>
      <c r="B15" s="501"/>
      <c r="C15" s="502"/>
      <c r="D15" s="502"/>
      <c r="E15" s="502"/>
      <c r="F15" s="502"/>
      <c r="G15" s="502"/>
      <c r="H15" s="502"/>
      <c r="I15" s="503"/>
      <c r="J15" s="504"/>
      <c r="K15" s="504"/>
      <c r="L15" s="504"/>
      <c r="M15" s="504"/>
      <c r="N15" s="504"/>
      <c r="O15" s="504"/>
      <c r="P15" s="504"/>
      <c r="Q15" s="504"/>
      <c r="R15" s="504"/>
      <c r="S15" s="504"/>
      <c r="T15" s="505"/>
    </row>
    <row r="16" spans="1:27" ht="6" customHeight="1" x14ac:dyDescent="0.2">
      <c r="A16" s="484"/>
      <c r="B16" s="484"/>
      <c r="C16" s="499"/>
      <c r="D16" s="499"/>
      <c r="E16" s="500"/>
      <c r="F16" s="499"/>
      <c r="G16" s="499"/>
      <c r="H16" s="499"/>
      <c r="I16" s="499"/>
      <c r="J16" s="484"/>
      <c r="K16" s="484"/>
      <c r="L16" s="484"/>
      <c r="M16" s="484"/>
      <c r="N16" s="484"/>
      <c r="O16" s="484"/>
      <c r="P16" s="484"/>
      <c r="Q16" s="484"/>
      <c r="R16" s="484"/>
      <c r="S16" s="484"/>
      <c r="T16" s="484"/>
    </row>
    <row r="17" spans="1:33" x14ac:dyDescent="0.2">
      <c r="A17" s="484"/>
      <c r="B17" s="506"/>
      <c r="C17" s="489"/>
      <c r="D17" s="489"/>
      <c r="E17" s="489"/>
      <c r="F17" s="489"/>
      <c r="G17" s="489"/>
      <c r="H17" s="489"/>
      <c r="I17" s="489"/>
      <c r="J17" s="489"/>
      <c r="K17" s="489"/>
      <c r="L17" s="489"/>
      <c r="M17" s="489"/>
      <c r="N17" s="489"/>
      <c r="O17" s="489"/>
      <c r="P17" s="489"/>
      <c r="Q17" s="489"/>
      <c r="R17" s="489"/>
      <c r="S17" s="489"/>
      <c r="T17" s="507"/>
      <c r="AA17" s="244" t="s">
        <v>2055</v>
      </c>
      <c r="AD17" s="212" t="s">
        <v>2056</v>
      </c>
      <c r="AE17" s="212" t="s">
        <v>2046</v>
      </c>
    </row>
    <row r="18" spans="1:33" x14ac:dyDescent="0.2">
      <c r="A18" s="484"/>
      <c r="B18" s="508"/>
      <c r="C18" s="496" t="s">
        <v>1005</v>
      </c>
      <c r="D18" s="496"/>
      <c r="E18" s="496"/>
      <c r="F18" s="496"/>
      <c r="G18" s="496"/>
      <c r="H18" s="496"/>
      <c r="I18" s="1311"/>
      <c r="J18" s="1311"/>
      <c r="K18" s="961" t="s">
        <v>2008</v>
      </c>
      <c r="L18" s="1026"/>
      <c r="M18" s="1296" t="str">
        <f>IFERROR(IF(I18="","",VLOOKUP("M"&amp;I18,'MU-Daten'!B:K,6,0)),"Keine gültige MU")</f>
        <v/>
      </c>
      <c r="N18" s="1296"/>
      <c r="O18" s="1296"/>
      <c r="P18" s="1296"/>
      <c r="Q18" s="1296"/>
      <c r="R18" s="1296"/>
      <c r="S18" s="1296"/>
      <c r="T18" s="1035">
        <f>IF(OR(M18="",M18="Keine gültige MU"),0,1)</f>
        <v>0</v>
      </c>
      <c r="U18" s="1036">
        <f>IF(L18="",0,1)</f>
        <v>0</v>
      </c>
      <c r="V18" s="245" t="s">
        <v>1017</v>
      </c>
      <c r="AA18" s="244" t="s">
        <v>1377</v>
      </c>
      <c r="AC18" s="244">
        <f>IFERROR(VLOOKUP(I18,AA18:AA26,1,0),0)</f>
        <v>0</v>
      </c>
      <c r="AD18" s="212">
        <f>IF(OR(AC18=0,AC19=0),0,IF(AC18=AC19,1,0))</f>
        <v>0</v>
      </c>
      <c r="AE18" s="212" t="e">
        <f>IF(AND(AC18&lt;&gt;"",L18&lt;&gt;""),L18,IF(AC18=0,VLOOKUP("M"&amp;I18,'MU-Daten'!B:K,7,0),VLOOKUP("M"&amp;AC18,'MU-Daten'!B:K,7,0)))</f>
        <v>#N/A</v>
      </c>
      <c r="AG18" s="1045"/>
    </row>
    <row r="19" spans="1:33" ht="13.15" customHeight="1" x14ac:dyDescent="0.2">
      <c r="A19" s="484"/>
      <c r="B19" s="508"/>
      <c r="C19" s="496"/>
      <c r="D19" s="496"/>
      <c r="E19" s="496"/>
      <c r="F19" s="496"/>
      <c r="G19" s="496"/>
      <c r="H19" s="496"/>
      <c r="I19" s="496"/>
      <c r="J19" s="496"/>
      <c r="K19" s="496"/>
      <c r="L19" s="496"/>
      <c r="M19" s="496"/>
      <c r="N19" s="496"/>
      <c r="O19" s="496"/>
      <c r="P19" s="496"/>
      <c r="Q19" s="496"/>
      <c r="R19" s="496"/>
      <c r="S19" s="496"/>
      <c r="T19" s="1035"/>
      <c r="U19" s="1037"/>
      <c r="V19" s="1177" t="s">
        <v>1018</v>
      </c>
      <c r="W19" s="1177"/>
      <c r="X19" s="1177"/>
      <c r="Y19" s="1177"/>
      <c r="Z19" s="1177"/>
      <c r="AA19" s="244" t="s">
        <v>1453</v>
      </c>
      <c r="AC19" s="244">
        <f>IFERROR(VLOOKUP(I20,AA18:AA26,1,0),0)</f>
        <v>0</v>
      </c>
      <c r="AE19" s="212" t="e">
        <f>IF(AND(AC19&lt;&gt;"",L20&lt;&gt;""),L20,IF(AC19=0,VLOOKUP("M"&amp;I20,'MU-Daten'!B:K,7,0),VLOOKUP("M"&amp;AC19,'MU-Daten'!B:K,7,0)))</f>
        <v>#N/A</v>
      </c>
      <c r="AG19" s="1045"/>
    </row>
    <row r="20" spans="1:33" x14ac:dyDescent="0.2">
      <c r="A20" s="484"/>
      <c r="B20" s="508"/>
      <c r="C20" s="496" t="s">
        <v>1006</v>
      </c>
      <c r="D20" s="496"/>
      <c r="E20" s="496"/>
      <c r="F20" s="496"/>
      <c r="G20" s="496"/>
      <c r="H20" s="496"/>
      <c r="I20" s="1311"/>
      <c r="J20" s="1311"/>
      <c r="K20" s="962" t="s">
        <v>2008</v>
      </c>
      <c r="L20" s="1026"/>
      <c r="M20" s="1296" t="str">
        <f>IFERROR(IF(I20="","",VLOOKUP("M"&amp;I20,'MU-Daten'!B:K,6,0)),"Keine gültige MU")</f>
        <v/>
      </c>
      <c r="N20" s="1296"/>
      <c r="O20" s="1296"/>
      <c r="P20" s="1296"/>
      <c r="Q20" s="1296"/>
      <c r="R20" s="1296"/>
      <c r="S20" s="1296"/>
      <c r="T20" s="1035">
        <f>IF(OR(M20="",M20="Keine gültige MU"),0,1)</f>
        <v>0</v>
      </c>
      <c r="U20" s="1036">
        <f>IF(L20="",0,1)</f>
        <v>0</v>
      </c>
      <c r="V20" s="1177"/>
      <c r="W20" s="1177"/>
      <c r="X20" s="1177"/>
      <c r="Y20" s="1177"/>
      <c r="Z20" s="1177"/>
      <c r="AA20" s="244" t="s">
        <v>1494</v>
      </c>
      <c r="AG20" s="1045"/>
    </row>
    <row r="21" spans="1:33" x14ac:dyDescent="0.2">
      <c r="A21" s="484"/>
      <c r="B21" s="508"/>
      <c r="C21" s="496"/>
      <c r="D21" s="496"/>
      <c r="E21" s="496"/>
      <c r="F21" s="496"/>
      <c r="G21" s="496"/>
      <c r="H21" s="496"/>
      <c r="I21" s="496"/>
      <c r="J21" s="496"/>
      <c r="K21" s="496"/>
      <c r="L21" s="496"/>
      <c r="M21" s="496"/>
      <c r="N21" s="496"/>
      <c r="O21" s="496"/>
      <c r="P21" s="496"/>
      <c r="Q21" s="496"/>
      <c r="R21" s="1046"/>
      <c r="S21" s="496"/>
      <c r="T21" s="1035"/>
      <c r="U21" s="1036">
        <f>IF(OR(L20+1=L18,L18+1=L20),1,0)</f>
        <v>0</v>
      </c>
      <c r="V21" s="1177"/>
      <c r="W21" s="1177"/>
      <c r="X21" s="1177"/>
      <c r="Y21" s="1177"/>
      <c r="Z21" s="1177"/>
      <c r="AA21" s="244" t="s">
        <v>1363</v>
      </c>
      <c r="AG21" s="1045"/>
    </row>
    <row r="22" spans="1:33" ht="4.5" customHeight="1" x14ac:dyDescent="0.2">
      <c r="A22" s="498"/>
      <c r="B22" s="508"/>
      <c r="C22" s="510"/>
      <c r="D22" s="496"/>
      <c r="E22" s="496"/>
      <c r="F22" s="496"/>
      <c r="G22" s="496"/>
      <c r="H22" s="496"/>
      <c r="I22" s="496"/>
      <c r="J22" s="496"/>
      <c r="K22" s="496"/>
      <c r="L22" s="496"/>
      <c r="M22" s="496"/>
      <c r="N22" s="496"/>
      <c r="O22" s="496"/>
      <c r="P22" s="496"/>
      <c r="Q22" s="496"/>
      <c r="S22" s="496"/>
      <c r="T22" s="1035"/>
      <c r="V22" s="1177"/>
      <c r="W22" s="1177"/>
      <c r="X22" s="1177"/>
      <c r="Y22" s="1177"/>
      <c r="Z22" s="1177"/>
      <c r="AG22" s="1045"/>
    </row>
    <row r="23" spans="1:33" x14ac:dyDescent="0.2">
      <c r="A23" s="498"/>
      <c r="B23" s="508"/>
      <c r="C23" s="1306" t="str">
        <f>IFERROR(IF(OR(I18="",I20=""),"Modellumschreibungen erfassen",IF(T23&lt;2,"keine gültigen Modellumschreibungen",IF(VLOOKUP("M"&amp;I20,'MU-Daten'!B:K,2,0)&lt;&gt;VLOOKUP("M"&amp;I18,'MU-Daten'!B:K,2,0),"Unterschiedliche Funktionskette",IF(U23=3,"Bedingungen erfüllt",IF(AND(I18=I20,U23=0),"selbe Modellumschreibung (evt. Lohnband manuell eingeben)",IF(U23=1,"für beide MU müssen Lohnbänder manuell eingegeben werden",IF(VLOOKUP("M"&amp;I20,'MU-Daten'!B:K,7,0)-VLOOKUP("M"&amp;I18,'MU-Daten'!B:K,7,0)&gt;=1,"Lohnband ist gleich oder Ziellohnband ist schlechter",IF(ABS(VLOOKUP("M"&amp;I20,'MU-Daten'!B:K,7,0)-VLOOKUP("M"&amp;I18,'MU-Daten'!B:K,7,0))&gt;1,"Differenz ist grösser als ein Lohnband",IF(U23=2,"Lohnband ist gleich oder Differenz ist grösser als ein Lohnband","Bedingungen erfüllt"))))))))),"")</f>
        <v>Modellumschreibungen erfassen</v>
      </c>
      <c r="D23" s="1306"/>
      <c r="E23" s="1306"/>
      <c r="F23" s="1306"/>
      <c r="G23" s="1306"/>
      <c r="H23" s="1306"/>
      <c r="I23" s="1306"/>
      <c r="J23" s="1306"/>
      <c r="K23" s="1306"/>
      <c r="L23" s="1306"/>
      <c r="M23" s="1306"/>
      <c r="N23" s="1306"/>
      <c r="O23" s="1306"/>
      <c r="P23" s="1306"/>
      <c r="Q23" s="1306"/>
      <c r="R23" s="1306"/>
      <c r="S23" s="1306"/>
      <c r="T23" s="1035">
        <f>SUM(T18:T20)</f>
        <v>0</v>
      </c>
      <c r="U23" s="1036">
        <f>SUM(U18:U21)</f>
        <v>0</v>
      </c>
      <c r="V23" s="1177"/>
      <c r="W23" s="1177"/>
      <c r="X23" s="1177"/>
      <c r="Y23" s="1177"/>
      <c r="Z23" s="1177"/>
      <c r="AA23" s="244" t="s">
        <v>1234</v>
      </c>
      <c r="AG23" s="1045"/>
    </row>
    <row r="24" spans="1:33" x14ac:dyDescent="0.2">
      <c r="A24" s="498"/>
      <c r="B24" s="508"/>
      <c r="C24" s="496"/>
      <c r="D24" s="496"/>
      <c r="E24" s="496"/>
      <c r="F24" s="496"/>
      <c r="G24" s="496"/>
      <c r="H24" s="496"/>
      <c r="I24" s="496"/>
      <c r="J24" s="496"/>
      <c r="K24" s="496"/>
      <c r="L24" s="496"/>
      <c r="M24" s="496"/>
      <c r="N24" s="496"/>
      <c r="O24" s="496"/>
      <c r="P24" s="496"/>
      <c r="Q24" s="496"/>
      <c r="R24" s="496"/>
      <c r="S24" s="496"/>
      <c r="T24" s="1032"/>
      <c r="V24" s="1177"/>
      <c r="W24" s="1177"/>
      <c r="X24" s="1177"/>
      <c r="Y24" s="1177"/>
      <c r="Z24" s="1177"/>
      <c r="AA24" s="244" t="s">
        <v>1239</v>
      </c>
      <c r="AG24" s="1045"/>
    </row>
    <row r="25" spans="1:33" x14ac:dyDescent="0.2">
      <c r="A25" s="498"/>
      <c r="B25" s="508"/>
      <c r="C25" s="496" t="s">
        <v>1007</v>
      </c>
      <c r="D25" s="496"/>
      <c r="E25" s="496"/>
      <c r="F25" s="496"/>
      <c r="G25" s="496"/>
      <c r="H25" s="496"/>
      <c r="I25" s="496" t="s">
        <v>1008</v>
      </c>
      <c r="J25" s="1307"/>
      <c r="K25" s="1307"/>
      <c r="L25" s="496"/>
      <c r="M25" s="1308" t="str">
        <f>IFERROR(IF(OR(J25="",J25=0),"Lohn erfassen",IF(J25&lt;VLOOKUP(AE18,LohntabelleM!$A$4:$B$31,2,FALSE),"Lohn unterhalb Minimum Lohnband",IF(J25&gt;VLOOKUP(AE18,LohntabelleM!$A$4:$AE$31,31,FALSE),"Lohn über Maximum Lohnband","Lohn innerhalb Lohnbandgrenzen"))),"")</f>
        <v>Lohn erfassen</v>
      </c>
      <c r="N25" s="1308"/>
      <c r="O25" s="1308"/>
      <c r="P25" s="1308"/>
      <c r="Q25" s="1308"/>
      <c r="R25" s="1308"/>
      <c r="S25" s="1308"/>
      <c r="T25" s="1032"/>
      <c r="V25" s="1177"/>
      <c r="W25" s="1177"/>
      <c r="X25" s="1177"/>
      <c r="Y25" s="1177"/>
      <c r="Z25" s="1177"/>
      <c r="AA25" s="244" t="s">
        <v>1531</v>
      </c>
      <c r="AG25" s="1045"/>
    </row>
    <row r="26" spans="1:33" x14ac:dyDescent="0.2">
      <c r="A26" s="498"/>
      <c r="B26" s="508"/>
      <c r="C26" s="496" t="s">
        <v>1009</v>
      </c>
      <c r="D26" s="496"/>
      <c r="E26" s="496"/>
      <c r="F26" s="496"/>
      <c r="G26" s="496"/>
      <c r="H26" s="496"/>
      <c r="I26" s="496"/>
      <c r="J26" s="496"/>
      <c r="K26" s="496"/>
      <c r="L26" s="496"/>
      <c r="M26" s="496"/>
      <c r="N26" s="496"/>
      <c r="O26" s="496"/>
      <c r="P26" s="496"/>
      <c r="Q26" s="496"/>
      <c r="R26" s="496"/>
      <c r="S26" s="496"/>
      <c r="T26" s="509"/>
      <c r="V26" s="340"/>
      <c r="W26" s="340"/>
      <c r="X26" s="340"/>
      <c r="Y26" s="340"/>
      <c r="Z26" s="340"/>
      <c r="AG26" s="1045"/>
    </row>
    <row r="27" spans="1:33" x14ac:dyDescent="0.2">
      <c r="A27" s="484"/>
      <c r="B27" s="508"/>
      <c r="C27" s="511" t="str">
        <f>IF(C23&lt;&gt;"Bedingungen erfüllt","Erfahrungswert (abgerundet):",IF(U23=3,CONCATENATE("Erfahrungswert LB ",L18," (abgerundet):"),CONCATENATE("Erfahrungswert LB ",VLOOKUP("M"&amp;I18,'MU-Daten'!B:K,7,0)," (abgerundet):")))</f>
        <v>Erfahrungswert (abgerundet):</v>
      </c>
      <c r="D27" s="511"/>
      <c r="E27" s="511"/>
      <c r="F27" s="511"/>
      <c r="G27" s="511"/>
      <c r="H27" s="511"/>
      <c r="I27" s="511"/>
      <c r="J27" s="1309" t="str">
        <f ca="1">IF(C23&lt;&gt;"Bedingungen erfüllt","",IF(U23=3,IF(J25&lt;VLOOKUP(L18,LohntabelleM!$A$4:$B$31,2),"C",INDEX(LohntabelleM!$B$3:$AE$3,MATCH(J25,OFFSET(LohntabelleM!$B$4:$AE$4,L18-1,0)))),
IF(J25&lt;VLOOKUP(VLOOKUP("M"&amp;I18,'MU-Daten'!B:K,7,0),LohntabelleM!$A$4:$B$31,2,FALSE),"C",INDEX(LohntabelleM!$B$3:$AE$3,MATCH(J25,OFFSET(LohntabelleM!$B$4:$AE$4,VLOOKUP("M"&amp;I18,'MU-Daten'!B:K,7,0)-1,0))))))</f>
        <v/>
      </c>
      <c r="K27" s="1309"/>
      <c r="L27" s="720" t="s">
        <v>1008</v>
      </c>
      <c r="N27" s="1310" t="str">
        <f ca="1">IF(J27="","",IF(U23=3,HLOOKUP(J27,LohntabelleM!$B$3:$AE$31,L18+1,FALSE),
HLOOKUP(J27,LohntabelleM!$B$3:$AE$31,VLOOKUP("M"&amp;I18,'MU-Daten'!B:K,7,0)+1,FALSE)))</f>
        <v/>
      </c>
      <c r="O27" s="1310"/>
      <c r="P27" s="496"/>
      <c r="Q27" s="496"/>
      <c r="R27" s="496"/>
      <c r="S27" s="496"/>
      <c r="T27" s="509"/>
      <c r="V27" s="340"/>
      <c r="W27" s="340"/>
      <c r="X27" s="340"/>
      <c r="Y27" s="340"/>
      <c r="Z27" s="340"/>
      <c r="AG27" s="1045"/>
    </row>
    <row r="28" spans="1:33" x14ac:dyDescent="0.2">
      <c r="A28" s="498"/>
      <c r="B28" s="508"/>
      <c r="C28" s="496" t="str">
        <f>IF(C23&lt;&gt;"Bedingungen erfüllt","Erfahrungswert (aufgerundet):",IF(U23=3,CONCATENATE("Erfahrungswert LB ",L18," (aufgerundet):"),CONCATENATE("Erfahrungswert LB ",VLOOKUP("M"&amp;I18,'MU-Daten'!B:K,7,0)," (aufgerundet):")))</f>
        <v>Erfahrungswert (aufgerundet):</v>
      </c>
      <c r="D28" s="496"/>
      <c r="E28" s="496"/>
      <c r="F28" s="496"/>
      <c r="G28" s="496"/>
      <c r="H28" s="496"/>
      <c r="I28" s="496"/>
      <c r="J28" s="1303" t="str">
        <f>IF(J25="","",IF(C23="Bedingungen erfüllt",IF(N27=J25,J27,INDEX($AA$61:$AA$90,MATCH(INDEX($AB$61:$AB$90,MATCH(J27,$AA$61:$AA$90,0))+1,$AB$61:$AB$90,0))),""))</f>
        <v/>
      </c>
      <c r="K28" s="1303"/>
      <c r="L28" s="721" t="s">
        <v>1008</v>
      </c>
      <c r="N28" s="1304" t="str">
        <f>IF(J28="","",IF(U23=3,HLOOKUP(J28,LohntabelleM!$B$3:$AE$31,L18+1,FALSE),HLOOKUP(J28,LohntabelleM!$B$3:$AE$31,VLOOKUP("M"&amp;I18,'MU-Daten'!B:K,7,0)+1,FALSE)))</f>
        <v/>
      </c>
      <c r="O28" s="1304"/>
      <c r="P28" s="496"/>
      <c r="Q28" s="496"/>
      <c r="R28" s="496"/>
      <c r="S28" s="496"/>
      <c r="T28" s="509"/>
      <c r="V28" s="244"/>
      <c r="AG28" s="1045"/>
    </row>
    <row r="29" spans="1:33" x14ac:dyDescent="0.2">
      <c r="A29" s="484"/>
      <c r="B29" s="508"/>
      <c r="C29" s="496"/>
      <c r="D29" s="496"/>
      <c r="E29" s="496"/>
      <c r="F29" s="496"/>
      <c r="G29" s="496"/>
      <c r="H29" s="496"/>
      <c r="I29" s="496"/>
      <c r="J29" s="496"/>
      <c r="K29" s="496"/>
      <c r="L29" s="496"/>
      <c r="M29" s="496"/>
      <c r="N29" s="496"/>
      <c r="O29" s="496"/>
      <c r="P29" s="496"/>
      <c r="Q29" s="496"/>
      <c r="R29" s="496"/>
      <c r="S29" s="496"/>
      <c r="T29" s="509"/>
      <c r="V29" s="245" t="s">
        <v>1019</v>
      </c>
      <c r="AG29" s="1045"/>
    </row>
    <row r="30" spans="1:33" ht="13.15" customHeight="1" x14ac:dyDescent="0.2">
      <c r="A30" s="484"/>
      <c r="B30" s="508"/>
      <c r="C30" s="495" t="s">
        <v>1012</v>
      </c>
      <c r="D30" s="496"/>
      <c r="E30" s="496"/>
      <c r="F30" s="496"/>
      <c r="G30" s="496"/>
      <c r="H30" s="496"/>
      <c r="I30" s="496"/>
      <c r="J30" s="496"/>
      <c r="K30" s="496"/>
      <c r="L30" s="496"/>
      <c r="M30" s="496"/>
      <c r="N30" s="496"/>
      <c r="O30" s="496"/>
      <c r="P30" s="496"/>
      <c r="Q30" s="484"/>
      <c r="R30" s="496"/>
      <c r="S30" s="496"/>
      <c r="T30" s="509"/>
      <c r="V30" s="1177" t="s">
        <v>1066</v>
      </c>
      <c r="W30" s="1177"/>
      <c r="X30" s="1177"/>
      <c r="Y30" s="1177"/>
      <c r="Z30" s="1177"/>
    </row>
    <row r="31" spans="1:33" x14ac:dyDescent="0.2">
      <c r="A31" s="484"/>
      <c r="B31" s="508"/>
      <c r="C31" s="495"/>
      <c r="D31" s="496"/>
      <c r="E31" s="496"/>
      <c r="F31" s="496"/>
      <c r="G31" s="496"/>
      <c r="H31" s="496"/>
      <c r="I31" s="496"/>
      <c r="J31" s="496"/>
      <c r="K31" s="496"/>
      <c r="L31" s="496"/>
      <c r="M31" s="496"/>
      <c r="N31" s="496"/>
      <c r="O31" s="496"/>
      <c r="P31" s="496"/>
      <c r="Q31" s="484"/>
      <c r="R31" s="496"/>
      <c r="S31" s="496"/>
      <c r="T31" s="509"/>
      <c r="V31" s="1177"/>
      <c r="W31" s="1177"/>
      <c r="X31" s="1177"/>
      <c r="Y31" s="1177"/>
      <c r="Z31" s="1177"/>
    </row>
    <row r="32" spans="1:33" x14ac:dyDescent="0.2">
      <c r="A32" s="484"/>
      <c r="B32" s="508"/>
      <c r="C32" s="496" t="s">
        <v>1013</v>
      </c>
      <c r="D32" s="496"/>
      <c r="E32" s="496"/>
      <c r="F32" s="496"/>
      <c r="G32" s="496"/>
      <c r="H32" s="496"/>
      <c r="I32" s="496"/>
      <c r="J32" s="1298" t="str">
        <f>IFERROR(IF(C23="Bedingungen erfüllt",IF(U23=3,L20,VLOOKUP("M"&amp;I20,'MU-Daten'!B:H,7,0)),""),"")</f>
        <v/>
      </c>
      <c r="K32" s="1298"/>
      <c r="L32" s="496"/>
      <c r="M32" s="496"/>
      <c r="N32" s="496"/>
      <c r="O32" s="496"/>
      <c r="P32" s="496"/>
      <c r="Q32" s="484"/>
      <c r="R32" s="496"/>
      <c r="S32" s="496"/>
      <c r="T32" s="509"/>
      <c r="V32" s="1177"/>
      <c r="W32" s="1177"/>
      <c r="X32" s="1177"/>
      <c r="Y32" s="1177"/>
      <c r="Z32" s="1177"/>
    </row>
    <row r="33" spans="1:26" x14ac:dyDescent="0.2">
      <c r="A33" s="484"/>
      <c r="B33" s="508"/>
      <c r="C33" s="495"/>
      <c r="D33" s="496"/>
      <c r="E33" s="496"/>
      <c r="F33" s="496"/>
      <c r="G33" s="496"/>
      <c r="H33" s="496"/>
      <c r="I33" s="496"/>
      <c r="J33" s="496"/>
      <c r="K33" s="496"/>
      <c r="L33" s="496"/>
      <c r="M33" s="496"/>
      <c r="N33" s="496"/>
      <c r="O33" s="496"/>
      <c r="P33" s="496"/>
      <c r="Q33" s="496" t="s">
        <v>1014</v>
      </c>
      <c r="R33" s="496"/>
      <c r="S33" s="496"/>
      <c r="T33" s="509"/>
      <c r="V33" s="1177"/>
      <c r="W33" s="1177"/>
      <c r="X33" s="1177"/>
      <c r="Y33" s="1177"/>
      <c r="Z33" s="1177"/>
    </row>
    <row r="34" spans="1:26" x14ac:dyDescent="0.2">
      <c r="A34" s="484"/>
      <c r="B34" s="508"/>
      <c r="C34" s="496" t="str">
        <f>IF(C23&lt;&gt;"Bedingungen erfüllt","Erfahrungswert (aufgerundet):",CONCATENATE("Erfahrungswert LB ",J32," (aufgerundet):"))</f>
        <v>Erfahrungswert (aufgerundet):</v>
      </c>
      <c r="D34" s="496"/>
      <c r="E34" s="496"/>
      <c r="F34" s="496"/>
      <c r="G34" s="496"/>
      <c r="H34" s="496"/>
      <c r="I34" s="496"/>
      <c r="J34" s="1298" t="str">
        <f>IF(J28="","",J28)</f>
        <v/>
      </c>
      <c r="K34" s="1298"/>
      <c r="L34" s="721" t="s">
        <v>1008</v>
      </c>
      <c r="N34" s="1299" t="str">
        <f>IF(J34="","",IF(U23=3,HLOOKUP(J34,LohntabelleM!$B$3:$AE$31,L20+1,FALSE),
HLOOKUP(J34,LohntabelleM!$B$3:$AE$31,VLOOKUP("M"&amp;I20,'MU-Daten'!B:K,7,0)+1,FALSE)))</f>
        <v/>
      </c>
      <c r="O34" s="1299"/>
      <c r="P34" s="496"/>
      <c r="Q34" s="1300" t="str">
        <f>IF(N34="","",(N34-J25)/J25)</f>
        <v/>
      </c>
      <c r="R34" s="1300"/>
      <c r="S34" s="496"/>
      <c r="T34" s="509"/>
      <c r="V34" s="1177"/>
      <c r="W34" s="1177"/>
      <c r="X34" s="1177"/>
      <c r="Y34" s="1177"/>
      <c r="Z34" s="1177"/>
    </row>
    <row r="35" spans="1:26" ht="7.9" customHeight="1" x14ac:dyDescent="0.2">
      <c r="A35" s="484"/>
      <c r="B35" s="512"/>
      <c r="C35" s="513"/>
      <c r="D35" s="513"/>
      <c r="E35" s="513"/>
      <c r="F35" s="513"/>
      <c r="G35" s="513"/>
      <c r="H35" s="513"/>
      <c r="I35" s="513"/>
      <c r="J35" s="513"/>
      <c r="K35" s="513"/>
      <c r="L35" s="513"/>
      <c r="M35" s="513"/>
      <c r="N35" s="513"/>
      <c r="O35" s="513"/>
      <c r="P35" s="513"/>
      <c r="Q35" s="513"/>
      <c r="R35" s="513"/>
      <c r="S35" s="513"/>
      <c r="T35" s="514"/>
      <c r="V35" s="1177"/>
      <c r="W35" s="1177"/>
      <c r="X35" s="1177"/>
      <c r="Y35" s="1177"/>
      <c r="Z35" s="1177"/>
    </row>
    <row r="36" spans="1:26" ht="6" customHeight="1" x14ac:dyDescent="0.2">
      <c r="A36" s="484"/>
      <c r="B36" s="484"/>
      <c r="C36" s="484"/>
      <c r="D36" s="484"/>
      <c r="E36" s="484"/>
      <c r="F36" s="484"/>
      <c r="G36" s="484"/>
      <c r="H36" s="484"/>
      <c r="I36" s="484"/>
      <c r="J36" s="484"/>
      <c r="K36" s="484"/>
      <c r="L36" s="484"/>
      <c r="M36" s="484"/>
      <c r="N36" s="484"/>
      <c r="O36" s="484"/>
      <c r="P36" s="484"/>
      <c r="Q36" s="484"/>
      <c r="R36" s="484"/>
      <c r="S36" s="484"/>
      <c r="T36" s="484"/>
      <c r="V36" s="339"/>
    </row>
    <row r="37" spans="1:26" ht="6" customHeight="1" x14ac:dyDescent="0.2">
      <c r="A37" s="484"/>
      <c r="B37" s="515"/>
      <c r="C37" s="48"/>
      <c r="D37" s="48"/>
      <c r="E37" s="48"/>
      <c r="F37" s="48"/>
      <c r="G37" s="48"/>
      <c r="H37" s="48"/>
      <c r="I37" s="48"/>
      <c r="J37" s="48"/>
      <c r="K37" s="48"/>
      <c r="L37" s="48"/>
      <c r="M37" s="48"/>
      <c r="N37" s="48"/>
      <c r="O37" s="48"/>
      <c r="P37" s="48"/>
      <c r="Q37" s="48"/>
      <c r="R37" s="48"/>
      <c r="S37" s="48"/>
      <c r="T37" s="516"/>
    </row>
    <row r="38" spans="1:26" x14ac:dyDescent="0.2">
      <c r="A38" s="484"/>
      <c r="B38" s="517"/>
      <c r="C38" s="94" t="s">
        <v>978</v>
      </c>
      <c r="D38" s="96"/>
      <c r="E38" s="96"/>
      <c r="F38" s="96"/>
      <c r="G38" s="96"/>
      <c r="H38" s="96"/>
      <c r="I38" s="96"/>
      <c r="J38" s="96"/>
      <c r="K38" s="96"/>
      <c r="L38" s="96"/>
      <c r="M38" s="96"/>
      <c r="N38" s="96"/>
      <c r="O38" s="96"/>
      <c r="P38" s="96"/>
      <c r="Q38" s="96"/>
      <c r="R38" s="96"/>
      <c r="S38" s="96"/>
      <c r="T38" s="518"/>
    </row>
    <row r="39" spans="1:26" ht="6" customHeight="1" x14ac:dyDescent="0.2">
      <c r="A39" s="484"/>
      <c r="B39" s="517"/>
      <c r="C39" s="96"/>
      <c r="D39" s="96"/>
      <c r="E39" s="96"/>
      <c r="F39" s="96"/>
      <c r="G39" s="96"/>
      <c r="H39" s="96"/>
      <c r="I39" s="96"/>
      <c r="J39" s="96"/>
      <c r="K39" s="96"/>
      <c r="L39" s="96"/>
      <c r="M39" s="96"/>
      <c r="N39" s="96"/>
      <c r="O39" s="96"/>
      <c r="P39" s="96"/>
      <c r="Q39" s="96"/>
      <c r="R39" s="96"/>
      <c r="S39" s="96"/>
      <c r="T39" s="518"/>
    </row>
    <row r="40" spans="1:26" x14ac:dyDescent="0.2">
      <c r="A40" s="484"/>
      <c r="B40" s="517"/>
      <c r="C40" s="1297"/>
      <c r="D40" s="1297"/>
      <c r="E40" s="1297"/>
      <c r="F40" s="1297"/>
      <c r="G40" s="1297"/>
      <c r="H40" s="1297"/>
      <c r="I40" s="1297"/>
      <c r="J40" s="1297"/>
      <c r="K40" s="1297"/>
      <c r="L40" s="1297"/>
      <c r="M40" s="1297"/>
      <c r="N40" s="1297"/>
      <c r="O40" s="1297"/>
      <c r="P40" s="1297"/>
      <c r="Q40" s="1297"/>
      <c r="R40" s="1297"/>
      <c r="S40" s="1297"/>
      <c r="T40" s="518"/>
    </row>
    <row r="41" spans="1:26" x14ac:dyDescent="0.2">
      <c r="A41" s="484"/>
      <c r="B41" s="517"/>
      <c r="C41" s="1297"/>
      <c r="D41" s="1297"/>
      <c r="E41" s="1297"/>
      <c r="F41" s="1297"/>
      <c r="G41" s="1297"/>
      <c r="H41" s="1297"/>
      <c r="I41" s="1297"/>
      <c r="J41" s="1297"/>
      <c r="K41" s="1297"/>
      <c r="L41" s="1297"/>
      <c r="M41" s="1297"/>
      <c r="N41" s="1297"/>
      <c r="O41" s="1297"/>
      <c r="P41" s="1297"/>
      <c r="Q41" s="1297"/>
      <c r="R41" s="1297"/>
      <c r="S41" s="1297"/>
      <c r="T41" s="518"/>
    </row>
    <row r="42" spans="1:26" x14ac:dyDescent="0.2">
      <c r="A42" s="484"/>
      <c r="B42" s="517"/>
      <c r="C42" s="1297"/>
      <c r="D42" s="1297"/>
      <c r="E42" s="1297"/>
      <c r="F42" s="1297"/>
      <c r="G42" s="1297"/>
      <c r="H42" s="1297"/>
      <c r="I42" s="1297"/>
      <c r="J42" s="1297"/>
      <c r="K42" s="1297"/>
      <c r="L42" s="1297"/>
      <c r="M42" s="1297"/>
      <c r="N42" s="1297"/>
      <c r="O42" s="1297"/>
      <c r="P42" s="1297"/>
      <c r="Q42" s="1297"/>
      <c r="R42" s="1297"/>
      <c r="S42" s="1297"/>
      <c r="T42" s="518"/>
    </row>
    <row r="43" spans="1:26" ht="7.9" customHeight="1" x14ac:dyDescent="0.2">
      <c r="A43" s="484"/>
      <c r="B43" s="519"/>
      <c r="C43" s="520"/>
      <c r="D43" s="520"/>
      <c r="E43" s="520"/>
      <c r="F43" s="520"/>
      <c r="G43" s="520"/>
      <c r="H43" s="520"/>
      <c r="I43" s="520"/>
      <c r="J43" s="520"/>
      <c r="K43" s="520"/>
      <c r="L43" s="520"/>
      <c r="M43" s="520"/>
      <c r="N43" s="520"/>
      <c r="O43" s="520"/>
      <c r="P43" s="520"/>
      <c r="Q43" s="520"/>
      <c r="R43" s="520"/>
      <c r="S43" s="520"/>
      <c r="T43" s="521"/>
    </row>
    <row r="44" spans="1:26" ht="6" customHeight="1" x14ac:dyDescent="0.2">
      <c r="A44" s="484"/>
      <c r="B44" s="96"/>
      <c r="C44" s="96"/>
      <c r="D44" s="96"/>
      <c r="E44" s="96"/>
      <c r="F44" s="96"/>
      <c r="G44" s="96"/>
      <c r="H44" s="96"/>
      <c r="I44" s="96"/>
      <c r="J44" s="96"/>
      <c r="K44" s="96"/>
      <c r="L44" s="96"/>
      <c r="M44" s="96"/>
      <c r="N44" s="96"/>
      <c r="O44" s="96"/>
      <c r="P44" s="96"/>
      <c r="Q44" s="96"/>
      <c r="R44" s="96"/>
      <c r="S44" s="522"/>
      <c r="T44" s="522"/>
    </row>
    <row r="45" spans="1:26" ht="6" customHeight="1" x14ac:dyDescent="0.2">
      <c r="A45" s="484"/>
      <c r="B45" s="515"/>
      <c r="C45" s="48"/>
      <c r="D45" s="48"/>
      <c r="E45" s="48"/>
      <c r="F45" s="48"/>
      <c r="G45" s="48"/>
      <c r="H45" s="48"/>
      <c r="I45" s="48"/>
      <c r="J45" s="48"/>
      <c r="K45" s="48"/>
      <c r="L45" s="48"/>
      <c r="M45" s="48"/>
      <c r="N45" s="48"/>
      <c r="O45" s="48"/>
      <c r="P45" s="48"/>
      <c r="Q45" s="48"/>
      <c r="R45" s="48"/>
      <c r="S45" s="48"/>
      <c r="T45" s="516"/>
    </row>
    <row r="46" spans="1:26" x14ac:dyDescent="0.2">
      <c r="A46" s="484"/>
      <c r="B46" s="517"/>
      <c r="C46" s="94" t="s">
        <v>1065</v>
      </c>
      <c r="D46" s="96"/>
      <c r="E46" s="96"/>
      <c r="F46" s="96"/>
      <c r="G46" s="96"/>
      <c r="H46" s="96"/>
      <c r="I46" s="96"/>
      <c r="J46" s="96"/>
      <c r="K46" s="96"/>
      <c r="L46" s="96"/>
      <c r="M46" s="96"/>
      <c r="N46" s="96"/>
      <c r="O46" s="96"/>
      <c r="P46" s="96"/>
      <c r="Q46" s="96"/>
      <c r="R46" s="96"/>
      <c r="S46" s="96"/>
      <c r="T46" s="518"/>
    </row>
    <row r="47" spans="1:26" ht="6" customHeight="1" x14ac:dyDescent="0.2">
      <c r="A47" s="484"/>
      <c r="B47" s="517"/>
      <c r="C47" s="96"/>
      <c r="D47" s="96"/>
      <c r="E47" s="96"/>
      <c r="F47" s="96"/>
      <c r="G47" s="96"/>
      <c r="H47" s="96"/>
      <c r="I47" s="96"/>
      <c r="J47" s="96"/>
      <c r="K47" s="96"/>
      <c r="L47" s="96"/>
      <c r="M47" s="96"/>
      <c r="N47" s="96"/>
      <c r="O47" s="96"/>
      <c r="P47" s="96"/>
      <c r="Q47" s="96"/>
      <c r="R47" s="96"/>
      <c r="S47" s="96"/>
      <c r="T47" s="518"/>
    </row>
    <row r="48" spans="1:26" x14ac:dyDescent="0.2">
      <c r="A48" s="484"/>
      <c r="B48" s="517"/>
      <c r="C48" s="1297"/>
      <c r="D48" s="1297"/>
      <c r="E48" s="1297"/>
      <c r="F48" s="1297"/>
      <c r="G48" s="1297"/>
      <c r="H48" s="1297"/>
      <c r="I48" s="1297"/>
      <c r="J48" s="1297"/>
      <c r="K48" s="1297"/>
      <c r="L48" s="1297"/>
      <c r="M48" s="1297"/>
      <c r="N48" s="1297"/>
      <c r="O48" s="1297"/>
      <c r="P48" s="1297"/>
      <c r="Q48" s="1297"/>
      <c r="R48" s="1297"/>
      <c r="S48" s="1297"/>
      <c r="T48" s="518"/>
    </row>
    <row r="49" spans="1:29" x14ac:dyDescent="0.2">
      <c r="A49" s="484"/>
      <c r="B49" s="517"/>
      <c r="C49" s="1297"/>
      <c r="D49" s="1297"/>
      <c r="E49" s="1297"/>
      <c r="F49" s="1297"/>
      <c r="G49" s="1297"/>
      <c r="H49" s="1297"/>
      <c r="I49" s="1297"/>
      <c r="J49" s="1297"/>
      <c r="K49" s="1297"/>
      <c r="L49" s="1297"/>
      <c r="M49" s="1297"/>
      <c r="N49" s="1297"/>
      <c r="O49" s="1297"/>
      <c r="P49" s="1297"/>
      <c r="Q49" s="1297"/>
      <c r="R49" s="1297"/>
      <c r="S49" s="1297"/>
      <c r="T49" s="518"/>
    </row>
    <row r="50" spans="1:29" x14ac:dyDescent="0.2">
      <c r="A50" s="484"/>
      <c r="B50" s="517"/>
      <c r="C50" s="1297"/>
      <c r="D50" s="1297"/>
      <c r="E50" s="1297"/>
      <c r="F50" s="1297"/>
      <c r="G50" s="1297"/>
      <c r="H50" s="1297"/>
      <c r="I50" s="1297"/>
      <c r="J50" s="1297"/>
      <c r="K50" s="1297"/>
      <c r="L50" s="1297"/>
      <c r="M50" s="1297"/>
      <c r="N50" s="1297"/>
      <c r="O50" s="1297"/>
      <c r="P50" s="1297"/>
      <c r="Q50" s="1297"/>
      <c r="R50" s="1297"/>
      <c r="S50" s="1297"/>
      <c r="T50" s="518"/>
    </row>
    <row r="51" spans="1:29" ht="7.9" customHeight="1" x14ac:dyDescent="0.2">
      <c r="A51" s="484"/>
      <c r="B51" s="519"/>
      <c r="C51" s="520"/>
      <c r="D51" s="520"/>
      <c r="E51" s="520"/>
      <c r="F51" s="520"/>
      <c r="G51" s="520"/>
      <c r="H51" s="520"/>
      <c r="I51" s="520"/>
      <c r="J51" s="520"/>
      <c r="K51" s="520"/>
      <c r="L51" s="520"/>
      <c r="M51" s="520"/>
      <c r="N51" s="520"/>
      <c r="O51" s="520"/>
      <c r="P51" s="520"/>
      <c r="Q51" s="520"/>
      <c r="R51" s="520"/>
      <c r="S51" s="520"/>
      <c r="T51" s="521"/>
    </row>
    <row r="60" spans="1:29" x14ac:dyDescent="0.2">
      <c r="AA60" s="244" t="s">
        <v>1021</v>
      </c>
      <c r="AC60" s="244" t="s">
        <v>1028</v>
      </c>
    </row>
    <row r="61" spans="1:29" x14ac:dyDescent="0.2">
      <c r="AA61" s="449">
        <v>1</v>
      </c>
      <c r="AB61" s="449">
        <v>4</v>
      </c>
      <c r="AC61" s="450">
        <f>AA61+2</f>
        <v>3</v>
      </c>
    </row>
    <row r="62" spans="1:29" x14ac:dyDescent="0.2">
      <c r="AA62" s="449">
        <v>2</v>
      </c>
      <c r="AB62" s="449">
        <v>5</v>
      </c>
      <c r="AC62" s="450">
        <f t="shared" ref="AC62:AC87" si="0">AA62+2</f>
        <v>4</v>
      </c>
    </row>
    <row r="63" spans="1:29" x14ac:dyDescent="0.2">
      <c r="AA63" s="449">
        <v>3</v>
      </c>
      <c r="AB63" s="449">
        <v>6</v>
      </c>
      <c r="AC63" s="450">
        <f t="shared" si="0"/>
        <v>5</v>
      </c>
    </row>
    <row r="64" spans="1:29" x14ac:dyDescent="0.2">
      <c r="AA64" s="449">
        <v>4</v>
      </c>
      <c r="AB64" s="449">
        <v>7</v>
      </c>
      <c r="AC64" s="450">
        <f t="shared" si="0"/>
        <v>6</v>
      </c>
    </row>
    <row r="65" spans="27:29" x14ac:dyDescent="0.2">
      <c r="AA65" s="449">
        <v>5</v>
      </c>
      <c r="AB65" s="449">
        <v>8</v>
      </c>
      <c r="AC65" s="450">
        <f t="shared" si="0"/>
        <v>7</v>
      </c>
    </row>
    <row r="66" spans="27:29" x14ac:dyDescent="0.2">
      <c r="AA66" s="449">
        <v>6</v>
      </c>
      <c r="AB66" s="449">
        <v>9</v>
      </c>
      <c r="AC66" s="450">
        <f t="shared" si="0"/>
        <v>8</v>
      </c>
    </row>
    <row r="67" spans="27:29" x14ac:dyDescent="0.2">
      <c r="AA67" s="449">
        <v>7</v>
      </c>
      <c r="AB67" s="449">
        <v>10</v>
      </c>
      <c r="AC67" s="450">
        <f t="shared" si="0"/>
        <v>9</v>
      </c>
    </row>
    <row r="68" spans="27:29" x14ac:dyDescent="0.2">
      <c r="AA68" s="449">
        <v>8</v>
      </c>
      <c r="AB68" s="449">
        <v>11</v>
      </c>
      <c r="AC68" s="450">
        <f t="shared" si="0"/>
        <v>10</v>
      </c>
    </row>
    <row r="69" spans="27:29" x14ac:dyDescent="0.2">
      <c r="AA69" s="449">
        <v>9</v>
      </c>
      <c r="AB69" s="449">
        <v>12</v>
      </c>
      <c r="AC69" s="450">
        <f t="shared" si="0"/>
        <v>11</v>
      </c>
    </row>
    <row r="70" spans="27:29" x14ac:dyDescent="0.2">
      <c r="AA70" s="449">
        <v>10</v>
      </c>
      <c r="AB70" s="449">
        <v>13</v>
      </c>
      <c r="AC70" s="450">
        <f t="shared" si="0"/>
        <v>12</v>
      </c>
    </row>
    <row r="71" spans="27:29" x14ac:dyDescent="0.2">
      <c r="AA71" s="449">
        <v>11</v>
      </c>
      <c r="AB71" s="449">
        <v>14</v>
      </c>
      <c r="AC71" s="450">
        <f t="shared" si="0"/>
        <v>13</v>
      </c>
    </row>
    <row r="72" spans="27:29" x14ac:dyDescent="0.2">
      <c r="AA72" s="449">
        <v>12</v>
      </c>
      <c r="AB72" s="449">
        <v>15</v>
      </c>
      <c r="AC72" s="450">
        <f t="shared" si="0"/>
        <v>14</v>
      </c>
    </row>
    <row r="73" spans="27:29" x14ac:dyDescent="0.2">
      <c r="AA73" s="449">
        <v>13</v>
      </c>
      <c r="AB73" s="449">
        <v>16</v>
      </c>
      <c r="AC73" s="450">
        <f t="shared" si="0"/>
        <v>15</v>
      </c>
    </row>
    <row r="74" spans="27:29" x14ac:dyDescent="0.2">
      <c r="AA74" s="449">
        <v>14</v>
      </c>
      <c r="AB74" s="449">
        <v>17</v>
      </c>
      <c r="AC74" s="450">
        <f t="shared" si="0"/>
        <v>16</v>
      </c>
    </row>
    <row r="75" spans="27:29" x14ac:dyDescent="0.2">
      <c r="AA75" s="449">
        <v>15</v>
      </c>
      <c r="AB75" s="449">
        <v>18</v>
      </c>
      <c r="AC75" s="450">
        <f t="shared" si="0"/>
        <v>17</v>
      </c>
    </row>
    <row r="76" spans="27:29" x14ac:dyDescent="0.2">
      <c r="AA76" s="449">
        <v>16</v>
      </c>
      <c r="AB76" s="449">
        <v>19</v>
      </c>
      <c r="AC76" s="450">
        <f t="shared" si="0"/>
        <v>18</v>
      </c>
    </row>
    <row r="77" spans="27:29" x14ac:dyDescent="0.2">
      <c r="AA77" s="449">
        <v>17</v>
      </c>
      <c r="AB77" s="449">
        <v>20</v>
      </c>
      <c r="AC77" s="450">
        <f t="shared" si="0"/>
        <v>19</v>
      </c>
    </row>
    <row r="78" spans="27:29" x14ac:dyDescent="0.2">
      <c r="AA78" s="449">
        <v>18</v>
      </c>
      <c r="AB78" s="449">
        <v>21</v>
      </c>
      <c r="AC78" s="450">
        <f t="shared" si="0"/>
        <v>20</v>
      </c>
    </row>
    <row r="79" spans="27:29" x14ac:dyDescent="0.2">
      <c r="AA79" s="449">
        <v>19</v>
      </c>
      <c r="AB79" s="449">
        <v>22</v>
      </c>
      <c r="AC79" s="450">
        <f t="shared" si="0"/>
        <v>21</v>
      </c>
    </row>
    <row r="80" spans="27:29" x14ac:dyDescent="0.2">
      <c r="AA80" s="449">
        <v>20</v>
      </c>
      <c r="AB80" s="449">
        <v>23</v>
      </c>
      <c r="AC80" s="450">
        <f t="shared" si="0"/>
        <v>22</v>
      </c>
    </row>
    <row r="81" spans="27:29" x14ac:dyDescent="0.2">
      <c r="AA81" s="449">
        <v>21</v>
      </c>
      <c r="AB81" s="449">
        <v>24</v>
      </c>
      <c r="AC81" s="450">
        <f t="shared" si="0"/>
        <v>23</v>
      </c>
    </row>
    <row r="82" spans="27:29" x14ac:dyDescent="0.2">
      <c r="AA82" s="449">
        <v>22</v>
      </c>
      <c r="AB82" s="449">
        <v>25</v>
      </c>
      <c r="AC82" s="450">
        <f t="shared" si="0"/>
        <v>24</v>
      </c>
    </row>
    <row r="83" spans="27:29" x14ac:dyDescent="0.2">
      <c r="AA83" s="449">
        <v>23</v>
      </c>
      <c r="AB83" s="449">
        <v>26</v>
      </c>
      <c r="AC83" s="450">
        <f t="shared" si="0"/>
        <v>25</v>
      </c>
    </row>
    <row r="84" spans="27:29" x14ac:dyDescent="0.2">
      <c r="AA84" s="449">
        <v>24</v>
      </c>
      <c r="AB84" s="449">
        <v>27</v>
      </c>
      <c r="AC84" s="450">
        <f t="shared" si="0"/>
        <v>26</v>
      </c>
    </row>
    <row r="85" spans="27:29" x14ac:dyDescent="0.2">
      <c r="AA85" s="449">
        <v>25</v>
      </c>
      <c r="AB85" s="449">
        <v>28</v>
      </c>
      <c r="AC85" s="450">
        <f t="shared" si="0"/>
        <v>27</v>
      </c>
    </row>
    <row r="86" spans="27:29" x14ac:dyDescent="0.2">
      <c r="AA86" s="449">
        <v>26</v>
      </c>
      <c r="AB86" s="449">
        <v>29</v>
      </c>
      <c r="AC86" s="450">
        <f t="shared" si="0"/>
        <v>28</v>
      </c>
    </row>
    <row r="87" spans="27:29" x14ac:dyDescent="0.2">
      <c r="AA87" s="449">
        <v>27</v>
      </c>
      <c r="AB87" s="449">
        <v>30</v>
      </c>
      <c r="AC87" s="450">
        <f t="shared" si="0"/>
        <v>29</v>
      </c>
    </row>
    <row r="88" spans="27:29" x14ac:dyDescent="0.2">
      <c r="AA88" s="449" t="s">
        <v>590</v>
      </c>
      <c r="AB88" s="449">
        <v>3</v>
      </c>
      <c r="AC88" s="450" t="s">
        <v>588</v>
      </c>
    </row>
    <row r="89" spans="27:29" x14ac:dyDescent="0.2">
      <c r="AA89" s="449" t="s">
        <v>589</v>
      </c>
      <c r="AB89" s="449">
        <v>2</v>
      </c>
      <c r="AC89" s="450">
        <v>1</v>
      </c>
    </row>
    <row r="90" spans="27:29" x14ac:dyDescent="0.2">
      <c r="AA90" s="449" t="s">
        <v>588</v>
      </c>
      <c r="AB90" s="449">
        <v>1</v>
      </c>
      <c r="AC90" s="450">
        <v>2</v>
      </c>
    </row>
  </sheetData>
  <sheetProtection algorithmName="SHA-512" hashValue="mjeXIqZxDlVl2DE7E6VQWvKOWDL3e7/pJH1nxpZjlBTZ8eBCO1uwbo7sEuwFCM+6fs+aEAbw9r1bKFoj7H6AYA==" saltValue="bTFq7cg6shPAwMRGlJFHzQ==" spinCount="100000" sheet="1" objects="1" scenarios="1"/>
  <protectedRanges>
    <protectedRange algorithmName="SHA-512" hashValue="AiQ/egyoraA276wXFgde3c706fCG73unb8/zyUCSyc48bmliQOH8qgGWzHy7jl/Wjk0oZjrdI74Z31Y3XGNn/A==" saltValue="837SJh/hpXSN3g7Qg/2S9g==" spinCount="100000" sqref="O12 G14 I18 I20 L18 L20 J25 C40:S42 C48:S50" name="Eingabefelder"/>
  </protectedRanges>
  <mergeCells count="33">
    <mergeCell ref="V10:X11"/>
    <mergeCell ref="J28:K28"/>
    <mergeCell ref="N28:O28"/>
    <mergeCell ref="F12:H12"/>
    <mergeCell ref="O12:R12"/>
    <mergeCell ref="M18:S18"/>
    <mergeCell ref="C23:S23"/>
    <mergeCell ref="J25:K25"/>
    <mergeCell ref="M25:S25"/>
    <mergeCell ref="J27:K27"/>
    <mergeCell ref="N27:O27"/>
    <mergeCell ref="I20:J20"/>
    <mergeCell ref="I18:J18"/>
    <mergeCell ref="G14:R14"/>
    <mergeCell ref="V19:Z25"/>
    <mergeCell ref="B2:M2"/>
    <mergeCell ref="E6:F6"/>
    <mergeCell ref="E8:J8"/>
    <mergeCell ref="O8:R8"/>
    <mergeCell ref="E10:J10"/>
    <mergeCell ref="O10:R10"/>
    <mergeCell ref="V30:Z35"/>
    <mergeCell ref="M20:S20"/>
    <mergeCell ref="C42:S42"/>
    <mergeCell ref="C50:S50"/>
    <mergeCell ref="C41:S41"/>
    <mergeCell ref="C40:S40"/>
    <mergeCell ref="C49:S49"/>
    <mergeCell ref="C48:S48"/>
    <mergeCell ref="J32:K32"/>
    <mergeCell ref="J34:K34"/>
    <mergeCell ref="N34:O34"/>
    <mergeCell ref="Q34:R34"/>
  </mergeCells>
  <conditionalFormatting sqref="M25:S25">
    <cfRule type="expression" dxfId="60" priority="3">
      <formula>$M$25="Lohn erfassen"</formula>
    </cfRule>
    <cfRule type="cellIs" dxfId="59" priority="23" stopIfTrue="1" operator="equal">
      <formula>"Lohn innerhalb Lohnbandgrenzen"</formula>
    </cfRule>
    <cfRule type="cellIs" dxfId="58" priority="24" stopIfTrue="1" operator="equal">
      <formula>""</formula>
    </cfRule>
  </conditionalFormatting>
  <conditionalFormatting sqref="M44 T44">
    <cfRule type="cellIs" dxfId="57" priority="17" stopIfTrue="1" operator="equal">
      <formula>"Lohn innerhalb Lohnbandgrenzen"</formula>
    </cfRule>
    <cfRule type="cellIs" dxfId="56" priority="18" stopIfTrue="1" operator="equal">
      <formula>""</formula>
    </cfRule>
  </conditionalFormatting>
  <conditionalFormatting sqref="S44">
    <cfRule type="cellIs" dxfId="55" priority="15" stopIfTrue="1" operator="equal">
      <formula>"Lohn innerhalb Lohnbandgrenzen"</formula>
    </cfRule>
    <cfRule type="cellIs" dxfId="54" priority="16" stopIfTrue="1" operator="equal">
      <formula>""</formula>
    </cfRule>
  </conditionalFormatting>
  <conditionalFormatting sqref="C23:S23">
    <cfRule type="expression" dxfId="53" priority="4">
      <formula>$C$23="Modellumschreibungen erfassen"</formula>
    </cfRule>
    <cfRule type="expression" dxfId="52" priority="9">
      <formula>$C$23="für beide MU müssen Lohnbänder manuell eingegeben werden"</formula>
    </cfRule>
    <cfRule type="expression" dxfId="51" priority="10">
      <formula>$C$23="Bedingungen erfüllt"</formula>
    </cfRule>
    <cfRule type="expression" dxfId="50" priority="11">
      <formula>$C$23=""</formula>
    </cfRule>
    <cfRule type="expression" dxfId="49" priority="12">
      <formula>$C$23="selbe Modellumschreibung (evt. Lohnband manuell eingeben)"</formula>
    </cfRule>
  </conditionalFormatting>
  <conditionalFormatting sqref="K18:L18 K20:L20">
    <cfRule type="expression" dxfId="48" priority="219">
      <formula>$AD$18=0</formula>
    </cfRule>
  </conditionalFormatting>
  <conditionalFormatting sqref="M18:S18">
    <cfRule type="expression" dxfId="47" priority="7">
      <formula>AND($M$18&lt;&gt;"",$M$18&lt;&gt;"Keine gültige MU")</formula>
    </cfRule>
    <cfRule type="expression" dxfId="46" priority="8">
      <formula>$M$18="Keine gültige MU"</formula>
    </cfRule>
  </conditionalFormatting>
  <conditionalFormatting sqref="M20:S20">
    <cfRule type="expression" dxfId="45" priority="5">
      <formula>AND($M$20&lt;&gt;"",$M$20&lt;&gt;"Keine gültige MU")</formula>
    </cfRule>
    <cfRule type="expression" dxfId="44" priority="6">
      <formula>$M$20="Keine gültige MU"</formula>
    </cfRule>
  </conditionalFormatting>
  <conditionalFormatting sqref="C25:S34">
    <cfRule type="expression" dxfId="43" priority="2">
      <formula>$C$23&lt;&gt;"Bedingungen erfüllt"</formula>
    </cfRule>
  </conditionalFormatting>
  <conditionalFormatting sqref="C26:R34">
    <cfRule type="expression" dxfId="42" priority="1">
      <formula>$M$25&lt;&gt;"Lohn innerhalb Lohnbandgrenzen"</formula>
    </cfRule>
  </conditionalFormatting>
  <dataValidations count="2">
    <dataValidation type="list" allowBlank="1" showInputMessage="1" showErrorMessage="1" sqref="K65491:L65491 K131027:L131027 K196563:L196563 K262099:L262099 K327635:L327635 K393171:L393171 K458707:L458707 K524243:L524243 K589779:L589779 K655315:L655315 K720851:L720851 K786387:L786387 K851923:L851923 K917459:L917459 K982995:L982995 K65493:L65493 K131029:L131029 K196565:L196565 K262101:L262101 K327637:L327637 K393173:L393173 K458709:L458709 K524245:L524245 K589781:L589781 K655317:L655317 K720853:L720853 K786389:L786389 K851925:L851925 K917461:L917461 K982997:L982997 K65553:L65553 K131089:L131089 K196625:L196625 K262161:L262161 K327697:L327697 K393233:L393233 K458769:L458769 K524305:L524305 K589841:L589841 K655377:L655377 K720913:L720913 K786449:L786449 K851985:L851985 K917521:L917521 K983057:L983057 K65519:L65519 K131055:L131055 K196591:L196591 K262127:L262127 K327663:L327663 K393199:L393199 K458735:L458735 K524271:L524271 K589807:L589807 K655343:L655343 K720879:L720879 K786415:L786415 K851951:L851951 K917487:L917487 K983023:L983023 K65551:L65551 K131087:L131087 K196623:L196623 K262159:L262159 K327695:L327695 K393231:L393231 K458767:L458767 K524303:L524303 K589839:L589839 K655375:L655375 K720911:L720911 K786447:L786447 K851983:L851983 K917519:L917519 K983055:L983055 K65522:L65522 K131058:L131058 K196594:L196594 K262130:L262130 K327666:L327666 K393202:L393202 K458738:L458738 K524274:L524274 K589810:L589810 K655346:L655346 K720882:L720882 K786418:L786418 K851954:L851954 K917490:L917490 K983026:L983026" xr:uid="{00000000-0002-0000-1400-000000000000}">
      <formula1>Aus_MU</formula1>
    </dataValidation>
    <dataValidation type="date" operator="greaterThan" allowBlank="1" showInputMessage="1" showErrorMessage="1" errorTitle="Fehler" error="Geben Sie ein gültiges Datum dd.mm.yyyy ein!" sqref="E15 F12:F14" xr:uid="{00000000-0002-0000-1400-000001000000}">
      <formula1>1</formula1>
    </dataValidation>
  </dataValidations>
  <hyperlinks>
    <hyperlink ref="V10:X11" location="Grunddaten!E9" tooltip="Zurück zu Grunddaten" display="Zurück zu Grunddaten" xr:uid="{00000000-0004-0000-1400-000000000000}"/>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DropDown="1" showInputMessage="1" xr:uid="{00000000-0002-0000-1400-000002000000}">
          <x14:formula1>
            <xm:f>'MU-Daten'!$U:$U</xm:f>
          </x14:formula1>
          <xm:sqref>K20</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13">
    <pageSetUpPr fitToPage="1"/>
  </sheetPr>
  <dimension ref="A1:BD80"/>
  <sheetViews>
    <sheetView zoomScaleNormal="100" workbookViewId="0">
      <selection activeCell="U10" sqref="U10:Z11"/>
    </sheetView>
  </sheetViews>
  <sheetFormatPr baseColWidth="10" defaultColWidth="4.5703125" defaultRowHeight="12.75" x14ac:dyDescent="0.2"/>
  <cols>
    <col min="1" max="2" width="3.5703125" style="284" customWidth="1"/>
    <col min="3" max="13" width="4.5703125" style="284"/>
    <col min="14" max="14" width="7.42578125" style="284" customWidth="1"/>
    <col min="15" max="18" width="5" style="284" customWidth="1"/>
    <col min="19" max="19" width="3.5703125" style="284" customWidth="1"/>
    <col min="20" max="20" width="4.5703125" style="284"/>
    <col min="21" max="21" width="7.5703125" style="284" customWidth="1"/>
    <col min="22" max="22" width="2.42578125" style="284" customWidth="1"/>
    <col min="23" max="24" width="4.5703125" style="284"/>
    <col min="25" max="36" width="4.5703125" style="327"/>
    <col min="37" max="38" width="4.5703125" style="284"/>
    <col min="39" max="39" width="20.140625" style="284" hidden="1" customWidth="1"/>
    <col min="40" max="41" width="4.5703125" style="284" hidden="1" customWidth="1"/>
    <col min="42" max="42" width="6.28515625" style="284" hidden="1" customWidth="1"/>
    <col min="43" max="43" width="53.140625" style="284" hidden="1" customWidth="1"/>
    <col min="44" max="44" width="9.42578125" style="284" hidden="1" customWidth="1"/>
    <col min="45" max="45" width="11.42578125" style="284" hidden="1" customWidth="1"/>
    <col min="46" max="46" width="10.85546875" style="284" hidden="1" customWidth="1"/>
    <col min="47" max="47" width="12.28515625" style="284" hidden="1" customWidth="1"/>
    <col min="48" max="48" width="10.140625" style="284" hidden="1" customWidth="1"/>
    <col min="49" max="49" width="12.5703125" style="284" hidden="1" customWidth="1"/>
    <col min="50" max="53" width="4.5703125" style="284" hidden="1" customWidth="1"/>
    <col min="54" max="54" width="7.7109375" style="284" hidden="1" customWidth="1"/>
    <col min="55" max="55" width="7.28515625" style="284" hidden="1" customWidth="1"/>
    <col min="56" max="56" width="10.5703125" style="284" hidden="1" customWidth="1"/>
    <col min="57" max="57" width="4.5703125" style="284" customWidth="1"/>
    <col min="58" max="256" width="4.5703125" style="284"/>
    <col min="257" max="257" width="3.5703125" style="284" customWidth="1"/>
    <col min="258" max="276" width="4.5703125" style="284"/>
    <col min="277" max="277" width="7.5703125" style="284" customWidth="1"/>
    <col min="278" max="278" width="2.42578125" style="284" customWidth="1"/>
    <col min="279" max="297" width="4.5703125" style="284"/>
    <col min="298" max="298" width="10.5703125" style="284" customWidth="1"/>
    <col min="299" max="299" width="4.5703125" style="284"/>
    <col min="300" max="300" width="9.42578125" style="284" customWidth="1"/>
    <col min="301" max="301" width="11.42578125" style="284" customWidth="1"/>
    <col min="302" max="512" width="4.5703125" style="284"/>
    <col min="513" max="513" width="3.5703125" style="284" customWidth="1"/>
    <col min="514" max="532" width="4.5703125" style="284"/>
    <col min="533" max="533" width="7.5703125" style="284" customWidth="1"/>
    <col min="534" max="534" width="2.42578125" style="284" customWidth="1"/>
    <col min="535" max="553" width="4.5703125" style="284"/>
    <col min="554" max="554" width="10.5703125" style="284" customWidth="1"/>
    <col min="555" max="555" width="4.5703125" style="284"/>
    <col min="556" max="556" width="9.42578125" style="284" customWidth="1"/>
    <col min="557" max="557" width="11.42578125" style="284" customWidth="1"/>
    <col min="558" max="768" width="4.5703125" style="284"/>
    <col min="769" max="769" width="3.5703125" style="284" customWidth="1"/>
    <col min="770" max="788" width="4.5703125" style="284"/>
    <col min="789" max="789" width="7.5703125" style="284" customWidth="1"/>
    <col min="790" max="790" width="2.42578125" style="284" customWidth="1"/>
    <col min="791" max="809" width="4.5703125" style="284"/>
    <col min="810" max="810" width="10.5703125" style="284" customWidth="1"/>
    <col min="811" max="811" width="4.5703125" style="284"/>
    <col min="812" max="812" width="9.42578125" style="284" customWidth="1"/>
    <col min="813" max="813" width="11.42578125" style="284" customWidth="1"/>
    <col min="814" max="1024" width="4.5703125" style="284"/>
    <col min="1025" max="1025" width="3.5703125" style="284" customWidth="1"/>
    <col min="1026" max="1044" width="4.5703125" style="284"/>
    <col min="1045" max="1045" width="7.5703125" style="284" customWidth="1"/>
    <col min="1046" max="1046" width="2.42578125" style="284" customWidth="1"/>
    <col min="1047" max="1065" width="4.5703125" style="284"/>
    <col min="1066" max="1066" width="10.5703125" style="284" customWidth="1"/>
    <col min="1067" max="1067" width="4.5703125" style="284"/>
    <col min="1068" max="1068" width="9.42578125" style="284" customWidth="1"/>
    <col min="1069" max="1069" width="11.42578125" style="284" customWidth="1"/>
    <col min="1070" max="1280" width="4.5703125" style="284"/>
    <col min="1281" max="1281" width="3.5703125" style="284" customWidth="1"/>
    <col min="1282" max="1300" width="4.5703125" style="284"/>
    <col min="1301" max="1301" width="7.5703125" style="284" customWidth="1"/>
    <col min="1302" max="1302" width="2.42578125" style="284" customWidth="1"/>
    <col min="1303" max="1321" width="4.5703125" style="284"/>
    <col min="1322" max="1322" width="10.5703125" style="284" customWidth="1"/>
    <col min="1323" max="1323" width="4.5703125" style="284"/>
    <col min="1324" max="1324" width="9.42578125" style="284" customWidth="1"/>
    <col min="1325" max="1325" width="11.42578125" style="284" customWidth="1"/>
    <col min="1326" max="1536" width="4.5703125" style="284"/>
    <col min="1537" max="1537" width="3.5703125" style="284" customWidth="1"/>
    <col min="1538" max="1556" width="4.5703125" style="284"/>
    <col min="1557" max="1557" width="7.5703125" style="284" customWidth="1"/>
    <col min="1558" max="1558" width="2.42578125" style="284" customWidth="1"/>
    <col min="1559" max="1577" width="4.5703125" style="284"/>
    <col min="1578" max="1578" width="10.5703125" style="284" customWidth="1"/>
    <col min="1579" max="1579" width="4.5703125" style="284"/>
    <col min="1580" max="1580" width="9.42578125" style="284" customWidth="1"/>
    <col min="1581" max="1581" width="11.42578125" style="284" customWidth="1"/>
    <col min="1582" max="1792" width="4.5703125" style="284"/>
    <col min="1793" max="1793" width="3.5703125" style="284" customWidth="1"/>
    <col min="1794" max="1812" width="4.5703125" style="284"/>
    <col min="1813" max="1813" width="7.5703125" style="284" customWidth="1"/>
    <col min="1814" max="1814" width="2.42578125" style="284" customWidth="1"/>
    <col min="1815" max="1833" width="4.5703125" style="284"/>
    <col min="1834" max="1834" width="10.5703125" style="284" customWidth="1"/>
    <col min="1835" max="1835" width="4.5703125" style="284"/>
    <col min="1836" max="1836" width="9.42578125" style="284" customWidth="1"/>
    <col min="1837" max="1837" width="11.42578125" style="284" customWidth="1"/>
    <col min="1838" max="2048" width="4.5703125" style="284"/>
    <col min="2049" max="2049" width="3.5703125" style="284" customWidth="1"/>
    <col min="2050" max="2068" width="4.5703125" style="284"/>
    <col min="2069" max="2069" width="7.5703125" style="284" customWidth="1"/>
    <col min="2070" max="2070" width="2.42578125" style="284" customWidth="1"/>
    <col min="2071" max="2089" width="4.5703125" style="284"/>
    <col min="2090" max="2090" width="10.5703125" style="284" customWidth="1"/>
    <col min="2091" max="2091" width="4.5703125" style="284"/>
    <col min="2092" max="2092" width="9.42578125" style="284" customWidth="1"/>
    <col min="2093" max="2093" width="11.42578125" style="284" customWidth="1"/>
    <col min="2094" max="2304" width="4.5703125" style="284"/>
    <col min="2305" max="2305" width="3.5703125" style="284" customWidth="1"/>
    <col min="2306" max="2324" width="4.5703125" style="284"/>
    <col min="2325" max="2325" width="7.5703125" style="284" customWidth="1"/>
    <col min="2326" max="2326" width="2.42578125" style="284" customWidth="1"/>
    <col min="2327" max="2345" width="4.5703125" style="284"/>
    <col min="2346" max="2346" width="10.5703125" style="284" customWidth="1"/>
    <col min="2347" max="2347" width="4.5703125" style="284"/>
    <col min="2348" max="2348" width="9.42578125" style="284" customWidth="1"/>
    <col min="2349" max="2349" width="11.42578125" style="284" customWidth="1"/>
    <col min="2350" max="2560" width="4.5703125" style="284"/>
    <col min="2561" max="2561" width="3.5703125" style="284" customWidth="1"/>
    <col min="2562" max="2580" width="4.5703125" style="284"/>
    <col min="2581" max="2581" width="7.5703125" style="284" customWidth="1"/>
    <col min="2582" max="2582" width="2.42578125" style="284" customWidth="1"/>
    <col min="2583" max="2601" width="4.5703125" style="284"/>
    <col min="2602" max="2602" width="10.5703125" style="284" customWidth="1"/>
    <col min="2603" max="2603" width="4.5703125" style="284"/>
    <col min="2604" max="2604" width="9.42578125" style="284" customWidth="1"/>
    <col min="2605" max="2605" width="11.42578125" style="284" customWidth="1"/>
    <col min="2606" max="2816" width="4.5703125" style="284"/>
    <col min="2817" max="2817" width="3.5703125" style="284" customWidth="1"/>
    <col min="2818" max="2836" width="4.5703125" style="284"/>
    <col min="2837" max="2837" width="7.5703125" style="284" customWidth="1"/>
    <col min="2838" max="2838" width="2.42578125" style="284" customWidth="1"/>
    <col min="2839" max="2857" width="4.5703125" style="284"/>
    <col min="2858" max="2858" width="10.5703125" style="284" customWidth="1"/>
    <col min="2859" max="2859" width="4.5703125" style="284"/>
    <col min="2860" max="2860" width="9.42578125" style="284" customWidth="1"/>
    <col min="2861" max="2861" width="11.42578125" style="284" customWidth="1"/>
    <col min="2862" max="3072" width="4.5703125" style="284"/>
    <col min="3073" max="3073" width="3.5703125" style="284" customWidth="1"/>
    <col min="3074" max="3092" width="4.5703125" style="284"/>
    <col min="3093" max="3093" width="7.5703125" style="284" customWidth="1"/>
    <col min="3094" max="3094" width="2.42578125" style="284" customWidth="1"/>
    <col min="3095" max="3113" width="4.5703125" style="284"/>
    <col min="3114" max="3114" width="10.5703125" style="284" customWidth="1"/>
    <col min="3115" max="3115" width="4.5703125" style="284"/>
    <col min="3116" max="3116" width="9.42578125" style="284" customWidth="1"/>
    <col min="3117" max="3117" width="11.42578125" style="284" customWidth="1"/>
    <col min="3118" max="3328" width="4.5703125" style="284"/>
    <col min="3329" max="3329" width="3.5703125" style="284" customWidth="1"/>
    <col min="3330" max="3348" width="4.5703125" style="284"/>
    <col min="3349" max="3349" width="7.5703125" style="284" customWidth="1"/>
    <col min="3350" max="3350" width="2.42578125" style="284" customWidth="1"/>
    <col min="3351" max="3369" width="4.5703125" style="284"/>
    <col min="3370" max="3370" width="10.5703125" style="284" customWidth="1"/>
    <col min="3371" max="3371" width="4.5703125" style="284"/>
    <col min="3372" max="3372" width="9.42578125" style="284" customWidth="1"/>
    <col min="3373" max="3373" width="11.42578125" style="284" customWidth="1"/>
    <col min="3374" max="3584" width="4.5703125" style="284"/>
    <col min="3585" max="3585" width="3.5703125" style="284" customWidth="1"/>
    <col min="3586" max="3604" width="4.5703125" style="284"/>
    <col min="3605" max="3605" width="7.5703125" style="284" customWidth="1"/>
    <col min="3606" max="3606" width="2.42578125" style="284" customWidth="1"/>
    <col min="3607" max="3625" width="4.5703125" style="284"/>
    <col min="3626" max="3626" width="10.5703125" style="284" customWidth="1"/>
    <col min="3627" max="3627" width="4.5703125" style="284"/>
    <col min="3628" max="3628" width="9.42578125" style="284" customWidth="1"/>
    <col min="3629" max="3629" width="11.42578125" style="284" customWidth="1"/>
    <col min="3630" max="3840" width="4.5703125" style="284"/>
    <col min="3841" max="3841" width="3.5703125" style="284" customWidth="1"/>
    <col min="3842" max="3860" width="4.5703125" style="284"/>
    <col min="3861" max="3861" width="7.5703125" style="284" customWidth="1"/>
    <col min="3862" max="3862" width="2.42578125" style="284" customWidth="1"/>
    <col min="3863" max="3881" width="4.5703125" style="284"/>
    <col min="3882" max="3882" width="10.5703125" style="284" customWidth="1"/>
    <col min="3883" max="3883" width="4.5703125" style="284"/>
    <col min="3884" max="3884" width="9.42578125" style="284" customWidth="1"/>
    <col min="3885" max="3885" width="11.42578125" style="284" customWidth="1"/>
    <col min="3886" max="4096" width="4.5703125" style="284"/>
    <col min="4097" max="4097" width="3.5703125" style="284" customWidth="1"/>
    <col min="4098" max="4116" width="4.5703125" style="284"/>
    <col min="4117" max="4117" width="7.5703125" style="284" customWidth="1"/>
    <col min="4118" max="4118" width="2.42578125" style="284" customWidth="1"/>
    <col min="4119" max="4137" width="4.5703125" style="284"/>
    <col min="4138" max="4138" width="10.5703125" style="284" customWidth="1"/>
    <col min="4139" max="4139" width="4.5703125" style="284"/>
    <col min="4140" max="4140" width="9.42578125" style="284" customWidth="1"/>
    <col min="4141" max="4141" width="11.42578125" style="284" customWidth="1"/>
    <col min="4142" max="4352" width="4.5703125" style="284"/>
    <col min="4353" max="4353" width="3.5703125" style="284" customWidth="1"/>
    <col min="4354" max="4372" width="4.5703125" style="284"/>
    <col min="4373" max="4373" width="7.5703125" style="284" customWidth="1"/>
    <col min="4374" max="4374" width="2.42578125" style="284" customWidth="1"/>
    <col min="4375" max="4393" width="4.5703125" style="284"/>
    <col min="4394" max="4394" width="10.5703125" style="284" customWidth="1"/>
    <col min="4395" max="4395" width="4.5703125" style="284"/>
    <col min="4396" max="4396" width="9.42578125" style="284" customWidth="1"/>
    <col min="4397" max="4397" width="11.42578125" style="284" customWidth="1"/>
    <col min="4398" max="4608" width="4.5703125" style="284"/>
    <col min="4609" max="4609" width="3.5703125" style="284" customWidth="1"/>
    <col min="4610" max="4628" width="4.5703125" style="284"/>
    <col min="4629" max="4629" width="7.5703125" style="284" customWidth="1"/>
    <col min="4630" max="4630" width="2.42578125" style="284" customWidth="1"/>
    <col min="4631" max="4649" width="4.5703125" style="284"/>
    <col min="4650" max="4650" width="10.5703125" style="284" customWidth="1"/>
    <col min="4651" max="4651" width="4.5703125" style="284"/>
    <col min="4652" max="4652" width="9.42578125" style="284" customWidth="1"/>
    <col min="4653" max="4653" width="11.42578125" style="284" customWidth="1"/>
    <col min="4654" max="4864" width="4.5703125" style="284"/>
    <col min="4865" max="4865" width="3.5703125" style="284" customWidth="1"/>
    <col min="4866" max="4884" width="4.5703125" style="284"/>
    <col min="4885" max="4885" width="7.5703125" style="284" customWidth="1"/>
    <col min="4886" max="4886" width="2.42578125" style="284" customWidth="1"/>
    <col min="4887" max="4905" width="4.5703125" style="284"/>
    <col min="4906" max="4906" width="10.5703125" style="284" customWidth="1"/>
    <col min="4907" max="4907" width="4.5703125" style="284"/>
    <col min="4908" max="4908" width="9.42578125" style="284" customWidth="1"/>
    <col min="4909" max="4909" width="11.42578125" style="284" customWidth="1"/>
    <col min="4910" max="5120" width="4.5703125" style="284"/>
    <col min="5121" max="5121" width="3.5703125" style="284" customWidth="1"/>
    <col min="5122" max="5140" width="4.5703125" style="284"/>
    <col min="5141" max="5141" width="7.5703125" style="284" customWidth="1"/>
    <col min="5142" max="5142" width="2.42578125" style="284" customWidth="1"/>
    <col min="5143" max="5161" width="4.5703125" style="284"/>
    <col min="5162" max="5162" width="10.5703125" style="284" customWidth="1"/>
    <col min="5163" max="5163" width="4.5703125" style="284"/>
    <col min="5164" max="5164" width="9.42578125" style="284" customWidth="1"/>
    <col min="5165" max="5165" width="11.42578125" style="284" customWidth="1"/>
    <col min="5166" max="5376" width="4.5703125" style="284"/>
    <col min="5377" max="5377" width="3.5703125" style="284" customWidth="1"/>
    <col min="5378" max="5396" width="4.5703125" style="284"/>
    <col min="5397" max="5397" width="7.5703125" style="284" customWidth="1"/>
    <col min="5398" max="5398" width="2.42578125" style="284" customWidth="1"/>
    <col min="5399" max="5417" width="4.5703125" style="284"/>
    <col min="5418" max="5418" width="10.5703125" style="284" customWidth="1"/>
    <col min="5419" max="5419" width="4.5703125" style="284"/>
    <col min="5420" max="5420" width="9.42578125" style="284" customWidth="1"/>
    <col min="5421" max="5421" width="11.42578125" style="284" customWidth="1"/>
    <col min="5422" max="5632" width="4.5703125" style="284"/>
    <col min="5633" max="5633" width="3.5703125" style="284" customWidth="1"/>
    <col min="5634" max="5652" width="4.5703125" style="284"/>
    <col min="5653" max="5653" width="7.5703125" style="284" customWidth="1"/>
    <col min="5654" max="5654" width="2.42578125" style="284" customWidth="1"/>
    <col min="5655" max="5673" width="4.5703125" style="284"/>
    <col min="5674" max="5674" width="10.5703125" style="284" customWidth="1"/>
    <col min="5675" max="5675" width="4.5703125" style="284"/>
    <col min="5676" max="5676" width="9.42578125" style="284" customWidth="1"/>
    <col min="5677" max="5677" width="11.42578125" style="284" customWidth="1"/>
    <col min="5678" max="5888" width="4.5703125" style="284"/>
    <col min="5889" max="5889" width="3.5703125" style="284" customWidth="1"/>
    <col min="5890" max="5908" width="4.5703125" style="284"/>
    <col min="5909" max="5909" width="7.5703125" style="284" customWidth="1"/>
    <col min="5910" max="5910" width="2.42578125" style="284" customWidth="1"/>
    <col min="5911" max="5929" width="4.5703125" style="284"/>
    <col min="5930" max="5930" width="10.5703125" style="284" customWidth="1"/>
    <col min="5931" max="5931" width="4.5703125" style="284"/>
    <col min="5932" max="5932" width="9.42578125" style="284" customWidth="1"/>
    <col min="5933" max="5933" width="11.42578125" style="284" customWidth="1"/>
    <col min="5934" max="6144" width="4.5703125" style="284"/>
    <col min="6145" max="6145" width="3.5703125" style="284" customWidth="1"/>
    <col min="6146" max="6164" width="4.5703125" style="284"/>
    <col min="6165" max="6165" width="7.5703125" style="284" customWidth="1"/>
    <col min="6166" max="6166" width="2.42578125" style="284" customWidth="1"/>
    <col min="6167" max="6185" width="4.5703125" style="284"/>
    <col min="6186" max="6186" width="10.5703125" style="284" customWidth="1"/>
    <col min="6187" max="6187" width="4.5703125" style="284"/>
    <col min="6188" max="6188" width="9.42578125" style="284" customWidth="1"/>
    <col min="6189" max="6189" width="11.42578125" style="284" customWidth="1"/>
    <col min="6190" max="6400" width="4.5703125" style="284"/>
    <col min="6401" max="6401" width="3.5703125" style="284" customWidth="1"/>
    <col min="6402" max="6420" width="4.5703125" style="284"/>
    <col min="6421" max="6421" width="7.5703125" style="284" customWidth="1"/>
    <col min="6422" max="6422" width="2.42578125" style="284" customWidth="1"/>
    <col min="6423" max="6441" width="4.5703125" style="284"/>
    <col min="6442" max="6442" width="10.5703125" style="284" customWidth="1"/>
    <col min="6443" max="6443" width="4.5703125" style="284"/>
    <col min="6444" max="6444" width="9.42578125" style="284" customWidth="1"/>
    <col min="6445" max="6445" width="11.42578125" style="284" customWidth="1"/>
    <col min="6446" max="6656" width="4.5703125" style="284"/>
    <col min="6657" max="6657" width="3.5703125" style="284" customWidth="1"/>
    <col min="6658" max="6676" width="4.5703125" style="284"/>
    <col min="6677" max="6677" width="7.5703125" style="284" customWidth="1"/>
    <col min="6678" max="6678" width="2.42578125" style="284" customWidth="1"/>
    <col min="6679" max="6697" width="4.5703125" style="284"/>
    <col min="6698" max="6698" width="10.5703125" style="284" customWidth="1"/>
    <col min="6699" max="6699" width="4.5703125" style="284"/>
    <col min="6700" max="6700" width="9.42578125" style="284" customWidth="1"/>
    <col min="6701" max="6701" width="11.42578125" style="284" customWidth="1"/>
    <col min="6702" max="6912" width="4.5703125" style="284"/>
    <col min="6913" max="6913" width="3.5703125" style="284" customWidth="1"/>
    <col min="6914" max="6932" width="4.5703125" style="284"/>
    <col min="6933" max="6933" width="7.5703125" style="284" customWidth="1"/>
    <col min="6934" max="6934" width="2.42578125" style="284" customWidth="1"/>
    <col min="6935" max="6953" width="4.5703125" style="284"/>
    <col min="6954" max="6954" width="10.5703125" style="284" customWidth="1"/>
    <col min="6955" max="6955" width="4.5703125" style="284"/>
    <col min="6956" max="6956" width="9.42578125" style="284" customWidth="1"/>
    <col min="6957" max="6957" width="11.42578125" style="284" customWidth="1"/>
    <col min="6958" max="7168" width="4.5703125" style="284"/>
    <col min="7169" max="7169" width="3.5703125" style="284" customWidth="1"/>
    <col min="7170" max="7188" width="4.5703125" style="284"/>
    <col min="7189" max="7189" width="7.5703125" style="284" customWidth="1"/>
    <col min="7190" max="7190" width="2.42578125" style="284" customWidth="1"/>
    <col min="7191" max="7209" width="4.5703125" style="284"/>
    <col min="7210" max="7210" width="10.5703125" style="284" customWidth="1"/>
    <col min="7211" max="7211" width="4.5703125" style="284"/>
    <col min="7212" max="7212" width="9.42578125" style="284" customWidth="1"/>
    <col min="7213" max="7213" width="11.42578125" style="284" customWidth="1"/>
    <col min="7214" max="7424" width="4.5703125" style="284"/>
    <col min="7425" max="7425" width="3.5703125" style="284" customWidth="1"/>
    <col min="7426" max="7444" width="4.5703125" style="284"/>
    <col min="7445" max="7445" width="7.5703125" style="284" customWidth="1"/>
    <col min="7446" max="7446" width="2.42578125" style="284" customWidth="1"/>
    <col min="7447" max="7465" width="4.5703125" style="284"/>
    <col min="7466" max="7466" width="10.5703125" style="284" customWidth="1"/>
    <col min="7467" max="7467" width="4.5703125" style="284"/>
    <col min="7468" max="7468" width="9.42578125" style="284" customWidth="1"/>
    <col min="7469" max="7469" width="11.42578125" style="284" customWidth="1"/>
    <col min="7470" max="7680" width="4.5703125" style="284"/>
    <col min="7681" max="7681" width="3.5703125" style="284" customWidth="1"/>
    <col min="7682" max="7700" width="4.5703125" style="284"/>
    <col min="7701" max="7701" width="7.5703125" style="284" customWidth="1"/>
    <col min="7702" max="7702" width="2.42578125" style="284" customWidth="1"/>
    <col min="7703" max="7721" width="4.5703125" style="284"/>
    <col min="7722" max="7722" width="10.5703125" style="284" customWidth="1"/>
    <col min="7723" max="7723" width="4.5703125" style="284"/>
    <col min="7724" max="7724" width="9.42578125" style="284" customWidth="1"/>
    <col min="7725" max="7725" width="11.42578125" style="284" customWidth="1"/>
    <col min="7726" max="7936" width="4.5703125" style="284"/>
    <col min="7937" max="7937" width="3.5703125" style="284" customWidth="1"/>
    <col min="7938" max="7956" width="4.5703125" style="284"/>
    <col min="7957" max="7957" width="7.5703125" style="284" customWidth="1"/>
    <col min="7958" max="7958" width="2.42578125" style="284" customWidth="1"/>
    <col min="7959" max="7977" width="4.5703125" style="284"/>
    <col min="7978" max="7978" width="10.5703125" style="284" customWidth="1"/>
    <col min="7979" max="7979" width="4.5703125" style="284"/>
    <col min="7980" max="7980" width="9.42578125" style="284" customWidth="1"/>
    <col min="7981" max="7981" width="11.42578125" style="284" customWidth="1"/>
    <col min="7982" max="8192" width="4.5703125" style="284"/>
    <col min="8193" max="8193" width="3.5703125" style="284" customWidth="1"/>
    <col min="8194" max="8212" width="4.5703125" style="284"/>
    <col min="8213" max="8213" width="7.5703125" style="284" customWidth="1"/>
    <col min="8214" max="8214" width="2.42578125" style="284" customWidth="1"/>
    <col min="8215" max="8233" width="4.5703125" style="284"/>
    <col min="8234" max="8234" width="10.5703125" style="284" customWidth="1"/>
    <col min="8235" max="8235" width="4.5703125" style="284"/>
    <col min="8236" max="8236" width="9.42578125" style="284" customWidth="1"/>
    <col min="8237" max="8237" width="11.42578125" style="284" customWidth="1"/>
    <col min="8238" max="8448" width="4.5703125" style="284"/>
    <col min="8449" max="8449" width="3.5703125" style="284" customWidth="1"/>
    <col min="8450" max="8468" width="4.5703125" style="284"/>
    <col min="8469" max="8469" width="7.5703125" style="284" customWidth="1"/>
    <col min="8470" max="8470" width="2.42578125" style="284" customWidth="1"/>
    <col min="8471" max="8489" width="4.5703125" style="284"/>
    <col min="8490" max="8490" width="10.5703125" style="284" customWidth="1"/>
    <col min="8491" max="8491" width="4.5703125" style="284"/>
    <col min="8492" max="8492" width="9.42578125" style="284" customWidth="1"/>
    <col min="8493" max="8493" width="11.42578125" style="284" customWidth="1"/>
    <col min="8494" max="8704" width="4.5703125" style="284"/>
    <col min="8705" max="8705" width="3.5703125" style="284" customWidth="1"/>
    <col min="8706" max="8724" width="4.5703125" style="284"/>
    <col min="8725" max="8725" width="7.5703125" style="284" customWidth="1"/>
    <col min="8726" max="8726" width="2.42578125" style="284" customWidth="1"/>
    <col min="8727" max="8745" width="4.5703125" style="284"/>
    <col min="8746" max="8746" width="10.5703125" style="284" customWidth="1"/>
    <col min="8747" max="8747" width="4.5703125" style="284"/>
    <col min="8748" max="8748" width="9.42578125" style="284" customWidth="1"/>
    <col min="8749" max="8749" width="11.42578125" style="284" customWidth="1"/>
    <col min="8750" max="8960" width="4.5703125" style="284"/>
    <col min="8961" max="8961" width="3.5703125" style="284" customWidth="1"/>
    <col min="8962" max="8980" width="4.5703125" style="284"/>
    <col min="8981" max="8981" width="7.5703125" style="284" customWidth="1"/>
    <col min="8982" max="8982" width="2.42578125" style="284" customWidth="1"/>
    <col min="8983" max="9001" width="4.5703125" style="284"/>
    <col min="9002" max="9002" width="10.5703125" style="284" customWidth="1"/>
    <col min="9003" max="9003" width="4.5703125" style="284"/>
    <col min="9004" max="9004" width="9.42578125" style="284" customWidth="1"/>
    <col min="9005" max="9005" width="11.42578125" style="284" customWidth="1"/>
    <col min="9006" max="9216" width="4.5703125" style="284"/>
    <col min="9217" max="9217" width="3.5703125" style="284" customWidth="1"/>
    <col min="9218" max="9236" width="4.5703125" style="284"/>
    <col min="9237" max="9237" width="7.5703125" style="284" customWidth="1"/>
    <col min="9238" max="9238" width="2.42578125" style="284" customWidth="1"/>
    <col min="9239" max="9257" width="4.5703125" style="284"/>
    <col min="9258" max="9258" width="10.5703125" style="284" customWidth="1"/>
    <col min="9259" max="9259" width="4.5703125" style="284"/>
    <col min="9260" max="9260" width="9.42578125" style="284" customWidth="1"/>
    <col min="9261" max="9261" width="11.42578125" style="284" customWidth="1"/>
    <col min="9262" max="9472" width="4.5703125" style="284"/>
    <col min="9473" max="9473" width="3.5703125" style="284" customWidth="1"/>
    <col min="9474" max="9492" width="4.5703125" style="284"/>
    <col min="9493" max="9493" width="7.5703125" style="284" customWidth="1"/>
    <col min="9494" max="9494" width="2.42578125" style="284" customWidth="1"/>
    <col min="9495" max="9513" width="4.5703125" style="284"/>
    <col min="9514" max="9514" width="10.5703125" style="284" customWidth="1"/>
    <col min="9515" max="9515" width="4.5703125" style="284"/>
    <col min="9516" max="9516" width="9.42578125" style="284" customWidth="1"/>
    <col min="9517" max="9517" width="11.42578125" style="284" customWidth="1"/>
    <col min="9518" max="9728" width="4.5703125" style="284"/>
    <col min="9729" max="9729" width="3.5703125" style="284" customWidth="1"/>
    <col min="9730" max="9748" width="4.5703125" style="284"/>
    <col min="9749" max="9749" width="7.5703125" style="284" customWidth="1"/>
    <col min="9750" max="9750" width="2.42578125" style="284" customWidth="1"/>
    <col min="9751" max="9769" width="4.5703125" style="284"/>
    <col min="9770" max="9770" width="10.5703125" style="284" customWidth="1"/>
    <col min="9771" max="9771" width="4.5703125" style="284"/>
    <col min="9772" max="9772" width="9.42578125" style="284" customWidth="1"/>
    <col min="9773" max="9773" width="11.42578125" style="284" customWidth="1"/>
    <col min="9774" max="9984" width="4.5703125" style="284"/>
    <col min="9985" max="9985" width="3.5703125" style="284" customWidth="1"/>
    <col min="9986" max="10004" width="4.5703125" style="284"/>
    <col min="10005" max="10005" width="7.5703125" style="284" customWidth="1"/>
    <col min="10006" max="10006" width="2.42578125" style="284" customWidth="1"/>
    <col min="10007" max="10025" width="4.5703125" style="284"/>
    <col min="10026" max="10026" width="10.5703125" style="284" customWidth="1"/>
    <col min="10027" max="10027" width="4.5703125" style="284"/>
    <col min="10028" max="10028" width="9.42578125" style="284" customWidth="1"/>
    <col min="10029" max="10029" width="11.42578125" style="284" customWidth="1"/>
    <col min="10030" max="10240" width="4.5703125" style="284"/>
    <col min="10241" max="10241" width="3.5703125" style="284" customWidth="1"/>
    <col min="10242" max="10260" width="4.5703125" style="284"/>
    <col min="10261" max="10261" width="7.5703125" style="284" customWidth="1"/>
    <col min="10262" max="10262" width="2.42578125" style="284" customWidth="1"/>
    <col min="10263" max="10281" width="4.5703125" style="284"/>
    <col min="10282" max="10282" width="10.5703125" style="284" customWidth="1"/>
    <col min="10283" max="10283" width="4.5703125" style="284"/>
    <col min="10284" max="10284" width="9.42578125" style="284" customWidth="1"/>
    <col min="10285" max="10285" width="11.42578125" style="284" customWidth="1"/>
    <col min="10286" max="10496" width="4.5703125" style="284"/>
    <col min="10497" max="10497" width="3.5703125" style="284" customWidth="1"/>
    <col min="10498" max="10516" width="4.5703125" style="284"/>
    <col min="10517" max="10517" width="7.5703125" style="284" customWidth="1"/>
    <col min="10518" max="10518" width="2.42578125" style="284" customWidth="1"/>
    <col min="10519" max="10537" width="4.5703125" style="284"/>
    <col min="10538" max="10538" width="10.5703125" style="284" customWidth="1"/>
    <col min="10539" max="10539" width="4.5703125" style="284"/>
    <col min="10540" max="10540" width="9.42578125" style="284" customWidth="1"/>
    <col min="10541" max="10541" width="11.42578125" style="284" customWidth="1"/>
    <col min="10542" max="10752" width="4.5703125" style="284"/>
    <col min="10753" max="10753" width="3.5703125" style="284" customWidth="1"/>
    <col min="10754" max="10772" width="4.5703125" style="284"/>
    <col min="10773" max="10773" width="7.5703125" style="284" customWidth="1"/>
    <col min="10774" max="10774" width="2.42578125" style="284" customWidth="1"/>
    <col min="10775" max="10793" width="4.5703125" style="284"/>
    <col min="10794" max="10794" width="10.5703125" style="284" customWidth="1"/>
    <col min="10795" max="10795" width="4.5703125" style="284"/>
    <col min="10796" max="10796" width="9.42578125" style="284" customWidth="1"/>
    <col min="10797" max="10797" width="11.42578125" style="284" customWidth="1"/>
    <col min="10798" max="11008" width="4.5703125" style="284"/>
    <col min="11009" max="11009" width="3.5703125" style="284" customWidth="1"/>
    <col min="11010" max="11028" width="4.5703125" style="284"/>
    <col min="11029" max="11029" width="7.5703125" style="284" customWidth="1"/>
    <col min="11030" max="11030" width="2.42578125" style="284" customWidth="1"/>
    <col min="11031" max="11049" width="4.5703125" style="284"/>
    <col min="11050" max="11050" width="10.5703125" style="284" customWidth="1"/>
    <col min="11051" max="11051" width="4.5703125" style="284"/>
    <col min="11052" max="11052" width="9.42578125" style="284" customWidth="1"/>
    <col min="11053" max="11053" width="11.42578125" style="284" customWidth="1"/>
    <col min="11054" max="11264" width="4.5703125" style="284"/>
    <col min="11265" max="11265" width="3.5703125" style="284" customWidth="1"/>
    <col min="11266" max="11284" width="4.5703125" style="284"/>
    <col min="11285" max="11285" width="7.5703125" style="284" customWidth="1"/>
    <col min="11286" max="11286" width="2.42578125" style="284" customWidth="1"/>
    <col min="11287" max="11305" width="4.5703125" style="284"/>
    <col min="11306" max="11306" width="10.5703125" style="284" customWidth="1"/>
    <col min="11307" max="11307" width="4.5703125" style="284"/>
    <col min="11308" max="11308" width="9.42578125" style="284" customWidth="1"/>
    <col min="11309" max="11309" width="11.42578125" style="284" customWidth="1"/>
    <col min="11310" max="11520" width="4.5703125" style="284"/>
    <col min="11521" max="11521" width="3.5703125" style="284" customWidth="1"/>
    <col min="11522" max="11540" width="4.5703125" style="284"/>
    <col min="11541" max="11541" width="7.5703125" style="284" customWidth="1"/>
    <col min="11542" max="11542" width="2.42578125" style="284" customWidth="1"/>
    <col min="11543" max="11561" width="4.5703125" style="284"/>
    <col min="11562" max="11562" width="10.5703125" style="284" customWidth="1"/>
    <col min="11563" max="11563" width="4.5703125" style="284"/>
    <col min="11564" max="11564" width="9.42578125" style="284" customWidth="1"/>
    <col min="11565" max="11565" width="11.42578125" style="284" customWidth="1"/>
    <col min="11566" max="11776" width="4.5703125" style="284"/>
    <col min="11777" max="11777" width="3.5703125" style="284" customWidth="1"/>
    <col min="11778" max="11796" width="4.5703125" style="284"/>
    <col min="11797" max="11797" width="7.5703125" style="284" customWidth="1"/>
    <col min="11798" max="11798" width="2.42578125" style="284" customWidth="1"/>
    <col min="11799" max="11817" width="4.5703125" style="284"/>
    <col min="11818" max="11818" width="10.5703125" style="284" customWidth="1"/>
    <col min="11819" max="11819" width="4.5703125" style="284"/>
    <col min="11820" max="11820" width="9.42578125" style="284" customWidth="1"/>
    <col min="11821" max="11821" width="11.42578125" style="284" customWidth="1"/>
    <col min="11822" max="12032" width="4.5703125" style="284"/>
    <col min="12033" max="12033" width="3.5703125" style="284" customWidth="1"/>
    <col min="12034" max="12052" width="4.5703125" style="284"/>
    <col min="12053" max="12053" width="7.5703125" style="284" customWidth="1"/>
    <col min="12054" max="12054" width="2.42578125" style="284" customWidth="1"/>
    <col min="12055" max="12073" width="4.5703125" style="284"/>
    <col min="12074" max="12074" width="10.5703125" style="284" customWidth="1"/>
    <col min="12075" max="12075" width="4.5703125" style="284"/>
    <col min="12076" max="12076" width="9.42578125" style="284" customWidth="1"/>
    <col min="12077" max="12077" width="11.42578125" style="284" customWidth="1"/>
    <col min="12078" max="12288" width="4.5703125" style="284"/>
    <col min="12289" max="12289" width="3.5703125" style="284" customWidth="1"/>
    <col min="12290" max="12308" width="4.5703125" style="284"/>
    <col min="12309" max="12309" width="7.5703125" style="284" customWidth="1"/>
    <col min="12310" max="12310" width="2.42578125" style="284" customWidth="1"/>
    <col min="12311" max="12329" width="4.5703125" style="284"/>
    <col min="12330" max="12330" width="10.5703125" style="284" customWidth="1"/>
    <col min="12331" max="12331" width="4.5703125" style="284"/>
    <col min="12332" max="12332" width="9.42578125" style="284" customWidth="1"/>
    <col min="12333" max="12333" width="11.42578125" style="284" customWidth="1"/>
    <col min="12334" max="12544" width="4.5703125" style="284"/>
    <col min="12545" max="12545" width="3.5703125" style="284" customWidth="1"/>
    <col min="12546" max="12564" width="4.5703125" style="284"/>
    <col min="12565" max="12565" width="7.5703125" style="284" customWidth="1"/>
    <col min="12566" max="12566" width="2.42578125" style="284" customWidth="1"/>
    <col min="12567" max="12585" width="4.5703125" style="284"/>
    <col min="12586" max="12586" width="10.5703125" style="284" customWidth="1"/>
    <col min="12587" max="12587" width="4.5703125" style="284"/>
    <col min="12588" max="12588" width="9.42578125" style="284" customWidth="1"/>
    <col min="12589" max="12589" width="11.42578125" style="284" customWidth="1"/>
    <col min="12590" max="12800" width="4.5703125" style="284"/>
    <col min="12801" max="12801" width="3.5703125" style="284" customWidth="1"/>
    <col min="12802" max="12820" width="4.5703125" style="284"/>
    <col min="12821" max="12821" width="7.5703125" style="284" customWidth="1"/>
    <col min="12822" max="12822" width="2.42578125" style="284" customWidth="1"/>
    <col min="12823" max="12841" width="4.5703125" style="284"/>
    <col min="12842" max="12842" width="10.5703125" style="284" customWidth="1"/>
    <col min="12843" max="12843" width="4.5703125" style="284"/>
    <col min="12844" max="12844" width="9.42578125" style="284" customWidth="1"/>
    <col min="12845" max="12845" width="11.42578125" style="284" customWidth="1"/>
    <col min="12846" max="13056" width="4.5703125" style="284"/>
    <col min="13057" max="13057" width="3.5703125" style="284" customWidth="1"/>
    <col min="13058" max="13076" width="4.5703125" style="284"/>
    <col min="13077" max="13077" width="7.5703125" style="284" customWidth="1"/>
    <col min="13078" max="13078" width="2.42578125" style="284" customWidth="1"/>
    <col min="13079" max="13097" width="4.5703125" style="284"/>
    <col min="13098" max="13098" width="10.5703125" style="284" customWidth="1"/>
    <col min="13099" max="13099" width="4.5703125" style="284"/>
    <col min="13100" max="13100" width="9.42578125" style="284" customWidth="1"/>
    <col min="13101" max="13101" width="11.42578125" style="284" customWidth="1"/>
    <col min="13102" max="13312" width="4.5703125" style="284"/>
    <col min="13313" max="13313" width="3.5703125" style="284" customWidth="1"/>
    <col min="13314" max="13332" width="4.5703125" style="284"/>
    <col min="13333" max="13333" width="7.5703125" style="284" customWidth="1"/>
    <col min="13334" max="13334" width="2.42578125" style="284" customWidth="1"/>
    <col min="13335" max="13353" width="4.5703125" style="284"/>
    <col min="13354" max="13354" width="10.5703125" style="284" customWidth="1"/>
    <col min="13355" max="13355" width="4.5703125" style="284"/>
    <col min="13356" max="13356" width="9.42578125" style="284" customWidth="1"/>
    <col min="13357" max="13357" width="11.42578125" style="284" customWidth="1"/>
    <col min="13358" max="13568" width="4.5703125" style="284"/>
    <col min="13569" max="13569" width="3.5703125" style="284" customWidth="1"/>
    <col min="13570" max="13588" width="4.5703125" style="284"/>
    <col min="13589" max="13589" width="7.5703125" style="284" customWidth="1"/>
    <col min="13590" max="13590" width="2.42578125" style="284" customWidth="1"/>
    <col min="13591" max="13609" width="4.5703125" style="284"/>
    <col min="13610" max="13610" width="10.5703125" style="284" customWidth="1"/>
    <col min="13611" max="13611" width="4.5703125" style="284"/>
    <col min="13612" max="13612" width="9.42578125" style="284" customWidth="1"/>
    <col min="13613" max="13613" width="11.42578125" style="284" customWidth="1"/>
    <col min="13614" max="13824" width="4.5703125" style="284"/>
    <col min="13825" max="13825" width="3.5703125" style="284" customWidth="1"/>
    <col min="13826" max="13844" width="4.5703125" style="284"/>
    <col min="13845" max="13845" width="7.5703125" style="284" customWidth="1"/>
    <col min="13846" max="13846" width="2.42578125" style="284" customWidth="1"/>
    <col min="13847" max="13865" width="4.5703125" style="284"/>
    <col min="13866" max="13866" width="10.5703125" style="284" customWidth="1"/>
    <col min="13867" max="13867" width="4.5703125" style="284"/>
    <col min="13868" max="13868" width="9.42578125" style="284" customWidth="1"/>
    <col min="13869" max="13869" width="11.42578125" style="284" customWidth="1"/>
    <col min="13870" max="14080" width="4.5703125" style="284"/>
    <col min="14081" max="14081" width="3.5703125" style="284" customWidth="1"/>
    <col min="14082" max="14100" width="4.5703125" style="284"/>
    <col min="14101" max="14101" width="7.5703125" style="284" customWidth="1"/>
    <col min="14102" max="14102" width="2.42578125" style="284" customWidth="1"/>
    <col min="14103" max="14121" width="4.5703125" style="284"/>
    <col min="14122" max="14122" width="10.5703125" style="284" customWidth="1"/>
    <col min="14123" max="14123" width="4.5703125" style="284"/>
    <col min="14124" max="14124" width="9.42578125" style="284" customWidth="1"/>
    <col min="14125" max="14125" width="11.42578125" style="284" customWidth="1"/>
    <col min="14126" max="14336" width="4.5703125" style="284"/>
    <col min="14337" max="14337" width="3.5703125" style="284" customWidth="1"/>
    <col min="14338" max="14356" width="4.5703125" style="284"/>
    <col min="14357" max="14357" width="7.5703125" style="284" customWidth="1"/>
    <col min="14358" max="14358" width="2.42578125" style="284" customWidth="1"/>
    <col min="14359" max="14377" width="4.5703125" style="284"/>
    <col min="14378" max="14378" width="10.5703125" style="284" customWidth="1"/>
    <col min="14379" max="14379" width="4.5703125" style="284"/>
    <col min="14380" max="14380" width="9.42578125" style="284" customWidth="1"/>
    <col min="14381" max="14381" width="11.42578125" style="284" customWidth="1"/>
    <col min="14382" max="14592" width="4.5703125" style="284"/>
    <col min="14593" max="14593" width="3.5703125" style="284" customWidth="1"/>
    <col min="14594" max="14612" width="4.5703125" style="284"/>
    <col min="14613" max="14613" width="7.5703125" style="284" customWidth="1"/>
    <col min="14614" max="14614" width="2.42578125" style="284" customWidth="1"/>
    <col min="14615" max="14633" width="4.5703125" style="284"/>
    <col min="14634" max="14634" width="10.5703125" style="284" customWidth="1"/>
    <col min="14635" max="14635" width="4.5703125" style="284"/>
    <col min="14636" max="14636" width="9.42578125" style="284" customWidth="1"/>
    <col min="14637" max="14637" width="11.42578125" style="284" customWidth="1"/>
    <col min="14638" max="14848" width="4.5703125" style="284"/>
    <col min="14849" max="14849" width="3.5703125" style="284" customWidth="1"/>
    <col min="14850" max="14868" width="4.5703125" style="284"/>
    <col min="14869" max="14869" width="7.5703125" style="284" customWidth="1"/>
    <col min="14870" max="14870" width="2.42578125" style="284" customWidth="1"/>
    <col min="14871" max="14889" width="4.5703125" style="284"/>
    <col min="14890" max="14890" width="10.5703125" style="284" customWidth="1"/>
    <col min="14891" max="14891" width="4.5703125" style="284"/>
    <col min="14892" max="14892" width="9.42578125" style="284" customWidth="1"/>
    <col min="14893" max="14893" width="11.42578125" style="284" customWidth="1"/>
    <col min="14894" max="15104" width="4.5703125" style="284"/>
    <col min="15105" max="15105" width="3.5703125" style="284" customWidth="1"/>
    <col min="15106" max="15124" width="4.5703125" style="284"/>
    <col min="15125" max="15125" width="7.5703125" style="284" customWidth="1"/>
    <col min="15126" max="15126" width="2.42578125" style="284" customWidth="1"/>
    <col min="15127" max="15145" width="4.5703125" style="284"/>
    <col min="15146" max="15146" width="10.5703125" style="284" customWidth="1"/>
    <col min="15147" max="15147" width="4.5703125" style="284"/>
    <col min="15148" max="15148" width="9.42578125" style="284" customWidth="1"/>
    <col min="15149" max="15149" width="11.42578125" style="284" customWidth="1"/>
    <col min="15150" max="15360" width="4.5703125" style="284"/>
    <col min="15361" max="15361" width="3.5703125" style="284" customWidth="1"/>
    <col min="15362" max="15380" width="4.5703125" style="284"/>
    <col min="15381" max="15381" width="7.5703125" style="284" customWidth="1"/>
    <col min="15382" max="15382" width="2.42578125" style="284" customWidth="1"/>
    <col min="15383" max="15401" width="4.5703125" style="284"/>
    <col min="15402" max="15402" width="10.5703125" style="284" customWidth="1"/>
    <col min="15403" max="15403" width="4.5703125" style="284"/>
    <col min="15404" max="15404" width="9.42578125" style="284" customWidth="1"/>
    <col min="15405" max="15405" width="11.42578125" style="284" customWidth="1"/>
    <col min="15406" max="15616" width="4.5703125" style="284"/>
    <col min="15617" max="15617" width="3.5703125" style="284" customWidth="1"/>
    <col min="15618" max="15636" width="4.5703125" style="284"/>
    <col min="15637" max="15637" width="7.5703125" style="284" customWidth="1"/>
    <col min="15638" max="15638" width="2.42578125" style="284" customWidth="1"/>
    <col min="15639" max="15657" width="4.5703125" style="284"/>
    <col min="15658" max="15658" width="10.5703125" style="284" customWidth="1"/>
    <col min="15659" max="15659" width="4.5703125" style="284"/>
    <col min="15660" max="15660" width="9.42578125" style="284" customWidth="1"/>
    <col min="15661" max="15661" width="11.42578125" style="284" customWidth="1"/>
    <col min="15662" max="15872" width="4.5703125" style="284"/>
    <col min="15873" max="15873" width="3.5703125" style="284" customWidth="1"/>
    <col min="15874" max="15892" width="4.5703125" style="284"/>
    <col min="15893" max="15893" width="7.5703125" style="284" customWidth="1"/>
    <col min="15894" max="15894" width="2.42578125" style="284" customWidth="1"/>
    <col min="15895" max="15913" width="4.5703125" style="284"/>
    <col min="15914" max="15914" width="10.5703125" style="284" customWidth="1"/>
    <col min="15915" max="15915" width="4.5703125" style="284"/>
    <col min="15916" max="15916" width="9.42578125" style="284" customWidth="1"/>
    <col min="15917" max="15917" width="11.42578125" style="284" customWidth="1"/>
    <col min="15918" max="16128" width="4.5703125" style="284"/>
    <col min="16129" max="16129" width="3.5703125" style="284" customWidth="1"/>
    <col min="16130" max="16148" width="4.5703125" style="284"/>
    <col min="16149" max="16149" width="7.5703125" style="284" customWidth="1"/>
    <col min="16150" max="16150" width="2.42578125" style="284" customWidth="1"/>
    <col min="16151" max="16169" width="4.5703125" style="284"/>
    <col min="16170" max="16170" width="10.5703125" style="284" customWidth="1"/>
    <col min="16171" max="16171" width="4.5703125" style="284"/>
    <col min="16172" max="16172" width="9.42578125" style="284" customWidth="1"/>
    <col min="16173" max="16173" width="11.42578125" style="284" customWidth="1"/>
    <col min="16174" max="16384" width="4.5703125" style="284"/>
  </cols>
  <sheetData>
    <row r="1" spans="1:48" ht="14.1" customHeight="1" x14ac:dyDescent="0.25">
      <c r="A1" s="484"/>
      <c r="B1" s="484"/>
      <c r="C1" s="484"/>
      <c r="D1" s="484"/>
      <c r="E1" s="484"/>
      <c r="F1" s="484"/>
      <c r="G1" s="484"/>
      <c r="H1" s="485"/>
      <c r="I1" s="486"/>
      <c r="J1" s="484"/>
      <c r="K1" s="487"/>
      <c r="L1" s="487"/>
      <c r="M1" s="487"/>
      <c r="N1" s="484"/>
      <c r="O1" s="484"/>
      <c r="P1" s="484"/>
      <c r="Q1" s="484"/>
      <c r="R1" s="484"/>
      <c r="S1" s="484"/>
    </row>
    <row r="2" spans="1:48" ht="45" customHeight="1" x14ac:dyDescent="0.2">
      <c r="A2" s="484"/>
      <c r="B2" s="1301" t="s">
        <v>1023</v>
      </c>
      <c r="C2" s="1301"/>
      <c r="D2" s="1301"/>
      <c r="E2" s="1301"/>
      <c r="F2" s="1301"/>
      <c r="G2" s="1301"/>
      <c r="H2" s="1301"/>
      <c r="I2" s="1301"/>
      <c r="J2" s="1301"/>
      <c r="K2" s="1301"/>
      <c r="L2" s="1301"/>
      <c r="M2" s="1301"/>
      <c r="N2" s="484"/>
      <c r="O2" s="484"/>
      <c r="P2" s="484"/>
      <c r="Q2" s="484"/>
      <c r="R2" s="484"/>
      <c r="S2" s="998" t="str">
        <f>CONCATENATE(LohntabelleM!G1," / ",LohntabelleM!I1)</f>
        <v>V6.0 / 2026</v>
      </c>
    </row>
    <row r="3" spans="1:48" ht="5.0999999999999996" customHeight="1" x14ac:dyDescent="0.2">
      <c r="A3" s="484"/>
      <c r="B3" s="488"/>
      <c r="C3" s="489"/>
      <c r="D3" s="490"/>
      <c r="E3" s="491"/>
      <c r="F3" s="489"/>
      <c r="G3" s="489"/>
      <c r="H3" s="489"/>
      <c r="I3" s="489"/>
      <c r="J3" s="492"/>
      <c r="K3" s="492"/>
      <c r="L3" s="492"/>
      <c r="M3" s="492"/>
      <c r="N3" s="492"/>
      <c r="O3" s="492"/>
      <c r="P3" s="492"/>
      <c r="Q3" s="492"/>
      <c r="R3" s="492"/>
      <c r="S3" s="493"/>
      <c r="X3" s="327"/>
      <c r="AJ3" s="284"/>
    </row>
    <row r="4" spans="1:48" x14ac:dyDescent="0.2">
      <c r="A4" s="484"/>
      <c r="B4" s="494"/>
      <c r="C4" s="495" t="s">
        <v>770</v>
      </c>
      <c r="D4" s="496"/>
      <c r="E4" s="497"/>
      <c r="F4" s="496"/>
      <c r="G4" s="496"/>
      <c r="H4" s="496"/>
      <c r="I4" s="496"/>
      <c r="J4" s="484"/>
      <c r="K4" s="484"/>
      <c r="L4" s="484"/>
      <c r="M4" s="484"/>
      <c r="N4" s="484"/>
      <c r="O4" s="484"/>
      <c r="P4" s="484"/>
      <c r="Q4" s="484"/>
      <c r="R4" s="484"/>
      <c r="S4" s="498"/>
      <c r="T4" s="301"/>
    </row>
    <row r="5" spans="1:48" ht="13.35" customHeight="1" x14ac:dyDescent="0.2">
      <c r="A5" s="484"/>
      <c r="B5" s="494"/>
      <c r="C5" s="499"/>
      <c r="D5" s="499"/>
      <c r="E5" s="500"/>
      <c r="F5" s="499"/>
      <c r="G5" s="499"/>
      <c r="H5" s="499"/>
      <c r="I5" s="499"/>
      <c r="J5" s="484"/>
      <c r="K5" s="484"/>
      <c r="L5" s="484"/>
      <c r="M5" s="484"/>
      <c r="N5" s="484"/>
      <c r="O5" s="484"/>
      <c r="P5" s="484"/>
      <c r="Q5" s="484"/>
      <c r="R5" s="484"/>
      <c r="S5" s="498"/>
      <c r="T5" s="312"/>
    </row>
    <row r="6" spans="1:48" x14ac:dyDescent="0.2">
      <c r="A6" s="484"/>
      <c r="B6" s="719" t="s">
        <v>967</v>
      </c>
      <c r="D6" s="499"/>
      <c r="E6" s="1302" t="str">
        <f>IF(MAAnrede&lt;&gt;"",MAAnrede,"")</f>
        <v/>
      </c>
      <c r="F6" s="1302"/>
      <c r="G6" s="499"/>
      <c r="H6" s="499"/>
      <c r="I6" s="499"/>
      <c r="J6" s="484"/>
      <c r="K6" s="484"/>
      <c r="L6" s="484"/>
      <c r="M6" s="484"/>
      <c r="N6" s="484"/>
      <c r="O6" s="484"/>
      <c r="P6" s="484"/>
      <c r="Q6" s="484"/>
      <c r="R6" s="484"/>
      <c r="S6" s="498"/>
      <c r="W6" s="327"/>
      <c r="X6" s="327"/>
      <c r="AI6" s="284"/>
      <c r="AJ6" s="284"/>
      <c r="AM6" s="286"/>
      <c r="AN6" s="286"/>
    </row>
    <row r="7" spans="1:48" x14ac:dyDescent="0.2">
      <c r="A7" s="484"/>
      <c r="B7" s="719"/>
      <c r="D7" s="499"/>
      <c r="E7" s="500"/>
      <c r="F7" s="499"/>
      <c r="G7" s="499"/>
      <c r="H7" s="499"/>
      <c r="I7" s="499"/>
      <c r="J7" s="484"/>
      <c r="K7" s="484"/>
      <c r="L7" s="484"/>
      <c r="M7" s="484"/>
      <c r="N7" s="484"/>
      <c r="O7" s="484"/>
      <c r="P7" s="484"/>
      <c r="Q7" s="484"/>
      <c r="R7" s="484"/>
      <c r="S7" s="498"/>
      <c r="Y7" s="284"/>
      <c r="Z7" s="284"/>
      <c r="AI7" s="284"/>
      <c r="AJ7" s="284"/>
      <c r="AM7" s="286"/>
      <c r="AN7" s="286"/>
    </row>
    <row r="8" spans="1:48" x14ac:dyDescent="0.2">
      <c r="A8" s="484"/>
      <c r="B8" s="719" t="s">
        <v>756</v>
      </c>
      <c r="D8" s="499"/>
      <c r="E8" s="1302" t="str">
        <f>IF(MAName&lt;&gt;"",MAName,"")</f>
        <v/>
      </c>
      <c r="F8" s="1302"/>
      <c r="G8" s="1302"/>
      <c r="H8" s="1302"/>
      <c r="I8" s="1302"/>
      <c r="J8" s="1302"/>
      <c r="K8" s="484"/>
      <c r="L8" s="1313" t="s">
        <v>757</v>
      </c>
      <c r="M8" s="1313"/>
      <c r="N8" s="1313"/>
      <c r="O8" s="1302" t="str">
        <f>IF(MAVorname&lt;&gt;"",MAVorname,"")</f>
        <v/>
      </c>
      <c r="P8" s="1302"/>
      <c r="Q8" s="1302"/>
      <c r="R8" s="1302"/>
      <c r="S8" s="498"/>
      <c r="T8" s="306"/>
      <c r="Y8" s="284"/>
      <c r="Z8" s="284"/>
    </row>
    <row r="9" spans="1:48" ht="13.5" thickBot="1" x14ac:dyDescent="0.25">
      <c r="A9" s="484"/>
      <c r="B9" s="719"/>
      <c r="D9" s="499"/>
      <c r="E9" s="500"/>
      <c r="F9" s="499"/>
      <c r="G9" s="499"/>
      <c r="H9" s="499"/>
      <c r="I9" s="499"/>
      <c r="J9" s="484"/>
      <c r="K9" s="484"/>
      <c r="L9" s="484"/>
      <c r="M9" s="484"/>
      <c r="N9" s="484"/>
      <c r="O9" s="484"/>
      <c r="P9" s="484"/>
      <c r="Q9" s="484"/>
      <c r="R9" s="484"/>
      <c r="S9" s="498"/>
      <c r="T9" s="312"/>
      <c r="Y9" s="284"/>
      <c r="Z9" s="284"/>
    </row>
    <row r="10" spans="1:48" x14ac:dyDescent="0.2">
      <c r="A10" s="484"/>
      <c r="B10" s="719" t="s">
        <v>964</v>
      </c>
      <c r="D10" s="484"/>
      <c r="E10" s="1302" t="str">
        <f>IF(MAPersID&lt;&gt;"",MAPersID,"")</f>
        <v/>
      </c>
      <c r="F10" s="1302"/>
      <c r="G10" s="1302"/>
      <c r="H10" s="1302"/>
      <c r="I10" s="1302"/>
      <c r="J10" s="1302"/>
      <c r="K10" s="484"/>
      <c r="L10" s="499" t="s">
        <v>763</v>
      </c>
      <c r="M10" s="484"/>
      <c r="N10" s="484"/>
      <c r="O10" s="1302" t="str">
        <f>IF(MAVertragsNr&lt;&gt;"",MAVertragsNr,"")</f>
        <v/>
      </c>
      <c r="P10" s="1302"/>
      <c r="Q10" s="1302"/>
      <c r="R10" s="1302"/>
      <c r="S10" s="498"/>
      <c r="U10" s="1149" t="s">
        <v>1029</v>
      </c>
      <c r="V10" s="1232"/>
      <c r="W10" s="1232"/>
      <c r="X10" s="1232"/>
      <c r="Y10" s="1232"/>
      <c r="Z10" s="1150"/>
      <c r="AA10" s="284"/>
      <c r="AB10" s="284"/>
      <c r="AC10" s="284"/>
      <c r="AD10" s="284"/>
      <c r="AE10" s="284"/>
      <c r="AF10" s="284"/>
      <c r="AG10" s="284"/>
      <c r="AH10" s="284"/>
      <c r="AI10" s="284"/>
      <c r="AJ10" s="284"/>
      <c r="AP10" s="878"/>
      <c r="AQ10" s="879" t="s">
        <v>1958</v>
      </c>
      <c r="AR10" s="880"/>
      <c r="AS10" s="881" t="s">
        <v>73</v>
      </c>
      <c r="AT10" s="881" t="s">
        <v>10</v>
      </c>
      <c r="AU10" s="880"/>
      <c r="AV10" s="882"/>
    </row>
    <row r="11" spans="1:48" x14ac:dyDescent="0.2">
      <c r="A11" s="484"/>
      <c r="B11" s="719"/>
      <c r="D11" s="499"/>
      <c r="E11" s="484"/>
      <c r="F11" s="499"/>
      <c r="G11" s="499"/>
      <c r="H11" s="499"/>
      <c r="I11" s="484"/>
      <c r="J11" s="484"/>
      <c r="K11" s="484"/>
      <c r="L11" s="499"/>
      <c r="M11" s="484"/>
      <c r="N11" s="484"/>
      <c r="O11" s="499"/>
      <c r="P11" s="499"/>
      <c r="Q11" s="499"/>
      <c r="R11" s="499"/>
      <c r="S11" s="498"/>
      <c r="U11" s="1151"/>
      <c r="V11" s="1233"/>
      <c r="W11" s="1233"/>
      <c r="X11" s="1233"/>
      <c r="Y11" s="1233"/>
      <c r="Z11" s="1152"/>
      <c r="AA11" s="284"/>
      <c r="AB11" s="284"/>
      <c r="AC11" s="284"/>
      <c r="AD11" s="284"/>
      <c r="AE11" s="284"/>
      <c r="AF11" s="284"/>
      <c r="AG11" s="284"/>
      <c r="AH11" s="284"/>
      <c r="AI11" s="284"/>
      <c r="AJ11" s="284"/>
      <c r="AP11" s="883"/>
      <c r="AQ11" s="884"/>
      <c r="AR11" s="885"/>
      <c r="AS11" s="885"/>
      <c r="AT11" s="885"/>
      <c r="AU11" s="885"/>
      <c r="AV11" s="886"/>
    </row>
    <row r="12" spans="1:48" x14ac:dyDescent="0.2">
      <c r="A12" s="484"/>
      <c r="B12" s="719" t="s">
        <v>760</v>
      </c>
      <c r="D12" s="499"/>
      <c r="E12" s="484"/>
      <c r="F12" s="1305" t="str">
        <f>IF(MAGeburtsdatum="","",MAGeburtsdatum)</f>
        <v/>
      </c>
      <c r="G12" s="1305"/>
      <c r="H12" s="1305"/>
      <c r="I12" s="484"/>
      <c r="J12" s="484"/>
      <c r="K12" s="484"/>
      <c r="L12" s="499" t="s">
        <v>1004</v>
      </c>
      <c r="M12" s="484"/>
      <c r="N12" s="484"/>
      <c r="O12" s="1196"/>
      <c r="P12" s="1196"/>
      <c r="Q12" s="1196"/>
      <c r="R12" s="1196"/>
      <c r="S12" s="498"/>
      <c r="Y12" s="284"/>
      <c r="Z12" s="284"/>
      <c r="AA12" s="284"/>
      <c r="AB12" s="284"/>
      <c r="AC12" s="284"/>
      <c r="AD12" s="284"/>
      <c r="AE12" s="284"/>
      <c r="AF12" s="284"/>
      <c r="AG12" s="284"/>
      <c r="AH12" s="284"/>
      <c r="AI12" s="284"/>
      <c r="AJ12" s="284"/>
      <c r="AP12" s="883" t="s">
        <v>1970</v>
      </c>
      <c r="AQ12" s="884" t="e">
        <f>VLOOKUP(K18,'MU-Daten'!B:L,11,0)</f>
        <v>#N/A</v>
      </c>
      <c r="AR12" s="885"/>
      <c r="AS12" s="885" t="e">
        <f>IF(AQ12="","",VLOOKUP(K18,'MU-Daten'!B:J,9,0))</f>
        <v>#N/A</v>
      </c>
      <c r="AT12" s="885" t="e">
        <f>IF(AQ12="","",VLOOKUP(K18,'MU-Daten'!B:K,10,0))</f>
        <v>#N/A</v>
      </c>
      <c r="AU12" s="885"/>
      <c r="AV12" s="886"/>
    </row>
    <row r="13" spans="1:48" s="244" customFormat="1" x14ac:dyDescent="0.2">
      <c r="A13" s="46"/>
      <c r="B13" s="718"/>
      <c r="D13" s="97"/>
      <c r="E13" s="97"/>
      <c r="F13" s="46"/>
      <c r="G13" s="46"/>
      <c r="H13" s="46"/>
      <c r="I13" s="46"/>
      <c r="J13" s="46"/>
      <c r="K13" s="46"/>
      <c r="L13" s="46"/>
      <c r="M13" s="46"/>
      <c r="N13" s="46"/>
      <c r="O13" s="46"/>
      <c r="P13" s="46"/>
      <c r="Q13" s="46"/>
      <c r="R13" s="46"/>
      <c r="S13" s="52"/>
      <c r="AP13" s="883" t="s">
        <v>1959</v>
      </c>
      <c r="AQ13" s="884" t="e">
        <f>VLOOKUP(K18,'MU-Daten'!B:S,18,0)</f>
        <v>#N/A</v>
      </c>
      <c r="AR13" s="885"/>
      <c r="AS13" s="885" t="e">
        <f>IF(AQ13="","",VLOOKUP(K18,'MU-Daten'!B:N,13,0))</f>
        <v>#N/A</v>
      </c>
      <c r="AT13" s="885" t="e">
        <f>IF(AQ13="","",VLOOKUP(K18,'MU-Daten'!B:O,14,0))</f>
        <v>#N/A</v>
      </c>
      <c r="AU13" s="885"/>
      <c r="AV13" s="886"/>
    </row>
    <row r="14" spans="1:48" s="244" customFormat="1" x14ac:dyDescent="0.2">
      <c r="A14" s="46"/>
      <c r="B14" s="718" t="s">
        <v>993</v>
      </c>
      <c r="D14" s="97"/>
      <c r="E14" s="46"/>
      <c r="F14" s="46"/>
      <c r="G14" s="1182"/>
      <c r="H14" s="1182"/>
      <c r="I14" s="1182"/>
      <c r="J14" s="1182"/>
      <c r="K14" s="1182"/>
      <c r="L14" s="1182"/>
      <c r="M14" s="1182"/>
      <c r="N14" s="1182"/>
      <c r="O14" s="1182"/>
      <c r="P14" s="1182"/>
      <c r="Q14" s="1182"/>
      <c r="R14" s="1182"/>
      <c r="S14" s="52"/>
      <c r="AM14" s="244" t="s">
        <v>2049</v>
      </c>
      <c r="AP14" s="887" t="s">
        <v>1960</v>
      </c>
      <c r="AQ14" s="888" t="e">
        <f>VLOOKUP(K18,'MU-Daten'!B:T,19,0)</f>
        <v>#N/A</v>
      </c>
      <c r="AR14" s="885"/>
      <c r="AS14" s="885" t="e">
        <f>IF(AQ14="","",VLOOKUP(K18,'MU-Daten'!B:Q,16,0))</f>
        <v>#N/A</v>
      </c>
      <c r="AT14" s="885" t="e">
        <f>IF(AQ14="","",VLOOKUP(K18,'MU-Daten'!B:R,17,0))</f>
        <v>#N/A</v>
      </c>
      <c r="AU14" s="885"/>
      <c r="AV14" s="886"/>
    </row>
    <row r="15" spans="1:48" ht="8.1" customHeight="1" x14ac:dyDescent="0.2">
      <c r="A15" s="484"/>
      <c r="B15" s="501"/>
      <c r="C15" s="502"/>
      <c r="D15" s="502"/>
      <c r="E15" s="502"/>
      <c r="F15" s="502"/>
      <c r="G15" s="502"/>
      <c r="H15" s="502"/>
      <c r="I15" s="503"/>
      <c r="J15" s="504"/>
      <c r="K15" s="504"/>
      <c r="L15" s="504"/>
      <c r="M15" s="504"/>
      <c r="N15" s="504"/>
      <c r="O15" s="504"/>
      <c r="P15" s="504"/>
      <c r="Q15" s="504"/>
      <c r="R15" s="504"/>
      <c r="S15" s="505"/>
      <c r="AP15" s="889"/>
      <c r="AQ15" s="890"/>
      <c r="AR15" s="891"/>
      <c r="AS15" s="891"/>
      <c r="AT15" s="891"/>
      <c r="AU15" s="891"/>
      <c r="AV15" s="892"/>
    </row>
    <row r="16" spans="1:48" ht="6" customHeight="1" x14ac:dyDescent="0.25">
      <c r="A16" s="484"/>
      <c r="B16" s="526"/>
      <c r="C16" s="526"/>
      <c r="D16" s="484"/>
      <c r="E16" s="484"/>
      <c r="F16" s="484"/>
      <c r="G16" s="484"/>
      <c r="H16" s="527"/>
      <c r="I16" s="484"/>
      <c r="J16" s="484"/>
      <c r="K16" s="487"/>
      <c r="L16" s="487"/>
      <c r="M16" s="487"/>
      <c r="N16" s="484"/>
      <c r="O16" s="484"/>
      <c r="P16" s="484"/>
      <c r="Q16" s="484"/>
      <c r="R16" s="484"/>
      <c r="S16" s="484"/>
      <c r="T16" s="286"/>
      <c r="U16" s="286"/>
      <c r="W16" s="330"/>
      <c r="X16" s="327"/>
      <c r="AI16" s="284"/>
      <c r="AJ16" s="284"/>
      <c r="AP16" s="889"/>
      <c r="AQ16" s="890"/>
      <c r="AR16" s="891"/>
      <c r="AS16" s="891"/>
      <c r="AT16" s="891"/>
      <c r="AU16" s="891"/>
      <c r="AV16" s="892"/>
    </row>
    <row r="17" spans="1:48" ht="5.0999999999999996" customHeight="1" x14ac:dyDescent="0.2">
      <c r="A17" s="484"/>
      <c r="B17" s="506"/>
      <c r="C17" s="489"/>
      <c r="D17" s="489"/>
      <c r="E17" s="489"/>
      <c r="F17" s="489"/>
      <c r="G17" s="489"/>
      <c r="H17" s="489"/>
      <c r="I17" s="489"/>
      <c r="J17" s="489"/>
      <c r="K17" s="489"/>
      <c r="L17" s="489"/>
      <c r="M17" s="489"/>
      <c r="N17" s="489"/>
      <c r="O17" s="489"/>
      <c r="P17" s="489"/>
      <c r="Q17" s="489"/>
      <c r="R17" s="489"/>
      <c r="S17" s="507"/>
      <c r="T17" s="286"/>
      <c r="U17" s="286"/>
      <c r="V17" s="286"/>
      <c r="X17" s="327"/>
      <c r="AJ17" s="284"/>
      <c r="AP17" s="893"/>
      <c r="AQ17" s="894"/>
      <c r="AR17" s="895"/>
      <c r="AS17" s="895"/>
      <c r="AT17" s="895"/>
      <c r="AU17" s="895"/>
      <c r="AV17" s="896"/>
    </row>
    <row r="18" spans="1:48" ht="13.35" customHeight="1" x14ac:dyDescent="0.2">
      <c r="A18" s="484"/>
      <c r="B18" s="508"/>
      <c r="C18" s="1314" t="s">
        <v>1005</v>
      </c>
      <c r="D18" s="1314"/>
      <c r="E18" s="1314"/>
      <c r="F18" s="1314"/>
      <c r="G18" s="1314"/>
      <c r="H18" s="1315"/>
      <c r="I18" s="1315"/>
      <c r="J18" s="496"/>
      <c r="K18" s="1316" t="str">
        <f>IFERROR(IF(H18="","",VLOOKUP("M"&amp;H18,'MU-Daten'!B:B,1,0)),"Keine gültige MU")</f>
        <v/>
      </c>
      <c r="L18" s="1316"/>
      <c r="M18" s="1316"/>
      <c r="N18" s="1316"/>
      <c r="O18" s="1316"/>
      <c r="P18" s="1316"/>
      <c r="Q18" s="1316"/>
      <c r="R18" s="1316"/>
      <c r="S18" s="509"/>
      <c r="T18" s="286"/>
      <c r="U18" s="306" t="s">
        <v>1017</v>
      </c>
      <c r="V18" s="301"/>
      <c r="X18" s="327"/>
      <c r="AJ18" s="284"/>
      <c r="AM18" s="284">
        <f>IF(OR(K18="Keine gültige MU",K18=""),0,1)</f>
        <v>0</v>
      </c>
      <c r="AP18" s="893"/>
      <c r="AQ18" s="894" t="s">
        <v>1968</v>
      </c>
      <c r="AR18" s="895"/>
      <c r="AS18" s="895"/>
      <c r="AT18" s="895"/>
      <c r="AU18" s="895"/>
      <c r="AV18" s="896"/>
    </row>
    <row r="19" spans="1:48" ht="60" customHeight="1" x14ac:dyDescent="0.2">
      <c r="A19" s="484"/>
      <c r="B19" s="508"/>
      <c r="C19" s="1314"/>
      <c r="D19" s="1314"/>
      <c r="E19" s="1314"/>
      <c r="F19" s="1314"/>
      <c r="G19" s="1314"/>
      <c r="H19" s="484"/>
      <c r="I19" s="528"/>
      <c r="J19" s="528"/>
      <c r="K19" s="1317" t="str">
        <f>_xlfn.IFNA("(Ausbildungsanforderung: "&amp;VLOOKUP("M"&amp;H18,'MU-Daten'!B:S,11,0)&amp;IF(VLOOKUP("M"&amp;H18,'MU-Daten'!B:S,18,0)="",""," / "&amp;VLOOKUP("M"&amp;H18,'MU-Daten'!B:S,18,0))&amp;")","")</f>
        <v/>
      </c>
      <c r="L19" s="1317"/>
      <c r="M19" s="1317"/>
      <c r="N19" s="1317"/>
      <c r="O19" s="1317"/>
      <c r="P19" s="1317"/>
      <c r="Q19" s="1317"/>
      <c r="R19" s="1317"/>
      <c r="S19" s="509"/>
      <c r="T19" s="286"/>
      <c r="U19" s="1319" t="s">
        <v>1018</v>
      </c>
      <c r="V19" s="1319"/>
      <c r="W19" s="1319"/>
      <c r="X19" s="1319"/>
      <c r="Y19" s="1319"/>
      <c r="Z19" s="1319"/>
      <c r="AA19" s="1319"/>
      <c r="AB19" s="1319"/>
      <c r="AC19" s="1319"/>
      <c r="AD19" s="1319"/>
      <c r="AE19" s="1319"/>
      <c r="AF19" s="1319"/>
      <c r="AG19" s="1319"/>
      <c r="AH19" s="1319"/>
      <c r="AI19" s="1319"/>
      <c r="AJ19" s="1319"/>
      <c r="AK19" s="1319"/>
      <c r="AP19" s="897"/>
      <c r="AQ19" s="926" t="str">
        <f>K18</f>
        <v/>
      </c>
      <c r="AR19" s="899"/>
      <c r="AS19" s="900" t="e">
        <f>VLOOKUP(AQ19,'MU-Daten'!B:C,2,0)</f>
        <v>#N/A</v>
      </c>
      <c r="AT19" s="900" t="e">
        <f>VLOOKUP(AQ19,'MU-Daten'!B:H,7,0)</f>
        <v>#N/A</v>
      </c>
      <c r="AU19" s="900"/>
      <c r="AV19" s="901"/>
    </row>
    <row r="20" spans="1:48" ht="17.25" customHeight="1" x14ac:dyDescent="0.2">
      <c r="A20" s="484"/>
      <c r="B20" s="508"/>
      <c r="C20" s="496"/>
      <c r="D20" s="496"/>
      <c r="E20" s="496"/>
      <c r="F20" s="496"/>
      <c r="G20" s="496"/>
      <c r="H20" s="496"/>
      <c r="I20" s="496"/>
      <c r="J20" s="496"/>
      <c r="K20" s="496"/>
      <c r="L20" s="496"/>
      <c r="M20" s="496"/>
      <c r="N20" s="496"/>
      <c r="O20" s="496"/>
      <c r="P20" s="496"/>
      <c r="Q20" s="496"/>
      <c r="R20" s="496"/>
      <c r="S20" s="509"/>
      <c r="T20" s="286"/>
      <c r="U20" s="1319"/>
      <c r="V20" s="1319"/>
      <c r="W20" s="1319"/>
      <c r="X20" s="1319"/>
      <c r="Y20" s="1319"/>
      <c r="Z20" s="1319"/>
      <c r="AA20" s="1319"/>
      <c r="AB20" s="1319"/>
      <c r="AC20" s="1319"/>
      <c r="AD20" s="1319"/>
      <c r="AE20" s="1319"/>
      <c r="AF20" s="1319"/>
      <c r="AG20" s="1319"/>
      <c r="AH20" s="1319"/>
      <c r="AI20" s="1319"/>
      <c r="AJ20" s="1319"/>
      <c r="AK20" s="1319"/>
      <c r="AP20" s="897"/>
      <c r="AQ20" s="898"/>
      <c r="AR20" s="900"/>
      <c r="AS20" s="900"/>
      <c r="AT20" s="900"/>
      <c r="AU20" s="900"/>
      <c r="AV20" s="901"/>
    </row>
    <row r="21" spans="1:48" ht="12.6" customHeight="1" x14ac:dyDescent="0.2">
      <c r="A21" s="484"/>
      <c r="B21" s="508"/>
      <c r="C21" s="1314" t="s">
        <v>1024</v>
      </c>
      <c r="D21" s="1314"/>
      <c r="E21" s="1314"/>
      <c r="F21" s="1314"/>
      <c r="G21" s="1314"/>
      <c r="H21" s="1315"/>
      <c r="I21" s="1315"/>
      <c r="J21" s="496"/>
      <c r="K21" s="1316" t="str">
        <f>IFERROR(IF(H21="","",VLOOKUP("M"&amp;H21,'MU-Daten'!B:B,1,0)),"Keine gültige MU")</f>
        <v/>
      </c>
      <c r="L21" s="1316"/>
      <c r="M21" s="1316"/>
      <c r="N21" s="1316"/>
      <c r="O21" s="1316"/>
      <c r="P21" s="1316"/>
      <c r="Q21" s="1316"/>
      <c r="R21" s="1316"/>
      <c r="S21" s="509"/>
      <c r="T21" s="286"/>
      <c r="U21" s="1319"/>
      <c r="V21" s="1319"/>
      <c r="W21" s="1319"/>
      <c r="X21" s="1319"/>
      <c r="Y21" s="1319"/>
      <c r="Z21" s="1319"/>
      <c r="AA21" s="1319"/>
      <c r="AB21" s="1319"/>
      <c r="AC21" s="1319"/>
      <c r="AD21" s="1319"/>
      <c r="AE21" s="1319"/>
      <c r="AF21" s="1319"/>
      <c r="AG21" s="1319"/>
      <c r="AH21" s="1319"/>
      <c r="AI21" s="1319"/>
      <c r="AJ21" s="1319"/>
      <c r="AK21" s="1319"/>
      <c r="AM21" s="284">
        <f>IF(OR(K21="Keine gültige MU",K21=""),0,1)</f>
        <v>0</v>
      </c>
      <c r="AP21" s="897"/>
      <c r="AQ21" s="898" t="s">
        <v>1969</v>
      </c>
      <c r="AR21" s="900"/>
      <c r="AS21" s="899"/>
      <c r="AT21" s="900"/>
      <c r="AU21" s="900"/>
      <c r="AV21" s="901"/>
    </row>
    <row r="22" spans="1:48" ht="54.6" customHeight="1" x14ac:dyDescent="0.2">
      <c r="A22" s="484"/>
      <c r="B22" s="508"/>
      <c r="C22" s="1314"/>
      <c r="D22" s="1314"/>
      <c r="E22" s="1314"/>
      <c r="F22" s="1314"/>
      <c r="G22" s="1314"/>
      <c r="H22" s="484"/>
      <c r="I22" s="528"/>
      <c r="J22" s="528"/>
      <c r="K22" s="1318" t="str">
        <f>_xlfn.IFNA("(Ausbildungsanforderung: "&amp;VLOOKUP("M"&amp;H21,'MU-Daten'!B:S,11,0)&amp;IF(VLOOKUP("M"&amp;H21,'MU-Daten'!B:S,18,0)="",""," Alternativ: "&amp;VLOOKUP("M"&amp;H21,'MU-Daten'!B:S,18,0))&amp;")","")</f>
        <v/>
      </c>
      <c r="L22" s="1318"/>
      <c r="M22" s="1318"/>
      <c r="N22" s="1318"/>
      <c r="O22" s="1318"/>
      <c r="P22" s="1318"/>
      <c r="Q22" s="1318"/>
      <c r="R22" s="1318"/>
      <c r="S22" s="509"/>
      <c r="T22" s="286"/>
      <c r="U22" s="1319"/>
      <c r="V22" s="1319"/>
      <c r="W22" s="1319"/>
      <c r="X22" s="1319"/>
      <c r="Y22" s="1319"/>
      <c r="Z22" s="1319"/>
      <c r="AA22" s="1319"/>
      <c r="AB22" s="1319"/>
      <c r="AC22" s="1319"/>
      <c r="AD22" s="1319"/>
      <c r="AE22" s="1319"/>
      <c r="AF22" s="1319"/>
      <c r="AG22" s="1319"/>
      <c r="AH22" s="1319"/>
      <c r="AI22" s="1319"/>
      <c r="AJ22" s="1319"/>
      <c r="AK22" s="1319"/>
      <c r="AM22" s="284">
        <f>SUM(AM18:AM21)</f>
        <v>0</v>
      </c>
      <c r="AP22" s="897"/>
      <c r="AQ22" s="898" t="str">
        <f>K21</f>
        <v/>
      </c>
      <c r="AR22" s="899"/>
      <c r="AS22" s="900" t="e">
        <f>VLOOKUP(AQ22,'MU-Daten'!B:C,2,0)</f>
        <v>#N/A</v>
      </c>
      <c r="AT22" s="900" t="e">
        <f>VLOOKUP(AQ22,'MU-Daten'!B:H,7,0)</f>
        <v>#N/A</v>
      </c>
      <c r="AU22" s="900"/>
      <c r="AV22" s="901"/>
    </row>
    <row r="23" spans="1:48" ht="9" customHeight="1" x14ac:dyDescent="0.2">
      <c r="A23" s="484"/>
      <c r="B23" s="508"/>
      <c r="C23" s="496"/>
      <c r="D23" s="496"/>
      <c r="E23" s="496"/>
      <c r="F23" s="496"/>
      <c r="G23" s="496"/>
      <c r="H23" s="496"/>
      <c r="I23" s="496"/>
      <c r="J23" s="496"/>
      <c r="K23" s="496"/>
      <c r="L23" s="496"/>
      <c r="M23" s="496"/>
      <c r="N23" s="496"/>
      <c r="O23" s="496"/>
      <c r="P23" s="496"/>
      <c r="Q23" s="496"/>
      <c r="R23" s="496"/>
      <c r="S23" s="509"/>
      <c r="T23" s="286"/>
      <c r="U23" s="306" t="s">
        <v>1019</v>
      </c>
      <c r="W23" s="327"/>
      <c r="X23" s="327"/>
      <c r="AI23" s="284"/>
      <c r="AJ23" s="284"/>
      <c r="AP23" s="893"/>
      <c r="AQ23" s="894"/>
      <c r="AR23" s="895"/>
      <c r="AS23" s="895"/>
      <c r="AT23" s="895"/>
      <c r="AU23" s="895"/>
      <c r="AV23" s="896"/>
    </row>
    <row r="24" spans="1:48" ht="9" customHeight="1" x14ac:dyDescent="0.2">
      <c r="A24" s="484"/>
      <c r="B24" s="508"/>
      <c r="C24" s="510"/>
      <c r="D24" s="496"/>
      <c r="E24" s="496"/>
      <c r="F24" s="496"/>
      <c r="G24" s="496"/>
      <c r="H24" s="496"/>
      <c r="I24" s="496"/>
      <c r="J24" s="496"/>
      <c r="K24" s="496"/>
      <c r="L24" s="496"/>
      <c r="M24" s="496"/>
      <c r="N24" s="496"/>
      <c r="O24" s="496"/>
      <c r="P24" s="496"/>
      <c r="Q24" s="496"/>
      <c r="R24" s="496"/>
      <c r="S24" s="509"/>
      <c r="T24" s="286"/>
      <c r="U24" s="1319" t="s">
        <v>1025</v>
      </c>
      <c r="V24" s="1319"/>
      <c r="W24" s="1319"/>
      <c r="X24" s="1319"/>
      <c r="Y24" s="1319"/>
      <c r="Z24" s="1319"/>
      <c r="AA24" s="1319"/>
      <c r="AB24" s="1319"/>
      <c r="AC24" s="1319"/>
      <c r="AD24" s="1319"/>
      <c r="AE24" s="1319"/>
      <c r="AF24" s="1319"/>
      <c r="AG24" s="1319"/>
      <c r="AH24" s="1319"/>
      <c r="AI24" s="1319"/>
      <c r="AJ24" s="1319"/>
      <c r="AK24" s="1319"/>
      <c r="AP24" s="897"/>
      <c r="AQ24" s="898"/>
      <c r="AR24" s="900"/>
      <c r="AS24" s="902"/>
      <c r="AT24" s="902"/>
      <c r="AU24" s="900"/>
      <c r="AV24" s="901"/>
    </row>
    <row r="25" spans="1:48" ht="17.25" customHeight="1" x14ac:dyDescent="0.2">
      <c r="A25" s="484"/>
      <c r="B25" s="508"/>
      <c r="C25" s="1320" t="str">
        <f>IF(OR(H18="",H21=""),"Modellumschreibungen erfassen",IF(AM22&lt;2,"Keine gültigen Modellumschreibungen",IF(VLOOKUP("M"&amp;H21,'MU-Daten'!B:S,9,0)=VLOOKUP("M"&amp;H18,'MU-Daten'!B:S,9,0),"Bedingungen erfüllt",IF(VLOOKUP("M"&amp;H21,'MU-Daten'!B:S,13,0)=VLOOKUP("M"&amp;H18,'MU-Daten'!B:S,9,0),"Bedingungen erfüllt",IF(VLOOKUP("M"&amp;H21,'MU-Daten'!B:S,9,0)=VLOOKUP("M"&amp;H18,'MU-Daten'!B:S,13,0),"Bedingungen erfüllt",IF(AND(VLOOKUP("M"&amp;H21,'MU-Daten'!B:S,13,0)="",VLOOKUP("M"&amp;H18,'MU-Daten'!B:S,13,0)=""),"Unterschiedliche Ausbildungsanforderung",IF(VLOOKUP("M"&amp;H21,'MU-Daten'!B:S,13,0)=VLOOKUP("M"&amp;H18,'MU-Daten'!B:S,13,0),"","Unterschiedliche Ausbildungsanforderung")))))))</f>
        <v>Modellumschreibungen erfassen</v>
      </c>
      <c r="D25" s="1320"/>
      <c r="E25" s="1320"/>
      <c r="F25" s="1320"/>
      <c r="G25" s="1320"/>
      <c r="H25" s="1320"/>
      <c r="I25" s="1320"/>
      <c r="J25" s="1320"/>
      <c r="K25" s="1320"/>
      <c r="L25" s="1320"/>
      <c r="M25" s="1320"/>
      <c r="N25" s="1320"/>
      <c r="O25" s="1320"/>
      <c r="P25" s="1320"/>
      <c r="Q25" s="1320"/>
      <c r="R25" s="1320"/>
      <c r="S25" s="509"/>
      <c r="T25" s="286"/>
      <c r="U25" s="1319"/>
      <c r="V25" s="1319"/>
      <c r="W25" s="1319"/>
      <c r="X25" s="1319"/>
      <c r="Y25" s="1319"/>
      <c r="Z25" s="1319"/>
      <c r="AA25" s="1319"/>
      <c r="AB25" s="1319"/>
      <c r="AC25" s="1319"/>
      <c r="AD25" s="1319"/>
      <c r="AE25" s="1319"/>
      <c r="AF25" s="1319"/>
      <c r="AG25" s="1319"/>
      <c r="AH25" s="1319"/>
      <c r="AI25" s="1319"/>
      <c r="AJ25" s="1319"/>
      <c r="AK25" s="1319"/>
      <c r="AM25" s="284" t="s">
        <v>2050</v>
      </c>
      <c r="AP25" s="897"/>
      <c r="AQ25" s="898"/>
      <c r="AR25" s="900"/>
      <c r="AS25" s="902"/>
      <c r="AT25" s="902"/>
      <c r="AU25" s="900"/>
      <c r="AV25" s="901"/>
    </row>
    <row r="26" spans="1:48" ht="9" customHeight="1" x14ac:dyDescent="0.2">
      <c r="A26" s="484"/>
      <c r="B26" s="508"/>
      <c r="C26" s="496"/>
      <c r="D26" s="496"/>
      <c r="E26" s="496"/>
      <c r="F26" s="496"/>
      <c r="G26" s="496"/>
      <c r="H26" s="496"/>
      <c r="I26" s="496"/>
      <c r="J26" s="496"/>
      <c r="K26" s="496"/>
      <c r="L26" s="496"/>
      <c r="M26" s="496"/>
      <c r="N26" s="496"/>
      <c r="O26" s="496"/>
      <c r="P26" s="496"/>
      <c r="Q26" s="496"/>
      <c r="R26" s="496"/>
      <c r="S26" s="509"/>
      <c r="T26" s="286"/>
      <c r="U26" s="1319"/>
      <c r="V26" s="1319"/>
      <c r="W26" s="1319"/>
      <c r="X26" s="1319"/>
      <c r="Y26" s="1319"/>
      <c r="Z26" s="1319"/>
      <c r="AA26" s="1319"/>
      <c r="AB26" s="1319"/>
      <c r="AC26" s="1319"/>
      <c r="AD26" s="1319"/>
      <c r="AE26" s="1319"/>
      <c r="AF26" s="1319"/>
      <c r="AG26" s="1319"/>
      <c r="AH26" s="1319"/>
      <c r="AI26" s="1319"/>
      <c r="AJ26" s="1319"/>
      <c r="AK26" s="1319"/>
      <c r="AP26" s="897"/>
      <c r="AQ26" s="898"/>
      <c r="AR26" s="900"/>
      <c r="AS26" s="900"/>
      <c r="AT26" s="900"/>
      <c r="AU26" s="900"/>
      <c r="AV26" s="901"/>
    </row>
    <row r="27" spans="1:48" ht="12" customHeight="1" x14ac:dyDescent="0.2">
      <c r="A27" s="484"/>
      <c r="B27" s="508"/>
      <c r="C27" s="496" t="s">
        <v>1026</v>
      </c>
      <c r="D27" s="496"/>
      <c r="E27" s="496"/>
      <c r="F27" s="496"/>
      <c r="G27" s="496"/>
      <c r="H27" s="496"/>
      <c r="I27" s="496" t="s">
        <v>1008</v>
      </c>
      <c r="J27" s="1307"/>
      <c r="K27" s="1307"/>
      <c r="L27" s="496"/>
      <c r="M27" s="1321" t="str">
        <f>IF(OR(J27="",J27=0),"Lohn erfassen",IF(J27&lt;VLOOKUP(VLOOKUP("M"&amp;H18,'MU-Daten'!B:K,7,0),LohntabelleM!$A$4:$B$31,2,FALSE),"Lohn unterhalb Minimum Lohnband",IF(J27&gt;VLOOKUP(VLOOKUP("M"&amp;H18,'MU-Daten'!B:K,7,0),LohntabelleM!$A$4:$AE$31,31,FALSE),"Lohn über Maximum Lohnband","Lohn innerhalb Lohnbandgrenzen")))</f>
        <v>Lohn erfassen</v>
      </c>
      <c r="N27" s="1321"/>
      <c r="O27" s="1321"/>
      <c r="P27" s="1321"/>
      <c r="Q27" s="1321"/>
      <c r="R27" s="1321"/>
      <c r="S27" s="1042"/>
      <c r="T27" s="286"/>
      <c r="U27" s="1319"/>
      <c r="V27" s="1319"/>
      <c r="W27" s="1319"/>
      <c r="X27" s="1319"/>
      <c r="Y27" s="1319"/>
      <c r="Z27" s="1319"/>
      <c r="AA27" s="1319"/>
      <c r="AB27" s="1319"/>
      <c r="AC27" s="1319"/>
      <c r="AD27" s="1319"/>
      <c r="AE27" s="1319"/>
      <c r="AF27" s="1319"/>
      <c r="AG27" s="1319"/>
      <c r="AH27" s="1319"/>
      <c r="AI27" s="1319"/>
      <c r="AJ27" s="1319"/>
      <c r="AK27" s="1319"/>
      <c r="AP27" s="903"/>
      <c r="AQ27" s="904" t="s">
        <v>1961</v>
      </c>
      <c r="AR27" s="905"/>
      <c r="AS27" s="906" t="s">
        <v>73</v>
      </c>
      <c r="AT27" s="906" t="s">
        <v>10</v>
      </c>
      <c r="AU27" s="907"/>
      <c r="AV27" s="908"/>
    </row>
    <row r="28" spans="1:48" x14ac:dyDescent="0.2">
      <c r="A28" s="484"/>
      <c r="B28" s="508"/>
      <c r="C28" s="496"/>
      <c r="D28" s="496"/>
      <c r="E28" s="496"/>
      <c r="F28" s="496"/>
      <c r="G28" s="496"/>
      <c r="H28" s="496"/>
      <c r="I28" s="496"/>
      <c r="J28" s="496"/>
      <c r="K28" s="496"/>
      <c r="L28" s="496"/>
      <c r="M28" s="496"/>
      <c r="N28" s="496"/>
      <c r="O28" s="496"/>
      <c r="P28" s="496"/>
      <c r="Q28" s="496"/>
      <c r="R28" s="496"/>
      <c r="S28" s="509"/>
      <c r="T28" s="286"/>
      <c r="U28" s="1319"/>
      <c r="V28" s="1319"/>
      <c r="W28" s="1319"/>
      <c r="X28" s="1319"/>
      <c r="Y28" s="1319"/>
      <c r="Z28" s="1319"/>
      <c r="AA28" s="1319"/>
      <c r="AB28" s="1319"/>
      <c r="AC28" s="1319"/>
      <c r="AD28" s="1319"/>
      <c r="AE28" s="1319"/>
      <c r="AF28" s="1319"/>
      <c r="AG28" s="1319"/>
      <c r="AH28" s="1319"/>
      <c r="AI28" s="1319"/>
      <c r="AJ28" s="1319"/>
      <c r="AK28" s="1319"/>
      <c r="AM28" s="284">
        <f>IF(OR(J27="",J27=0),0,1)</f>
        <v>0</v>
      </c>
      <c r="AP28" s="903"/>
      <c r="AQ28" s="904"/>
      <c r="AR28" s="905"/>
      <c r="AS28" s="906"/>
      <c r="AT28" s="906"/>
      <c r="AU28" s="907"/>
      <c r="AV28" s="908"/>
    </row>
    <row r="29" spans="1:48" x14ac:dyDescent="0.2">
      <c r="A29" s="484"/>
      <c r="B29" s="508"/>
      <c r="C29" s="511" t="s">
        <v>1010</v>
      </c>
      <c r="D29" s="511"/>
      <c r="E29" s="511"/>
      <c r="F29" s="511"/>
      <c r="G29" s="511"/>
      <c r="H29" s="511"/>
      <c r="I29" s="511"/>
      <c r="J29" s="1309" t="str">
        <f ca="1">IF(H18="","",IF(J27&lt;VLOOKUP(VLOOKUP("M"&amp;H18,'MU-Daten'!B:K,7,0),LohntabelleM!$A$4:$B$31,2,FALSE),"C",INDEX(LohntabelleM!$B$3:$AE$3,MATCH(J27,OFFSET(LohntabelleM!$B$4:$AE$4,VLOOKUP("M"&amp;H18,'MU-Daten'!B:K,7,0)-1,0)))))</f>
        <v/>
      </c>
      <c r="K29" s="1309"/>
      <c r="L29" s="720" t="s">
        <v>1008</v>
      </c>
      <c r="N29" s="1310" t="str">
        <f ca="1">IF(J29="","",HLOOKUP(J29,LohntabelleM!$B$3:$AE$31,VLOOKUP("M"&amp;H18,'MU-Daten'!B:K,7,0)+1,FALSE))</f>
        <v/>
      </c>
      <c r="O29" s="1310"/>
      <c r="P29" s="496"/>
      <c r="Q29" s="496"/>
      <c r="R29" s="496"/>
      <c r="S29" s="509"/>
      <c r="T29" s="286"/>
      <c r="U29" s="1319"/>
      <c r="V29" s="1319"/>
      <c r="W29" s="1319"/>
      <c r="X29" s="1319"/>
      <c r="Y29" s="1319"/>
      <c r="Z29" s="1319"/>
      <c r="AA29" s="1319"/>
      <c r="AB29" s="1319"/>
      <c r="AC29" s="1319"/>
      <c r="AD29" s="1319"/>
      <c r="AE29" s="1319"/>
      <c r="AF29" s="1319"/>
      <c r="AG29" s="1319"/>
      <c r="AH29" s="1319"/>
      <c r="AI29" s="1319"/>
      <c r="AJ29" s="1319"/>
      <c r="AK29" s="1319"/>
      <c r="AP29" s="903" t="s">
        <v>1970</v>
      </c>
      <c r="AQ29" s="909" t="e">
        <f>VLOOKUP(K21,'MU-Daten'!B:L,11,0)</f>
        <v>#N/A</v>
      </c>
      <c r="AR29" s="909"/>
      <c r="AS29" s="907" t="e">
        <f>IF(AQ29="","",VLOOKUP(K21,'MU-Daten'!B:J,9,0))</f>
        <v>#N/A</v>
      </c>
      <c r="AT29" s="907" t="e">
        <f>IF(AQ29="","",VLOOKUP(K21,'MU-Daten'!B:K,10,0))</f>
        <v>#N/A</v>
      </c>
      <c r="AU29" s="904"/>
      <c r="AV29" s="908"/>
    </row>
    <row r="30" spans="1:48" x14ac:dyDescent="0.2">
      <c r="A30" s="484"/>
      <c r="B30" s="508"/>
      <c r="C30" s="496" t="s">
        <v>1011</v>
      </c>
      <c r="D30" s="496"/>
      <c r="E30" s="496"/>
      <c r="F30" s="496"/>
      <c r="G30" s="496"/>
      <c r="H30" s="496"/>
      <c r="I30" s="496"/>
      <c r="J30" s="1303" t="str">
        <f ca="1">IF(H18="","",IF(N29=J27,J29,IF(J27&lt;VLOOKUP(VLOOKUP("M"&amp;H18,'MU-Daten'!B:K,7,0),LohntabelleM!$A$4:$B$31,2,FALSE),"C",INDEX(LohntabelleM!$B$3:$AE$3,MATCH(J27,OFFSET(LohntabelleM!$B$4:$AE$4,VLOOKUP("M"&amp;H18,'MU-Daten'!B:K,7,0)-1,-1))))))</f>
        <v/>
      </c>
      <c r="K30" s="1303"/>
      <c r="L30" s="721" t="s">
        <v>1008</v>
      </c>
      <c r="N30" s="1322" t="str">
        <f ca="1">IF(J30="","",HLOOKUP(J30,LohntabelleM!$B$3:$AE$31,VLOOKUP("M"&amp;H18,'MU-Daten'!B:K,7,0)+1,FALSE))</f>
        <v/>
      </c>
      <c r="O30" s="1322"/>
      <c r="P30" s="496"/>
      <c r="Q30" s="496"/>
      <c r="R30" s="496"/>
      <c r="S30" s="509"/>
      <c r="T30" s="286"/>
      <c r="U30" s="1319"/>
      <c r="V30" s="1319"/>
      <c r="W30" s="1319"/>
      <c r="X30" s="1319"/>
      <c r="Y30" s="1319"/>
      <c r="Z30" s="1319"/>
      <c r="AA30" s="1319"/>
      <c r="AB30" s="1319"/>
      <c r="AC30" s="1319"/>
      <c r="AD30" s="1319"/>
      <c r="AE30" s="1319"/>
      <c r="AF30" s="1319"/>
      <c r="AG30" s="1319"/>
      <c r="AH30" s="1319"/>
      <c r="AI30" s="1319"/>
      <c r="AJ30" s="1319"/>
      <c r="AK30" s="1319"/>
      <c r="AP30" s="903" t="s">
        <v>1959</v>
      </c>
      <c r="AQ30" s="909" t="e">
        <f>VLOOKUP(K21,'MU-Daten'!B:S,18,0)</f>
        <v>#N/A</v>
      </c>
      <c r="AR30" s="909"/>
      <c r="AS30" s="907" t="e">
        <f>IF(AQ30="","",VLOOKUP(K21,'MU-Daten'!B:N,13,0))</f>
        <v>#N/A</v>
      </c>
      <c r="AT30" s="907" t="e">
        <f>IF(AQ30="","",VLOOKUP(K21,'MU-Daten'!B:O,14,0))</f>
        <v>#N/A</v>
      </c>
      <c r="AU30" s="904"/>
      <c r="AV30" s="908"/>
    </row>
    <row r="31" spans="1:48" x14ac:dyDescent="0.2">
      <c r="A31" s="484"/>
      <c r="B31" s="508"/>
      <c r="C31" s="496"/>
      <c r="D31" s="496"/>
      <c r="E31" s="496"/>
      <c r="F31" s="496"/>
      <c r="G31" s="496"/>
      <c r="H31" s="496"/>
      <c r="I31" s="496"/>
      <c r="J31" s="496"/>
      <c r="K31" s="496"/>
      <c r="L31" s="496"/>
      <c r="M31" s="496"/>
      <c r="N31" s="496"/>
      <c r="O31" s="496"/>
      <c r="P31" s="496"/>
      <c r="Q31" s="496"/>
      <c r="R31" s="496"/>
      <c r="S31" s="509"/>
      <c r="T31" s="286"/>
      <c r="AP31" s="910" t="s">
        <v>1960</v>
      </c>
      <c r="AQ31" s="909" t="e">
        <f>VLOOKUP(K21,'MU-Daten'!B:T,19,0)</f>
        <v>#N/A</v>
      </c>
      <c r="AR31" s="909"/>
      <c r="AS31" s="907" t="e">
        <f>IF(AQ31="","",VLOOKUP(K21,'MU-Daten'!B:Q,16,0))</f>
        <v>#N/A</v>
      </c>
      <c r="AT31" s="907" t="e">
        <f>IF(AQ31="","",VLOOKUP(K21,'MU-Daten'!B:R,17,0))</f>
        <v>#N/A</v>
      </c>
      <c r="AU31" s="904"/>
      <c r="AV31" s="911"/>
    </row>
    <row r="32" spans="1:48" x14ac:dyDescent="0.2">
      <c r="A32" s="484"/>
      <c r="B32" s="508"/>
      <c r="C32" s="495" t="s">
        <v>1012</v>
      </c>
      <c r="D32" s="496"/>
      <c r="E32" s="496"/>
      <c r="F32" s="496"/>
      <c r="G32" s="496"/>
      <c r="H32" s="496"/>
      <c r="I32" s="496"/>
      <c r="J32" s="496"/>
      <c r="K32" s="496"/>
      <c r="L32" s="496"/>
      <c r="M32" s="496"/>
      <c r="N32" s="496"/>
      <c r="O32" s="496"/>
      <c r="P32" s="496"/>
      <c r="Q32" s="496"/>
      <c r="R32" s="496"/>
      <c r="S32" s="509"/>
      <c r="T32" s="286"/>
      <c r="AP32" s="903"/>
      <c r="AQ32" s="904"/>
      <c r="AR32" s="904"/>
      <c r="AS32" s="906"/>
      <c r="AT32" s="906"/>
      <c r="AU32" s="904"/>
      <c r="AV32" s="911"/>
    </row>
    <row r="33" spans="1:51" x14ac:dyDescent="0.2">
      <c r="A33" s="484"/>
      <c r="B33" s="508"/>
      <c r="C33" s="495"/>
      <c r="D33" s="496"/>
      <c r="E33" s="496"/>
      <c r="F33" s="496"/>
      <c r="G33" s="496"/>
      <c r="H33" s="496"/>
      <c r="I33" s="496"/>
      <c r="J33" s="496"/>
      <c r="K33" s="496"/>
      <c r="L33" s="496"/>
      <c r="M33" s="496"/>
      <c r="N33" s="496"/>
      <c r="O33" s="496"/>
      <c r="P33" s="496"/>
      <c r="Q33" s="496"/>
      <c r="R33" s="496"/>
      <c r="S33" s="509"/>
      <c r="T33" s="286"/>
      <c r="AP33" s="893"/>
      <c r="AQ33" s="894"/>
      <c r="AR33" s="895"/>
      <c r="AS33" s="895"/>
      <c r="AT33" s="895"/>
      <c r="AU33" s="895"/>
      <c r="AV33" s="896"/>
    </row>
    <row r="34" spans="1:51" x14ac:dyDescent="0.2">
      <c r="A34" s="484"/>
      <c r="B34" s="508"/>
      <c r="C34" s="496" t="s">
        <v>1027</v>
      </c>
      <c r="D34" s="496"/>
      <c r="E34" s="496"/>
      <c r="F34" s="496"/>
      <c r="G34" s="496"/>
      <c r="H34" s="496"/>
      <c r="I34" s="496"/>
      <c r="J34" s="1323" t="str">
        <f>IFERROR(IF(AW54&gt;=1,AS57,AV57),"")</f>
        <v/>
      </c>
      <c r="K34" s="1323"/>
      <c r="L34" s="496"/>
      <c r="M34" s="496"/>
      <c r="N34" s="1316" t="str">
        <f ca="1">_xlfn.IFNA(IF(INDEX($BC$55:$BC$80,MATCH(J29,$BB$55:$BB$80,0))+J34&lt;1,"A2-Korrektur nur teilweise möglich","A2-Korrektur vollständig möglich"),"")</f>
        <v/>
      </c>
      <c r="O34" s="1316"/>
      <c r="P34" s="1316"/>
      <c r="Q34" s="1316"/>
      <c r="R34" s="1316"/>
      <c r="S34" s="509"/>
      <c r="T34" s="286"/>
      <c r="AP34" s="912"/>
      <c r="AQ34" s="913" t="s">
        <v>1962</v>
      </c>
      <c r="AR34" s="914" t="s">
        <v>754</v>
      </c>
      <c r="AS34" s="914" t="s">
        <v>1963</v>
      </c>
      <c r="AT34" s="914" t="s">
        <v>1964</v>
      </c>
      <c r="AU34" s="914" t="s">
        <v>1965</v>
      </c>
      <c r="AV34" s="915" t="s">
        <v>1966</v>
      </c>
    </row>
    <row r="35" spans="1:51" x14ac:dyDescent="0.2">
      <c r="A35" s="484"/>
      <c r="B35" s="508"/>
      <c r="C35" s="496"/>
      <c r="D35" s="496"/>
      <c r="E35" s="496"/>
      <c r="F35" s="496"/>
      <c r="G35" s="496"/>
      <c r="H35" s="496"/>
      <c r="I35" s="496"/>
      <c r="J35" s="496"/>
      <c r="K35" s="496"/>
      <c r="L35" s="496"/>
      <c r="M35" s="496"/>
      <c r="N35" s="496"/>
      <c r="O35" s="496"/>
      <c r="P35" s="496"/>
      <c r="Q35" s="496"/>
      <c r="R35" s="496"/>
      <c r="S35" s="509"/>
      <c r="T35" s="286"/>
      <c r="AP35" s="912"/>
      <c r="AQ35" s="916"/>
      <c r="AR35" s="917"/>
      <c r="AS35" s="917"/>
      <c r="AT35" s="917"/>
      <c r="AU35" s="917"/>
      <c r="AV35" s="918"/>
    </row>
    <row r="36" spans="1:51" x14ac:dyDescent="0.2">
      <c r="A36" s="484"/>
      <c r="B36" s="508"/>
      <c r="C36" s="496" t="s">
        <v>1013</v>
      </c>
      <c r="D36" s="496"/>
      <c r="E36" s="496"/>
      <c r="F36" s="496"/>
      <c r="G36" s="496"/>
      <c r="H36" s="496"/>
      <c r="I36" s="496"/>
      <c r="J36" s="1298" t="str">
        <f>IFERROR(VLOOKUP("M"&amp;H21,'MU-Daten'!B:H,7,0),"")</f>
        <v/>
      </c>
      <c r="K36" s="1298"/>
      <c r="L36" s="496"/>
      <c r="M36" s="496"/>
      <c r="N36" s="496"/>
      <c r="O36" s="496"/>
      <c r="P36" s="496"/>
      <c r="Q36" s="496"/>
      <c r="R36" s="496"/>
      <c r="S36" s="509"/>
      <c r="T36" s="286"/>
      <c r="AP36" s="912"/>
      <c r="AQ36" s="916" t="e">
        <f>IF(OR(AQ12="",AQ12=0),"keine Übereinstimmung",IF(AQ12=AQ29,AQ12,IF(AQ12=AQ30,AQ12,IF(AQ12=AQ32,AQ12,"keine Übereinstimmung"))))</f>
        <v>#N/A</v>
      </c>
      <c r="AR36" s="917" t="e">
        <f>IF(AQ36="keine Übereinstimmung","",IF($AV$46+AU36&gt;27,27,$AV$46+AU36))</f>
        <v>#N/A</v>
      </c>
      <c r="AS36" s="917" t="e">
        <f>IF(AQ36="keine Übereinstimmung","",AT12)</f>
        <v>#N/A</v>
      </c>
      <c r="AT36" s="917" t="e">
        <f>IF(AQ36="keine Übereinstimmung","",VLOOKUP($AQ$36,$AQ$29:AT31,4,0))</f>
        <v>#N/A</v>
      </c>
      <c r="AU36" s="917" t="e">
        <f>IF(AS36="","",AS36-AT36)</f>
        <v>#N/A</v>
      </c>
      <c r="AV36" s="918" t="e">
        <f>IF(AQ36&lt;&gt;"keine Übereinstimmung",1,0)</f>
        <v>#N/A</v>
      </c>
      <c r="AW36" s="284" t="e">
        <f>IF(AR36="","",IF(AR36&lt;=-2,"C",IF(AR36=-1,"B",IF(AR36=0,"A",IF(AR36&gt;27,27,AR36)))))</f>
        <v>#N/A</v>
      </c>
    </row>
    <row r="37" spans="1:51" x14ac:dyDescent="0.2">
      <c r="A37" s="484"/>
      <c r="B37" s="508"/>
      <c r="C37" s="496"/>
      <c r="D37" s="496"/>
      <c r="E37" s="496"/>
      <c r="F37" s="496"/>
      <c r="G37" s="496"/>
      <c r="H37" s="496"/>
      <c r="I37" s="496"/>
      <c r="J37" s="496"/>
      <c r="K37" s="496"/>
      <c r="L37" s="496"/>
      <c r="M37" s="496"/>
      <c r="N37" s="496"/>
      <c r="O37" s="496"/>
      <c r="P37" s="496"/>
      <c r="Q37" s="496" t="s">
        <v>1014</v>
      </c>
      <c r="R37" s="496"/>
      <c r="S37" s="509"/>
      <c r="T37" s="286"/>
      <c r="AP37" s="912"/>
      <c r="AQ37" s="916" t="e">
        <f>IF(OR(AQ13="",AQ13=0),"keine Übereinstimmung",IF(AQ13=AQ29,AQ13,IF(AQ13=AQ30,AQ13,IF(AQ13=AQ31,AQ13,"keine Übereinstimmung"))))</f>
        <v>#N/A</v>
      </c>
      <c r="AR37" s="917" t="e">
        <f t="shared" ref="AR37:AR38" si="0">IF(AQ37="keine Übereinstimmung","",IF($AV$46+AU37&gt;27,27,$AV$46+AU37))</f>
        <v>#N/A</v>
      </c>
      <c r="AS37" s="917" t="e">
        <f>IF(AQ37="keine Übereinstimmung","",AT13)</f>
        <v>#N/A</v>
      </c>
      <c r="AT37" s="917" t="e">
        <f>IF(AQ37="keine Übereinstimmung","",VLOOKUP($AQ$37,$AQ$29:AT32,4,0))</f>
        <v>#N/A</v>
      </c>
      <c r="AU37" s="917" t="e">
        <f>IF(AS37="","",AS37-AT37)</f>
        <v>#N/A</v>
      </c>
      <c r="AV37" s="918" t="e">
        <f>IF(AQ37&lt;&gt;"keine Übereinstimmung",1,0)</f>
        <v>#N/A</v>
      </c>
      <c r="AW37" s="284" t="e">
        <f t="shared" ref="AW37:AW38" si="1">IF(AR37="","",IF(AR37&lt;=-2,"C",IF(AR37=-1,"B",IF(AR37=0,"A",IF(AR37&gt;27,27,AR37)))))</f>
        <v>#N/A</v>
      </c>
    </row>
    <row r="38" spans="1:51" x14ac:dyDescent="0.2">
      <c r="A38" s="484"/>
      <c r="B38" s="508"/>
      <c r="C38" s="496" t="s">
        <v>1011</v>
      </c>
      <c r="D38" s="496"/>
      <c r="E38" s="496"/>
      <c r="F38" s="496"/>
      <c r="G38" s="496"/>
      <c r="H38" s="496"/>
      <c r="I38" s="496"/>
      <c r="J38" s="1298" t="str">
        <f ca="1">AY46</f>
        <v/>
      </c>
      <c r="K38" s="1298"/>
      <c r="L38" s="721" t="s">
        <v>1008</v>
      </c>
      <c r="N38" s="1299" t="str">
        <f ca="1">IF(J38="","",HLOOKUP(J38,LohntabelleM!$B$3:$AE$31,VLOOKUP("M"&amp;H21,'MU-Daten'!B:K,7,0)+1,FALSE))</f>
        <v/>
      </c>
      <c r="O38" s="1299"/>
      <c r="P38" s="496"/>
      <c r="Q38" s="1300" t="str">
        <f>IF(J27&gt;0,IF(N38="","",(N38-J27)/J27),"N/A")</f>
        <v>N/A</v>
      </c>
      <c r="R38" s="1300"/>
      <c r="S38" s="509"/>
      <c r="T38" s="286"/>
      <c r="AP38" s="912"/>
      <c r="AQ38" s="916" t="e">
        <f>IF(OR(AQ14="",AQ14=0),"keine Übereinstimmung",IF(AQ14=AQ29,AQ14,IF(AQ14=AQ30,AQ14,IF(AQ14=AQ31,AQ14,"keine Übereinstimmung"))))</f>
        <v>#N/A</v>
      </c>
      <c r="AR38" s="917" t="e">
        <f t="shared" si="0"/>
        <v>#N/A</v>
      </c>
      <c r="AS38" s="917" t="e">
        <f>IF(AQ38="keine Übereinstimmung","",AT14)</f>
        <v>#N/A</v>
      </c>
      <c r="AT38" s="917" t="e">
        <f>IF(AQ38="keine Übereinstimmung","",VLOOKUP($AQ$38,$AQ$29:AT33,4,0))</f>
        <v>#N/A</v>
      </c>
      <c r="AU38" s="917" t="e">
        <f>IF(AS38="","",AS38-AT38)</f>
        <v>#N/A</v>
      </c>
      <c r="AV38" s="918" t="e">
        <f>IF(AQ38&lt;&gt;"keine Übereinstimmung",1,0)</f>
        <v>#N/A</v>
      </c>
      <c r="AW38" s="284" t="e">
        <f t="shared" si="1"/>
        <v>#N/A</v>
      </c>
    </row>
    <row r="39" spans="1:51" ht="8.1" customHeight="1" x14ac:dyDescent="0.2">
      <c r="A39" s="484"/>
      <c r="B39" s="512"/>
      <c r="C39" s="513"/>
      <c r="D39" s="513"/>
      <c r="E39" s="513"/>
      <c r="F39" s="513"/>
      <c r="G39" s="513"/>
      <c r="H39" s="513"/>
      <c r="I39" s="513"/>
      <c r="J39" s="513"/>
      <c r="K39" s="513"/>
      <c r="L39" s="513"/>
      <c r="M39" s="513"/>
      <c r="N39" s="513"/>
      <c r="O39" s="513"/>
      <c r="P39" s="513"/>
      <c r="Q39" s="513"/>
      <c r="R39" s="513"/>
      <c r="S39" s="514"/>
      <c r="T39" s="286"/>
      <c r="AP39" s="912"/>
      <c r="AQ39" s="916"/>
      <c r="AR39" s="916"/>
      <c r="AS39" s="916"/>
      <c r="AT39" s="916"/>
      <c r="AU39" s="916"/>
      <c r="AV39" s="919"/>
    </row>
    <row r="40" spans="1:51" ht="6" customHeight="1" x14ac:dyDescent="0.2">
      <c r="A40" s="484"/>
      <c r="B40" s="484"/>
      <c r="C40" s="484"/>
      <c r="D40" s="484"/>
      <c r="E40" s="484"/>
      <c r="F40" s="484"/>
      <c r="G40" s="484"/>
      <c r="H40" s="484"/>
      <c r="I40" s="484"/>
      <c r="J40" s="484"/>
      <c r="K40" s="484"/>
      <c r="L40" s="484"/>
      <c r="M40" s="484"/>
      <c r="N40" s="484"/>
      <c r="O40" s="484"/>
      <c r="P40" s="484"/>
      <c r="Q40" s="484"/>
      <c r="R40" s="484"/>
      <c r="S40" s="484"/>
      <c r="AP40" s="920"/>
      <c r="AQ40" s="921"/>
      <c r="AR40" s="921"/>
      <c r="AS40" s="921"/>
      <c r="AT40" s="921"/>
      <c r="AU40" s="921"/>
      <c r="AV40" s="922"/>
    </row>
    <row r="41" spans="1:51" ht="6" customHeight="1" x14ac:dyDescent="0.2">
      <c r="A41" s="484"/>
      <c r="B41" s="515"/>
      <c r="C41" s="48"/>
      <c r="D41" s="48"/>
      <c r="E41" s="48"/>
      <c r="F41" s="48"/>
      <c r="G41" s="48"/>
      <c r="H41" s="48"/>
      <c r="I41" s="48"/>
      <c r="J41" s="48"/>
      <c r="K41" s="48"/>
      <c r="L41" s="48"/>
      <c r="M41" s="48"/>
      <c r="N41" s="48"/>
      <c r="O41" s="48"/>
      <c r="P41" s="48"/>
      <c r="Q41" s="48"/>
      <c r="R41" s="48"/>
      <c r="S41" s="516"/>
      <c r="AP41" s="920"/>
      <c r="AQ41" s="921"/>
      <c r="AR41" s="921"/>
      <c r="AS41" s="921"/>
      <c r="AT41" s="921"/>
      <c r="AU41" s="921"/>
      <c r="AV41" s="922"/>
    </row>
    <row r="42" spans="1:51" ht="13.5" thickBot="1" x14ac:dyDescent="0.25">
      <c r="A42" s="484"/>
      <c r="B42" s="517"/>
      <c r="C42" s="94" t="s">
        <v>978</v>
      </c>
      <c r="D42" s="96"/>
      <c r="E42" s="96"/>
      <c r="F42" s="96"/>
      <c r="G42" s="96"/>
      <c r="H42" s="96"/>
      <c r="I42" s="96"/>
      <c r="J42" s="96"/>
      <c r="K42" s="96"/>
      <c r="L42" s="96"/>
      <c r="M42" s="96"/>
      <c r="N42" s="96"/>
      <c r="O42" s="96"/>
      <c r="P42" s="96"/>
      <c r="Q42" s="96"/>
      <c r="R42" s="96"/>
      <c r="S42" s="518"/>
      <c r="AP42" s="923"/>
      <c r="AQ42" s="924" t="s">
        <v>1967</v>
      </c>
      <c r="AR42" s="924"/>
      <c r="AS42" s="924"/>
      <c r="AT42" s="924"/>
      <c r="AU42" s="924"/>
      <c r="AV42" s="925" t="e">
        <f>SUM(AV36:AV38)</f>
        <v>#N/A</v>
      </c>
    </row>
    <row r="43" spans="1:51" ht="6" customHeight="1" x14ac:dyDescent="0.2">
      <c r="A43" s="484"/>
      <c r="B43" s="517"/>
      <c r="C43" s="96"/>
      <c r="D43" s="96"/>
      <c r="E43" s="96"/>
      <c r="F43" s="96"/>
      <c r="G43" s="96"/>
      <c r="H43" s="96"/>
      <c r="I43" s="96"/>
      <c r="J43" s="96"/>
      <c r="K43" s="96"/>
      <c r="L43" s="96"/>
      <c r="M43" s="96"/>
      <c r="N43" s="96"/>
      <c r="O43" s="96"/>
      <c r="P43" s="96"/>
      <c r="Q43" s="96"/>
      <c r="R43" s="96"/>
      <c r="S43" s="518"/>
    </row>
    <row r="44" spans="1:51" x14ac:dyDescent="0.2">
      <c r="A44" s="484"/>
      <c r="B44" s="517"/>
      <c r="C44" s="1297"/>
      <c r="D44" s="1312"/>
      <c r="E44" s="1312"/>
      <c r="F44" s="1312"/>
      <c r="G44" s="1312"/>
      <c r="H44" s="1312"/>
      <c r="I44" s="1312"/>
      <c r="J44" s="1312"/>
      <c r="K44" s="1312"/>
      <c r="L44" s="1312"/>
      <c r="M44" s="1312"/>
      <c r="N44" s="1312"/>
      <c r="O44" s="1312"/>
      <c r="P44" s="1312"/>
      <c r="Q44" s="1312"/>
      <c r="R44" s="1312"/>
      <c r="S44" s="518"/>
    </row>
    <row r="45" spans="1:51" x14ac:dyDescent="0.2">
      <c r="A45" s="484"/>
      <c r="B45" s="517"/>
      <c r="C45" s="1297"/>
      <c r="D45" s="1312"/>
      <c r="E45" s="1312"/>
      <c r="F45" s="1312"/>
      <c r="G45" s="1312"/>
      <c r="H45" s="1312"/>
      <c r="I45" s="1312"/>
      <c r="J45" s="1312"/>
      <c r="K45" s="1312"/>
      <c r="L45" s="1312"/>
      <c r="M45" s="1312"/>
      <c r="N45" s="1312"/>
      <c r="O45" s="1312"/>
      <c r="P45" s="1312"/>
      <c r="Q45" s="1312"/>
      <c r="R45" s="1312"/>
      <c r="S45" s="518"/>
      <c r="AR45" s="927" t="s">
        <v>754</v>
      </c>
      <c r="AS45" s="927" t="s">
        <v>1972</v>
      </c>
      <c r="AT45" s="927" t="s">
        <v>1979</v>
      </c>
      <c r="AV45" s="284" t="s">
        <v>1976</v>
      </c>
    </row>
    <row r="46" spans="1:51" x14ac:dyDescent="0.2">
      <c r="A46" s="484"/>
      <c r="B46" s="517"/>
      <c r="C46" s="1297"/>
      <c r="D46" s="1312"/>
      <c r="E46" s="1312"/>
      <c r="F46" s="1312"/>
      <c r="G46" s="1312"/>
      <c r="H46" s="1312"/>
      <c r="I46" s="1312"/>
      <c r="J46" s="1312"/>
      <c r="K46" s="1312"/>
      <c r="L46" s="1312"/>
      <c r="M46" s="1312"/>
      <c r="N46" s="1312"/>
      <c r="O46" s="1312"/>
      <c r="P46" s="1312"/>
      <c r="Q46" s="1312"/>
      <c r="R46" s="1312"/>
      <c r="S46" s="518"/>
      <c r="AP46" s="284" t="s">
        <v>1971</v>
      </c>
      <c r="AR46" s="927" t="e">
        <f ca="1">INDEX(LohntabelleM!A3:AE3,MATCH(J27,OFFSET(LohntabelleM!A4:AE4,AT19-1,0)))</f>
        <v>#N/A</v>
      </c>
      <c r="AS46" s="927" t="e">
        <f ca="1">IF(AP46="","",IF(J27=INDEX(LohntabelleM!A3:AE31,MATCH(AT19,LohntabelleM!A3:A31,0),MATCH(AR46,LohntabelleM!A3:AE3,0)),1,0))</f>
        <v>#N/A</v>
      </c>
      <c r="AT46" s="927" t="e">
        <f ca="1">IF(AS46=1,AR46,IF(AR46="C","B",IF(AR46="B","A",IF(AR46="A",1,IF(AR46=27,27,AR46+1)))))</f>
        <v>#N/A</v>
      </c>
      <c r="AV46" s="284" t="e">
        <f ca="1">IF(AT46="C",-2,IF(AT46="B",-1,IF(AT46="A",0,AT46)))</f>
        <v>#N/A</v>
      </c>
      <c r="AW46" s="929" t="e">
        <f ca="1">AV46+J34</f>
        <v>#N/A</v>
      </c>
      <c r="AY46" s="284" t="str">
        <f ca="1">IFERROR(IF(AW46=-2,"C",IF(AW46=-1,"B",IF(AW46=0,"A",AW46))),"")</f>
        <v/>
      </c>
    </row>
    <row r="47" spans="1:51" ht="7.9" customHeight="1" x14ac:dyDescent="0.2">
      <c r="A47" s="484"/>
      <c r="B47" s="519"/>
      <c r="C47" s="520"/>
      <c r="D47" s="520"/>
      <c r="E47" s="520"/>
      <c r="F47" s="520"/>
      <c r="G47" s="520"/>
      <c r="H47" s="520"/>
      <c r="I47" s="520"/>
      <c r="J47" s="520"/>
      <c r="K47" s="520"/>
      <c r="L47" s="520"/>
      <c r="M47" s="520"/>
      <c r="N47" s="520"/>
      <c r="O47" s="520"/>
      <c r="P47" s="520"/>
      <c r="Q47" s="520"/>
      <c r="R47" s="520"/>
      <c r="S47" s="521"/>
      <c r="AT47" s="927"/>
    </row>
    <row r="48" spans="1:51" ht="6" customHeight="1" x14ac:dyDescent="0.2">
      <c r="A48" s="484"/>
      <c r="B48" s="96"/>
      <c r="C48" s="96"/>
      <c r="D48" s="96"/>
      <c r="E48" s="96"/>
      <c r="F48" s="96"/>
      <c r="G48" s="96"/>
      <c r="H48" s="96"/>
      <c r="I48" s="96"/>
      <c r="J48" s="96"/>
      <c r="K48" s="96"/>
      <c r="L48" s="96"/>
      <c r="M48" s="96"/>
      <c r="N48" s="96"/>
      <c r="O48" s="96"/>
      <c r="P48" s="96"/>
      <c r="Q48" s="96"/>
      <c r="R48" s="96"/>
      <c r="S48" s="522"/>
      <c r="AT48" s="927"/>
    </row>
    <row r="49" spans="1:56" ht="6" customHeight="1" x14ac:dyDescent="0.2">
      <c r="A49" s="484"/>
      <c r="B49" s="515"/>
      <c r="C49" s="48"/>
      <c r="D49" s="48"/>
      <c r="E49" s="48"/>
      <c r="F49" s="48"/>
      <c r="G49" s="48"/>
      <c r="H49" s="48"/>
      <c r="I49" s="48"/>
      <c r="J49" s="48"/>
      <c r="K49" s="48"/>
      <c r="L49" s="48"/>
      <c r="M49" s="48"/>
      <c r="N49" s="48"/>
      <c r="O49" s="48"/>
      <c r="P49" s="48"/>
      <c r="Q49" s="48"/>
      <c r="R49" s="48"/>
      <c r="S49" s="516"/>
      <c r="AT49" s="927"/>
    </row>
    <row r="50" spans="1:56" x14ac:dyDescent="0.2">
      <c r="A50" s="484"/>
      <c r="B50" s="517"/>
      <c r="C50" s="94" t="s">
        <v>1065</v>
      </c>
      <c r="D50" s="96"/>
      <c r="E50" s="96"/>
      <c r="F50" s="96"/>
      <c r="G50" s="96"/>
      <c r="H50" s="96"/>
      <c r="I50" s="96"/>
      <c r="J50" s="96"/>
      <c r="K50" s="96"/>
      <c r="L50" s="96"/>
      <c r="M50" s="96"/>
      <c r="N50" s="96"/>
      <c r="O50" s="96"/>
      <c r="P50" s="96"/>
      <c r="Q50" s="96"/>
      <c r="R50" s="96"/>
      <c r="S50" s="518"/>
      <c r="AP50" s="284" t="s">
        <v>1973</v>
      </c>
      <c r="AR50" s="927" t="s">
        <v>1974</v>
      </c>
      <c r="AS50" s="927" t="s">
        <v>1972</v>
      </c>
      <c r="AT50" s="927" t="s">
        <v>754</v>
      </c>
      <c r="AU50" s="927" t="s">
        <v>1975</v>
      </c>
      <c r="AV50" s="284" t="s">
        <v>1976</v>
      </c>
      <c r="AW50" s="927" t="s">
        <v>1977</v>
      </c>
    </row>
    <row r="51" spans="1:56" ht="6" customHeight="1" x14ac:dyDescent="0.2">
      <c r="A51" s="484"/>
      <c r="B51" s="517"/>
      <c r="C51" s="96"/>
      <c r="D51" s="96"/>
      <c r="E51" s="96"/>
      <c r="F51" s="96"/>
      <c r="G51" s="96"/>
      <c r="H51" s="96"/>
      <c r="I51" s="96"/>
      <c r="J51" s="96"/>
      <c r="K51" s="96"/>
      <c r="L51" s="96"/>
      <c r="M51" s="96"/>
      <c r="N51" s="96"/>
      <c r="O51" s="96"/>
      <c r="P51" s="96"/>
      <c r="Q51" s="96"/>
      <c r="R51" s="96"/>
      <c r="S51" s="518"/>
      <c r="AR51" s="927"/>
      <c r="AS51" s="927"/>
      <c r="AT51" s="927"/>
      <c r="AU51" s="927"/>
      <c r="AW51" s="927"/>
    </row>
    <row r="52" spans="1:56" x14ac:dyDescent="0.2">
      <c r="A52" s="484"/>
      <c r="B52" s="517"/>
      <c r="C52" s="1297"/>
      <c r="D52" s="1312"/>
      <c r="E52" s="1312"/>
      <c r="F52" s="1312"/>
      <c r="G52" s="1312"/>
      <c r="H52" s="1312"/>
      <c r="I52" s="1312"/>
      <c r="J52" s="1312"/>
      <c r="K52" s="1312"/>
      <c r="L52" s="1312"/>
      <c r="M52" s="1312"/>
      <c r="N52" s="1312"/>
      <c r="O52" s="1312"/>
      <c r="P52" s="1312"/>
      <c r="Q52" s="1312"/>
      <c r="R52" s="1312"/>
      <c r="S52" s="518"/>
      <c r="AP52" s="284" t="e">
        <f>IF(AND(AS19=AS22,AT19-1=AT22),"max 1LB gleiche Funktionskette","")</f>
        <v>#N/A</v>
      </c>
      <c r="AR52" s="927" t="e">
        <f ca="1">IF(AP52="","",INDEX(LohntabelleM!A3:AE3,MATCH(J27,OFFSET(LohntabelleM!A4:AE4,AT19-1,0))))</f>
        <v>#N/A</v>
      </c>
      <c r="AS52" s="927" t="e">
        <f>IF(AP52="","",IF(J27=INDEX(LohntabelleM!A3:AE31,MATCH(AT19,LohntabelleM!A3:A31,0),MATCH(AR52,LohntabelleM!A3:AE3,0)),1,0))</f>
        <v>#N/A</v>
      </c>
      <c r="AT52" s="927" t="e">
        <f>IF(AP52="","",IF(AS52=1,AR52,IF(AR52="C","B",IF(AR52="B","A",IF(AR52="A",1,IF(AR52=27,27,AR52+1))))))</f>
        <v>#N/A</v>
      </c>
      <c r="AU52" s="927" t="e">
        <f>AT52</f>
        <v>#N/A</v>
      </c>
      <c r="AV52" s="284" t="e">
        <f>IF(AU52="C",-2,IF(AU52="B",-1,IF(AU52="A",0,AU52)))</f>
        <v>#N/A</v>
      </c>
      <c r="AW52" s="927" t="e">
        <f>IF(AP52="",0,1)</f>
        <v>#N/A</v>
      </c>
    </row>
    <row r="53" spans="1:56" x14ac:dyDescent="0.2">
      <c r="A53" s="484"/>
      <c r="B53" s="517"/>
      <c r="C53" s="1297"/>
      <c r="D53" s="1312"/>
      <c r="E53" s="1312"/>
      <c r="F53" s="1312"/>
      <c r="G53" s="1312"/>
      <c r="H53" s="1312"/>
      <c r="I53" s="1312"/>
      <c r="J53" s="1312"/>
      <c r="K53" s="1312"/>
      <c r="L53" s="1312"/>
      <c r="M53" s="1312"/>
      <c r="N53" s="1312"/>
      <c r="O53" s="1312"/>
      <c r="P53" s="1312"/>
      <c r="Q53" s="1312"/>
      <c r="R53" s="1312"/>
      <c r="S53" s="518"/>
      <c r="AP53" s="284" t="e">
        <f>IF(AT19&gt;AT22,"Anspruchsvollere Funktion","")</f>
        <v>#N/A</v>
      </c>
      <c r="AR53" s="927" t="e">
        <f ca="1">IF(AP53="","",IF(J27&lt;VLOOKUP(AT22,LohntabelleM!A4:B31,2,0),"C",INDEX(LohntabelleM!A3:AE3,MATCH(J27,OFFSET(LohntabelleM!A4:AE4,AT22-1,0)))))</f>
        <v>#N/A</v>
      </c>
      <c r="AS53" s="927" t="e">
        <f>IF(AP53="","",IF(J27&lt;VLOOKUP(AT22,LohntabelleM!A4:B31,2,0),1,IF(J27=INDEX(LohntabelleM!A3:AE31,MATCH(AT22,LohntabelleM!A3:A31,0),MATCH(AR53,LohntabelleM!A3:AE3,0)),1,0)))</f>
        <v>#N/A</v>
      </c>
      <c r="AT53" s="927" t="e">
        <f>IF(AP53="","",IF(AS53=1,AR53,IF(AR53="C","B",IF(AR53="B","A",IF(AR53="A",1,IF(AR53=27,27,AR53+1))))))</f>
        <v>#N/A</v>
      </c>
      <c r="AU53" s="927" t="e">
        <f>IF(AT53="C","A",IF(AT53="B",1,IF(AT53="A",2,IF(AT53&gt;=25,27,AT53+2))))</f>
        <v>#N/A</v>
      </c>
      <c r="AV53" s="284" t="e">
        <f>IF(AU53="C",-2,IF(AU53="B",-1,IF(AU53="A",0,AU53)))</f>
        <v>#N/A</v>
      </c>
      <c r="AW53" s="927" t="e">
        <f>IF(AP53="",0,1)</f>
        <v>#N/A</v>
      </c>
    </row>
    <row r="54" spans="1:56" x14ac:dyDescent="0.2">
      <c r="A54" s="484"/>
      <c r="B54" s="517"/>
      <c r="C54" s="1297"/>
      <c r="D54" s="1312"/>
      <c r="E54" s="1312"/>
      <c r="F54" s="1312"/>
      <c r="G54" s="1312"/>
      <c r="H54" s="1312"/>
      <c r="I54" s="1312"/>
      <c r="J54" s="1312"/>
      <c r="K54" s="1312"/>
      <c r="L54" s="1312"/>
      <c r="M54" s="1312"/>
      <c r="N54" s="1312"/>
      <c r="O54" s="1312"/>
      <c r="P54" s="1312"/>
      <c r="Q54" s="1312"/>
      <c r="R54" s="1312"/>
      <c r="S54" s="518"/>
      <c r="AP54" s="284" t="s">
        <v>1978</v>
      </c>
      <c r="AV54" s="322">
        <f>IFERROR(SUM(AV52:AV53)/AW54,0)</f>
        <v>0</v>
      </c>
      <c r="AW54" s="928" t="e">
        <f>SUM(AW52:AW53)</f>
        <v>#N/A</v>
      </c>
      <c r="BB54" s="284" t="s">
        <v>1021</v>
      </c>
      <c r="BD54" s="284" t="s">
        <v>1028</v>
      </c>
    </row>
    <row r="55" spans="1:56" ht="7.9" customHeight="1" x14ac:dyDescent="0.2">
      <c r="A55" s="484"/>
      <c r="B55" s="519"/>
      <c r="C55" s="520"/>
      <c r="D55" s="520"/>
      <c r="E55" s="520"/>
      <c r="F55" s="520"/>
      <c r="G55" s="520"/>
      <c r="H55" s="520"/>
      <c r="I55" s="520"/>
      <c r="J55" s="520"/>
      <c r="K55" s="520"/>
      <c r="L55" s="520"/>
      <c r="M55" s="520"/>
      <c r="N55" s="520"/>
      <c r="O55" s="520"/>
      <c r="P55" s="520"/>
      <c r="Q55" s="520"/>
      <c r="R55" s="520"/>
      <c r="S55" s="521"/>
      <c r="BB55" s="331">
        <v>1</v>
      </c>
      <c r="BC55" s="331">
        <v>4</v>
      </c>
      <c r="BD55" s="332">
        <f>BB55+2</f>
        <v>3</v>
      </c>
    </row>
    <row r="56" spans="1:56" x14ac:dyDescent="0.2">
      <c r="AR56" s="927" t="s">
        <v>1980</v>
      </c>
      <c r="AS56" s="927" t="s">
        <v>1981</v>
      </c>
      <c r="AT56" s="927" t="s">
        <v>1980</v>
      </c>
      <c r="AU56" s="927" t="s">
        <v>1980</v>
      </c>
      <c r="AV56" s="927" t="s">
        <v>1981</v>
      </c>
      <c r="BB56" s="331">
        <v>2</v>
      </c>
      <c r="BC56" s="331">
        <v>5</v>
      </c>
      <c r="BD56" s="332">
        <f>BB56+2</f>
        <v>4</v>
      </c>
    </row>
    <row r="57" spans="1:56" x14ac:dyDescent="0.2">
      <c r="AR57" s="927" t="e">
        <f t="array" ref="AR57">INDEX(AR36:AR38,MATCH(MIN(IF(ISNUMBER(AR36:AR38),ABS(AR36:AR38-AV54))),ABS(AR36:AR38-AV54),0))</f>
        <v>#N/A</v>
      </c>
      <c r="AS57" s="927" t="e">
        <f>VLOOKUP(AR57,AR36:AU38,4,0)</f>
        <v>#N/A</v>
      </c>
      <c r="AT57" s="927" t="e">
        <f>VLOOKUP(AR57,AR36:AW38,6,0)</f>
        <v>#N/A</v>
      </c>
      <c r="AU57" s="927" t="e">
        <f>MAX(AR36:AR38)</f>
        <v>#N/A</v>
      </c>
      <c r="AV57" s="927" t="e">
        <f>VLOOKUP(AU57,AR36:AU38,4,0)</f>
        <v>#N/A</v>
      </c>
      <c r="AW57" s="927" t="e">
        <f>VLOOKUP(AU57,AR36:AW38,6,0)</f>
        <v>#N/A</v>
      </c>
      <c r="BB57" s="331">
        <v>3</v>
      </c>
      <c r="BC57" s="331">
        <v>6</v>
      </c>
      <c r="BD57" s="332">
        <f>BB57+2</f>
        <v>5</v>
      </c>
    </row>
    <row r="58" spans="1:56" x14ac:dyDescent="0.2">
      <c r="BB58" s="331">
        <v>4</v>
      </c>
      <c r="BC58" s="331">
        <v>7</v>
      </c>
      <c r="BD58" s="332">
        <f t="shared" ref="BD58:BD72" si="2">BB58+2</f>
        <v>6</v>
      </c>
    </row>
    <row r="59" spans="1:56" x14ac:dyDescent="0.2">
      <c r="BB59" s="331">
        <v>5</v>
      </c>
      <c r="BC59" s="331">
        <v>8</v>
      </c>
      <c r="BD59" s="332">
        <f t="shared" si="2"/>
        <v>7</v>
      </c>
    </row>
    <row r="60" spans="1:56" x14ac:dyDescent="0.2">
      <c r="BB60" s="331">
        <v>5</v>
      </c>
      <c r="BC60" s="331">
        <v>8</v>
      </c>
      <c r="BD60" s="332">
        <f>BB60+2</f>
        <v>7</v>
      </c>
    </row>
    <row r="61" spans="1:56" x14ac:dyDescent="0.2">
      <c r="BB61" s="331">
        <v>5</v>
      </c>
      <c r="BC61" s="331">
        <v>8</v>
      </c>
      <c r="BD61" s="332">
        <f t="shared" si="2"/>
        <v>7</v>
      </c>
    </row>
    <row r="62" spans="1:56" x14ac:dyDescent="0.2">
      <c r="BB62" s="331">
        <v>6</v>
      </c>
      <c r="BC62" s="331">
        <v>9</v>
      </c>
      <c r="BD62" s="332">
        <f t="shared" si="2"/>
        <v>8</v>
      </c>
    </row>
    <row r="63" spans="1:56" x14ac:dyDescent="0.2">
      <c r="BB63" s="331">
        <v>13</v>
      </c>
      <c r="BC63" s="331">
        <v>16</v>
      </c>
      <c r="BD63" s="332">
        <f t="shared" si="2"/>
        <v>15</v>
      </c>
    </row>
    <row r="64" spans="1:56" x14ac:dyDescent="0.2">
      <c r="BB64" s="331">
        <v>14</v>
      </c>
      <c r="BC64" s="331">
        <v>17</v>
      </c>
      <c r="BD64" s="332">
        <f t="shared" si="2"/>
        <v>16</v>
      </c>
    </row>
    <row r="65" spans="54:56" x14ac:dyDescent="0.2">
      <c r="BB65" s="331">
        <v>15</v>
      </c>
      <c r="BC65" s="331">
        <v>18</v>
      </c>
      <c r="BD65" s="332">
        <f t="shared" si="2"/>
        <v>17</v>
      </c>
    </row>
    <row r="66" spans="54:56" x14ac:dyDescent="0.2">
      <c r="BB66" s="331">
        <v>16</v>
      </c>
      <c r="BC66" s="331">
        <v>19</v>
      </c>
      <c r="BD66" s="332">
        <f t="shared" si="2"/>
        <v>18</v>
      </c>
    </row>
    <row r="67" spans="54:56" x14ac:dyDescent="0.2">
      <c r="BB67" s="331">
        <v>17</v>
      </c>
      <c r="BC67" s="331">
        <v>20</v>
      </c>
      <c r="BD67" s="332">
        <f t="shared" si="2"/>
        <v>19</v>
      </c>
    </row>
    <row r="68" spans="54:56" x14ac:dyDescent="0.2">
      <c r="BB68" s="331">
        <v>18</v>
      </c>
      <c r="BC68" s="331">
        <v>21</v>
      </c>
      <c r="BD68" s="332">
        <f t="shared" si="2"/>
        <v>20</v>
      </c>
    </row>
    <row r="69" spans="54:56" x14ac:dyDescent="0.2">
      <c r="BB69" s="331">
        <v>19</v>
      </c>
      <c r="BC69" s="331">
        <v>22</v>
      </c>
      <c r="BD69" s="332">
        <f t="shared" si="2"/>
        <v>21</v>
      </c>
    </row>
    <row r="70" spans="54:56" x14ac:dyDescent="0.2">
      <c r="BB70" s="331">
        <v>20</v>
      </c>
      <c r="BC70" s="331">
        <v>23</v>
      </c>
      <c r="BD70" s="332">
        <f t="shared" si="2"/>
        <v>22</v>
      </c>
    </row>
    <row r="71" spans="54:56" x14ac:dyDescent="0.2">
      <c r="BB71" s="331">
        <v>21</v>
      </c>
      <c r="BC71" s="331">
        <v>24</v>
      </c>
      <c r="BD71" s="332">
        <f t="shared" si="2"/>
        <v>23</v>
      </c>
    </row>
    <row r="72" spans="54:56" x14ac:dyDescent="0.2">
      <c r="BB72" s="331">
        <v>22</v>
      </c>
      <c r="BC72" s="331">
        <v>25</v>
      </c>
      <c r="BD72" s="332">
        <f t="shared" si="2"/>
        <v>24</v>
      </c>
    </row>
    <row r="73" spans="54:56" x14ac:dyDescent="0.2">
      <c r="BB73" s="331">
        <v>23</v>
      </c>
      <c r="BC73" s="331">
        <v>26</v>
      </c>
      <c r="BD73" s="332">
        <f>BB73+2</f>
        <v>25</v>
      </c>
    </row>
    <row r="74" spans="54:56" x14ac:dyDescent="0.2">
      <c r="BB74" s="331">
        <v>24</v>
      </c>
      <c r="BC74" s="331">
        <v>27</v>
      </c>
      <c r="BD74" s="332">
        <f>BB74+2</f>
        <v>26</v>
      </c>
    </row>
    <row r="75" spans="54:56" x14ac:dyDescent="0.2">
      <c r="BB75" s="331">
        <v>25</v>
      </c>
      <c r="BC75" s="331">
        <v>28</v>
      </c>
      <c r="BD75" s="332">
        <f>BB75+2</f>
        <v>27</v>
      </c>
    </row>
    <row r="76" spans="54:56" x14ac:dyDescent="0.2">
      <c r="BB76" s="331">
        <v>26</v>
      </c>
      <c r="BC76" s="331">
        <v>29</v>
      </c>
      <c r="BD76" s="332">
        <f>BB76+2</f>
        <v>28</v>
      </c>
    </row>
    <row r="77" spans="54:56" x14ac:dyDescent="0.2">
      <c r="BB77" s="331">
        <v>27</v>
      </c>
      <c r="BC77" s="331">
        <v>30</v>
      </c>
      <c r="BD77" s="332">
        <f>BB77+2</f>
        <v>29</v>
      </c>
    </row>
    <row r="78" spans="54:56" x14ac:dyDescent="0.2">
      <c r="BB78" s="331" t="s">
        <v>590</v>
      </c>
      <c r="BC78" s="331">
        <v>3</v>
      </c>
      <c r="BD78" s="332" t="s">
        <v>588</v>
      </c>
    </row>
    <row r="79" spans="54:56" x14ac:dyDescent="0.2">
      <c r="BB79" s="331" t="s">
        <v>589</v>
      </c>
      <c r="BC79" s="331">
        <v>2</v>
      </c>
      <c r="BD79" s="332">
        <v>1</v>
      </c>
    </row>
    <row r="80" spans="54:56" x14ac:dyDescent="0.2">
      <c r="BB80" s="331" t="s">
        <v>588</v>
      </c>
      <c r="BC80" s="331">
        <v>1</v>
      </c>
      <c r="BD80" s="332">
        <v>2</v>
      </c>
    </row>
  </sheetData>
  <sheetProtection algorithmName="SHA-512" hashValue="hQlhyiwO0gB2Zf+PRkXUn1cVLO1QAuubgN9YyhuEiJsK8+ANxNSsgT96TKBbtmxymneOi36bfuq0iocYN6rAcQ==" saltValue="kLS0CU1Jm+j7lcj5clcARA==" spinCount="100000" sheet="1" objects="1" scenarios="1"/>
  <protectedRanges>
    <protectedRange algorithmName="SHA-512" hashValue="8rM3jErz64DZP9htk3R0ssDLwPE6wwHVPpEaBDy5Te6z8+vEjUV+T6cVZ7WJUSqixSQmB66n3KZ1qFhNzpl69Q==" saltValue="nukNp4zgH1gGtN6z3L3KPA==" spinCount="100000" sqref="O12 G14 H18 H21 J27 C44:R46 C52:R54" name="Eingabefelder"/>
  </protectedRanges>
  <mergeCells count="40">
    <mergeCell ref="J38:K38"/>
    <mergeCell ref="N38:O38"/>
    <mergeCell ref="Q38:R38"/>
    <mergeCell ref="U10:Z11"/>
    <mergeCell ref="N29:O29"/>
    <mergeCell ref="J30:K30"/>
    <mergeCell ref="N30:O30"/>
    <mergeCell ref="J34:K34"/>
    <mergeCell ref="N34:R34"/>
    <mergeCell ref="J36:K36"/>
    <mergeCell ref="U19:AK22"/>
    <mergeCell ref="E10:J10"/>
    <mergeCell ref="O10:R10"/>
    <mergeCell ref="C21:G22"/>
    <mergeCell ref="H21:I21"/>
    <mergeCell ref="K21:R21"/>
    <mergeCell ref="K22:R22"/>
    <mergeCell ref="U24:AK30"/>
    <mergeCell ref="C25:R25"/>
    <mergeCell ref="J27:K27"/>
    <mergeCell ref="J29:K29"/>
    <mergeCell ref="M27:R27"/>
    <mergeCell ref="F12:H12"/>
    <mergeCell ref="O12:R12"/>
    <mergeCell ref="C18:G19"/>
    <mergeCell ref="H18:I18"/>
    <mergeCell ref="K18:R18"/>
    <mergeCell ref="K19:R19"/>
    <mergeCell ref="G14:R14"/>
    <mergeCell ref="B2:M2"/>
    <mergeCell ref="E6:F6"/>
    <mergeCell ref="E8:J8"/>
    <mergeCell ref="L8:N8"/>
    <mergeCell ref="O8:R8"/>
    <mergeCell ref="C46:R46"/>
    <mergeCell ref="C54:R54"/>
    <mergeCell ref="C45:R45"/>
    <mergeCell ref="C44:R44"/>
    <mergeCell ref="C53:R53"/>
    <mergeCell ref="C52:R52"/>
  </mergeCells>
  <conditionalFormatting sqref="C25 T25">
    <cfRule type="cellIs" dxfId="41" priority="22" stopIfTrue="1" operator="equal">
      <formula>"Unterschiedliche Ausbildungsanforderung"</formula>
    </cfRule>
  </conditionalFormatting>
  <conditionalFormatting sqref="M27 T27">
    <cfRule type="cellIs" dxfId="40" priority="20" stopIfTrue="1" operator="equal">
      <formula>"Lohn innerhalb Lohnbandgrenzen"</formula>
    </cfRule>
    <cfRule type="cellIs" dxfId="39" priority="21" stopIfTrue="1" operator="equal">
      <formula>""</formula>
    </cfRule>
  </conditionalFormatting>
  <conditionalFormatting sqref="M48">
    <cfRule type="cellIs" dxfId="38" priority="14" stopIfTrue="1" operator="equal">
      <formula>"Lohn innerhalb Lohnbandgrenzen"</formula>
    </cfRule>
    <cfRule type="cellIs" dxfId="37" priority="15" stopIfTrue="1" operator="equal">
      <formula>""</formula>
    </cfRule>
  </conditionalFormatting>
  <conditionalFormatting sqref="S48">
    <cfRule type="cellIs" dxfId="36" priority="12" stopIfTrue="1" operator="equal">
      <formula>"Lohn innerhalb Lohnbandgrenzen"</formula>
    </cfRule>
    <cfRule type="cellIs" dxfId="35" priority="13" stopIfTrue="1" operator="equal">
      <formula>""</formula>
    </cfRule>
  </conditionalFormatting>
  <conditionalFormatting sqref="K18:R18">
    <cfRule type="expression" dxfId="34" priority="8">
      <formula>$AM$18=1</formula>
    </cfRule>
    <cfRule type="expression" dxfId="33" priority="11">
      <formula>$K$18="Keine gültige MU"</formula>
    </cfRule>
  </conditionalFormatting>
  <conditionalFormatting sqref="K21:R21">
    <cfRule type="expression" dxfId="32" priority="9">
      <formula>$AM$21=1</formula>
    </cfRule>
    <cfRule type="expression" dxfId="31" priority="10">
      <formula>$K$21="Keine gültige MU"</formula>
    </cfRule>
  </conditionalFormatting>
  <conditionalFormatting sqref="C25:R25">
    <cfRule type="expression" dxfId="30" priority="4">
      <formula>$C$25="Bedingungen erfüllt"</formula>
    </cfRule>
    <cfRule type="expression" dxfId="29" priority="6">
      <formula>$C$25="Modellumschreibungen erfassen"</formula>
    </cfRule>
    <cfRule type="expression" dxfId="28" priority="7">
      <formula>$C$25="Keine gültigen Modellumschreibungen"</formula>
    </cfRule>
  </conditionalFormatting>
  <conditionalFormatting sqref="C27:R27">
    <cfRule type="expression" dxfId="27" priority="5">
      <formula>$AM$22&lt;2</formula>
    </cfRule>
  </conditionalFormatting>
  <conditionalFormatting sqref="M27:R27">
    <cfRule type="expression" dxfId="26" priority="2">
      <formula>OR($M$27="Lohn unterhalb Minimum Lohnband",$M$27="Lohn über Maximum Lohnband")</formula>
    </cfRule>
    <cfRule type="expression" dxfId="25" priority="3">
      <formula>AND($M$27="Lohn erfassen",$AM$22=2)</formula>
    </cfRule>
  </conditionalFormatting>
  <conditionalFormatting sqref="C29:R38">
    <cfRule type="expression" dxfId="24" priority="1">
      <formula>OR($C$25&lt;&gt;"Bedingungen erfüllt",$M$27&lt;&gt;"Lohn innerhalb Lohnbandgrenzen")</formula>
    </cfRule>
  </conditionalFormatting>
  <dataValidations count="2">
    <dataValidation type="list" allowBlank="1" showInputMessage="1" showErrorMessage="1" sqref="K65495:L65495 JG65482:JH65482 TC65482:TD65482 ACY65482:ACZ65482 AMU65482:AMV65482 AWQ65482:AWR65482 BGM65482:BGN65482 BQI65482:BQJ65482 CAE65482:CAF65482 CKA65482:CKB65482 CTW65482:CTX65482 DDS65482:DDT65482 DNO65482:DNP65482 DXK65482:DXL65482 EHG65482:EHH65482 ERC65482:ERD65482 FAY65482:FAZ65482 FKU65482:FKV65482 FUQ65482:FUR65482 GEM65482:GEN65482 GOI65482:GOJ65482 GYE65482:GYF65482 HIA65482:HIB65482 HRW65482:HRX65482 IBS65482:IBT65482 ILO65482:ILP65482 IVK65482:IVL65482 JFG65482:JFH65482 JPC65482:JPD65482 JYY65482:JYZ65482 KIU65482:KIV65482 KSQ65482:KSR65482 LCM65482:LCN65482 LMI65482:LMJ65482 LWE65482:LWF65482 MGA65482:MGB65482 MPW65482:MPX65482 MZS65482:MZT65482 NJO65482:NJP65482 NTK65482:NTL65482 ODG65482:ODH65482 ONC65482:OND65482 OWY65482:OWZ65482 PGU65482:PGV65482 PQQ65482:PQR65482 QAM65482:QAN65482 QKI65482:QKJ65482 QUE65482:QUF65482 REA65482:REB65482 RNW65482:RNX65482 RXS65482:RXT65482 SHO65482:SHP65482 SRK65482:SRL65482 TBG65482:TBH65482 TLC65482:TLD65482 TUY65482:TUZ65482 UEU65482:UEV65482 UOQ65482:UOR65482 UYM65482:UYN65482 VII65482:VIJ65482 VSE65482:VSF65482 WCA65482:WCB65482 WLW65482:WLX65482 WVS65482:WVT65482 K131031:L131031 JG131018:JH131018 TC131018:TD131018 ACY131018:ACZ131018 AMU131018:AMV131018 AWQ131018:AWR131018 BGM131018:BGN131018 BQI131018:BQJ131018 CAE131018:CAF131018 CKA131018:CKB131018 CTW131018:CTX131018 DDS131018:DDT131018 DNO131018:DNP131018 DXK131018:DXL131018 EHG131018:EHH131018 ERC131018:ERD131018 FAY131018:FAZ131018 FKU131018:FKV131018 FUQ131018:FUR131018 GEM131018:GEN131018 GOI131018:GOJ131018 GYE131018:GYF131018 HIA131018:HIB131018 HRW131018:HRX131018 IBS131018:IBT131018 ILO131018:ILP131018 IVK131018:IVL131018 JFG131018:JFH131018 JPC131018:JPD131018 JYY131018:JYZ131018 KIU131018:KIV131018 KSQ131018:KSR131018 LCM131018:LCN131018 LMI131018:LMJ131018 LWE131018:LWF131018 MGA131018:MGB131018 MPW131018:MPX131018 MZS131018:MZT131018 NJO131018:NJP131018 NTK131018:NTL131018 ODG131018:ODH131018 ONC131018:OND131018 OWY131018:OWZ131018 PGU131018:PGV131018 PQQ131018:PQR131018 QAM131018:QAN131018 QKI131018:QKJ131018 QUE131018:QUF131018 REA131018:REB131018 RNW131018:RNX131018 RXS131018:RXT131018 SHO131018:SHP131018 SRK131018:SRL131018 TBG131018:TBH131018 TLC131018:TLD131018 TUY131018:TUZ131018 UEU131018:UEV131018 UOQ131018:UOR131018 UYM131018:UYN131018 VII131018:VIJ131018 VSE131018:VSF131018 WCA131018:WCB131018 WLW131018:WLX131018 WVS131018:WVT131018 K196567:L196567 JG196554:JH196554 TC196554:TD196554 ACY196554:ACZ196554 AMU196554:AMV196554 AWQ196554:AWR196554 BGM196554:BGN196554 BQI196554:BQJ196554 CAE196554:CAF196554 CKA196554:CKB196554 CTW196554:CTX196554 DDS196554:DDT196554 DNO196554:DNP196554 DXK196554:DXL196554 EHG196554:EHH196554 ERC196554:ERD196554 FAY196554:FAZ196554 FKU196554:FKV196554 FUQ196554:FUR196554 GEM196554:GEN196554 GOI196554:GOJ196554 GYE196554:GYF196554 HIA196554:HIB196554 HRW196554:HRX196554 IBS196554:IBT196554 ILO196554:ILP196554 IVK196554:IVL196554 JFG196554:JFH196554 JPC196554:JPD196554 JYY196554:JYZ196554 KIU196554:KIV196554 KSQ196554:KSR196554 LCM196554:LCN196554 LMI196554:LMJ196554 LWE196554:LWF196554 MGA196554:MGB196554 MPW196554:MPX196554 MZS196554:MZT196554 NJO196554:NJP196554 NTK196554:NTL196554 ODG196554:ODH196554 ONC196554:OND196554 OWY196554:OWZ196554 PGU196554:PGV196554 PQQ196554:PQR196554 QAM196554:QAN196554 QKI196554:QKJ196554 QUE196554:QUF196554 REA196554:REB196554 RNW196554:RNX196554 RXS196554:RXT196554 SHO196554:SHP196554 SRK196554:SRL196554 TBG196554:TBH196554 TLC196554:TLD196554 TUY196554:TUZ196554 UEU196554:UEV196554 UOQ196554:UOR196554 UYM196554:UYN196554 VII196554:VIJ196554 VSE196554:VSF196554 WCA196554:WCB196554 WLW196554:WLX196554 WVS196554:WVT196554 K262103:L262103 JG262090:JH262090 TC262090:TD262090 ACY262090:ACZ262090 AMU262090:AMV262090 AWQ262090:AWR262090 BGM262090:BGN262090 BQI262090:BQJ262090 CAE262090:CAF262090 CKA262090:CKB262090 CTW262090:CTX262090 DDS262090:DDT262090 DNO262090:DNP262090 DXK262090:DXL262090 EHG262090:EHH262090 ERC262090:ERD262090 FAY262090:FAZ262090 FKU262090:FKV262090 FUQ262090:FUR262090 GEM262090:GEN262090 GOI262090:GOJ262090 GYE262090:GYF262090 HIA262090:HIB262090 HRW262090:HRX262090 IBS262090:IBT262090 ILO262090:ILP262090 IVK262090:IVL262090 JFG262090:JFH262090 JPC262090:JPD262090 JYY262090:JYZ262090 KIU262090:KIV262090 KSQ262090:KSR262090 LCM262090:LCN262090 LMI262090:LMJ262090 LWE262090:LWF262090 MGA262090:MGB262090 MPW262090:MPX262090 MZS262090:MZT262090 NJO262090:NJP262090 NTK262090:NTL262090 ODG262090:ODH262090 ONC262090:OND262090 OWY262090:OWZ262090 PGU262090:PGV262090 PQQ262090:PQR262090 QAM262090:QAN262090 QKI262090:QKJ262090 QUE262090:QUF262090 REA262090:REB262090 RNW262090:RNX262090 RXS262090:RXT262090 SHO262090:SHP262090 SRK262090:SRL262090 TBG262090:TBH262090 TLC262090:TLD262090 TUY262090:TUZ262090 UEU262090:UEV262090 UOQ262090:UOR262090 UYM262090:UYN262090 VII262090:VIJ262090 VSE262090:VSF262090 WCA262090:WCB262090 WLW262090:WLX262090 WVS262090:WVT262090 K327639:L327639 JG327626:JH327626 TC327626:TD327626 ACY327626:ACZ327626 AMU327626:AMV327626 AWQ327626:AWR327626 BGM327626:BGN327626 BQI327626:BQJ327626 CAE327626:CAF327626 CKA327626:CKB327626 CTW327626:CTX327626 DDS327626:DDT327626 DNO327626:DNP327626 DXK327626:DXL327626 EHG327626:EHH327626 ERC327626:ERD327626 FAY327626:FAZ327626 FKU327626:FKV327626 FUQ327626:FUR327626 GEM327626:GEN327626 GOI327626:GOJ327626 GYE327626:GYF327626 HIA327626:HIB327626 HRW327626:HRX327626 IBS327626:IBT327626 ILO327626:ILP327626 IVK327626:IVL327626 JFG327626:JFH327626 JPC327626:JPD327626 JYY327626:JYZ327626 KIU327626:KIV327626 KSQ327626:KSR327626 LCM327626:LCN327626 LMI327626:LMJ327626 LWE327626:LWF327626 MGA327626:MGB327626 MPW327626:MPX327626 MZS327626:MZT327626 NJO327626:NJP327626 NTK327626:NTL327626 ODG327626:ODH327626 ONC327626:OND327626 OWY327626:OWZ327626 PGU327626:PGV327626 PQQ327626:PQR327626 QAM327626:QAN327626 QKI327626:QKJ327626 QUE327626:QUF327626 REA327626:REB327626 RNW327626:RNX327626 RXS327626:RXT327626 SHO327626:SHP327626 SRK327626:SRL327626 TBG327626:TBH327626 TLC327626:TLD327626 TUY327626:TUZ327626 UEU327626:UEV327626 UOQ327626:UOR327626 UYM327626:UYN327626 VII327626:VIJ327626 VSE327626:VSF327626 WCA327626:WCB327626 WLW327626:WLX327626 WVS327626:WVT327626 K393175:L393175 JG393162:JH393162 TC393162:TD393162 ACY393162:ACZ393162 AMU393162:AMV393162 AWQ393162:AWR393162 BGM393162:BGN393162 BQI393162:BQJ393162 CAE393162:CAF393162 CKA393162:CKB393162 CTW393162:CTX393162 DDS393162:DDT393162 DNO393162:DNP393162 DXK393162:DXL393162 EHG393162:EHH393162 ERC393162:ERD393162 FAY393162:FAZ393162 FKU393162:FKV393162 FUQ393162:FUR393162 GEM393162:GEN393162 GOI393162:GOJ393162 GYE393162:GYF393162 HIA393162:HIB393162 HRW393162:HRX393162 IBS393162:IBT393162 ILO393162:ILP393162 IVK393162:IVL393162 JFG393162:JFH393162 JPC393162:JPD393162 JYY393162:JYZ393162 KIU393162:KIV393162 KSQ393162:KSR393162 LCM393162:LCN393162 LMI393162:LMJ393162 LWE393162:LWF393162 MGA393162:MGB393162 MPW393162:MPX393162 MZS393162:MZT393162 NJO393162:NJP393162 NTK393162:NTL393162 ODG393162:ODH393162 ONC393162:OND393162 OWY393162:OWZ393162 PGU393162:PGV393162 PQQ393162:PQR393162 QAM393162:QAN393162 QKI393162:QKJ393162 QUE393162:QUF393162 REA393162:REB393162 RNW393162:RNX393162 RXS393162:RXT393162 SHO393162:SHP393162 SRK393162:SRL393162 TBG393162:TBH393162 TLC393162:TLD393162 TUY393162:TUZ393162 UEU393162:UEV393162 UOQ393162:UOR393162 UYM393162:UYN393162 VII393162:VIJ393162 VSE393162:VSF393162 WCA393162:WCB393162 WLW393162:WLX393162 WVS393162:WVT393162 K458711:L458711 JG458698:JH458698 TC458698:TD458698 ACY458698:ACZ458698 AMU458698:AMV458698 AWQ458698:AWR458698 BGM458698:BGN458698 BQI458698:BQJ458698 CAE458698:CAF458698 CKA458698:CKB458698 CTW458698:CTX458698 DDS458698:DDT458698 DNO458698:DNP458698 DXK458698:DXL458698 EHG458698:EHH458698 ERC458698:ERD458698 FAY458698:FAZ458698 FKU458698:FKV458698 FUQ458698:FUR458698 GEM458698:GEN458698 GOI458698:GOJ458698 GYE458698:GYF458698 HIA458698:HIB458698 HRW458698:HRX458698 IBS458698:IBT458698 ILO458698:ILP458698 IVK458698:IVL458698 JFG458698:JFH458698 JPC458698:JPD458698 JYY458698:JYZ458698 KIU458698:KIV458698 KSQ458698:KSR458698 LCM458698:LCN458698 LMI458698:LMJ458698 LWE458698:LWF458698 MGA458698:MGB458698 MPW458698:MPX458698 MZS458698:MZT458698 NJO458698:NJP458698 NTK458698:NTL458698 ODG458698:ODH458698 ONC458698:OND458698 OWY458698:OWZ458698 PGU458698:PGV458698 PQQ458698:PQR458698 QAM458698:QAN458698 QKI458698:QKJ458698 QUE458698:QUF458698 REA458698:REB458698 RNW458698:RNX458698 RXS458698:RXT458698 SHO458698:SHP458698 SRK458698:SRL458698 TBG458698:TBH458698 TLC458698:TLD458698 TUY458698:TUZ458698 UEU458698:UEV458698 UOQ458698:UOR458698 UYM458698:UYN458698 VII458698:VIJ458698 VSE458698:VSF458698 WCA458698:WCB458698 WLW458698:WLX458698 WVS458698:WVT458698 K524247:L524247 JG524234:JH524234 TC524234:TD524234 ACY524234:ACZ524234 AMU524234:AMV524234 AWQ524234:AWR524234 BGM524234:BGN524234 BQI524234:BQJ524234 CAE524234:CAF524234 CKA524234:CKB524234 CTW524234:CTX524234 DDS524234:DDT524234 DNO524234:DNP524234 DXK524234:DXL524234 EHG524234:EHH524234 ERC524234:ERD524234 FAY524234:FAZ524234 FKU524234:FKV524234 FUQ524234:FUR524234 GEM524234:GEN524234 GOI524234:GOJ524234 GYE524234:GYF524234 HIA524234:HIB524234 HRW524234:HRX524234 IBS524234:IBT524234 ILO524234:ILP524234 IVK524234:IVL524234 JFG524234:JFH524234 JPC524234:JPD524234 JYY524234:JYZ524234 KIU524234:KIV524234 KSQ524234:KSR524234 LCM524234:LCN524234 LMI524234:LMJ524234 LWE524234:LWF524234 MGA524234:MGB524234 MPW524234:MPX524234 MZS524234:MZT524234 NJO524234:NJP524234 NTK524234:NTL524234 ODG524234:ODH524234 ONC524234:OND524234 OWY524234:OWZ524234 PGU524234:PGV524234 PQQ524234:PQR524234 QAM524234:QAN524234 QKI524234:QKJ524234 QUE524234:QUF524234 REA524234:REB524234 RNW524234:RNX524234 RXS524234:RXT524234 SHO524234:SHP524234 SRK524234:SRL524234 TBG524234:TBH524234 TLC524234:TLD524234 TUY524234:TUZ524234 UEU524234:UEV524234 UOQ524234:UOR524234 UYM524234:UYN524234 VII524234:VIJ524234 VSE524234:VSF524234 WCA524234:WCB524234 WLW524234:WLX524234 WVS524234:WVT524234 K589783:L589783 JG589770:JH589770 TC589770:TD589770 ACY589770:ACZ589770 AMU589770:AMV589770 AWQ589770:AWR589770 BGM589770:BGN589770 BQI589770:BQJ589770 CAE589770:CAF589770 CKA589770:CKB589770 CTW589770:CTX589770 DDS589770:DDT589770 DNO589770:DNP589770 DXK589770:DXL589770 EHG589770:EHH589770 ERC589770:ERD589770 FAY589770:FAZ589770 FKU589770:FKV589770 FUQ589770:FUR589770 GEM589770:GEN589770 GOI589770:GOJ589770 GYE589770:GYF589770 HIA589770:HIB589770 HRW589770:HRX589770 IBS589770:IBT589770 ILO589770:ILP589770 IVK589770:IVL589770 JFG589770:JFH589770 JPC589770:JPD589770 JYY589770:JYZ589770 KIU589770:KIV589770 KSQ589770:KSR589770 LCM589770:LCN589770 LMI589770:LMJ589770 LWE589770:LWF589770 MGA589770:MGB589770 MPW589770:MPX589770 MZS589770:MZT589770 NJO589770:NJP589770 NTK589770:NTL589770 ODG589770:ODH589770 ONC589770:OND589770 OWY589770:OWZ589770 PGU589770:PGV589770 PQQ589770:PQR589770 QAM589770:QAN589770 QKI589770:QKJ589770 QUE589770:QUF589770 REA589770:REB589770 RNW589770:RNX589770 RXS589770:RXT589770 SHO589770:SHP589770 SRK589770:SRL589770 TBG589770:TBH589770 TLC589770:TLD589770 TUY589770:TUZ589770 UEU589770:UEV589770 UOQ589770:UOR589770 UYM589770:UYN589770 VII589770:VIJ589770 VSE589770:VSF589770 WCA589770:WCB589770 WLW589770:WLX589770 WVS589770:WVT589770 K655319:L655319 JG655306:JH655306 TC655306:TD655306 ACY655306:ACZ655306 AMU655306:AMV655306 AWQ655306:AWR655306 BGM655306:BGN655306 BQI655306:BQJ655306 CAE655306:CAF655306 CKA655306:CKB655306 CTW655306:CTX655306 DDS655306:DDT655306 DNO655306:DNP655306 DXK655306:DXL655306 EHG655306:EHH655306 ERC655306:ERD655306 FAY655306:FAZ655306 FKU655306:FKV655306 FUQ655306:FUR655306 GEM655306:GEN655306 GOI655306:GOJ655306 GYE655306:GYF655306 HIA655306:HIB655306 HRW655306:HRX655306 IBS655306:IBT655306 ILO655306:ILP655306 IVK655306:IVL655306 JFG655306:JFH655306 JPC655306:JPD655306 JYY655306:JYZ655306 KIU655306:KIV655306 KSQ655306:KSR655306 LCM655306:LCN655306 LMI655306:LMJ655306 LWE655306:LWF655306 MGA655306:MGB655306 MPW655306:MPX655306 MZS655306:MZT655306 NJO655306:NJP655306 NTK655306:NTL655306 ODG655306:ODH655306 ONC655306:OND655306 OWY655306:OWZ655306 PGU655306:PGV655306 PQQ655306:PQR655306 QAM655306:QAN655306 QKI655306:QKJ655306 QUE655306:QUF655306 REA655306:REB655306 RNW655306:RNX655306 RXS655306:RXT655306 SHO655306:SHP655306 SRK655306:SRL655306 TBG655306:TBH655306 TLC655306:TLD655306 TUY655306:TUZ655306 UEU655306:UEV655306 UOQ655306:UOR655306 UYM655306:UYN655306 VII655306:VIJ655306 VSE655306:VSF655306 WCA655306:WCB655306 WLW655306:WLX655306 WVS655306:WVT655306 K720855:L720855 JG720842:JH720842 TC720842:TD720842 ACY720842:ACZ720842 AMU720842:AMV720842 AWQ720842:AWR720842 BGM720842:BGN720842 BQI720842:BQJ720842 CAE720842:CAF720842 CKA720842:CKB720842 CTW720842:CTX720842 DDS720842:DDT720842 DNO720842:DNP720842 DXK720842:DXL720842 EHG720842:EHH720842 ERC720842:ERD720842 FAY720842:FAZ720842 FKU720842:FKV720842 FUQ720842:FUR720842 GEM720842:GEN720842 GOI720842:GOJ720842 GYE720842:GYF720842 HIA720842:HIB720842 HRW720842:HRX720842 IBS720842:IBT720842 ILO720842:ILP720842 IVK720842:IVL720842 JFG720842:JFH720842 JPC720842:JPD720842 JYY720842:JYZ720842 KIU720842:KIV720842 KSQ720842:KSR720842 LCM720842:LCN720842 LMI720842:LMJ720842 LWE720842:LWF720842 MGA720842:MGB720842 MPW720842:MPX720842 MZS720842:MZT720842 NJO720842:NJP720842 NTK720842:NTL720842 ODG720842:ODH720842 ONC720842:OND720842 OWY720842:OWZ720842 PGU720842:PGV720842 PQQ720842:PQR720842 QAM720842:QAN720842 QKI720842:QKJ720842 QUE720842:QUF720842 REA720842:REB720842 RNW720842:RNX720842 RXS720842:RXT720842 SHO720842:SHP720842 SRK720842:SRL720842 TBG720842:TBH720842 TLC720842:TLD720842 TUY720842:TUZ720842 UEU720842:UEV720842 UOQ720842:UOR720842 UYM720842:UYN720842 VII720842:VIJ720842 VSE720842:VSF720842 WCA720842:WCB720842 WLW720842:WLX720842 WVS720842:WVT720842 K786391:L786391 JG786378:JH786378 TC786378:TD786378 ACY786378:ACZ786378 AMU786378:AMV786378 AWQ786378:AWR786378 BGM786378:BGN786378 BQI786378:BQJ786378 CAE786378:CAF786378 CKA786378:CKB786378 CTW786378:CTX786378 DDS786378:DDT786378 DNO786378:DNP786378 DXK786378:DXL786378 EHG786378:EHH786378 ERC786378:ERD786378 FAY786378:FAZ786378 FKU786378:FKV786378 FUQ786378:FUR786378 GEM786378:GEN786378 GOI786378:GOJ786378 GYE786378:GYF786378 HIA786378:HIB786378 HRW786378:HRX786378 IBS786378:IBT786378 ILO786378:ILP786378 IVK786378:IVL786378 JFG786378:JFH786378 JPC786378:JPD786378 JYY786378:JYZ786378 KIU786378:KIV786378 KSQ786378:KSR786378 LCM786378:LCN786378 LMI786378:LMJ786378 LWE786378:LWF786378 MGA786378:MGB786378 MPW786378:MPX786378 MZS786378:MZT786378 NJO786378:NJP786378 NTK786378:NTL786378 ODG786378:ODH786378 ONC786378:OND786378 OWY786378:OWZ786378 PGU786378:PGV786378 PQQ786378:PQR786378 QAM786378:QAN786378 QKI786378:QKJ786378 QUE786378:QUF786378 REA786378:REB786378 RNW786378:RNX786378 RXS786378:RXT786378 SHO786378:SHP786378 SRK786378:SRL786378 TBG786378:TBH786378 TLC786378:TLD786378 TUY786378:TUZ786378 UEU786378:UEV786378 UOQ786378:UOR786378 UYM786378:UYN786378 VII786378:VIJ786378 VSE786378:VSF786378 WCA786378:WCB786378 WLW786378:WLX786378 WVS786378:WVT786378 K851927:L851927 JG851914:JH851914 TC851914:TD851914 ACY851914:ACZ851914 AMU851914:AMV851914 AWQ851914:AWR851914 BGM851914:BGN851914 BQI851914:BQJ851914 CAE851914:CAF851914 CKA851914:CKB851914 CTW851914:CTX851914 DDS851914:DDT851914 DNO851914:DNP851914 DXK851914:DXL851914 EHG851914:EHH851914 ERC851914:ERD851914 FAY851914:FAZ851914 FKU851914:FKV851914 FUQ851914:FUR851914 GEM851914:GEN851914 GOI851914:GOJ851914 GYE851914:GYF851914 HIA851914:HIB851914 HRW851914:HRX851914 IBS851914:IBT851914 ILO851914:ILP851914 IVK851914:IVL851914 JFG851914:JFH851914 JPC851914:JPD851914 JYY851914:JYZ851914 KIU851914:KIV851914 KSQ851914:KSR851914 LCM851914:LCN851914 LMI851914:LMJ851914 LWE851914:LWF851914 MGA851914:MGB851914 MPW851914:MPX851914 MZS851914:MZT851914 NJO851914:NJP851914 NTK851914:NTL851914 ODG851914:ODH851914 ONC851914:OND851914 OWY851914:OWZ851914 PGU851914:PGV851914 PQQ851914:PQR851914 QAM851914:QAN851914 QKI851914:QKJ851914 QUE851914:QUF851914 REA851914:REB851914 RNW851914:RNX851914 RXS851914:RXT851914 SHO851914:SHP851914 SRK851914:SRL851914 TBG851914:TBH851914 TLC851914:TLD851914 TUY851914:TUZ851914 UEU851914:UEV851914 UOQ851914:UOR851914 UYM851914:UYN851914 VII851914:VIJ851914 VSE851914:VSF851914 WCA851914:WCB851914 WLW851914:WLX851914 WVS851914:WVT851914 K917463:L917463 JG917450:JH917450 TC917450:TD917450 ACY917450:ACZ917450 AMU917450:AMV917450 AWQ917450:AWR917450 BGM917450:BGN917450 BQI917450:BQJ917450 CAE917450:CAF917450 CKA917450:CKB917450 CTW917450:CTX917450 DDS917450:DDT917450 DNO917450:DNP917450 DXK917450:DXL917450 EHG917450:EHH917450 ERC917450:ERD917450 FAY917450:FAZ917450 FKU917450:FKV917450 FUQ917450:FUR917450 GEM917450:GEN917450 GOI917450:GOJ917450 GYE917450:GYF917450 HIA917450:HIB917450 HRW917450:HRX917450 IBS917450:IBT917450 ILO917450:ILP917450 IVK917450:IVL917450 JFG917450:JFH917450 JPC917450:JPD917450 JYY917450:JYZ917450 KIU917450:KIV917450 KSQ917450:KSR917450 LCM917450:LCN917450 LMI917450:LMJ917450 LWE917450:LWF917450 MGA917450:MGB917450 MPW917450:MPX917450 MZS917450:MZT917450 NJO917450:NJP917450 NTK917450:NTL917450 ODG917450:ODH917450 ONC917450:OND917450 OWY917450:OWZ917450 PGU917450:PGV917450 PQQ917450:PQR917450 QAM917450:QAN917450 QKI917450:QKJ917450 QUE917450:QUF917450 REA917450:REB917450 RNW917450:RNX917450 RXS917450:RXT917450 SHO917450:SHP917450 SRK917450:SRL917450 TBG917450:TBH917450 TLC917450:TLD917450 TUY917450:TUZ917450 UEU917450:UEV917450 UOQ917450:UOR917450 UYM917450:UYN917450 VII917450:VIJ917450 VSE917450:VSF917450 WCA917450:WCB917450 WLW917450:WLX917450 WVS917450:WVT917450 K982999:L982999 JG982986:JH982986 TC982986:TD982986 ACY982986:ACZ982986 AMU982986:AMV982986 AWQ982986:AWR982986 BGM982986:BGN982986 BQI982986:BQJ982986 CAE982986:CAF982986 CKA982986:CKB982986 CTW982986:CTX982986 DDS982986:DDT982986 DNO982986:DNP982986 DXK982986:DXL982986 EHG982986:EHH982986 ERC982986:ERD982986 FAY982986:FAZ982986 FKU982986:FKV982986 FUQ982986:FUR982986 GEM982986:GEN982986 GOI982986:GOJ982986 GYE982986:GYF982986 HIA982986:HIB982986 HRW982986:HRX982986 IBS982986:IBT982986 ILO982986:ILP982986 IVK982986:IVL982986 JFG982986:JFH982986 JPC982986:JPD982986 JYY982986:JYZ982986 KIU982986:KIV982986 KSQ982986:KSR982986 LCM982986:LCN982986 LMI982986:LMJ982986 LWE982986:LWF982986 MGA982986:MGB982986 MPW982986:MPX982986 MZS982986:MZT982986 NJO982986:NJP982986 NTK982986:NTL982986 ODG982986:ODH982986 ONC982986:OND982986 OWY982986:OWZ982986 PGU982986:PGV982986 PQQ982986:PQR982986 QAM982986:QAN982986 QKI982986:QKJ982986 QUE982986:QUF982986 REA982986:REB982986 RNW982986:RNX982986 RXS982986:RXT982986 SHO982986:SHP982986 SRK982986:SRL982986 TBG982986:TBH982986 TLC982986:TLD982986 TUY982986:TUZ982986 UEU982986:UEV982986 UOQ982986:UOR982986 UYM982986:UYN982986 VII982986:VIJ982986 VSE982986:VSF982986 WCA982986:WCB982986 WLW982986:WLX982986 WVS982986:WVT982986 K65497:L65497 JG65484:JH65484 TC65484:TD65484 ACY65484:ACZ65484 AMU65484:AMV65484 AWQ65484:AWR65484 BGM65484:BGN65484 BQI65484:BQJ65484 CAE65484:CAF65484 CKA65484:CKB65484 CTW65484:CTX65484 DDS65484:DDT65484 DNO65484:DNP65484 DXK65484:DXL65484 EHG65484:EHH65484 ERC65484:ERD65484 FAY65484:FAZ65484 FKU65484:FKV65484 FUQ65484:FUR65484 GEM65484:GEN65484 GOI65484:GOJ65484 GYE65484:GYF65484 HIA65484:HIB65484 HRW65484:HRX65484 IBS65484:IBT65484 ILO65484:ILP65484 IVK65484:IVL65484 JFG65484:JFH65484 JPC65484:JPD65484 JYY65484:JYZ65484 KIU65484:KIV65484 KSQ65484:KSR65484 LCM65484:LCN65484 LMI65484:LMJ65484 LWE65484:LWF65484 MGA65484:MGB65484 MPW65484:MPX65484 MZS65484:MZT65484 NJO65484:NJP65484 NTK65484:NTL65484 ODG65484:ODH65484 ONC65484:OND65484 OWY65484:OWZ65484 PGU65484:PGV65484 PQQ65484:PQR65484 QAM65484:QAN65484 QKI65484:QKJ65484 QUE65484:QUF65484 REA65484:REB65484 RNW65484:RNX65484 RXS65484:RXT65484 SHO65484:SHP65484 SRK65484:SRL65484 TBG65484:TBH65484 TLC65484:TLD65484 TUY65484:TUZ65484 UEU65484:UEV65484 UOQ65484:UOR65484 UYM65484:UYN65484 VII65484:VIJ65484 VSE65484:VSF65484 WCA65484:WCB65484 WLW65484:WLX65484 WVS65484:WVT65484 K131033:L131033 JG131020:JH131020 TC131020:TD131020 ACY131020:ACZ131020 AMU131020:AMV131020 AWQ131020:AWR131020 BGM131020:BGN131020 BQI131020:BQJ131020 CAE131020:CAF131020 CKA131020:CKB131020 CTW131020:CTX131020 DDS131020:DDT131020 DNO131020:DNP131020 DXK131020:DXL131020 EHG131020:EHH131020 ERC131020:ERD131020 FAY131020:FAZ131020 FKU131020:FKV131020 FUQ131020:FUR131020 GEM131020:GEN131020 GOI131020:GOJ131020 GYE131020:GYF131020 HIA131020:HIB131020 HRW131020:HRX131020 IBS131020:IBT131020 ILO131020:ILP131020 IVK131020:IVL131020 JFG131020:JFH131020 JPC131020:JPD131020 JYY131020:JYZ131020 KIU131020:KIV131020 KSQ131020:KSR131020 LCM131020:LCN131020 LMI131020:LMJ131020 LWE131020:LWF131020 MGA131020:MGB131020 MPW131020:MPX131020 MZS131020:MZT131020 NJO131020:NJP131020 NTK131020:NTL131020 ODG131020:ODH131020 ONC131020:OND131020 OWY131020:OWZ131020 PGU131020:PGV131020 PQQ131020:PQR131020 QAM131020:QAN131020 QKI131020:QKJ131020 QUE131020:QUF131020 REA131020:REB131020 RNW131020:RNX131020 RXS131020:RXT131020 SHO131020:SHP131020 SRK131020:SRL131020 TBG131020:TBH131020 TLC131020:TLD131020 TUY131020:TUZ131020 UEU131020:UEV131020 UOQ131020:UOR131020 UYM131020:UYN131020 VII131020:VIJ131020 VSE131020:VSF131020 WCA131020:WCB131020 WLW131020:WLX131020 WVS131020:WVT131020 K196569:L196569 JG196556:JH196556 TC196556:TD196556 ACY196556:ACZ196556 AMU196556:AMV196556 AWQ196556:AWR196556 BGM196556:BGN196556 BQI196556:BQJ196556 CAE196556:CAF196556 CKA196556:CKB196556 CTW196556:CTX196556 DDS196556:DDT196556 DNO196556:DNP196556 DXK196556:DXL196556 EHG196556:EHH196556 ERC196556:ERD196556 FAY196556:FAZ196556 FKU196556:FKV196556 FUQ196556:FUR196556 GEM196556:GEN196556 GOI196556:GOJ196556 GYE196556:GYF196556 HIA196556:HIB196556 HRW196556:HRX196556 IBS196556:IBT196556 ILO196556:ILP196556 IVK196556:IVL196556 JFG196556:JFH196556 JPC196556:JPD196556 JYY196556:JYZ196556 KIU196556:KIV196556 KSQ196556:KSR196556 LCM196556:LCN196556 LMI196556:LMJ196556 LWE196556:LWF196556 MGA196556:MGB196556 MPW196556:MPX196556 MZS196556:MZT196556 NJO196556:NJP196556 NTK196556:NTL196556 ODG196556:ODH196556 ONC196556:OND196556 OWY196556:OWZ196556 PGU196556:PGV196556 PQQ196556:PQR196556 QAM196556:QAN196556 QKI196556:QKJ196556 QUE196556:QUF196556 REA196556:REB196556 RNW196556:RNX196556 RXS196556:RXT196556 SHO196556:SHP196556 SRK196556:SRL196556 TBG196556:TBH196556 TLC196556:TLD196556 TUY196556:TUZ196556 UEU196556:UEV196556 UOQ196556:UOR196556 UYM196556:UYN196556 VII196556:VIJ196556 VSE196556:VSF196556 WCA196556:WCB196556 WLW196556:WLX196556 WVS196556:WVT196556 K262105:L262105 JG262092:JH262092 TC262092:TD262092 ACY262092:ACZ262092 AMU262092:AMV262092 AWQ262092:AWR262092 BGM262092:BGN262092 BQI262092:BQJ262092 CAE262092:CAF262092 CKA262092:CKB262092 CTW262092:CTX262092 DDS262092:DDT262092 DNO262092:DNP262092 DXK262092:DXL262092 EHG262092:EHH262092 ERC262092:ERD262092 FAY262092:FAZ262092 FKU262092:FKV262092 FUQ262092:FUR262092 GEM262092:GEN262092 GOI262092:GOJ262092 GYE262092:GYF262092 HIA262092:HIB262092 HRW262092:HRX262092 IBS262092:IBT262092 ILO262092:ILP262092 IVK262092:IVL262092 JFG262092:JFH262092 JPC262092:JPD262092 JYY262092:JYZ262092 KIU262092:KIV262092 KSQ262092:KSR262092 LCM262092:LCN262092 LMI262092:LMJ262092 LWE262092:LWF262092 MGA262092:MGB262092 MPW262092:MPX262092 MZS262092:MZT262092 NJO262092:NJP262092 NTK262092:NTL262092 ODG262092:ODH262092 ONC262092:OND262092 OWY262092:OWZ262092 PGU262092:PGV262092 PQQ262092:PQR262092 QAM262092:QAN262092 QKI262092:QKJ262092 QUE262092:QUF262092 REA262092:REB262092 RNW262092:RNX262092 RXS262092:RXT262092 SHO262092:SHP262092 SRK262092:SRL262092 TBG262092:TBH262092 TLC262092:TLD262092 TUY262092:TUZ262092 UEU262092:UEV262092 UOQ262092:UOR262092 UYM262092:UYN262092 VII262092:VIJ262092 VSE262092:VSF262092 WCA262092:WCB262092 WLW262092:WLX262092 WVS262092:WVT262092 K327641:L327641 JG327628:JH327628 TC327628:TD327628 ACY327628:ACZ327628 AMU327628:AMV327628 AWQ327628:AWR327628 BGM327628:BGN327628 BQI327628:BQJ327628 CAE327628:CAF327628 CKA327628:CKB327628 CTW327628:CTX327628 DDS327628:DDT327628 DNO327628:DNP327628 DXK327628:DXL327628 EHG327628:EHH327628 ERC327628:ERD327628 FAY327628:FAZ327628 FKU327628:FKV327628 FUQ327628:FUR327628 GEM327628:GEN327628 GOI327628:GOJ327628 GYE327628:GYF327628 HIA327628:HIB327628 HRW327628:HRX327628 IBS327628:IBT327628 ILO327628:ILP327628 IVK327628:IVL327628 JFG327628:JFH327628 JPC327628:JPD327628 JYY327628:JYZ327628 KIU327628:KIV327628 KSQ327628:KSR327628 LCM327628:LCN327628 LMI327628:LMJ327628 LWE327628:LWF327628 MGA327628:MGB327628 MPW327628:MPX327628 MZS327628:MZT327628 NJO327628:NJP327628 NTK327628:NTL327628 ODG327628:ODH327628 ONC327628:OND327628 OWY327628:OWZ327628 PGU327628:PGV327628 PQQ327628:PQR327628 QAM327628:QAN327628 QKI327628:QKJ327628 QUE327628:QUF327628 REA327628:REB327628 RNW327628:RNX327628 RXS327628:RXT327628 SHO327628:SHP327628 SRK327628:SRL327628 TBG327628:TBH327628 TLC327628:TLD327628 TUY327628:TUZ327628 UEU327628:UEV327628 UOQ327628:UOR327628 UYM327628:UYN327628 VII327628:VIJ327628 VSE327628:VSF327628 WCA327628:WCB327628 WLW327628:WLX327628 WVS327628:WVT327628 K393177:L393177 JG393164:JH393164 TC393164:TD393164 ACY393164:ACZ393164 AMU393164:AMV393164 AWQ393164:AWR393164 BGM393164:BGN393164 BQI393164:BQJ393164 CAE393164:CAF393164 CKA393164:CKB393164 CTW393164:CTX393164 DDS393164:DDT393164 DNO393164:DNP393164 DXK393164:DXL393164 EHG393164:EHH393164 ERC393164:ERD393164 FAY393164:FAZ393164 FKU393164:FKV393164 FUQ393164:FUR393164 GEM393164:GEN393164 GOI393164:GOJ393164 GYE393164:GYF393164 HIA393164:HIB393164 HRW393164:HRX393164 IBS393164:IBT393164 ILO393164:ILP393164 IVK393164:IVL393164 JFG393164:JFH393164 JPC393164:JPD393164 JYY393164:JYZ393164 KIU393164:KIV393164 KSQ393164:KSR393164 LCM393164:LCN393164 LMI393164:LMJ393164 LWE393164:LWF393164 MGA393164:MGB393164 MPW393164:MPX393164 MZS393164:MZT393164 NJO393164:NJP393164 NTK393164:NTL393164 ODG393164:ODH393164 ONC393164:OND393164 OWY393164:OWZ393164 PGU393164:PGV393164 PQQ393164:PQR393164 QAM393164:QAN393164 QKI393164:QKJ393164 QUE393164:QUF393164 REA393164:REB393164 RNW393164:RNX393164 RXS393164:RXT393164 SHO393164:SHP393164 SRK393164:SRL393164 TBG393164:TBH393164 TLC393164:TLD393164 TUY393164:TUZ393164 UEU393164:UEV393164 UOQ393164:UOR393164 UYM393164:UYN393164 VII393164:VIJ393164 VSE393164:VSF393164 WCA393164:WCB393164 WLW393164:WLX393164 WVS393164:WVT393164 K458713:L458713 JG458700:JH458700 TC458700:TD458700 ACY458700:ACZ458700 AMU458700:AMV458700 AWQ458700:AWR458700 BGM458700:BGN458700 BQI458700:BQJ458700 CAE458700:CAF458700 CKA458700:CKB458700 CTW458700:CTX458700 DDS458700:DDT458700 DNO458700:DNP458700 DXK458700:DXL458700 EHG458700:EHH458700 ERC458700:ERD458700 FAY458700:FAZ458700 FKU458700:FKV458700 FUQ458700:FUR458700 GEM458700:GEN458700 GOI458700:GOJ458700 GYE458700:GYF458700 HIA458700:HIB458700 HRW458700:HRX458700 IBS458700:IBT458700 ILO458700:ILP458700 IVK458700:IVL458700 JFG458700:JFH458700 JPC458700:JPD458700 JYY458700:JYZ458700 KIU458700:KIV458700 KSQ458700:KSR458700 LCM458700:LCN458700 LMI458700:LMJ458700 LWE458700:LWF458700 MGA458700:MGB458700 MPW458700:MPX458700 MZS458700:MZT458700 NJO458700:NJP458700 NTK458700:NTL458700 ODG458700:ODH458700 ONC458700:OND458700 OWY458700:OWZ458700 PGU458700:PGV458700 PQQ458700:PQR458700 QAM458700:QAN458700 QKI458700:QKJ458700 QUE458700:QUF458700 REA458700:REB458700 RNW458700:RNX458700 RXS458700:RXT458700 SHO458700:SHP458700 SRK458700:SRL458700 TBG458700:TBH458700 TLC458700:TLD458700 TUY458700:TUZ458700 UEU458700:UEV458700 UOQ458700:UOR458700 UYM458700:UYN458700 VII458700:VIJ458700 VSE458700:VSF458700 WCA458700:WCB458700 WLW458700:WLX458700 WVS458700:WVT458700 K524249:L524249 JG524236:JH524236 TC524236:TD524236 ACY524236:ACZ524236 AMU524236:AMV524236 AWQ524236:AWR524236 BGM524236:BGN524236 BQI524236:BQJ524236 CAE524236:CAF524236 CKA524236:CKB524236 CTW524236:CTX524236 DDS524236:DDT524236 DNO524236:DNP524236 DXK524236:DXL524236 EHG524236:EHH524236 ERC524236:ERD524236 FAY524236:FAZ524236 FKU524236:FKV524236 FUQ524236:FUR524236 GEM524236:GEN524236 GOI524236:GOJ524236 GYE524236:GYF524236 HIA524236:HIB524236 HRW524236:HRX524236 IBS524236:IBT524236 ILO524236:ILP524236 IVK524236:IVL524236 JFG524236:JFH524236 JPC524236:JPD524236 JYY524236:JYZ524236 KIU524236:KIV524236 KSQ524236:KSR524236 LCM524236:LCN524236 LMI524236:LMJ524236 LWE524236:LWF524236 MGA524236:MGB524236 MPW524236:MPX524236 MZS524236:MZT524236 NJO524236:NJP524236 NTK524236:NTL524236 ODG524236:ODH524236 ONC524236:OND524236 OWY524236:OWZ524236 PGU524236:PGV524236 PQQ524236:PQR524236 QAM524236:QAN524236 QKI524236:QKJ524236 QUE524236:QUF524236 REA524236:REB524236 RNW524236:RNX524236 RXS524236:RXT524236 SHO524236:SHP524236 SRK524236:SRL524236 TBG524236:TBH524236 TLC524236:TLD524236 TUY524236:TUZ524236 UEU524236:UEV524236 UOQ524236:UOR524236 UYM524236:UYN524236 VII524236:VIJ524236 VSE524236:VSF524236 WCA524236:WCB524236 WLW524236:WLX524236 WVS524236:WVT524236 K589785:L589785 JG589772:JH589772 TC589772:TD589772 ACY589772:ACZ589772 AMU589772:AMV589772 AWQ589772:AWR589772 BGM589772:BGN589772 BQI589772:BQJ589772 CAE589772:CAF589772 CKA589772:CKB589772 CTW589772:CTX589772 DDS589772:DDT589772 DNO589772:DNP589772 DXK589772:DXL589772 EHG589772:EHH589772 ERC589772:ERD589772 FAY589772:FAZ589772 FKU589772:FKV589772 FUQ589772:FUR589772 GEM589772:GEN589772 GOI589772:GOJ589772 GYE589772:GYF589772 HIA589772:HIB589772 HRW589772:HRX589772 IBS589772:IBT589772 ILO589772:ILP589772 IVK589772:IVL589772 JFG589772:JFH589772 JPC589772:JPD589772 JYY589772:JYZ589772 KIU589772:KIV589772 KSQ589772:KSR589772 LCM589772:LCN589772 LMI589772:LMJ589772 LWE589772:LWF589772 MGA589772:MGB589772 MPW589772:MPX589772 MZS589772:MZT589772 NJO589772:NJP589772 NTK589772:NTL589772 ODG589772:ODH589772 ONC589772:OND589772 OWY589772:OWZ589772 PGU589772:PGV589772 PQQ589772:PQR589772 QAM589772:QAN589772 QKI589772:QKJ589772 QUE589772:QUF589772 REA589772:REB589772 RNW589772:RNX589772 RXS589772:RXT589772 SHO589772:SHP589772 SRK589772:SRL589772 TBG589772:TBH589772 TLC589772:TLD589772 TUY589772:TUZ589772 UEU589772:UEV589772 UOQ589772:UOR589772 UYM589772:UYN589772 VII589772:VIJ589772 VSE589772:VSF589772 WCA589772:WCB589772 WLW589772:WLX589772 WVS589772:WVT589772 K655321:L655321 JG655308:JH655308 TC655308:TD655308 ACY655308:ACZ655308 AMU655308:AMV655308 AWQ655308:AWR655308 BGM655308:BGN655308 BQI655308:BQJ655308 CAE655308:CAF655308 CKA655308:CKB655308 CTW655308:CTX655308 DDS655308:DDT655308 DNO655308:DNP655308 DXK655308:DXL655308 EHG655308:EHH655308 ERC655308:ERD655308 FAY655308:FAZ655308 FKU655308:FKV655308 FUQ655308:FUR655308 GEM655308:GEN655308 GOI655308:GOJ655308 GYE655308:GYF655308 HIA655308:HIB655308 HRW655308:HRX655308 IBS655308:IBT655308 ILO655308:ILP655308 IVK655308:IVL655308 JFG655308:JFH655308 JPC655308:JPD655308 JYY655308:JYZ655308 KIU655308:KIV655308 KSQ655308:KSR655308 LCM655308:LCN655308 LMI655308:LMJ655308 LWE655308:LWF655308 MGA655308:MGB655308 MPW655308:MPX655308 MZS655308:MZT655308 NJO655308:NJP655308 NTK655308:NTL655308 ODG655308:ODH655308 ONC655308:OND655308 OWY655308:OWZ655308 PGU655308:PGV655308 PQQ655308:PQR655308 QAM655308:QAN655308 QKI655308:QKJ655308 QUE655308:QUF655308 REA655308:REB655308 RNW655308:RNX655308 RXS655308:RXT655308 SHO655308:SHP655308 SRK655308:SRL655308 TBG655308:TBH655308 TLC655308:TLD655308 TUY655308:TUZ655308 UEU655308:UEV655308 UOQ655308:UOR655308 UYM655308:UYN655308 VII655308:VIJ655308 VSE655308:VSF655308 WCA655308:WCB655308 WLW655308:WLX655308 WVS655308:WVT655308 K720857:L720857 JG720844:JH720844 TC720844:TD720844 ACY720844:ACZ720844 AMU720844:AMV720844 AWQ720844:AWR720844 BGM720844:BGN720844 BQI720844:BQJ720844 CAE720844:CAF720844 CKA720844:CKB720844 CTW720844:CTX720844 DDS720844:DDT720844 DNO720844:DNP720844 DXK720844:DXL720844 EHG720844:EHH720844 ERC720844:ERD720844 FAY720844:FAZ720844 FKU720844:FKV720844 FUQ720844:FUR720844 GEM720844:GEN720844 GOI720844:GOJ720844 GYE720844:GYF720844 HIA720844:HIB720844 HRW720844:HRX720844 IBS720844:IBT720844 ILO720844:ILP720844 IVK720844:IVL720844 JFG720844:JFH720844 JPC720844:JPD720844 JYY720844:JYZ720844 KIU720844:KIV720844 KSQ720844:KSR720844 LCM720844:LCN720844 LMI720844:LMJ720844 LWE720844:LWF720844 MGA720844:MGB720844 MPW720844:MPX720844 MZS720844:MZT720844 NJO720844:NJP720844 NTK720844:NTL720844 ODG720844:ODH720844 ONC720844:OND720844 OWY720844:OWZ720844 PGU720844:PGV720844 PQQ720844:PQR720844 QAM720844:QAN720844 QKI720844:QKJ720844 QUE720844:QUF720844 REA720844:REB720844 RNW720844:RNX720844 RXS720844:RXT720844 SHO720844:SHP720844 SRK720844:SRL720844 TBG720844:TBH720844 TLC720844:TLD720844 TUY720844:TUZ720844 UEU720844:UEV720844 UOQ720844:UOR720844 UYM720844:UYN720844 VII720844:VIJ720844 VSE720844:VSF720844 WCA720844:WCB720844 WLW720844:WLX720844 WVS720844:WVT720844 K786393:L786393 JG786380:JH786380 TC786380:TD786380 ACY786380:ACZ786380 AMU786380:AMV786380 AWQ786380:AWR786380 BGM786380:BGN786380 BQI786380:BQJ786380 CAE786380:CAF786380 CKA786380:CKB786380 CTW786380:CTX786380 DDS786380:DDT786380 DNO786380:DNP786380 DXK786380:DXL786380 EHG786380:EHH786380 ERC786380:ERD786380 FAY786380:FAZ786380 FKU786380:FKV786380 FUQ786380:FUR786380 GEM786380:GEN786380 GOI786380:GOJ786380 GYE786380:GYF786380 HIA786380:HIB786380 HRW786380:HRX786380 IBS786380:IBT786380 ILO786380:ILP786380 IVK786380:IVL786380 JFG786380:JFH786380 JPC786380:JPD786380 JYY786380:JYZ786380 KIU786380:KIV786380 KSQ786380:KSR786380 LCM786380:LCN786380 LMI786380:LMJ786380 LWE786380:LWF786380 MGA786380:MGB786380 MPW786380:MPX786380 MZS786380:MZT786380 NJO786380:NJP786380 NTK786380:NTL786380 ODG786380:ODH786380 ONC786380:OND786380 OWY786380:OWZ786380 PGU786380:PGV786380 PQQ786380:PQR786380 QAM786380:QAN786380 QKI786380:QKJ786380 QUE786380:QUF786380 REA786380:REB786380 RNW786380:RNX786380 RXS786380:RXT786380 SHO786380:SHP786380 SRK786380:SRL786380 TBG786380:TBH786380 TLC786380:TLD786380 TUY786380:TUZ786380 UEU786380:UEV786380 UOQ786380:UOR786380 UYM786380:UYN786380 VII786380:VIJ786380 VSE786380:VSF786380 WCA786380:WCB786380 WLW786380:WLX786380 WVS786380:WVT786380 K851929:L851929 JG851916:JH851916 TC851916:TD851916 ACY851916:ACZ851916 AMU851916:AMV851916 AWQ851916:AWR851916 BGM851916:BGN851916 BQI851916:BQJ851916 CAE851916:CAF851916 CKA851916:CKB851916 CTW851916:CTX851916 DDS851916:DDT851916 DNO851916:DNP851916 DXK851916:DXL851916 EHG851916:EHH851916 ERC851916:ERD851916 FAY851916:FAZ851916 FKU851916:FKV851916 FUQ851916:FUR851916 GEM851916:GEN851916 GOI851916:GOJ851916 GYE851916:GYF851916 HIA851916:HIB851916 HRW851916:HRX851916 IBS851916:IBT851916 ILO851916:ILP851916 IVK851916:IVL851916 JFG851916:JFH851916 JPC851916:JPD851916 JYY851916:JYZ851916 KIU851916:KIV851916 KSQ851916:KSR851916 LCM851916:LCN851916 LMI851916:LMJ851916 LWE851916:LWF851916 MGA851916:MGB851916 MPW851916:MPX851916 MZS851916:MZT851916 NJO851916:NJP851916 NTK851916:NTL851916 ODG851916:ODH851916 ONC851916:OND851916 OWY851916:OWZ851916 PGU851916:PGV851916 PQQ851916:PQR851916 QAM851916:QAN851916 QKI851916:QKJ851916 QUE851916:QUF851916 REA851916:REB851916 RNW851916:RNX851916 RXS851916:RXT851916 SHO851916:SHP851916 SRK851916:SRL851916 TBG851916:TBH851916 TLC851916:TLD851916 TUY851916:TUZ851916 UEU851916:UEV851916 UOQ851916:UOR851916 UYM851916:UYN851916 VII851916:VIJ851916 VSE851916:VSF851916 WCA851916:WCB851916 WLW851916:WLX851916 WVS851916:WVT851916 K917465:L917465 JG917452:JH917452 TC917452:TD917452 ACY917452:ACZ917452 AMU917452:AMV917452 AWQ917452:AWR917452 BGM917452:BGN917452 BQI917452:BQJ917452 CAE917452:CAF917452 CKA917452:CKB917452 CTW917452:CTX917452 DDS917452:DDT917452 DNO917452:DNP917452 DXK917452:DXL917452 EHG917452:EHH917452 ERC917452:ERD917452 FAY917452:FAZ917452 FKU917452:FKV917452 FUQ917452:FUR917452 GEM917452:GEN917452 GOI917452:GOJ917452 GYE917452:GYF917452 HIA917452:HIB917452 HRW917452:HRX917452 IBS917452:IBT917452 ILO917452:ILP917452 IVK917452:IVL917452 JFG917452:JFH917452 JPC917452:JPD917452 JYY917452:JYZ917452 KIU917452:KIV917452 KSQ917452:KSR917452 LCM917452:LCN917452 LMI917452:LMJ917452 LWE917452:LWF917452 MGA917452:MGB917452 MPW917452:MPX917452 MZS917452:MZT917452 NJO917452:NJP917452 NTK917452:NTL917452 ODG917452:ODH917452 ONC917452:OND917452 OWY917452:OWZ917452 PGU917452:PGV917452 PQQ917452:PQR917452 QAM917452:QAN917452 QKI917452:QKJ917452 QUE917452:QUF917452 REA917452:REB917452 RNW917452:RNX917452 RXS917452:RXT917452 SHO917452:SHP917452 SRK917452:SRL917452 TBG917452:TBH917452 TLC917452:TLD917452 TUY917452:TUZ917452 UEU917452:UEV917452 UOQ917452:UOR917452 UYM917452:UYN917452 VII917452:VIJ917452 VSE917452:VSF917452 WCA917452:WCB917452 WLW917452:WLX917452 WVS917452:WVT917452 K983001:L983001 JG982988:JH982988 TC982988:TD982988 ACY982988:ACZ982988 AMU982988:AMV982988 AWQ982988:AWR982988 BGM982988:BGN982988 BQI982988:BQJ982988 CAE982988:CAF982988 CKA982988:CKB982988 CTW982988:CTX982988 DDS982988:DDT982988 DNO982988:DNP982988 DXK982988:DXL982988 EHG982988:EHH982988 ERC982988:ERD982988 FAY982988:FAZ982988 FKU982988:FKV982988 FUQ982988:FUR982988 GEM982988:GEN982988 GOI982988:GOJ982988 GYE982988:GYF982988 HIA982988:HIB982988 HRW982988:HRX982988 IBS982988:IBT982988 ILO982988:ILP982988 IVK982988:IVL982988 JFG982988:JFH982988 JPC982988:JPD982988 JYY982988:JYZ982988 KIU982988:KIV982988 KSQ982988:KSR982988 LCM982988:LCN982988 LMI982988:LMJ982988 LWE982988:LWF982988 MGA982988:MGB982988 MPW982988:MPX982988 MZS982988:MZT982988 NJO982988:NJP982988 NTK982988:NTL982988 ODG982988:ODH982988 ONC982988:OND982988 OWY982988:OWZ982988 PGU982988:PGV982988 PQQ982988:PQR982988 QAM982988:QAN982988 QKI982988:QKJ982988 QUE982988:QUF982988 REA982988:REB982988 RNW982988:RNX982988 RXS982988:RXT982988 SHO982988:SHP982988 SRK982988:SRL982988 TBG982988:TBH982988 TLC982988:TLD982988 TUY982988:TUZ982988 UEU982988:UEV982988 UOQ982988:UOR982988 UYM982988:UYN982988 VII982988:VIJ982988 VSE982988:VSF982988 WCA982988:WCB982988 WLW982988:WLX982988 WVS982988:WVT982988 K65557:L65557 JG65544:JH65544 TC65544:TD65544 ACY65544:ACZ65544 AMU65544:AMV65544 AWQ65544:AWR65544 BGM65544:BGN65544 BQI65544:BQJ65544 CAE65544:CAF65544 CKA65544:CKB65544 CTW65544:CTX65544 DDS65544:DDT65544 DNO65544:DNP65544 DXK65544:DXL65544 EHG65544:EHH65544 ERC65544:ERD65544 FAY65544:FAZ65544 FKU65544:FKV65544 FUQ65544:FUR65544 GEM65544:GEN65544 GOI65544:GOJ65544 GYE65544:GYF65544 HIA65544:HIB65544 HRW65544:HRX65544 IBS65544:IBT65544 ILO65544:ILP65544 IVK65544:IVL65544 JFG65544:JFH65544 JPC65544:JPD65544 JYY65544:JYZ65544 KIU65544:KIV65544 KSQ65544:KSR65544 LCM65544:LCN65544 LMI65544:LMJ65544 LWE65544:LWF65544 MGA65544:MGB65544 MPW65544:MPX65544 MZS65544:MZT65544 NJO65544:NJP65544 NTK65544:NTL65544 ODG65544:ODH65544 ONC65544:OND65544 OWY65544:OWZ65544 PGU65544:PGV65544 PQQ65544:PQR65544 QAM65544:QAN65544 QKI65544:QKJ65544 QUE65544:QUF65544 REA65544:REB65544 RNW65544:RNX65544 RXS65544:RXT65544 SHO65544:SHP65544 SRK65544:SRL65544 TBG65544:TBH65544 TLC65544:TLD65544 TUY65544:TUZ65544 UEU65544:UEV65544 UOQ65544:UOR65544 UYM65544:UYN65544 VII65544:VIJ65544 VSE65544:VSF65544 WCA65544:WCB65544 WLW65544:WLX65544 WVS65544:WVT65544 K131093:L131093 JG131080:JH131080 TC131080:TD131080 ACY131080:ACZ131080 AMU131080:AMV131080 AWQ131080:AWR131080 BGM131080:BGN131080 BQI131080:BQJ131080 CAE131080:CAF131080 CKA131080:CKB131080 CTW131080:CTX131080 DDS131080:DDT131080 DNO131080:DNP131080 DXK131080:DXL131080 EHG131080:EHH131080 ERC131080:ERD131080 FAY131080:FAZ131080 FKU131080:FKV131080 FUQ131080:FUR131080 GEM131080:GEN131080 GOI131080:GOJ131080 GYE131080:GYF131080 HIA131080:HIB131080 HRW131080:HRX131080 IBS131080:IBT131080 ILO131080:ILP131080 IVK131080:IVL131080 JFG131080:JFH131080 JPC131080:JPD131080 JYY131080:JYZ131080 KIU131080:KIV131080 KSQ131080:KSR131080 LCM131080:LCN131080 LMI131080:LMJ131080 LWE131080:LWF131080 MGA131080:MGB131080 MPW131080:MPX131080 MZS131080:MZT131080 NJO131080:NJP131080 NTK131080:NTL131080 ODG131080:ODH131080 ONC131080:OND131080 OWY131080:OWZ131080 PGU131080:PGV131080 PQQ131080:PQR131080 QAM131080:QAN131080 QKI131080:QKJ131080 QUE131080:QUF131080 REA131080:REB131080 RNW131080:RNX131080 RXS131080:RXT131080 SHO131080:SHP131080 SRK131080:SRL131080 TBG131080:TBH131080 TLC131080:TLD131080 TUY131080:TUZ131080 UEU131080:UEV131080 UOQ131080:UOR131080 UYM131080:UYN131080 VII131080:VIJ131080 VSE131080:VSF131080 WCA131080:WCB131080 WLW131080:WLX131080 WVS131080:WVT131080 K196629:L196629 JG196616:JH196616 TC196616:TD196616 ACY196616:ACZ196616 AMU196616:AMV196616 AWQ196616:AWR196616 BGM196616:BGN196616 BQI196616:BQJ196616 CAE196616:CAF196616 CKA196616:CKB196616 CTW196616:CTX196616 DDS196616:DDT196616 DNO196616:DNP196616 DXK196616:DXL196616 EHG196616:EHH196616 ERC196616:ERD196616 FAY196616:FAZ196616 FKU196616:FKV196616 FUQ196616:FUR196616 GEM196616:GEN196616 GOI196616:GOJ196616 GYE196616:GYF196616 HIA196616:HIB196616 HRW196616:HRX196616 IBS196616:IBT196616 ILO196616:ILP196616 IVK196616:IVL196616 JFG196616:JFH196616 JPC196616:JPD196616 JYY196616:JYZ196616 KIU196616:KIV196616 KSQ196616:KSR196616 LCM196616:LCN196616 LMI196616:LMJ196616 LWE196616:LWF196616 MGA196616:MGB196616 MPW196616:MPX196616 MZS196616:MZT196616 NJO196616:NJP196616 NTK196616:NTL196616 ODG196616:ODH196616 ONC196616:OND196616 OWY196616:OWZ196616 PGU196616:PGV196616 PQQ196616:PQR196616 QAM196616:QAN196616 QKI196616:QKJ196616 QUE196616:QUF196616 REA196616:REB196616 RNW196616:RNX196616 RXS196616:RXT196616 SHO196616:SHP196616 SRK196616:SRL196616 TBG196616:TBH196616 TLC196616:TLD196616 TUY196616:TUZ196616 UEU196616:UEV196616 UOQ196616:UOR196616 UYM196616:UYN196616 VII196616:VIJ196616 VSE196616:VSF196616 WCA196616:WCB196616 WLW196616:WLX196616 WVS196616:WVT196616 K262165:L262165 JG262152:JH262152 TC262152:TD262152 ACY262152:ACZ262152 AMU262152:AMV262152 AWQ262152:AWR262152 BGM262152:BGN262152 BQI262152:BQJ262152 CAE262152:CAF262152 CKA262152:CKB262152 CTW262152:CTX262152 DDS262152:DDT262152 DNO262152:DNP262152 DXK262152:DXL262152 EHG262152:EHH262152 ERC262152:ERD262152 FAY262152:FAZ262152 FKU262152:FKV262152 FUQ262152:FUR262152 GEM262152:GEN262152 GOI262152:GOJ262152 GYE262152:GYF262152 HIA262152:HIB262152 HRW262152:HRX262152 IBS262152:IBT262152 ILO262152:ILP262152 IVK262152:IVL262152 JFG262152:JFH262152 JPC262152:JPD262152 JYY262152:JYZ262152 KIU262152:KIV262152 KSQ262152:KSR262152 LCM262152:LCN262152 LMI262152:LMJ262152 LWE262152:LWF262152 MGA262152:MGB262152 MPW262152:MPX262152 MZS262152:MZT262152 NJO262152:NJP262152 NTK262152:NTL262152 ODG262152:ODH262152 ONC262152:OND262152 OWY262152:OWZ262152 PGU262152:PGV262152 PQQ262152:PQR262152 QAM262152:QAN262152 QKI262152:QKJ262152 QUE262152:QUF262152 REA262152:REB262152 RNW262152:RNX262152 RXS262152:RXT262152 SHO262152:SHP262152 SRK262152:SRL262152 TBG262152:TBH262152 TLC262152:TLD262152 TUY262152:TUZ262152 UEU262152:UEV262152 UOQ262152:UOR262152 UYM262152:UYN262152 VII262152:VIJ262152 VSE262152:VSF262152 WCA262152:WCB262152 WLW262152:WLX262152 WVS262152:WVT262152 K327701:L327701 JG327688:JH327688 TC327688:TD327688 ACY327688:ACZ327688 AMU327688:AMV327688 AWQ327688:AWR327688 BGM327688:BGN327688 BQI327688:BQJ327688 CAE327688:CAF327688 CKA327688:CKB327688 CTW327688:CTX327688 DDS327688:DDT327688 DNO327688:DNP327688 DXK327688:DXL327688 EHG327688:EHH327688 ERC327688:ERD327688 FAY327688:FAZ327688 FKU327688:FKV327688 FUQ327688:FUR327688 GEM327688:GEN327688 GOI327688:GOJ327688 GYE327688:GYF327688 HIA327688:HIB327688 HRW327688:HRX327688 IBS327688:IBT327688 ILO327688:ILP327688 IVK327688:IVL327688 JFG327688:JFH327688 JPC327688:JPD327688 JYY327688:JYZ327688 KIU327688:KIV327688 KSQ327688:KSR327688 LCM327688:LCN327688 LMI327688:LMJ327688 LWE327688:LWF327688 MGA327688:MGB327688 MPW327688:MPX327688 MZS327688:MZT327688 NJO327688:NJP327688 NTK327688:NTL327688 ODG327688:ODH327688 ONC327688:OND327688 OWY327688:OWZ327688 PGU327688:PGV327688 PQQ327688:PQR327688 QAM327688:QAN327688 QKI327688:QKJ327688 QUE327688:QUF327688 REA327688:REB327688 RNW327688:RNX327688 RXS327688:RXT327688 SHO327688:SHP327688 SRK327688:SRL327688 TBG327688:TBH327688 TLC327688:TLD327688 TUY327688:TUZ327688 UEU327688:UEV327688 UOQ327688:UOR327688 UYM327688:UYN327688 VII327688:VIJ327688 VSE327688:VSF327688 WCA327688:WCB327688 WLW327688:WLX327688 WVS327688:WVT327688 K393237:L393237 JG393224:JH393224 TC393224:TD393224 ACY393224:ACZ393224 AMU393224:AMV393224 AWQ393224:AWR393224 BGM393224:BGN393224 BQI393224:BQJ393224 CAE393224:CAF393224 CKA393224:CKB393224 CTW393224:CTX393224 DDS393224:DDT393224 DNO393224:DNP393224 DXK393224:DXL393224 EHG393224:EHH393224 ERC393224:ERD393224 FAY393224:FAZ393224 FKU393224:FKV393224 FUQ393224:FUR393224 GEM393224:GEN393224 GOI393224:GOJ393224 GYE393224:GYF393224 HIA393224:HIB393224 HRW393224:HRX393224 IBS393224:IBT393224 ILO393224:ILP393224 IVK393224:IVL393224 JFG393224:JFH393224 JPC393224:JPD393224 JYY393224:JYZ393224 KIU393224:KIV393224 KSQ393224:KSR393224 LCM393224:LCN393224 LMI393224:LMJ393224 LWE393224:LWF393224 MGA393224:MGB393224 MPW393224:MPX393224 MZS393224:MZT393224 NJO393224:NJP393224 NTK393224:NTL393224 ODG393224:ODH393224 ONC393224:OND393224 OWY393224:OWZ393224 PGU393224:PGV393224 PQQ393224:PQR393224 QAM393224:QAN393224 QKI393224:QKJ393224 QUE393224:QUF393224 REA393224:REB393224 RNW393224:RNX393224 RXS393224:RXT393224 SHO393224:SHP393224 SRK393224:SRL393224 TBG393224:TBH393224 TLC393224:TLD393224 TUY393224:TUZ393224 UEU393224:UEV393224 UOQ393224:UOR393224 UYM393224:UYN393224 VII393224:VIJ393224 VSE393224:VSF393224 WCA393224:WCB393224 WLW393224:WLX393224 WVS393224:WVT393224 K458773:L458773 JG458760:JH458760 TC458760:TD458760 ACY458760:ACZ458760 AMU458760:AMV458760 AWQ458760:AWR458760 BGM458760:BGN458760 BQI458760:BQJ458760 CAE458760:CAF458760 CKA458760:CKB458760 CTW458760:CTX458760 DDS458760:DDT458760 DNO458760:DNP458760 DXK458760:DXL458760 EHG458760:EHH458760 ERC458760:ERD458760 FAY458760:FAZ458760 FKU458760:FKV458760 FUQ458760:FUR458760 GEM458760:GEN458760 GOI458760:GOJ458760 GYE458760:GYF458760 HIA458760:HIB458760 HRW458760:HRX458760 IBS458760:IBT458760 ILO458760:ILP458760 IVK458760:IVL458760 JFG458760:JFH458760 JPC458760:JPD458760 JYY458760:JYZ458760 KIU458760:KIV458760 KSQ458760:KSR458760 LCM458760:LCN458760 LMI458760:LMJ458760 LWE458760:LWF458760 MGA458760:MGB458760 MPW458760:MPX458760 MZS458760:MZT458760 NJO458760:NJP458760 NTK458760:NTL458760 ODG458760:ODH458760 ONC458760:OND458760 OWY458760:OWZ458760 PGU458760:PGV458760 PQQ458760:PQR458760 QAM458760:QAN458760 QKI458760:QKJ458760 QUE458760:QUF458760 REA458760:REB458760 RNW458760:RNX458760 RXS458760:RXT458760 SHO458760:SHP458760 SRK458760:SRL458760 TBG458760:TBH458760 TLC458760:TLD458760 TUY458760:TUZ458760 UEU458760:UEV458760 UOQ458760:UOR458760 UYM458760:UYN458760 VII458760:VIJ458760 VSE458760:VSF458760 WCA458760:WCB458760 WLW458760:WLX458760 WVS458760:WVT458760 K524309:L524309 JG524296:JH524296 TC524296:TD524296 ACY524296:ACZ524296 AMU524296:AMV524296 AWQ524296:AWR524296 BGM524296:BGN524296 BQI524296:BQJ524296 CAE524296:CAF524296 CKA524296:CKB524296 CTW524296:CTX524296 DDS524296:DDT524296 DNO524296:DNP524296 DXK524296:DXL524296 EHG524296:EHH524296 ERC524296:ERD524296 FAY524296:FAZ524296 FKU524296:FKV524296 FUQ524296:FUR524296 GEM524296:GEN524296 GOI524296:GOJ524296 GYE524296:GYF524296 HIA524296:HIB524296 HRW524296:HRX524296 IBS524296:IBT524296 ILO524296:ILP524296 IVK524296:IVL524296 JFG524296:JFH524296 JPC524296:JPD524296 JYY524296:JYZ524296 KIU524296:KIV524296 KSQ524296:KSR524296 LCM524296:LCN524296 LMI524296:LMJ524296 LWE524296:LWF524296 MGA524296:MGB524296 MPW524296:MPX524296 MZS524296:MZT524296 NJO524296:NJP524296 NTK524296:NTL524296 ODG524296:ODH524296 ONC524296:OND524296 OWY524296:OWZ524296 PGU524296:PGV524296 PQQ524296:PQR524296 QAM524296:QAN524296 QKI524296:QKJ524296 QUE524296:QUF524296 REA524296:REB524296 RNW524296:RNX524296 RXS524296:RXT524296 SHO524296:SHP524296 SRK524296:SRL524296 TBG524296:TBH524296 TLC524296:TLD524296 TUY524296:TUZ524296 UEU524296:UEV524296 UOQ524296:UOR524296 UYM524296:UYN524296 VII524296:VIJ524296 VSE524296:VSF524296 WCA524296:WCB524296 WLW524296:WLX524296 WVS524296:WVT524296 K589845:L589845 JG589832:JH589832 TC589832:TD589832 ACY589832:ACZ589832 AMU589832:AMV589832 AWQ589832:AWR589832 BGM589832:BGN589832 BQI589832:BQJ589832 CAE589832:CAF589832 CKA589832:CKB589832 CTW589832:CTX589832 DDS589832:DDT589832 DNO589832:DNP589832 DXK589832:DXL589832 EHG589832:EHH589832 ERC589832:ERD589832 FAY589832:FAZ589832 FKU589832:FKV589832 FUQ589832:FUR589832 GEM589832:GEN589832 GOI589832:GOJ589832 GYE589832:GYF589832 HIA589832:HIB589832 HRW589832:HRX589832 IBS589832:IBT589832 ILO589832:ILP589832 IVK589832:IVL589832 JFG589832:JFH589832 JPC589832:JPD589832 JYY589832:JYZ589832 KIU589832:KIV589832 KSQ589832:KSR589832 LCM589832:LCN589832 LMI589832:LMJ589832 LWE589832:LWF589832 MGA589832:MGB589832 MPW589832:MPX589832 MZS589832:MZT589832 NJO589832:NJP589832 NTK589832:NTL589832 ODG589832:ODH589832 ONC589832:OND589832 OWY589832:OWZ589832 PGU589832:PGV589832 PQQ589832:PQR589832 QAM589832:QAN589832 QKI589832:QKJ589832 QUE589832:QUF589832 REA589832:REB589832 RNW589832:RNX589832 RXS589832:RXT589832 SHO589832:SHP589832 SRK589832:SRL589832 TBG589832:TBH589832 TLC589832:TLD589832 TUY589832:TUZ589832 UEU589832:UEV589832 UOQ589832:UOR589832 UYM589832:UYN589832 VII589832:VIJ589832 VSE589832:VSF589832 WCA589832:WCB589832 WLW589832:WLX589832 WVS589832:WVT589832 K655381:L655381 JG655368:JH655368 TC655368:TD655368 ACY655368:ACZ655368 AMU655368:AMV655368 AWQ655368:AWR655368 BGM655368:BGN655368 BQI655368:BQJ655368 CAE655368:CAF655368 CKA655368:CKB655368 CTW655368:CTX655368 DDS655368:DDT655368 DNO655368:DNP655368 DXK655368:DXL655368 EHG655368:EHH655368 ERC655368:ERD655368 FAY655368:FAZ655368 FKU655368:FKV655368 FUQ655368:FUR655368 GEM655368:GEN655368 GOI655368:GOJ655368 GYE655368:GYF655368 HIA655368:HIB655368 HRW655368:HRX655368 IBS655368:IBT655368 ILO655368:ILP655368 IVK655368:IVL655368 JFG655368:JFH655368 JPC655368:JPD655368 JYY655368:JYZ655368 KIU655368:KIV655368 KSQ655368:KSR655368 LCM655368:LCN655368 LMI655368:LMJ655368 LWE655368:LWF655368 MGA655368:MGB655368 MPW655368:MPX655368 MZS655368:MZT655368 NJO655368:NJP655368 NTK655368:NTL655368 ODG655368:ODH655368 ONC655368:OND655368 OWY655368:OWZ655368 PGU655368:PGV655368 PQQ655368:PQR655368 QAM655368:QAN655368 QKI655368:QKJ655368 QUE655368:QUF655368 REA655368:REB655368 RNW655368:RNX655368 RXS655368:RXT655368 SHO655368:SHP655368 SRK655368:SRL655368 TBG655368:TBH655368 TLC655368:TLD655368 TUY655368:TUZ655368 UEU655368:UEV655368 UOQ655368:UOR655368 UYM655368:UYN655368 VII655368:VIJ655368 VSE655368:VSF655368 WCA655368:WCB655368 WLW655368:WLX655368 WVS655368:WVT655368 K720917:L720917 JG720904:JH720904 TC720904:TD720904 ACY720904:ACZ720904 AMU720904:AMV720904 AWQ720904:AWR720904 BGM720904:BGN720904 BQI720904:BQJ720904 CAE720904:CAF720904 CKA720904:CKB720904 CTW720904:CTX720904 DDS720904:DDT720904 DNO720904:DNP720904 DXK720904:DXL720904 EHG720904:EHH720904 ERC720904:ERD720904 FAY720904:FAZ720904 FKU720904:FKV720904 FUQ720904:FUR720904 GEM720904:GEN720904 GOI720904:GOJ720904 GYE720904:GYF720904 HIA720904:HIB720904 HRW720904:HRX720904 IBS720904:IBT720904 ILO720904:ILP720904 IVK720904:IVL720904 JFG720904:JFH720904 JPC720904:JPD720904 JYY720904:JYZ720904 KIU720904:KIV720904 KSQ720904:KSR720904 LCM720904:LCN720904 LMI720904:LMJ720904 LWE720904:LWF720904 MGA720904:MGB720904 MPW720904:MPX720904 MZS720904:MZT720904 NJO720904:NJP720904 NTK720904:NTL720904 ODG720904:ODH720904 ONC720904:OND720904 OWY720904:OWZ720904 PGU720904:PGV720904 PQQ720904:PQR720904 QAM720904:QAN720904 QKI720904:QKJ720904 QUE720904:QUF720904 REA720904:REB720904 RNW720904:RNX720904 RXS720904:RXT720904 SHO720904:SHP720904 SRK720904:SRL720904 TBG720904:TBH720904 TLC720904:TLD720904 TUY720904:TUZ720904 UEU720904:UEV720904 UOQ720904:UOR720904 UYM720904:UYN720904 VII720904:VIJ720904 VSE720904:VSF720904 WCA720904:WCB720904 WLW720904:WLX720904 WVS720904:WVT720904 K786453:L786453 JG786440:JH786440 TC786440:TD786440 ACY786440:ACZ786440 AMU786440:AMV786440 AWQ786440:AWR786440 BGM786440:BGN786440 BQI786440:BQJ786440 CAE786440:CAF786440 CKA786440:CKB786440 CTW786440:CTX786440 DDS786440:DDT786440 DNO786440:DNP786440 DXK786440:DXL786440 EHG786440:EHH786440 ERC786440:ERD786440 FAY786440:FAZ786440 FKU786440:FKV786440 FUQ786440:FUR786440 GEM786440:GEN786440 GOI786440:GOJ786440 GYE786440:GYF786440 HIA786440:HIB786440 HRW786440:HRX786440 IBS786440:IBT786440 ILO786440:ILP786440 IVK786440:IVL786440 JFG786440:JFH786440 JPC786440:JPD786440 JYY786440:JYZ786440 KIU786440:KIV786440 KSQ786440:KSR786440 LCM786440:LCN786440 LMI786440:LMJ786440 LWE786440:LWF786440 MGA786440:MGB786440 MPW786440:MPX786440 MZS786440:MZT786440 NJO786440:NJP786440 NTK786440:NTL786440 ODG786440:ODH786440 ONC786440:OND786440 OWY786440:OWZ786440 PGU786440:PGV786440 PQQ786440:PQR786440 QAM786440:QAN786440 QKI786440:QKJ786440 QUE786440:QUF786440 REA786440:REB786440 RNW786440:RNX786440 RXS786440:RXT786440 SHO786440:SHP786440 SRK786440:SRL786440 TBG786440:TBH786440 TLC786440:TLD786440 TUY786440:TUZ786440 UEU786440:UEV786440 UOQ786440:UOR786440 UYM786440:UYN786440 VII786440:VIJ786440 VSE786440:VSF786440 WCA786440:WCB786440 WLW786440:WLX786440 WVS786440:WVT786440 K851989:L851989 JG851976:JH851976 TC851976:TD851976 ACY851976:ACZ851976 AMU851976:AMV851976 AWQ851976:AWR851976 BGM851976:BGN851976 BQI851976:BQJ851976 CAE851976:CAF851976 CKA851976:CKB851976 CTW851976:CTX851976 DDS851976:DDT851976 DNO851976:DNP851976 DXK851976:DXL851976 EHG851976:EHH851976 ERC851976:ERD851976 FAY851976:FAZ851976 FKU851976:FKV851976 FUQ851976:FUR851976 GEM851976:GEN851976 GOI851976:GOJ851976 GYE851976:GYF851976 HIA851976:HIB851976 HRW851976:HRX851976 IBS851976:IBT851976 ILO851976:ILP851976 IVK851976:IVL851976 JFG851976:JFH851976 JPC851976:JPD851976 JYY851976:JYZ851976 KIU851976:KIV851976 KSQ851976:KSR851976 LCM851976:LCN851976 LMI851976:LMJ851976 LWE851976:LWF851976 MGA851976:MGB851976 MPW851976:MPX851976 MZS851976:MZT851976 NJO851976:NJP851976 NTK851976:NTL851976 ODG851976:ODH851976 ONC851976:OND851976 OWY851976:OWZ851976 PGU851976:PGV851976 PQQ851976:PQR851976 QAM851976:QAN851976 QKI851976:QKJ851976 QUE851976:QUF851976 REA851976:REB851976 RNW851976:RNX851976 RXS851976:RXT851976 SHO851976:SHP851976 SRK851976:SRL851976 TBG851976:TBH851976 TLC851976:TLD851976 TUY851976:TUZ851976 UEU851976:UEV851976 UOQ851976:UOR851976 UYM851976:UYN851976 VII851976:VIJ851976 VSE851976:VSF851976 WCA851976:WCB851976 WLW851976:WLX851976 WVS851976:WVT851976 K917525:L917525 JG917512:JH917512 TC917512:TD917512 ACY917512:ACZ917512 AMU917512:AMV917512 AWQ917512:AWR917512 BGM917512:BGN917512 BQI917512:BQJ917512 CAE917512:CAF917512 CKA917512:CKB917512 CTW917512:CTX917512 DDS917512:DDT917512 DNO917512:DNP917512 DXK917512:DXL917512 EHG917512:EHH917512 ERC917512:ERD917512 FAY917512:FAZ917512 FKU917512:FKV917512 FUQ917512:FUR917512 GEM917512:GEN917512 GOI917512:GOJ917512 GYE917512:GYF917512 HIA917512:HIB917512 HRW917512:HRX917512 IBS917512:IBT917512 ILO917512:ILP917512 IVK917512:IVL917512 JFG917512:JFH917512 JPC917512:JPD917512 JYY917512:JYZ917512 KIU917512:KIV917512 KSQ917512:KSR917512 LCM917512:LCN917512 LMI917512:LMJ917512 LWE917512:LWF917512 MGA917512:MGB917512 MPW917512:MPX917512 MZS917512:MZT917512 NJO917512:NJP917512 NTK917512:NTL917512 ODG917512:ODH917512 ONC917512:OND917512 OWY917512:OWZ917512 PGU917512:PGV917512 PQQ917512:PQR917512 QAM917512:QAN917512 QKI917512:QKJ917512 QUE917512:QUF917512 REA917512:REB917512 RNW917512:RNX917512 RXS917512:RXT917512 SHO917512:SHP917512 SRK917512:SRL917512 TBG917512:TBH917512 TLC917512:TLD917512 TUY917512:TUZ917512 UEU917512:UEV917512 UOQ917512:UOR917512 UYM917512:UYN917512 VII917512:VIJ917512 VSE917512:VSF917512 WCA917512:WCB917512 WLW917512:WLX917512 WVS917512:WVT917512 K983061:L983061 JG983048:JH983048 TC983048:TD983048 ACY983048:ACZ983048 AMU983048:AMV983048 AWQ983048:AWR983048 BGM983048:BGN983048 BQI983048:BQJ983048 CAE983048:CAF983048 CKA983048:CKB983048 CTW983048:CTX983048 DDS983048:DDT983048 DNO983048:DNP983048 DXK983048:DXL983048 EHG983048:EHH983048 ERC983048:ERD983048 FAY983048:FAZ983048 FKU983048:FKV983048 FUQ983048:FUR983048 GEM983048:GEN983048 GOI983048:GOJ983048 GYE983048:GYF983048 HIA983048:HIB983048 HRW983048:HRX983048 IBS983048:IBT983048 ILO983048:ILP983048 IVK983048:IVL983048 JFG983048:JFH983048 JPC983048:JPD983048 JYY983048:JYZ983048 KIU983048:KIV983048 KSQ983048:KSR983048 LCM983048:LCN983048 LMI983048:LMJ983048 LWE983048:LWF983048 MGA983048:MGB983048 MPW983048:MPX983048 MZS983048:MZT983048 NJO983048:NJP983048 NTK983048:NTL983048 ODG983048:ODH983048 ONC983048:OND983048 OWY983048:OWZ983048 PGU983048:PGV983048 PQQ983048:PQR983048 QAM983048:QAN983048 QKI983048:QKJ983048 QUE983048:QUF983048 REA983048:REB983048 RNW983048:RNX983048 RXS983048:RXT983048 SHO983048:SHP983048 SRK983048:SRL983048 TBG983048:TBH983048 TLC983048:TLD983048 TUY983048:TUZ983048 UEU983048:UEV983048 UOQ983048:UOR983048 UYM983048:UYN983048 VII983048:VIJ983048 VSE983048:VSF983048 WCA983048:WCB983048 WLW983048:WLX983048 WVS983048:WVT983048 WVS983017:WVT983017 K65523:L65523 JG65510:JH65510 TC65510:TD65510 ACY65510:ACZ65510 AMU65510:AMV65510 AWQ65510:AWR65510 BGM65510:BGN65510 BQI65510:BQJ65510 CAE65510:CAF65510 CKA65510:CKB65510 CTW65510:CTX65510 DDS65510:DDT65510 DNO65510:DNP65510 DXK65510:DXL65510 EHG65510:EHH65510 ERC65510:ERD65510 FAY65510:FAZ65510 FKU65510:FKV65510 FUQ65510:FUR65510 GEM65510:GEN65510 GOI65510:GOJ65510 GYE65510:GYF65510 HIA65510:HIB65510 HRW65510:HRX65510 IBS65510:IBT65510 ILO65510:ILP65510 IVK65510:IVL65510 JFG65510:JFH65510 JPC65510:JPD65510 JYY65510:JYZ65510 KIU65510:KIV65510 KSQ65510:KSR65510 LCM65510:LCN65510 LMI65510:LMJ65510 LWE65510:LWF65510 MGA65510:MGB65510 MPW65510:MPX65510 MZS65510:MZT65510 NJO65510:NJP65510 NTK65510:NTL65510 ODG65510:ODH65510 ONC65510:OND65510 OWY65510:OWZ65510 PGU65510:PGV65510 PQQ65510:PQR65510 QAM65510:QAN65510 QKI65510:QKJ65510 QUE65510:QUF65510 REA65510:REB65510 RNW65510:RNX65510 RXS65510:RXT65510 SHO65510:SHP65510 SRK65510:SRL65510 TBG65510:TBH65510 TLC65510:TLD65510 TUY65510:TUZ65510 UEU65510:UEV65510 UOQ65510:UOR65510 UYM65510:UYN65510 VII65510:VIJ65510 VSE65510:VSF65510 WCA65510:WCB65510 WLW65510:WLX65510 WVS65510:WVT65510 K131059:L131059 JG131046:JH131046 TC131046:TD131046 ACY131046:ACZ131046 AMU131046:AMV131046 AWQ131046:AWR131046 BGM131046:BGN131046 BQI131046:BQJ131046 CAE131046:CAF131046 CKA131046:CKB131046 CTW131046:CTX131046 DDS131046:DDT131046 DNO131046:DNP131046 DXK131046:DXL131046 EHG131046:EHH131046 ERC131046:ERD131046 FAY131046:FAZ131046 FKU131046:FKV131046 FUQ131046:FUR131046 GEM131046:GEN131046 GOI131046:GOJ131046 GYE131046:GYF131046 HIA131046:HIB131046 HRW131046:HRX131046 IBS131046:IBT131046 ILO131046:ILP131046 IVK131046:IVL131046 JFG131046:JFH131046 JPC131046:JPD131046 JYY131046:JYZ131046 KIU131046:KIV131046 KSQ131046:KSR131046 LCM131046:LCN131046 LMI131046:LMJ131046 LWE131046:LWF131046 MGA131046:MGB131046 MPW131046:MPX131046 MZS131046:MZT131046 NJO131046:NJP131046 NTK131046:NTL131046 ODG131046:ODH131046 ONC131046:OND131046 OWY131046:OWZ131046 PGU131046:PGV131046 PQQ131046:PQR131046 QAM131046:QAN131046 QKI131046:QKJ131046 QUE131046:QUF131046 REA131046:REB131046 RNW131046:RNX131046 RXS131046:RXT131046 SHO131046:SHP131046 SRK131046:SRL131046 TBG131046:TBH131046 TLC131046:TLD131046 TUY131046:TUZ131046 UEU131046:UEV131046 UOQ131046:UOR131046 UYM131046:UYN131046 VII131046:VIJ131046 VSE131046:VSF131046 WCA131046:WCB131046 WLW131046:WLX131046 WVS131046:WVT131046 K196595:L196595 JG196582:JH196582 TC196582:TD196582 ACY196582:ACZ196582 AMU196582:AMV196582 AWQ196582:AWR196582 BGM196582:BGN196582 BQI196582:BQJ196582 CAE196582:CAF196582 CKA196582:CKB196582 CTW196582:CTX196582 DDS196582:DDT196582 DNO196582:DNP196582 DXK196582:DXL196582 EHG196582:EHH196582 ERC196582:ERD196582 FAY196582:FAZ196582 FKU196582:FKV196582 FUQ196582:FUR196582 GEM196582:GEN196582 GOI196582:GOJ196582 GYE196582:GYF196582 HIA196582:HIB196582 HRW196582:HRX196582 IBS196582:IBT196582 ILO196582:ILP196582 IVK196582:IVL196582 JFG196582:JFH196582 JPC196582:JPD196582 JYY196582:JYZ196582 KIU196582:KIV196582 KSQ196582:KSR196582 LCM196582:LCN196582 LMI196582:LMJ196582 LWE196582:LWF196582 MGA196582:MGB196582 MPW196582:MPX196582 MZS196582:MZT196582 NJO196582:NJP196582 NTK196582:NTL196582 ODG196582:ODH196582 ONC196582:OND196582 OWY196582:OWZ196582 PGU196582:PGV196582 PQQ196582:PQR196582 QAM196582:QAN196582 QKI196582:QKJ196582 QUE196582:QUF196582 REA196582:REB196582 RNW196582:RNX196582 RXS196582:RXT196582 SHO196582:SHP196582 SRK196582:SRL196582 TBG196582:TBH196582 TLC196582:TLD196582 TUY196582:TUZ196582 UEU196582:UEV196582 UOQ196582:UOR196582 UYM196582:UYN196582 VII196582:VIJ196582 VSE196582:VSF196582 WCA196582:WCB196582 WLW196582:WLX196582 WVS196582:WVT196582 K262131:L262131 JG262118:JH262118 TC262118:TD262118 ACY262118:ACZ262118 AMU262118:AMV262118 AWQ262118:AWR262118 BGM262118:BGN262118 BQI262118:BQJ262118 CAE262118:CAF262118 CKA262118:CKB262118 CTW262118:CTX262118 DDS262118:DDT262118 DNO262118:DNP262118 DXK262118:DXL262118 EHG262118:EHH262118 ERC262118:ERD262118 FAY262118:FAZ262118 FKU262118:FKV262118 FUQ262118:FUR262118 GEM262118:GEN262118 GOI262118:GOJ262118 GYE262118:GYF262118 HIA262118:HIB262118 HRW262118:HRX262118 IBS262118:IBT262118 ILO262118:ILP262118 IVK262118:IVL262118 JFG262118:JFH262118 JPC262118:JPD262118 JYY262118:JYZ262118 KIU262118:KIV262118 KSQ262118:KSR262118 LCM262118:LCN262118 LMI262118:LMJ262118 LWE262118:LWF262118 MGA262118:MGB262118 MPW262118:MPX262118 MZS262118:MZT262118 NJO262118:NJP262118 NTK262118:NTL262118 ODG262118:ODH262118 ONC262118:OND262118 OWY262118:OWZ262118 PGU262118:PGV262118 PQQ262118:PQR262118 QAM262118:QAN262118 QKI262118:QKJ262118 QUE262118:QUF262118 REA262118:REB262118 RNW262118:RNX262118 RXS262118:RXT262118 SHO262118:SHP262118 SRK262118:SRL262118 TBG262118:TBH262118 TLC262118:TLD262118 TUY262118:TUZ262118 UEU262118:UEV262118 UOQ262118:UOR262118 UYM262118:UYN262118 VII262118:VIJ262118 VSE262118:VSF262118 WCA262118:WCB262118 WLW262118:WLX262118 WVS262118:WVT262118 K327667:L327667 JG327654:JH327654 TC327654:TD327654 ACY327654:ACZ327654 AMU327654:AMV327654 AWQ327654:AWR327654 BGM327654:BGN327654 BQI327654:BQJ327654 CAE327654:CAF327654 CKA327654:CKB327654 CTW327654:CTX327654 DDS327654:DDT327654 DNO327654:DNP327654 DXK327654:DXL327654 EHG327654:EHH327654 ERC327654:ERD327654 FAY327654:FAZ327654 FKU327654:FKV327654 FUQ327654:FUR327654 GEM327654:GEN327654 GOI327654:GOJ327654 GYE327654:GYF327654 HIA327654:HIB327654 HRW327654:HRX327654 IBS327654:IBT327654 ILO327654:ILP327654 IVK327654:IVL327654 JFG327654:JFH327654 JPC327654:JPD327654 JYY327654:JYZ327654 KIU327654:KIV327654 KSQ327654:KSR327654 LCM327654:LCN327654 LMI327654:LMJ327654 LWE327654:LWF327654 MGA327654:MGB327654 MPW327654:MPX327654 MZS327654:MZT327654 NJO327654:NJP327654 NTK327654:NTL327654 ODG327654:ODH327654 ONC327654:OND327654 OWY327654:OWZ327654 PGU327654:PGV327654 PQQ327654:PQR327654 QAM327654:QAN327654 QKI327654:QKJ327654 QUE327654:QUF327654 REA327654:REB327654 RNW327654:RNX327654 RXS327654:RXT327654 SHO327654:SHP327654 SRK327654:SRL327654 TBG327654:TBH327654 TLC327654:TLD327654 TUY327654:TUZ327654 UEU327654:UEV327654 UOQ327654:UOR327654 UYM327654:UYN327654 VII327654:VIJ327654 VSE327654:VSF327654 WCA327654:WCB327654 WLW327654:WLX327654 WVS327654:WVT327654 K393203:L393203 JG393190:JH393190 TC393190:TD393190 ACY393190:ACZ393190 AMU393190:AMV393190 AWQ393190:AWR393190 BGM393190:BGN393190 BQI393190:BQJ393190 CAE393190:CAF393190 CKA393190:CKB393190 CTW393190:CTX393190 DDS393190:DDT393190 DNO393190:DNP393190 DXK393190:DXL393190 EHG393190:EHH393190 ERC393190:ERD393190 FAY393190:FAZ393190 FKU393190:FKV393190 FUQ393190:FUR393190 GEM393190:GEN393190 GOI393190:GOJ393190 GYE393190:GYF393190 HIA393190:HIB393190 HRW393190:HRX393190 IBS393190:IBT393190 ILO393190:ILP393190 IVK393190:IVL393190 JFG393190:JFH393190 JPC393190:JPD393190 JYY393190:JYZ393190 KIU393190:KIV393190 KSQ393190:KSR393190 LCM393190:LCN393190 LMI393190:LMJ393190 LWE393190:LWF393190 MGA393190:MGB393190 MPW393190:MPX393190 MZS393190:MZT393190 NJO393190:NJP393190 NTK393190:NTL393190 ODG393190:ODH393190 ONC393190:OND393190 OWY393190:OWZ393190 PGU393190:PGV393190 PQQ393190:PQR393190 QAM393190:QAN393190 QKI393190:QKJ393190 QUE393190:QUF393190 REA393190:REB393190 RNW393190:RNX393190 RXS393190:RXT393190 SHO393190:SHP393190 SRK393190:SRL393190 TBG393190:TBH393190 TLC393190:TLD393190 TUY393190:TUZ393190 UEU393190:UEV393190 UOQ393190:UOR393190 UYM393190:UYN393190 VII393190:VIJ393190 VSE393190:VSF393190 WCA393190:WCB393190 WLW393190:WLX393190 WVS393190:WVT393190 K458739:L458739 JG458726:JH458726 TC458726:TD458726 ACY458726:ACZ458726 AMU458726:AMV458726 AWQ458726:AWR458726 BGM458726:BGN458726 BQI458726:BQJ458726 CAE458726:CAF458726 CKA458726:CKB458726 CTW458726:CTX458726 DDS458726:DDT458726 DNO458726:DNP458726 DXK458726:DXL458726 EHG458726:EHH458726 ERC458726:ERD458726 FAY458726:FAZ458726 FKU458726:FKV458726 FUQ458726:FUR458726 GEM458726:GEN458726 GOI458726:GOJ458726 GYE458726:GYF458726 HIA458726:HIB458726 HRW458726:HRX458726 IBS458726:IBT458726 ILO458726:ILP458726 IVK458726:IVL458726 JFG458726:JFH458726 JPC458726:JPD458726 JYY458726:JYZ458726 KIU458726:KIV458726 KSQ458726:KSR458726 LCM458726:LCN458726 LMI458726:LMJ458726 LWE458726:LWF458726 MGA458726:MGB458726 MPW458726:MPX458726 MZS458726:MZT458726 NJO458726:NJP458726 NTK458726:NTL458726 ODG458726:ODH458726 ONC458726:OND458726 OWY458726:OWZ458726 PGU458726:PGV458726 PQQ458726:PQR458726 QAM458726:QAN458726 QKI458726:QKJ458726 QUE458726:QUF458726 REA458726:REB458726 RNW458726:RNX458726 RXS458726:RXT458726 SHO458726:SHP458726 SRK458726:SRL458726 TBG458726:TBH458726 TLC458726:TLD458726 TUY458726:TUZ458726 UEU458726:UEV458726 UOQ458726:UOR458726 UYM458726:UYN458726 VII458726:VIJ458726 VSE458726:VSF458726 WCA458726:WCB458726 WLW458726:WLX458726 WVS458726:WVT458726 K524275:L524275 JG524262:JH524262 TC524262:TD524262 ACY524262:ACZ524262 AMU524262:AMV524262 AWQ524262:AWR524262 BGM524262:BGN524262 BQI524262:BQJ524262 CAE524262:CAF524262 CKA524262:CKB524262 CTW524262:CTX524262 DDS524262:DDT524262 DNO524262:DNP524262 DXK524262:DXL524262 EHG524262:EHH524262 ERC524262:ERD524262 FAY524262:FAZ524262 FKU524262:FKV524262 FUQ524262:FUR524262 GEM524262:GEN524262 GOI524262:GOJ524262 GYE524262:GYF524262 HIA524262:HIB524262 HRW524262:HRX524262 IBS524262:IBT524262 ILO524262:ILP524262 IVK524262:IVL524262 JFG524262:JFH524262 JPC524262:JPD524262 JYY524262:JYZ524262 KIU524262:KIV524262 KSQ524262:KSR524262 LCM524262:LCN524262 LMI524262:LMJ524262 LWE524262:LWF524262 MGA524262:MGB524262 MPW524262:MPX524262 MZS524262:MZT524262 NJO524262:NJP524262 NTK524262:NTL524262 ODG524262:ODH524262 ONC524262:OND524262 OWY524262:OWZ524262 PGU524262:PGV524262 PQQ524262:PQR524262 QAM524262:QAN524262 QKI524262:QKJ524262 QUE524262:QUF524262 REA524262:REB524262 RNW524262:RNX524262 RXS524262:RXT524262 SHO524262:SHP524262 SRK524262:SRL524262 TBG524262:TBH524262 TLC524262:TLD524262 TUY524262:TUZ524262 UEU524262:UEV524262 UOQ524262:UOR524262 UYM524262:UYN524262 VII524262:VIJ524262 VSE524262:VSF524262 WCA524262:WCB524262 WLW524262:WLX524262 WVS524262:WVT524262 K589811:L589811 JG589798:JH589798 TC589798:TD589798 ACY589798:ACZ589798 AMU589798:AMV589798 AWQ589798:AWR589798 BGM589798:BGN589798 BQI589798:BQJ589798 CAE589798:CAF589798 CKA589798:CKB589798 CTW589798:CTX589798 DDS589798:DDT589798 DNO589798:DNP589798 DXK589798:DXL589798 EHG589798:EHH589798 ERC589798:ERD589798 FAY589798:FAZ589798 FKU589798:FKV589798 FUQ589798:FUR589798 GEM589798:GEN589798 GOI589798:GOJ589798 GYE589798:GYF589798 HIA589798:HIB589798 HRW589798:HRX589798 IBS589798:IBT589798 ILO589798:ILP589798 IVK589798:IVL589798 JFG589798:JFH589798 JPC589798:JPD589798 JYY589798:JYZ589798 KIU589798:KIV589798 KSQ589798:KSR589798 LCM589798:LCN589798 LMI589798:LMJ589798 LWE589798:LWF589798 MGA589798:MGB589798 MPW589798:MPX589798 MZS589798:MZT589798 NJO589798:NJP589798 NTK589798:NTL589798 ODG589798:ODH589798 ONC589798:OND589798 OWY589798:OWZ589798 PGU589798:PGV589798 PQQ589798:PQR589798 QAM589798:QAN589798 QKI589798:QKJ589798 QUE589798:QUF589798 REA589798:REB589798 RNW589798:RNX589798 RXS589798:RXT589798 SHO589798:SHP589798 SRK589798:SRL589798 TBG589798:TBH589798 TLC589798:TLD589798 TUY589798:TUZ589798 UEU589798:UEV589798 UOQ589798:UOR589798 UYM589798:UYN589798 VII589798:VIJ589798 VSE589798:VSF589798 WCA589798:WCB589798 WLW589798:WLX589798 WVS589798:WVT589798 K655347:L655347 JG655334:JH655334 TC655334:TD655334 ACY655334:ACZ655334 AMU655334:AMV655334 AWQ655334:AWR655334 BGM655334:BGN655334 BQI655334:BQJ655334 CAE655334:CAF655334 CKA655334:CKB655334 CTW655334:CTX655334 DDS655334:DDT655334 DNO655334:DNP655334 DXK655334:DXL655334 EHG655334:EHH655334 ERC655334:ERD655334 FAY655334:FAZ655334 FKU655334:FKV655334 FUQ655334:FUR655334 GEM655334:GEN655334 GOI655334:GOJ655334 GYE655334:GYF655334 HIA655334:HIB655334 HRW655334:HRX655334 IBS655334:IBT655334 ILO655334:ILP655334 IVK655334:IVL655334 JFG655334:JFH655334 JPC655334:JPD655334 JYY655334:JYZ655334 KIU655334:KIV655334 KSQ655334:KSR655334 LCM655334:LCN655334 LMI655334:LMJ655334 LWE655334:LWF655334 MGA655334:MGB655334 MPW655334:MPX655334 MZS655334:MZT655334 NJO655334:NJP655334 NTK655334:NTL655334 ODG655334:ODH655334 ONC655334:OND655334 OWY655334:OWZ655334 PGU655334:PGV655334 PQQ655334:PQR655334 QAM655334:QAN655334 QKI655334:QKJ655334 QUE655334:QUF655334 REA655334:REB655334 RNW655334:RNX655334 RXS655334:RXT655334 SHO655334:SHP655334 SRK655334:SRL655334 TBG655334:TBH655334 TLC655334:TLD655334 TUY655334:TUZ655334 UEU655334:UEV655334 UOQ655334:UOR655334 UYM655334:UYN655334 VII655334:VIJ655334 VSE655334:VSF655334 WCA655334:WCB655334 WLW655334:WLX655334 WVS655334:WVT655334 K720883:L720883 JG720870:JH720870 TC720870:TD720870 ACY720870:ACZ720870 AMU720870:AMV720870 AWQ720870:AWR720870 BGM720870:BGN720870 BQI720870:BQJ720870 CAE720870:CAF720870 CKA720870:CKB720870 CTW720870:CTX720870 DDS720870:DDT720870 DNO720870:DNP720870 DXK720870:DXL720870 EHG720870:EHH720870 ERC720870:ERD720870 FAY720870:FAZ720870 FKU720870:FKV720870 FUQ720870:FUR720870 GEM720870:GEN720870 GOI720870:GOJ720870 GYE720870:GYF720870 HIA720870:HIB720870 HRW720870:HRX720870 IBS720870:IBT720870 ILO720870:ILP720870 IVK720870:IVL720870 JFG720870:JFH720870 JPC720870:JPD720870 JYY720870:JYZ720870 KIU720870:KIV720870 KSQ720870:KSR720870 LCM720870:LCN720870 LMI720870:LMJ720870 LWE720870:LWF720870 MGA720870:MGB720870 MPW720870:MPX720870 MZS720870:MZT720870 NJO720870:NJP720870 NTK720870:NTL720870 ODG720870:ODH720870 ONC720870:OND720870 OWY720870:OWZ720870 PGU720870:PGV720870 PQQ720870:PQR720870 QAM720870:QAN720870 QKI720870:QKJ720870 QUE720870:QUF720870 REA720870:REB720870 RNW720870:RNX720870 RXS720870:RXT720870 SHO720870:SHP720870 SRK720870:SRL720870 TBG720870:TBH720870 TLC720870:TLD720870 TUY720870:TUZ720870 UEU720870:UEV720870 UOQ720870:UOR720870 UYM720870:UYN720870 VII720870:VIJ720870 VSE720870:VSF720870 WCA720870:WCB720870 WLW720870:WLX720870 WVS720870:WVT720870 K786419:L786419 JG786406:JH786406 TC786406:TD786406 ACY786406:ACZ786406 AMU786406:AMV786406 AWQ786406:AWR786406 BGM786406:BGN786406 BQI786406:BQJ786406 CAE786406:CAF786406 CKA786406:CKB786406 CTW786406:CTX786406 DDS786406:DDT786406 DNO786406:DNP786406 DXK786406:DXL786406 EHG786406:EHH786406 ERC786406:ERD786406 FAY786406:FAZ786406 FKU786406:FKV786406 FUQ786406:FUR786406 GEM786406:GEN786406 GOI786406:GOJ786406 GYE786406:GYF786406 HIA786406:HIB786406 HRW786406:HRX786406 IBS786406:IBT786406 ILO786406:ILP786406 IVK786406:IVL786406 JFG786406:JFH786406 JPC786406:JPD786406 JYY786406:JYZ786406 KIU786406:KIV786406 KSQ786406:KSR786406 LCM786406:LCN786406 LMI786406:LMJ786406 LWE786406:LWF786406 MGA786406:MGB786406 MPW786406:MPX786406 MZS786406:MZT786406 NJO786406:NJP786406 NTK786406:NTL786406 ODG786406:ODH786406 ONC786406:OND786406 OWY786406:OWZ786406 PGU786406:PGV786406 PQQ786406:PQR786406 QAM786406:QAN786406 QKI786406:QKJ786406 QUE786406:QUF786406 REA786406:REB786406 RNW786406:RNX786406 RXS786406:RXT786406 SHO786406:SHP786406 SRK786406:SRL786406 TBG786406:TBH786406 TLC786406:TLD786406 TUY786406:TUZ786406 UEU786406:UEV786406 UOQ786406:UOR786406 UYM786406:UYN786406 VII786406:VIJ786406 VSE786406:VSF786406 WCA786406:WCB786406 WLW786406:WLX786406 WVS786406:WVT786406 K851955:L851955 JG851942:JH851942 TC851942:TD851942 ACY851942:ACZ851942 AMU851942:AMV851942 AWQ851942:AWR851942 BGM851942:BGN851942 BQI851942:BQJ851942 CAE851942:CAF851942 CKA851942:CKB851942 CTW851942:CTX851942 DDS851942:DDT851942 DNO851942:DNP851942 DXK851942:DXL851942 EHG851942:EHH851942 ERC851942:ERD851942 FAY851942:FAZ851942 FKU851942:FKV851942 FUQ851942:FUR851942 GEM851942:GEN851942 GOI851942:GOJ851942 GYE851942:GYF851942 HIA851942:HIB851942 HRW851942:HRX851942 IBS851942:IBT851942 ILO851942:ILP851942 IVK851942:IVL851942 JFG851942:JFH851942 JPC851942:JPD851942 JYY851942:JYZ851942 KIU851942:KIV851942 KSQ851942:KSR851942 LCM851942:LCN851942 LMI851942:LMJ851942 LWE851942:LWF851942 MGA851942:MGB851942 MPW851942:MPX851942 MZS851942:MZT851942 NJO851942:NJP851942 NTK851942:NTL851942 ODG851942:ODH851942 ONC851942:OND851942 OWY851942:OWZ851942 PGU851942:PGV851942 PQQ851942:PQR851942 QAM851942:QAN851942 QKI851942:QKJ851942 QUE851942:QUF851942 REA851942:REB851942 RNW851942:RNX851942 RXS851942:RXT851942 SHO851942:SHP851942 SRK851942:SRL851942 TBG851942:TBH851942 TLC851942:TLD851942 TUY851942:TUZ851942 UEU851942:UEV851942 UOQ851942:UOR851942 UYM851942:UYN851942 VII851942:VIJ851942 VSE851942:VSF851942 WCA851942:WCB851942 WLW851942:WLX851942 WVS851942:WVT851942 K917491:L917491 JG917478:JH917478 TC917478:TD917478 ACY917478:ACZ917478 AMU917478:AMV917478 AWQ917478:AWR917478 BGM917478:BGN917478 BQI917478:BQJ917478 CAE917478:CAF917478 CKA917478:CKB917478 CTW917478:CTX917478 DDS917478:DDT917478 DNO917478:DNP917478 DXK917478:DXL917478 EHG917478:EHH917478 ERC917478:ERD917478 FAY917478:FAZ917478 FKU917478:FKV917478 FUQ917478:FUR917478 GEM917478:GEN917478 GOI917478:GOJ917478 GYE917478:GYF917478 HIA917478:HIB917478 HRW917478:HRX917478 IBS917478:IBT917478 ILO917478:ILP917478 IVK917478:IVL917478 JFG917478:JFH917478 JPC917478:JPD917478 JYY917478:JYZ917478 KIU917478:KIV917478 KSQ917478:KSR917478 LCM917478:LCN917478 LMI917478:LMJ917478 LWE917478:LWF917478 MGA917478:MGB917478 MPW917478:MPX917478 MZS917478:MZT917478 NJO917478:NJP917478 NTK917478:NTL917478 ODG917478:ODH917478 ONC917478:OND917478 OWY917478:OWZ917478 PGU917478:PGV917478 PQQ917478:PQR917478 QAM917478:QAN917478 QKI917478:QKJ917478 QUE917478:QUF917478 REA917478:REB917478 RNW917478:RNX917478 RXS917478:RXT917478 SHO917478:SHP917478 SRK917478:SRL917478 TBG917478:TBH917478 TLC917478:TLD917478 TUY917478:TUZ917478 UEU917478:UEV917478 UOQ917478:UOR917478 UYM917478:UYN917478 VII917478:VIJ917478 VSE917478:VSF917478 WCA917478:WCB917478 WLW917478:WLX917478 WVS917478:WVT917478 K983027:L983027 JG983014:JH983014 TC983014:TD983014 ACY983014:ACZ983014 AMU983014:AMV983014 AWQ983014:AWR983014 BGM983014:BGN983014 BQI983014:BQJ983014 CAE983014:CAF983014 CKA983014:CKB983014 CTW983014:CTX983014 DDS983014:DDT983014 DNO983014:DNP983014 DXK983014:DXL983014 EHG983014:EHH983014 ERC983014:ERD983014 FAY983014:FAZ983014 FKU983014:FKV983014 FUQ983014:FUR983014 GEM983014:GEN983014 GOI983014:GOJ983014 GYE983014:GYF983014 HIA983014:HIB983014 HRW983014:HRX983014 IBS983014:IBT983014 ILO983014:ILP983014 IVK983014:IVL983014 JFG983014:JFH983014 JPC983014:JPD983014 JYY983014:JYZ983014 KIU983014:KIV983014 KSQ983014:KSR983014 LCM983014:LCN983014 LMI983014:LMJ983014 LWE983014:LWF983014 MGA983014:MGB983014 MPW983014:MPX983014 MZS983014:MZT983014 NJO983014:NJP983014 NTK983014:NTL983014 ODG983014:ODH983014 ONC983014:OND983014 OWY983014:OWZ983014 PGU983014:PGV983014 PQQ983014:PQR983014 QAM983014:QAN983014 QKI983014:QKJ983014 QUE983014:QUF983014 REA983014:REB983014 RNW983014:RNX983014 RXS983014:RXT983014 SHO983014:SHP983014 SRK983014:SRL983014 TBG983014:TBH983014 TLC983014:TLD983014 TUY983014:TUZ983014 UEU983014:UEV983014 UOQ983014:UOR983014 UYM983014:UYN983014 VII983014:VIJ983014 VSE983014:VSF983014 WCA983014:WCB983014 WLW983014:WLX983014 WVS983014:WVT983014 K65555:L65555 JG65542:JH65542 TC65542:TD65542 ACY65542:ACZ65542 AMU65542:AMV65542 AWQ65542:AWR65542 BGM65542:BGN65542 BQI65542:BQJ65542 CAE65542:CAF65542 CKA65542:CKB65542 CTW65542:CTX65542 DDS65542:DDT65542 DNO65542:DNP65542 DXK65542:DXL65542 EHG65542:EHH65542 ERC65542:ERD65542 FAY65542:FAZ65542 FKU65542:FKV65542 FUQ65542:FUR65542 GEM65542:GEN65542 GOI65542:GOJ65542 GYE65542:GYF65542 HIA65542:HIB65542 HRW65542:HRX65542 IBS65542:IBT65542 ILO65542:ILP65542 IVK65542:IVL65542 JFG65542:JFH65542 JPC65542:JPD65542 JYY65542:JYZ65542 KIU65542:KIV65542 KSQ65542:KSR65542 LCM65542:LCN65542 LMI65542:LMJ65542 LWE65542:LWF65542 MGA65542:MGB65542 MPW65542:MPX65542 MZS65542:MZT65542 NJO65542:NJP65542 NTK65542:NTL65542 ODG65542:ODH65542 ONC65542:OND65542 OWY65542:OWZ65542 PGU65542:PGV65542 PQQ65542:PQR65542 QAM65542:QAN65542 QKI65542:QKJ65542 QUE65542:QUF65542 REA65542:REB65542 RNW65542:RNX65542 RXS65542:RXT65542 SHO65542:SHP65542 SRK65542:SRL65542 TBG65542:TBH65542 TLC65542:TLD65542 TUY65542:TUZ65542 UEU65542:UEV65542 UOQ65542:UOR65542 UYM65542:UYN65542 VII65542:VIJ65542 VSE65542:VSF65542 WCA65542:WCB65542 WLW65542:WLX65542 WVS65542:WVT65542 K131091:L131091 JG131078:JH131078 TC131078:TD131078 ACY131078:ACZ131078 AMU131078:AMV131078 AWQ131078:AWR131078 BGM131078:BGN131078 BQI131078:BQJ131078 CAE131078:CAF131078 CKA131078:CKB131078 CTW131078:CTX131078 DDS131078:DDT131078 DNO131078:DNP131078 DXK131078:DXL131078 EHG131078:EHH131078 ERC131078:ERD131078 FAY131078:FAZ131078 FKU131078:FKV131078 FUQ131078:FUR131078 GEM131078:GEN131078 GOI131078:GOJ131078 GYE131078:GYF131078 HIA131078:HIB131078 HRW131078:HRX131078 IBS131078:IBT131078 ILO131078:ILP131078 IVK131078:IVL131078 JFG131078:JFH131078 JPC131078:JPD131078 JYY131078:JYZ131078 KIU131078:KIV131078 KSQ131078:KSR131078 LCM131078:LCN131078 LMI131078:LMJ131078 LWE131078:LWF131078 MGA131078:MGB131078 MPW131078:MPX131078 MZS131078:MZT131078 NJO131078:NJP131078 NTK131078:NTL131078 ODG131078:ODH131078 ONC131078:OND131078 OWY131078:OWZ131078 PGU131078:PGV131078 PQQ131078:PQR131078 QAM131078:QAN131078 QKI131078:QKJ131078 QUE131078:QUF131078 REA131078:REB131078 RNW131078:RNX131078 RXS131078:RXT131078 SHO131078:SHP131078 SRK131078:SRL131078 TBG131078:TBH131078 TLC131078:TLD131078 TUY131078:TUZ131078 UEU131078:UEV131078 UOQ131078:UOR131078 UYM131078:UYN131078 VII131078:VIJ131078 VSE131078:VSF131078 WCA131078:WCB131078 WLW131078:WLX131078 WVS131078:WVT131078 K196627:L196627 JG196614:JH196614 TC196614:TD196614 ACY196614:ACZ196614 AMU196614:AMV196614 AWQ196614:AWR196614 BGM196614:BGN196614 BQI196614:BQJ196614 CAE196614:CAF196614 CKA196614:CKB196614 CTW196614:CTX196614 DDS196614:DDT196614 DNO196614:DNP196614 DXK196614:DXL196614 EHG196614:EHH196614 ERC196614:ERD196614 FAY196614:FAZ196614 FKU196614:FKV196614 FUQ196614:FUR196614 GEM196614:GEN196614 GOI196614:GOJ196614 GYE196614:GYF196614 HIA196614:HIB196614 HRW196614:HRX196614 IBS196614:IBT196614 ILO196614:ILP196614 IVK196614:IVL196614 JFG196614:JFH196614 JPC196614:JPD196614 JYY196614:JYZ196614 KIU196614:KIV196614 KSQ196614:KSR196614 LCM196614:LCN196614 LMI196614:LMJ196614 LWE196614:LWF196614 MGA196614:MGB196614 MPW196614:MPX196614 MZS196614:MZT196614 NJO196614:NJP196614 NTK196614:NTL196614 ODG196614:ODH196614 ONC196614:OND196614 OWY196614:OWZ196614 PGU196614:PGV196614 PQQ196614:PQR196614 QAM196614:QAN196614 QKI196614:QKJ196614 QUE196614:QUF196614 REA196614:REB196614 RNW196614:RNX196614 RXS196614:RXT196614 SHO196614:SHP196614 SRK196614:SRL196614 TBG196614:TBH196614 TLC196614:TLD196614 TUY196614:TUZ196614 UEU196614:UEV196614 UOQ196614:UOR196614 UYM196614:UYN196614 VII196614:VIJ196614 VSE196614:VSF196614 WCA196614:WCB196614 WLW196614:WLX196614 WVS196614:WVT196614 K262163:L262163 JG262150:JH262150 TC262150:TD262150 ACY262150:ACZ262150 AMU262150:AMV262150 AWQ262150:AWR262150 BGM262150:BGN262150 BQI262150:BQJ262150 CAE262150:CAF262150 CKA262150:CKB262150 CTW262150:CTX262150 DDS262150:DDT262150 DNO262150:DNP262150 DXK262150:DXL262150 EHG262150:EHH262150 ERC262150:ERD262150 FAY262150:FAZ262150 FKU262150:FKV262150 FUQ262150:FUR262150 GEM262150:GEN262150 GOI262150:GOJ262150 GYE262150:GYF262150 HIA262150:HIB262150 HRW262150:HRX262150 IBS262150:IBT262150 ILO262150:ILP262150 IVK262150:IVL262150 JFG262150:JFH262150 JPC262150:JPD262150 JYY262150:JYZ262150 KIU262150:KIV262150 KSQ262150:KSR262150 LCM262150:LCN262150 LMI262150:LMJ262150 LWE262150:LWF262150 MGA262150:MGB262150 MPW262150:MPX262150 MZS262150:MZT262150 NJO262150:NJP262150 NTK262150:NTL262150 ODG262150:ODH262150 ONC262150:OND262150 OWY262150:OWZ262150 PGU262150:PGV262150 PQQ262150:PQR262150 QAM262150:QAN262150 QKI262150:QKJ262150 QUE262150:QUF262150 REA262150:REB262150 RNW262150:RNX262150 RXS262150:RXT262150 SHO262150:SHP262150 SRK262150:SRL262150 TBG262150:TBH262150 TLC262150:TLD262150 TUY262150:TUZ262150 UEU262150:UEV262150 UOQ262150:UOR262150 UYM262150:UYN262150 VII262150:VIJ262150 VSE262150:VSF262150 WCA262150:WCB262150 WLW262150:WLX262150 WVS262150:WVT262150 K327699:L327699 JG327686:JH327686 TC327686:TD327686 ACY327686:ACZ327686 AMU327686:AMV327686 AWQ327686:AWR327686 BGM327686:BGN327686 BQI327686:BQJ327686 CAE327686:CAF327686 CKA327686:CKB327686 CTW327686:CTX327686 DDS327686:DDT327686 DNO327686:DNP327686 DXK327686:DXL327686 EHG327686:EHH327686 ERC327686:ERD327686 FAY327686:FAZ327686 FKU327686:FKV327686 FUQ327686:FUR327686 GEM327686:GEN327686 GOI327686:GOJ327686 GYE327686:GYF327686 HIA327686:HIB327686 HRW327686:HRX327686 IBS327686:IBT327686 ILO327686:ILP327686 IVK327686:IVL327686 JFG327686:JFH327686 JPC327686:JPD327686 JYY327686:JYZ327686 KIU327686:KIV327686 KSQ327686:KSR327686 LCM327686:LCN327686 LMI327686:LMJ327686 LWE327686:LWF327686 MGA327686:MGB327686 MPW327686:MPX327686 MZS327686:MZT327686 NJO327686:NJP327686 NTK327686:NTL327686 ODG327686:ODH327686 ONC327686:OND327686 OWY327686:OWZ327686 PGU327686:PGV327686 PQQ327686:PQR327686 QAM327686:QAN327686 QKI327686:QKJ327686 QUE327686:QUF327686 REA327686:REB327686 RNW327686:RNX327686 RXS327686:RXT327686 SHO327686:SHP327686 SRK327686:SRL327686 TBG327686:TBH327686 TLC327686:TLD327686 TUY327686:TUZ327686 UEU327686:UEV327686 UOQ327686:UOR327686 UYM327686:UYN327686 VII327686:VIJ327686 VSE327686:VSF327686 WCA327686:WCB327686 WLW327686:WLX327686 WVS327686:WVT327686 K393235:L393235 JG393222:JH393222 TC393222:TD393222 ACY393222:ACZ393222 AMU393222:AMV393222 AWQ393222:AWR393222 BGM393222:BGN393222 BQI393222:BQJ393222 CAE393222:CAF393222 CKA393222:CKB393222 CTW393222:CTX393222 DDS393222:DDT393222 DNO393222:DNP393222 DXK393222:DXL393222 EHG393222:EHH393222 ERC393222:ERD393222 FAY393222:FAZ393222 FKU393222:FKV393222 FUQ393222:FUR393222 GEM393222:GEN393222 GOI393222:GOJ393222 GYE393222:GYF393222 HIA393222:HIB393222 HRW393222:HRX393222 IBS393222:IBT393222 ILO393222:ILP393222 IVK393222:IVL393222 JFG393222:JFH393222 JPC393222:JPD393222 JYY393222:JYZ393222 KIU393222:KIV393222 KSQ393222:KSR393222 LCM393222:LCN393222 LMI393222:LMJ393222 LWE393222:LWF393222 MGA393222:MGB393222 MPW393222:MPX393222 MZS393222:MZT393222 NJO393222:NJP393222 NTK393222:NTL393222 ODG393222:ODH393222 ONC393222:OND393222 OWY393222:OWZ393222 PGU393222:PGV393222 PQQ393222:PQR393222 QAM393222:QAN393222 QKI393222:QKJ393222 QUE393222:QUF393222 REA393222:REB393222 RNW393222:RNX393222 RXS393222:RXT393222 SHO393222:SHP393222 SRK393222:SRL393222 TBG393222:TBH393222 TLC393222:TLD393222 TUY393222:TUZ393222 UEU393222:UEV393222 UOQ393222:UOR393222 UYM393222:UYN393222 VII393222:VIJ393222 VSE393222:VSF393222 WCA393222:WCB393222 WLW393222:WLX393222 WVS393222:WVT393222 K458771:L458771 JG458758:JH458758 TC458758:TD458758 ACY458758:ACZ458758 AMU458758:AMV458758 AWQ458758:AWR458758 BGM458758:BGN458758 BQI458758:BQJ458758 CAE458758:CAF458758 CKA458758:CKB458758 CTW458758:CTX458758 DDS458758:DDT458758 DNO458758:DNP458758 DXK458758:DXL458758 EHG458758:EHH458758 ERC458758:ERD458758 FAY458758:FAZ458758 FKU458758:FKV458758 FUQ458758:FUR458758 GEM458758:GEN458758 GOI458758:GOJ458758 GYE458758:GYF458758 HIA458758:HIB458758 HRW458758:HRX458758 IBS458758:IBT458758 ILO458758:ILP458758 IVK458758:IVL458758 JFG458758:JFH458758 JPC458758:JPD458758 JYY458758:JYZ458758 KIU458758:KIV458758 KSQ458758:KSR458758 LCM458758:LCN458758 LMI458758:LMJ458758 LWE458758:LWF458758 MGA458758:MGB458758 MPW458758:MPX458758 MZS458758:MZT458758 NJO458758:NJP458758 NTK458758:NTL458758 ODG458758:ODH458758 ONC458758:OND458758 OWY458758:OWZ458758 PGU458758:PGV458758 PQQ458758:PQR458758 QAM458758:QAN458758 QKI458758:QKJ458758 QUE458758:QUF458758 REA458758:REB458758 RNW458758:RNX458758 RXS458758:RXT458758 SHO458758:SHP458758 SRK458758:SRL458758 TBG458758:TBH458758 TLC458758:TLD458758 TUY458758:TUZ458758 UEU458758:UEV458758 UOQ458758:UOR458758 UYM458758:UYN458758 VII458758:VIJ458758 VSE458758:VSF458758 WCA458758:WCB458758 WLW458758:WLX458758 WVS458758:WVT458758 K524307:L524307 JG524294:JH524294 TC524294:TD524294 ACY524294:ACZ524294 AMU524294:AMV524294 AWQ524294:AWR524294 BGM524294:BGN524294 BQI524294:BQJ524294 CAE524294:CAF524294 CKA524294:CKB524294 CTW524294:CTX524294 DDS524294:DDT524294 DNO524294:DNP524294 DXK524294:DXL524294 EHG524294:EHH524294 ERC524294:ERD524294 FAY524294:FAZ524294 FKU524294:FKV524294 FUQ524294:FUR524294 GEM524294:GEN524294 GOI524294:GOJ524294 GYE524294:GYF524294 HIA524294:HIB524294 HRW524294:HRX524294 IBS524294:IBT524294 ILO524294:ILP524294 IVK524294:IVL524294 JFG524294:JFH524294 JPC524294:JPD524294 JYY524294:JYZ524294 KIU524294:KIV524294 KSQ524294:KSR524294 LCM524294:LCN524294 LMI524294:LMJ524294 LWE524294:LWF524294 MGA524294:MGB524294 MPW524294:MPX524294 MZS524294:MZT524294 NJO524294:NJP524294 NTK524294:NTL524294 ODG524294:ODH524294 ONC524294:OND524294 OWY524294:OWZ524294 PGU524294:PGV524294 PQQ524294:PQR524294 QAM524294:QAN524294 QKI524294:QKJ524294 QUE524294:QUF524294 REA524294:REB524294 RNW524294:RNX524294 RXS524294:RXT524294 SHO524294:SHP524294 SRK524294:SRL524294 TBG524294:TBH524294 TLC524294:TLD524294 TUY524294:TUZ524294 UEU524294:UEV524294 UOQ524294:UOR524294 UYM524294:UYN524294 VII524294:VIJ524294 VSE524294:VSF524294 WCA524294:WCB524294 WLW524294:WLX524294 WVS524294:WVT524294 K589843:L589843 JG589830:JH589830 TC589830:TD589830 ACY589830:ACZ589830 AMU589830:AMV589830 AWQ589830:AWR589830 BGM589830:BGN589830 BQI589830:BQJ589830 CAE589830:CAF589830 CKA589830:CKB589830 CTW589830:CTX589830 DDS589830:DDT589830 DNO589830:DNP589830 DXK589830:DXL589830 EHG589830:EHH589830 ERC589830:ERD589830 FAY589830:FAZ589830 FKU589830:FKV589830 FUQ589830:FUR589830 GEM589830:GEN589830 GOI589830:GOJ589830 GYE589830:GYF589830 HIA589830:HIB589830 HRW589830:HRX589830 IBS589830:IBT589830 ILO589830:ILP589830 IVK589830:IVL589830 JFG589830:JFH589830 JPC589830:JPD589830 JYY589830:JYZ589830 KIU589830:KIV589830 KSQ589830:KSR589830 LCM589830:LCN589830 LMI589830:LMJ589830 LWE589830:LWF589830 MGA589830:MGB589830 MPW589830:MPX589830 MZS589830:MZT589830 NJO589830:NJP589830 NTK589830:NTL589830 ODG589830:ODH589830 ONC589830:OND589830 OWY589830:OWZ589830 PGU589830:PGV589830 PQQ589830:PQR589830 QAM589830:QAN589830 QKI589830:QKJ589830 QUE589830:QUF589830 REA589830:REB589830 RNW589830:RNX589830 RXS589830:RXT589830 SHO589830:SHP589830 SRK589830:SRL589830 TBG589830:TBH589830 TLC589830:TLD589830 TUY589830:TUZ589830 UEU589830:UEV589830 UOQ589830:UOR589830 UYM589830:UYN589830 VII589830:VIJ589830 VSE589830:VSF589830 WCA589830:WCB589830 WLW589830:WLX589830 WVS589830:WVT589830 K655379:L655379 JG655366:JH655366 TC655366:TD655366 ACY655366:ACZ655366 AMU655366:AMV655366 AWQ655366:AWR655366 BGM655366:BGN655366 BQI655366:BQJ655366 CAE655366:CAF655366 CKA655366:CKB655366 CTW655366:CTX655366 DDS655366:DDT655366 DNO655366:DNP655366 DXK655366:DXL655366 EHG655366:EHH655366 ERC655366:ERD655366 FAY655366:FAZ655366 FKU655366:FKV655366 FUQ655366:FUR655366 GEM655366:GEN655366 GOI655366:GOJ655366 GYE655366:GYF655366 HIA655366:HIB655366 HRW655366:HRX655366 IBS655366:IBT655366 ILO655366:ILP655366 IVK655366:IVL655366 JFG655366:JFH655366 JPC655366:JPD655366 JYY655366:JYZ655366 KIU655366:KIV655366 KSQ655366:KSR655366 LCM655366:LCN655366 LMI655366:LMJ655366 LWE655366:LWF655366 MGA655366:MGB655366 MPW655366:MPX655366 MZS655366:MZT655366 NJO655366:NJP655366 NTK655366:NTL655366 ODG655366:ODH655366 ONC655366:OND655366 OWY655366:OWZ655366 PGU655366:PGV655366 PQQ655366:PQR655366 QAM655366:QAN655366 QKI655366:QKJ655366 QUE655366:QUF655366 REA655366:REB655366 RNW655366:RNX655366 RXS655366:RXT655366 SHO655366:SHP655366 SRK655366:SRL655366 TBG655366:TBH655366 TLC655366:TLD655366 TUY655366:TUZ655366 UEU655366:UEV655366 UOQ655366:UOR655366 UYM655366:UYN655366 VII655366:VIJ655366 VSE655366:VSF655366 WCA655366:WCB655366 WLW655366:WLX655366 WVS655366:WVT655366 K720915:L720915 JG720902:JH720902 TC720902:TD720902 ACY720902:ACZ720902 AMU720902:AMV720902 AWQ720902:AWR720902 BGM720902:BGN720902 BQI720902:BQJ720902 CAE720902:CAF720902 CKA720902:CKB720902 CTW720902:CTX720902 DDS720902:DDT720902 DNO720902:DNP720902 DXK720902:DXL720902 EHG720902:EHH720902 ERC720902:ERD720902 FAY720902:FAZ720902 FKU720902:FKV720902 FUQ720902:FUR720902 GEM720902:GEN720902 GOI720902:GOJ720902 GYE720902:GYF720902 HIA720902:HIB720902 HRW720902:HRX720902 IBS720902:IBT720902 ILO720902:ILP720902 IVK720902:IVL720902 JFG720902:JFH720902 JPC720902:JPD720902 JYY720902:JYZ720902 KIU720902:KIV720902 KSQ720902:KSR720902 LCM720902:LCN720902 LMI720902:LMJ720902 LWE720902:LWF720902 MGA720902:MGB720902 MPW720902:MPX720902 MZS720902:MZT720902 NJO720902:NJP720902 NTK720902:NTL720902 ODG720902:ODH720902 ONC720902:OND720902 OWY720902:OWZ720902 PGU720902:PGV720902 PQQ720902:PQR720902 QAM720902:QAN720902 QKI720902:QKJ720902 QUE720902:QUF720902 REA720902:REB720902 RNW720902:RNX720902 RXS720902:RXT720902 SHO720902:SHP720902 SRK720902:SRL720902 TBG720902:TBH720902 TLC720902:TLD720902 TUY720902:TUZ720902 UEU720902:UEV720902 UOQ720902:UOR720902 UYM720902:UYN720902 VII720902:VIJ720902 VSE720902:VSF720902 WCA720902:WCB720902 WLW720902:WLX720902 WVS720902:WVT720902 K786451:L786451 JG786438:JH786438 TC786438:TD786438 ACY786438:ACZ786438 AMU786438:AMV786438 AWQ786438:AWR786438 BGM786438:BGN786438 BQI786438:BQJ786438 CAE786438:CAF786438 CKA786438:CKB786438 CTW786438:CTX786438 DDS786438:DDT786438 DNO786438:DNP786438 DXK786438:DXL786438 EHG786438:EHH786438 ERC786438:ERD786438 FAY786438:FAZ786438 FKU786438:FKV786438 FUQ786438:FUR786438 GEM786438:GEN786438 GOI786438:GOJ786438 GYE786438:GYF786438 HIA786438:HIB786438 HRW786438:HRX786438 IBS786438:IBT786438 ILO786438:ILP786438 IVK786438:IVL786438 JFG786438:JFH786438 JPC786438:JPD786438 JYY786438:JYZ786438 KIU786438:KIV786438 KSQ786438:KSR786438 LCM786438:LCN786438 LMI786438:LMJ786438 LWE786438:LWF786438 MGA786438:MGB786438 MPW786438:MPX786438 MZS786438:MZT786438 NJO786438:NJP786438 NTK786438:NTL786438 ODG786438:ODH786438 ONC786438:OND786438 OWY786438:OWZ786438 PGU786438:PGV786438 PQQ786438:PQR786438 QAM786438:QAN786438 QKI786438:QKJ786438 QUE786438:QUF786438 REA786438:REB786438 RNW786438:RNX786438 RXS786438:RXT786438 SHO786438:SHP786438 SRK786438:SRL786438 TBG786438:TBH786438 TLC786438:TLD786438 TUY786438:TUZ786438 UEU786438:UEV786438 UOQ786438:UOR786438 UYM786438:UYN786438 VII786438:VIJ786438 VSE786438:VSF786438 WCA786438:WCB786438 WLW786438:WLX786438 WVS786438:WVT786438 K851987:L851987 JG851974:JH851974 TC851974:TD851974 ACY851974:ACZ851974 AMU851974:AMV851974 AWQ851974:AWR851974 BGM851974:BGN851974 BQI851974:BQJ851974 CAE851974:CAF851974 CKA851974:CKB851974 CTW851974:CTX851974 DDS851974:DDT851974 DNO851974:DNP851974 DXK851974:DXL851974 EHG851974:EHH851974 ERC851974:ERD851974 FAY851974:FAZ851974 FKU851974:FKV851974 FUQ851974:FUR851974 GEM851974:GEN851974 GOI851974:GOJ851974 GYE851974:GYF851974 HIA851974:HIB851974 HRW851974:HRX851974 IBS851974:IBT851974 ILO851974:ILP851974 IVK851974:IVL851974 JFG851974:JFH851974 JPC851974:JPD851974 JYY851974:JYZ851974 KIU851974:KIV851974 KSQ851974:KSR851974 LCM851974:LCN851974 LMI851974:LMJ851974 LWE851974:LWF851974 MGA851974:MGB851974 MPW851974:MPX851974 MZS851974:MZT851974 NJO851974:NJP851974 NTK851974:NTL851974 ODG851974:ODH851974 ONC851974:OND851974 OWY851974:OWZ851974 PGU851974:PGV851974 PQQ851974:PQR851974 QAM851974:QAN851974 QKI851974:QKJ851974 QUE851974:QUF851974 REA851974:REB851974 RNW851974:RNX851974 RXS851974:RXT851974 SHO851974:SHP851974 SRK851974:SRL851974 TBG851974:TBH851974 TLC851974:TLD851974 TUY851974:TUZ851974 UEU851974:UEV851974 UOQ851974:UOR851974 UYM851974:UYN851974 VII851974:VIJ851974 VSE851974:VSF851974 WCA851974:WCB851974 WLW851974:WLX851974 WVS851974:WVT851974 K917523:L917523 JG917510:JH917510 TC917510:TD917510 ACY917510:ACZ917510 AMU917510:AMV917510 AWQ917510:AWR917510 BGM917510:BGN917510 BQI917510:BQJ917510 CAE917510:CAF917510 CKA917510:CKB917510 CTW917510:CTX917510 DDS917510:DDT917510 DNO917510:DNP917510 DXK917510:DXL917510 EHG917510:EHH917510 ERC917510:ERD917510 FAY917510:FAZ917510 FKU917510:FKV917510 FUQ917510:FUR917510 GEM917510:GEN917510 GOI917510:GOJ917510 GYE917510:GYF917510 HIA917510:HIB917510 HRW917510:HRX917510 IBS917510:IBT917510 ILO917510:ILP917510 IVK917510:IVL917510 JFG917510:JFH917510 JPC917510:JPD917510 JYY917510:JYZ917510 KIU917510:KIV917510 KSQ917510:KSR917510 LCM917510:LCN917510 LMI917510:LMJ917510 LWE917510:LWF917510 MGA917510:MGB917510 MPW917510:MPX917510 MZS917510:MZT917510 NJO917510:NJP917510 NTK917510:NTL917510 ODG917510:ODH917510 ONC917510:OND917510 OWY917510:OWZ917510 PGU917510:PGV917510 PQQ917510:PQR917510 QAM917510:QAN917510 QKI917510:QKJ917510 QUE917510:QUF917510 REA917510:REB917510 RNW917510:RNX917510 RXS917510:RXT917510 SHO917510:SHP917510 SRK917510:SRL917510 TBG917510:TBH917510 TLC917510:TLD917510 TUY917510:TUZ917510 UEU917510:UEV917510 UOQ917510:UOR917510 UYM917510:UYN917510 VII917510:VIJ917510 VSE917510:VSF917510 WCA917510:WCB917510 WLW917510:WLX917510 WVS917510:WVT917510 K983059:L983059 JG983046:JH983046 TC983046:TD983046 ACY983046:ACZ983046 AMU983046:AMV983046 AWQ983046:AWR983046 BGM983046:BGN983046 BQI983046:BQJ983046 CAE983046:CAF983046 CKA983046:CKB983046 CTW983046:CTX983046 DDS983046:DDT983046 DNO983046:DNP983046 DXK983046:DXL983046 EHG983046:EHH983046 ERC983046:ERD983046 FAY983046:FAZ983046 FKU983046:FKV983046 FUQ983046:FUR983046 GEM983046:GEN983046 GOI983046:GOJ983046 GYE983046:GYF983046 HIA983046:HIB983046 HRW983046:HRX983046 IBS983046:IBT983046 ILO983046:ILP983046 IVK983046:IVL983046 JFG983046:JFH983046 JPC983046:JPD983046 JYY983046:JYZ983046 KIU983046:KIV983046 KSQ983046:KSR983046 LCM983046:LCN983046 LMI983046:LMJ983046 LWE983046:LWF983046 MGA983046:MGB983046 MPW983046:MPX983046 MZS983046:MZT983046 NJO983046:NJP983046 NTK983046:NTL983046 ODG983046:ODH983046 ONC983046:OND983046 OWY983046:OWZ983046 PGU983046:PGV983046 PQQ983046:PQR983046 QAM983046:QAN983046 QKI983046:QKJ983046 QUE983046:QUF983046 REA983046:REB983046 RNW983046:RNX983046 RXS983046:RXT983046 SHO983046:SHP983046 SRK983046:SRL983046 TBG983046:TBH983046 TLC983046:TLD983046 TUY983046:TUZ983046 UEU983046:UEV983046 UOQ983046:UOR983046 UYM983046:UYN983046 VII983046:VIJ983046 VSE983046:VSF983046 WCA983046:WCB983046 WLW983046:WLX983046 WVS983046:WVT983046 WLW983017:WLX983017 K65526:L65526 JG65513:JH65513 TC65513:TD65513 ACY65513:ACZ65513 AMU65513:AMV65513 AWQ65513:AWR65513 BGM65513:BGN65513 BQI65513:BQJ65513 CAE65513:CAF65513 CKA65513:CKB65513 CTW65513:CTX65513 DDS65513:DDT65513 DNO65513:DNP65513 DXK65513:DXL65513 EHG65513:EHH65513 ERC65513:ERD65513 FAY65513:FAZ65513 FKU65513:FKV65513 FUQ65513:FUR65513 GEM65513:GEN65513 GOI65513:GOJ65513 GYE65513:GYF65513 HIA65513:HIB65513 HRW65513:HRX65513 IBS65513:IBT65513 ILO65513:ILP65513 IVK65513:IVL65513 JFG65513:JFH65513 JPC65513:JPD65513 JYY65513:JYZ65513 KIU65513:KIV65513 KSQ65513:KSR65513 LCM65513:LCN65513 LMI65513:LMJ65513 LWE65513:LWF65513 MGA65513:MGB65513 MPW65513:MPX65513 MZS65513:MZT65513 NJO65513:NJP65513 NTK65513:NTL65513 ODG65513:ODH65513 ONC65513:OND65513 OWY65513:OWZ65513 PGU65513:PGV65513 PQQ65513:PQR65513 QAM65513:QAN65513 QKI65513:QKJ65513 QUE65513:QUF65513 REA65513:REB65513 RNW65513:RNX65513 RXS65513:RXT65513 SHO65513:SHP65513 SRK65513:SRL65513 TBG65513:TBH65513 TLC65513:TLD65513 TUY65513:TUZ65513 UEU65513:UEV65513 UOQ65513:UOR65513 UYM65513:UYN65513 VII65513:VIJ65513 VSE65513:VSF65513 WCA65513:WCB65513 WLW65513:WLX65513 WVS65513:WVT65513 K131062:L131062 JG131049:JH131049 TC131049:TD131049 ACY131049:ACZ131049 AMU131049:AMV131049 AWQ131049:AWR131049 BGM131049:BGN131049 BQI131049:BQJ131049 CAE131049:CAF131049 CKA131049:CKB131049 CTW131049:CTX131049 DDS131049:DDT131049 DNO131049:DNP131049 DXK131049:DXL131049 EHG131049:EHH131049 ERC131049:ERD131049 FAY131049:FAZ131049 FKU131049:FKV131049 FUQ131049:FUR131049 GEM131049:GEN131049 GOI131049:GOJ131049 GYE131049:GYF131049 HIA131049:HIB131049 HRW131049:HRX131049 IBS131049:IBT131049 ILO131049:ILP131049 IVK131049:IVL131049 JFG131049:JFH131049 JPC131049:JPD131049 JYY131049:JYZ131049 KIU131049:KIV131049 KSQ131049:KSR131049 LCM131049:LCN131049 LMI131049:LMJ131049 LWE131049:LWF131049 MGA131049:MGB131049 MPW131049:MPX131049 MZS131049:MZT131049 NJO131049:NJP131049 NTK131049:NTL131049 ODG131049:ODH131049 ONC131049:OND131049 OWY131049:OWZ131049 PGU131049:PGV131049 PQQ131049:PQR131049 QAM131049:QAN131049 QKI131049:QKJ131049 QUE131049:QUF131049 REA131049:REB131049 RNW131049:RNX131049 RXS131049:RXT131049 SHO131049:SHP131049 SRK131049:SRL131049 TBG131049:TBH131049 TLC131049:TLD131049 TUY131049:TUZ131049 UEU131049:UEV131049 UOQ131049:UOR131049 UYM131049:UYN131049 VII131049:VIJ131049 VSE131049:VSF131049 WCA131049:WCB131049 WLW131049:WLX131049 WVS131049:WVT131049 K196598:L196598 JG196585:JH196585 TC196585:TD196585 ACY196585:ACZ196585 AMU196585:AMV196585 AWQ196585:AWR196585 BGM196585:BGN196585 BQI196585:BQJ196585 CAE196585:CAF196585 CKA196585:CKB196585 CTW196585:CTX196585 DDS196585:DDT196585 DNO196585:DNP196585 DXK196585:DXL196585 EHG196585:EHH196585 ERC196585:ERD196585 FAY196585:FAZ196585 FKU196585:FKV196585 FUQ196585:FUR196585 GEM196585:GEN196585 GOI196585:GOJ196585 GYE196585:GYF196585 HIA196585:HIB196585 HRW196585:HRX196585 IBS196585:IBT196585 ILO196585:ILP196585 IVK196585:IVL196585 JFG196585:JFH196585 JPC196585:JPD196585 JYY196585:JYZ196585 KIU196585:KIV196585 KSQ196585:KSR196585 LCM196585:LCN196585 LMI196585:LMJ196585 LWE196585:LWF196585 MGA196585:MGB196585 MPW196585:MPX196585 MZS196585:MZT196585 NJO196585:NJP196585 NTK196585:NTL196585 ODG196585:ODH196585 ONC196585:OND196585 OWY196585:OWZ196585 PGU196585:PGV196585 PQQ196585:PQR196585 QAM196585:QAN196585 QKI196585:QKJ196585 QUE196585:QUF196585 REA196585:REB196585 RNW196585:RNX196585 RXS196585:RXT196585 SHO196585:SHP196585 SRK196585:SRL196585 TBG196585:TBH196585 TLC196585:TLD196585 TUY196585:TUZ196585 UEU196585:UEV196585 UOQ196585:UOR196585 UYM196585:UYN196585 VII196585:VIJ196585 VSE196585:VSF196585 WCA196585:WCB196585 WLW196585:WLX196585 WVS196585:WVT196585 K262134:L262134 JG262121:JH262121 TC262121:TD262121 ACY262121:ACZ262121 AMU262121:AMV262121 AWQ262121:AWR262121 BGM262121:BGN262121 BQI262121:BQJ262121 CAE262121:CAF262121 CKA262121:CKB262121 CTW262121:CTX262121 DDS262121:DDT262121 DNO262121:DNP262121 DXK262121:DXL262121 EHG262121:EHH262121 ERC262121:ERD262121 FAY262121:FAZ262121 FKU262121:FKV262121 FUQ262121:FUR262121 GEM262121:GEN262121 GOI262121:GOJ262121 GYE262121:GYF262121 HIA262121:HIB262121 HRW262121:HRX262121 IBS262121:IBT262121 ILO262121:ILP262121 IVK262121:IVL262121 JFG262121:JFH262121 JPC262121:JPD262121 JYY262121:JYZ262121 KIU262121:KIV262121 KSQ262121:KSR262121 LCM262121:LCN262121 LMI262121:LMJ262121 LWE262121:LWF262121 MGA262121:MGB262121 MPW262121:MPX262121 MZS262121:MZT262121 NJO262121:NJP262121 NTK262121:NTL262121 ODG262121:ODH262121 ONC262121:OND262121 OWY262121:OWZ262121 PGU262121:PGV262121 PQQ262121:PQR262121 QAM262121:QAN262121 QKI262121:QKJ262121 QUE262121:QUF262121 REA262121:REB262121 RNW262121:RNX262121 RXS262121:RXT262121 SHO262121:SHP262121 SRK262121:SRL262121 TBG262121:TBH262121 TLC262121:TLD262121 TUY262121:TUZ262121 UEU262121:UEV262121 UOQ262121:UOR262121 UYM262121:UYN262121 VII262121:VIJ262121 VSE262121:VSF262121 WCA262121:WCB262121 WLW262121:WLX262121 WVS262121:WVT262121 K327670:L327670 JG327657:JH327657 TC327657:TD327657 ACY327657:ACZ327657 AMU327657:AMV327657 AWQ327657:AWR327657 BGM327657:BGN327657 BQI327657:BQJ327657 CAE327657:CAF327657 CKA327657:CKB327657 CTW327657:CTX327657 DDS327657:DDT327657 DNO327657:DNP327657 DXK327657:DXL327657 EHG327657:EHH327657 ERC327657:ERD327657 FAY327657:FAZ327657 FKU327657:FKV327657 FUQ327657:FUR327657 GEM327657:GEN327657 GOI327657:GOJ327657 GYE327657:GYF327657 HIA327657:HIB327657 HRW327657:HRX327657 IBS327657:IBT327657 ILO327657:ILP327657 IVK327657:IVL327657 JFG327657:JFH327657 JPC327657:JPD327657 JYY327657:JYZ327657 KIU327657:KIV327657 KSQ327657:KSR327657 LCM327657:LCN327657 LMI327657:LMJ327657 LWE327657:LWF327657 MGA327657:MGB327657 MPW327657:MPX327657 MZS327657:MZT327657 NJO327657:NJP327657 NTK327657:NTL327657 ODG327657:ODH327657 ONC327657:OND327657 OWY327657:OWZ327657 PGU327657:PGV327657 PQQ327657:PQR327657 QAM327657:QAN327657 QKI327657:QKJ327657 QUE327657:QUF327657 REA327657:REB327657 RNW327657:RNX327657 RXS327657:RXT327657 SHO327657:SHP327657 SRK327657:SRL327657 TBG327657:TBH327657 TLC327657:TLD327657 TUY327657:TUZ327657 UEU327657:UEV327657 UOQ327657:UOR327657 UYM327657:UYN327657 VII327657:VIJ327657 VSE327657:VSF327657 WCA327657:WCB327657 WLW327657:WLX327657 WVS327657:WVT327657 K393206:L393206 JG393193:JH393193 TC393193:TD393193 ACY393193:ACZ393193 AMU393193:AMV393193 AWQ393193:AWR393193 BGM393193:BGN393193 BQI393193:BQJ393193 CAE393193:CAF393193 CKA393193:CKB393193 CTW393193:CTX393193 DDS393193:DDT393193 DNO393193:DNP393193 DXK393193:DXL393193 EHG393193:EHH393193 ERC393193:ERD393193 FAY393193:FAZ393193 FKU393193:FKV393193 FUQ393193:FUR393193 GEM393193:GEN393193 GOI393193:GOJ393193 GYE393193:GYF393193 HIA393193:HIB393193 HRW393193:HRX393193 IBS393193:IBT393193 ILO393193:ILP393193 IVK393193:IVL393193 JFG393193:JFH393193 JPC393193:JPD393193 JYY393193:JYZ393193 KIU393193:KIV393193 KSQ393193:KSR393193 LCM393193:LCN393193 LMI393193:LMJ393193 LWE393193:LWF393193 MGA393193:MGB393193 MPW393193:MPX393193 MZS393193:MZT393193 NJO393193:NJP393193 NTK393193:NTL393193 ODG393193:ODH393193 ONC393193:OND393193 OWY393193:OWZ393193 PGU393193:PGV393193 PQQ393193:PQR393193 QAM393193:QAN393193 QKI393193:QKJ393193 QUE393193:QUF393193 REA393193:REB393193 RNW393193:RNX393193 RXS393193:RXT393193 SHO393193:SHP393193 SRK393193:SRL393193 TBG393193:TBH393193 TLC393193:TLD393193 TUY393193:TUZ393193 UEU393193:UEV393193 UOQ393193:UOR393193 UYM393193:UYN393193 VII393193:VIJ393193 VSE393193:VSF393193 WCA393193:WCB393193 WLW393193:WLX393193 WVS393193:WVT393193 K458742:L458742 JG458729:JH458729 TC458729:TD458729 ACY458729:ACZ458729 AMU458729:AMV458729 AWQ458729:AWR458729 BGM458729:BGN458729 BQI458729:BQJ458729 CAE458729:CAF458729 CKA458729:CKB458729 CTW458729:CTX458729 DDS458729:DDT458729 DNO458729:DNP458729 DXK458729:DXL458729 EHG458729:EHH458729 ERC458729:ERD458729 FAY458729:FAZ458729 FKU458729:FKV458729 FUQ458729:FUR458729 GEM458729:GEN458729 GOI458729:GOJ458729 GYE458729:GYF458729 HIA458729:HIB458729 HRW458729:HRX458729 IBS458729:IBT458729 ILO458729:ILP458729 IVK458729:IVL458729 JFG458729:JFH458729 JPC458729:JPD458729 JYY458729:JYZ458729 KIU458729:KIV458729 KSQ458729:KSR458729 LCM458729:LCN458729 LMI458729:LMJ458729 LWE458729:LWF458729 MGA458729:MGB458729 MPW458729:MPX458729 MZS458729:MZT458729 NJO458729:NJP458729 NTK458729:NTL458729 ODG458729:ODH458729 ONC458729:OND458729 OWY458729:OWZ458729 PGU458729:PGV458729 PQQ458729:PQR458729 QAM458729:QAN458729 QKI458729:QKJ458729 QUE458729:QUF458729 REA458729:REB458729 RNW458729:RNX458729 RXS458729:RXT458729 SHO458729:SHP458729 SRK458729:SRL458729 TBG458729:TBH458729 TLC458729:TLD458729 TUY458729:TUZ458729 UEU458729:UEV458729 UOQ458729:UOR458729 UYM458729:UYN458729 VII458729:VIJ458729 VSE458729:VSF458729 WCA458729:WCB458729 WLW458729:WLX458729 WVS458729:WVT458729 K524278:L524278 JG524265:JH524265 TC524265:TD524265 ACY524265:ACZ524265 AMU524265:AMV524265 AWQ524265:AWR524265 BGM524265:BGN524265 BQI524265:BQJ524265 CAE524265:CAF524265 CKA524265:CKB524265 CTW524265:CTX524265 DDS524265:DDT524265 DNO524265:DNP524265 DXK524265:DXL524265 EHG524265:EHH524265 ERC524265:ERD524265 FAY524265:FAZ524265 FKU524265:FKV524265 FUQ524265:FUR524265 GEM524265:GEN524265 GOI524265:GOJ524265 GYE524265:GYF524265 HIA524265:HIB524265 HRW524265:HRX524265 IBS524265:IBT524265 ILO524265:ILP524265 IVK524265:IVL524265 JFG524265:JFH524265 JPC524265:JPD524265 JYY524265:JYZ524265 KIU524265:KIV524265 KSQ524265:KSR524265 LCM524265:LCN524265 LMI524265:LMJ524265 LWE524265:LWF524265 MGA524265:MGB524265 MPW524265:MPX524265 MZS524265:MZT524265 NJO524265:NJP524265 NTK524265:NTL524265 ODG524265:ODH524265 ONC524265:OND524265 OWY524265:OWZ524265 PGU524265:PGV524265 PQQ524265:PQR524265 QAM524265:QAN524265 QKI524265:QKJ524265 QUE524265:QUF524265 REA524265:REB524265 RNW524265:RNX524265 RXS524265:RXT524265 SHO524265:SHP524265 SRK524265:SRL524265 TBG524265:TBH524265 TLC524265:TLD524265 TUY524265:TUZ524265 UEU524265:UEV524265 UOQ524265:UOR524265 UYM524265:UYN524265 VII524265:VIJ524265 VSE524265:VSF524265 WCA524265:WCB524265 WLW524265:WLX524265 WVS524265:WVT524265 K589814:L589814 JG589801:JH589801 TC589801:TD589801 ACY589801:ACZ589801 AMU589801:AMV589801 AWQ589801:AWR589801 BGM589801:BGN589801 BQI589801:BQJ589801 CAE589801:CAF589801 CKA589801:CKB589801 CTW589801:CTX589801 DDS589801:DDT589801 DNO589801:DNP589801 DXK589801:DXL589801 EHG589801:EHH589801 ERC589801:ERD589801 FAY589801:FAZ589801 FKU589801:FKV589801 FUQ589801:FUR589801 GEM589801:GEN589801 GOI589801:GOJ589801 GYE589801:GYF589801 HIA589801:HIB589801 HRW589801:HRX589801 IBS589801:IBT589801 ILO589801:ILP589801 IVK589801:IVL589801 JFG589801:JFH589801 JPC589801:JPD589801 JYY589801:JYZ589801 KIU589801:KIV589801 KSQ589801:KSR589801 LCM589801:LCN589801 LMI589801:LMJ589801 LWE589801:LWF589801 MGA589801:MGB589801 MPW589801:MPX589801 MZS589801:MZT589801 NJO589801:NJP589801 NTK589801:NTL589801 ODG589801:ODH589801 ONC589801:OND589801 OWY589801:OWZ589801 PGU589801:PGV589801 PQQ589801:PQR589801 QAM589801:QAN589801 QKI589801:QKJ589801 QUE589801:QUF589801 REA589801:REB589801 RNW589801:RNX589801 RXS589801:RXT589801 SHO589801:SHP589801 SRK589801:SRL589801 TBG589801:TBH589801 TLC589801:TLD589801 TUY589801:TUZ589801 UEU589801:UEV589801 UOQ589801:UOR589801 UYM589801:UYN589801 VII589801:VIJ589801 VSE589801:VSF589801 WCA589801:WCB589801 WLW589801:WLX589801 WVS589801:WVT589801 K655350:L655350 JG655337:JH655337 TC655337:TD655337 ACY655337:ACZ655337 AMU655337:AMV655337 AWQ655337:AWR655337 BGM655337:BGN655337 BQI655337:BQJ655337 CAE655337:CAF655337 CKA655337:CKB655337 CTW655337:CTX655337 DDS655337:DDT655337 DNO655337:DNP655337 DXK655337:DXL655337 EHG655337:EHH655337 ERC655337:ERD655337 FAY655337:FAZ655337 FKU655337:FKV655337 FUQ655337:FUR655337 GEM655337:GEN655337 GOI655337:GOJ655337 GYE655337:GYF655337 HIA655337:HIB655337 HRW655337:HRX655337 IBS655337:IBT655337 ILO655337:ILP655337 IVK655337:IVL655337 JFG655337:JFH655337 JPC655337:JPD655337 JYY655337:JYZ655337 KIU655337:KIV655337 KSQ655337:KSR655337 LCM655337:LCN655337 LMI655337:LMJ655337 LWE655337:LWF655337 MGA655337:MGB655337 MPW655337:MPX655337 MZS655337:MZT655337 NJO655337:NJP655337 NTK655337:NTL655337 ODG655337:ODH655337 ONC655337:OND655337 OWY655337:OWZ655337 PGU655337:PGV655337 PQQ655337:PQR655337 QAM655337:QAN655337 QKI655337:QKJ655337 QUE655337:QUF655337 REA655337:REB655337 RNW655337:RNX655337 RXS655337:RXT655337 SHO655337:SHP655337 SRK655337:SRL655337 TBG655337:TBH655337 TLC655337:TLD655337 TUY655337:TUZ655337 UEU655337:UEV655337 UOQ655337:UOR655337 UYM655337:UYN655337 VII655337:VIJ655337 VSE655337:VSF655337 WCA655337:WCB655337 WLW655337:WLX655337 WVS655337:WVT655337 K720886:L720886 JG720873:JH720873 TC720873:TD720873 ACY720873:ACZ720873 AMU720873:AMV720873 AWQ720873:AWR720873 BGM720873:BGN720873 BQI720873:BQJ720873 CAE720873:CAF720873 CKA720873:CKB720873 CTW720873:CTX720873 DDS720873:DDT720873 DNO720873:DNP720873 DXK720873:DXL720873 EHG720873:EHH720873 ERC720873:ERD720873 FAY720873:FAZ720873 FKU720873:FKV720873 FUQ720873:FUR720873 GEM720873:GEN720873 GOI720873:GOJ720873 GYE720873:GYF720873 HIA720873:HIB720873 HRW720873:HRX720873 IBS720873:IBT720873 ILO720873:ILP720873 IVK720873:IVL720873 JFG720873:JFH720873 JPC720873:JPD720873 JYY720873:JYZ720873 KIU720873:KIV720873 KSQ720873:KSR720873 LCM720873:LCN720873 LMI720873:LMJ720873 LWE720873:LWF720873 MGA720873:MGB720873 MPW720873:MPX720873 MZS720873:MZT720873 NJO720873:NJP720873 NTK720873:NTL720873 ODG720873:ODH720873 ONC720873:OND720873 OWY720873:OWZ720873 PGU720873:PGV720873 PQQ720873:PQR720873 QAM720873:QAN720873 QKI720873:QKJ720873 QUE720873:QUF720873 REA720873:REB720873 RNW720873:RNX720873 RXS720873:RXT720873 SHO720873:SHP720873 SRK720873:SRL720873 TBG720873:TBH720873 TLC720873:TLD720873 TUY720873:TUZ720873 UEU720873:UEV720873 UOQ720873:UOR720873 UYM720873:UYN720873 VII720873:VIJ720873 VSE720873:VSF720873 WCA720873:WCB720873 WLW720873:WLX720873 WVS720873:WVT720873 K786422:L786422 JG786409:JH786409 TC786409:TD786409 ACY786409:ACZ786409 AMU786409:AMV786409 AWQ786409:AWR786409 BGM786409:BGN786409 BQI786409:BQJ786409 CAE786409:CAF786409 CKA786409:CKB786409 CTW786409:CTX786409 DDS786409:DDT786409 DNO786409:DNP786409 DXK786409:DXL786409 EHG786409:EHH786409 ERC786409:ERD786409 FAY786409:FAZ786409 FKU786409:FKV786409 FUQ786409:FUR786409 GEM786409:GEN786409 GOI786409:GOJ786409 GYE786409:GYF786409 HIA786409:HIB786409 HRW786409:HRX786409 IBS786409:IBT786409 ILO786409:ILP786409 IVK786409:IVL786409 JFG786409:JFH786409 JPC786409:JPD786409 JYY786409:JYZ786409 KIU786409:KIV786409 KSQ786409:KSR786409 LCM786409:LCN786409 LMI786409:LMJ786409 LWE786409:LWF786409 MGA786409:MGB786409 MPW786409:MPX786409 MZS786409:MZT786409 NJO786409:NJP786409 NTK786409:NTL786409 ODG786409:ODH786409 ONC786409:OND786409 OWY786409:OWZ786409 PGU786409:PGV786409 PQQ786409:PQR786409 QAM786409:QAN786409 QKI786409:QKJ786409 QUE786409:QUF786409 REA786409:REB786409 RNW786409:RNX786409 RXS786409:RXT786409 SHO786409:SHP786409 SRK786409:SRL786409 TBG786409:TBH786409 TLC786409:TLD786409 TUY786409:TUZ786409 UEU786409:UEV786409 UOQ786409:UOR786409 UYM786409:UYN786409 VII786409:VIJ786409 VSE786409:VSF786409 WCA786409:WCB786409 WLW786409:WLX786409 WVS786409:WVT786409 K851958:L851958 JG851945:JH851945 TC851945:TD851945 ACY851945:ACZ851945 AMU851945:AMV851945 AWQ851945:AWR851945 BGM851945:BGN851945 BQI851945:BQJ851945 CAE851945:CAF851945 CKA851945:CKB851945 CTW851945:CTX851945 DDS851945:DDT851945 DNO851945:DNP851945 DXK851945:DXL851945 EHG851945:EHH851945 ERC851945:ERD851945 FAY851945:FAZ851945 FKU851945:FKV851945 FUQ851945:FUR851945 GEM851945:GEN851945 GOI851945:GOJ851945 GYE851945:GYF851945 HIA851945:HIB851945 HRW851945:HRX851945 IBS851945:IBT851945 ILO851945:ILP851945 IVK851945:IVL851945 JFG851945:JFH851945 JPC851945:JPD851945 JYY851945:JYZ851945 KIU851945:KIV851945 KSQ851945:KSR851945 LCM851945:LCN851945 LMI851945:LMJ851945 LWE851945:LWF851945 MGA851945:MGB851945 MPW851945:MPX851945 MZS851945:MZT851945 NJO851945:NJP851945 NTK851945:NTL851945 ODG851945:ODH851945 ONC851945:OND851945 OWY851945:OWZ851945 PGU851945:PGV851945 PQQ851945:PQR851945 QAM851945:QAN851945 QKI851945:QKJ851945 QUE851945:QUF851945 REA851945:REB851945 RNW851945:RNX851945 RXS851945:RXT851945 SHO851945:SHP851945 SRK851945:SRL851945 TBG851945:TBH851945 TLC851945:TLD851945 TUY851945:TUZ851945 UEU851945:UEV851945 UOQ851945:UOR851945 UYM851945:UYN851945 VII851945:VIJ851945 VSE851945:VSF851945 WCA851945:WCB851945 WLW851945:WLX851945 WVS851945:WVT851945 K917494:L917494 JG917481:JH917481 TC917481:TD917481 ACY917481:ACZ917481 AMU917481:AMV917481 AWQ917481:AWR917481 BGM917481:BGN917481 BQI917481:BQJ917481 CAE917481:CAF917481 CKA917481:CKB917481 CTW917481:CTX917481 DDS917481:DDT917481 DNO917481:DNP917481 DXK917481:DXL917481 EHG917481:EHH917481 ERC917481:ERD917481 FAY917481:FAZ917481 FKU917481:FKV917481 FUQ917481:FUR917481 GEM917481:GEN917481 GOI917481:GOJ917481 GYE917481:GYF917481 HIA917481:HIB917481 HRW917481:HRX917481 IBS917481:IBT917481 ILO917481:ILP917481 IVK917481:IVL917481 JFG917481:JFH917481 JPC917481:JPD917481 JYY917481:JYZ917481 KIU917481:KIV917481 KSQ917481:KSR917481 LCM917481:LCN917481 LMI917481:LMJ917481 LWE917481:LWF917481 MGA917481:MGB917481 MPW917481:MPX917481 MZS917481:MZT917481 NJO917481:NJP917481 NTK917481:NTL917481 ODG917481:ODH917481 ONC917481:OND917481 OWY917481:OWZ917481 PGU917481:PGV917481 PQQ917481:PQR917481 QAM917481:QAN917481 QKI917481:QKJ917481 QUE917481:QUF917481 REA917481:REB917481 RNW917481:RNX917481 RXS917481:RXT917481 SHO917481:SHP917481 SRK917481:SRL917481 TBG917481:TBH917481 TLC917481:TLD917481 TUY917481:TUZ917481 UEU917481:UEV917481 UOQ917481:UOR917481 UYM917481:UYN917481 VII917481:VIJ917481 VSE917481:VSF917481 WCA917481:WCB917481 WLW917481:WLX917481 WVS917481:WVT917481 K983030:L983030 JG983017:JH983017 TC983017:TD983017 ACY983017:ACZ983017 AMU983017:AMV983017 AWQ983017:AWR983017 BGM983017:BGN983017 BQI983017:BQJ983017 CAE983017:CAF983017 CKA983017:CKB983017 CTW983017:CTX983017 DDS983017:DDT983017 DNO983017:DNP983017 DXK983017:DXL983017 EHG983017:EHH983017 ERC983017:ERD983017 FAY983017:FAZ983017 FKU983017:FKV983017 FUQ983017:FUR983017 GEM983017:GEN983017 GOI983017:GOJ983017 GYE983017:GYF983017 HIA983017:HIB983017 HRW983017:HRX983017 IBS983017:IBT983017 ILO983017:ILP983017 IVK983017:IVL983017 JFG983017:JFH983017 JPC983017:JPD983017 JYY983017:JYZ983017 KIU983017:KIV983017 KSQ983017:KSR983017 LCM983017:LCN983017 LMI983017:LMJ983017 LWE983017:LWF983017 MGA983017:MGB983017 MPW983017:MPX983017 MZS983017:MZT983017 NJO983017:NJP983017 NTK983017:NTL983017 ODG983017:ODH983017 ONC983017:OND983017 OWY983017:OWZ983017 PGU983017:PGV983017 PQQ983017:PQR983017 QAM983017:QAN983017 QKI983017:QKJ983017 QUE983017:QUF983017 REA983017:REB983017 RNW983017:RNX983017 RXS983017:RXT983017 SHO983017:SHP983017 SRK983017:SRL983017 TBG983017:TBH983017 TLC983017:TLD983017 TUY983017:TUZ983017 UEU983017:UEV983017 UOQ983017:UOR983017 UYM983017:UYN983017 VII983017:VIJ983017 VSE983017:VSF983017 WCA983017:WCB983017" xr:uid="{00000000-0002-0000-1500-000000000000}">
      <formula1>Aus_MU</formula1>
    </dataValidation>
    <dataValidation type="date" operator="greaterThan" allowBlank="1" showInputMessage="1" showErrorMessage="1" errorTitle="Fehler" error="Geben Sie ein gültiges Datum dd.mm.yyyy ein!" sqref="E15 F12:F14" xr:uid="{00000000-0002-0000-1500-000001000000}">
      <formula1>1</formula1>
    </dataValidation>
  </dataValidations>
  <hyperlinks>
    <hyperlink ref="U10:W11" location="Grunddaten!A1" tooltip="Zurück zu Grunddaten" display="Zurück zu Grunddaten" xr:uid="{00000000-0004-0000-1500-000000000000}"/>
    <hyperlink ref="U10:Z11" location="Grunddaten!E9" tooltip="Zurück zu Grunddaten" display="Zurück zu Grunddaten" xr:uid="{00000000-0004-0000-1500-000001000000}"/>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ignoredErrors>
    <ignoredError sqref="N38 J38" evalError="1"/>
  </ignoredErrors>
  <drawing r:id="rId2"/>
  <legacyDrawing r:id="rId3"/>
  <extLst>
    <ext xmlns:x14="http://schemas.microsoft.com/office/spreadsheetml/2009/9/main" uri="{CCE6A557-97BC-4b89-ADB6-D9C93CAAB3DF}">
      <x14:dataValidations xmlns:xm="http://schemas.microsoft.com/office/excel/2006/main" count="2">
        <x14:dataValidation type="list" allowBlank="1" showDropDown="1" showInputMessage="1" error="Bitte MU per DropDown auswählen." xr:uid="{00000000-0002-0000-1500-000002000000}">
          <x14:formula1>
            <xm:f>'MU-Daten'!$U:$U</xm:f>
          </x14:formula1>
          <xm:sqref>H18:I18</xm:sqref>
        </x14:dataValidation>
        <x14:dataValidation type="list" allowBlank="1" showDropDown="1" showInputMessage="1" xr:uid="{00000000-0002-0000-1500-000003000000}">
          <x14:formula1>
            <xm:f>'MU-Daten'!$U:$U</xm:f>
          </x14:formula1>
          <xm:sqref>H21:I21</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121">
    <pageSetUpPr fitToPage="1"/>
  </sheetPr>
  <dimension ref="A1:AW85"/>
  <sheetViews>
    <sheetView zoomScaleNormal="100" workbookViewId="0">
      <selection activeCell="O11" sqref="O11"/>
    </sheetView>
  </sheetViews>
  <sheetFormatPr baseColWidth="10" defaultColWidth="4.5703125" defaultRowHeight="12.75" x14ac:dyDescent="0.2"/>
  <cols>
    <col min="1" max="1" width="2" style="284" customWidth="1"/>
    <col min="2" max="2" width="3.5703125" style="284" customWidth="1"/>
    <col min="3" max="9" width="4.5703125" style="284"/>
    <col min="10" max="10" width="4.5703125" style="284" customWidth="1"/>
    <col min="11" max="11" width="9.7109375" style="284" customWidth="1"/>
    <col min="12" max="12" width="4.5703125" style="284"/>
    <col min="13" max="13" width="4.42578125" style="284" customWidth="1"/>
    <col min="14" max="14" width="8" style="284" customWidth="1"/>
    <col min="15" max="15" width="4.5703125" style="284" customWidth="1"/>
    <col min="16" max="17" width="4.5703125" style="284"/>
    <col min="18" max="18" width="6.7109375" style="284" customWidth="1"/>
    <col min="19" max="19" width="2.7109375" style="284" customWidth="1"/>
    <col min="20" max="20" width="4.5703125" style="284"/>
    <col min="21" max="21" width="7.5703125" style="284" customWidth="1"/>
    <col min="22" max="22" width="2.42578125" style="284" customWidth="1"/>
    <col min="23" max="24" width="4.5703125" style="284"/>
    <col min="25" max="36" width="4.5703125" style="327"/>
    <col min="37" max="38" width="14.85546875" style="327" hidden="1" customWidth="1"/>
    <col min="39" max="40" width="20.140625" style="327" hidden="1" customWidth="1"/>
    <col min="41" max="41" width="15.28515625" style="284" hidden="1" customWidth="1"/>
    <col min="42" max="42" width="15.140625" style="284" hidden="1" customWidth="1"/>
    <col min="43" max="43" width="19.140625" style="284" hidden="1" customWidth="1"/>
    <col min="44" max="44" width="9.140625" style="284" hidden="1" customWidth="1"/>
    <col min="45" max="45" width="10.42578125" style="284" hidden="1" customWidth="1"/>
    <col min="46" max="46" width="10.5703125" style="284" hidden="1" customWidth="1"/>
    <col min="47" max="47" width="4.5703125" style="284" hidden="1" customWidth="1"/>
    <col min="48" max="48" width="9.42578125" style="284" hidden="1" customWidth="1"/>
    <col min="49" max="49" width="11.42578125" style="284" hidden="1" customWidth="1"/>
    <col min="50" max="50" width="4.5703125" style="284" customWidth="1"/>
    <col min="51" max="260" width="4.5703125" style="284"/>
    <col min="261" max="261" width="3.5703125" style="284" customWidth="1"/>
    <col min="262" max="280" width="4.5703125" style="284"/>
    <col min="281" max="281" width="7.5703125" style="284" customWidth="1"/>
    <col min="282" max="282" width="2.42578125" style="284" customWidth="1"/>
    <col min="283" max="301" width="4.5703125" style="284"/>
    <col min="302" max="302" width="10.5703125" style="284" customWidth="1"/>
    <col min="303" max="303" width="4.5703125" style="284"/>
    <col min="304" max="304" width="9.42578125" style="284" customWidth="1"/>
    <col min="305" max="305" width="11.42578125" style="284" customWidth="1"/>
    <col min="306" max="516" width="4.5703125" style="284"/>
    <col min="517" max="517" width="3.5703125" style="284" customWidth="1"/>
    <col min="518" max="536" width="4.5703125" style="284"/>
    <col min="537" max="537" width="7.5703125" style="284" customWidth="1"/>
    <col min="538" max="538" width="2.42578125" style="284" customWidth="1"/>
    <col min="539" max="557" width="4.5703125" style="284"/>
    <col min="558" max="558" width="10.5703125" style="284" customWidth="1"/>
    <col min="559" max="559" width="4.5703125" style="284"/>
    <col min="560" max="560" width="9.42578125" style="284" customWidth="1"/>
    <col min="561" max="561" width="11.42578125" style="284" customWidth="1"/>
    <col min="562" max="772" width="4.5703125" style="284"/>
    <col min="773" max="773" width="3.5703125" style="284" customWidth="1"/>
    <col min="774" max="792" width="4.5703125" style="284"/>
    <col min="793" max="793" width="7.5703125" style="284" customWidth="1"/>
    <col min="794" max="794" width="2.42578125" style="284" customWidth="1"/>
    <col min="795" max="813" width="4.5703125" style="284"/>
    <col min="814" max="814" width="10.5703125" style="284" customWidth="1"/>
    <col min="815" max="815" width="4.5703125" style="284"/>
    <col min="816" max="816" width="9.42578125" style="284" customWidth="1"/>
    <col min="817" max="817" width="11.42578125" style="284" customWidth="1"/>
    <col min="818" max="1028" width="4.5703125" style="284"/>
    <col min="1029" max="1029" width="3.5703125" style="284" customWidth="1"/>
    <col min="1030" max="1048" width="4.5703125" style="284"/>
    <col min="1049" max="1049" width="7.5703125" style="284" customWidth="1"/>
    <col min="1050" max="1050" width="2.42578125" style="284" customWidth="1"/>
    <col min="1051" max="1069" width="4.5703125" style="284"/>
    <col min="1070" max="1070" width="10.5703125" style="284" customWidth="1"/>
    <col min="1071" max="1071" width="4.5703125" style="284"/>
    <col min="1072" max="1072" width="9.42578125" style="284" customWidth="1"/>
    <col min="1073" max="1073" width="11.42578125" style="284" customWidth="1"/>
    <col min="1074" max="1284" width="4.5703125" style="284"/>
    <col min="1285" max="1285" width="3.5703125" style="284" customWidth="1"/>
    <col min="1286" max="1304" width="4.5703125" style="284"/>
    <col min="1305" max="1305" width="7.5703125" style="284" customWidth="1"/>
    <col min="1306" max="1306" width="2.42578125" style="284" customWidth="1"/>
    <col min="1307" max="1325" width="4.5703125" style="284"/>
    <col min="1326" max="1326" width="10.5703125" style="284" customWidth="1"/>
    <col min="1327" max="1327" width="4.5703125" style="284"/>
    <col min="1328" max="1328" width="9.42578125" style="284" customWidth="1"/>
    <col min="1329" max="1329" width="11.42578125" style="284" customWidth="1"/>
    <col min="1330" max="1540" width="4.5703125" style="284"/>
    <col min="1541" max="1541" width="3.5703125" style="284" customWidth="1"/>
    <col min="1542" max="1560" width="4.5703125" style="284"/>
    <col min="1561" max="1561" width="7.5703125" style="284" customWidth="1"/>
    <col min="1562" max="1562" width="2.42578125" style="284" customWidth="1"/>
    <col min="1563" max="1581" width="4.5703125" style="284"/>
    <col min="1582" max="1582" width="10.5703125" style="284" customWidth="1"/>
    <col min="1583" max="1583" width="4.5703125" style="284"/>
    <col min="1584" max="1584" width="9.42578125" style="284" customWidth="1"/>
    <col min="1585" max="1585" width="11.42578125" style="284" customWidth="1"/>
    <col min="1586" max="1796" width="4.5703125" style="284"/>
    <col min="1797" max="1797" width="3.5703125" style="284" customWidth="1"/>
    <col min="1798" max="1816" width="4.5703125" style="284"/>
    <col min="1817" max="1817" width="7.5703125" style="284" customWidth="1"/>
    <col min="1818" max="1818" width="2.42578125" style="284" customWidth="1"/>
    <col min="1819" max="1837" width="4.5703125" style="284"/>
    <col min="1838" max="1838" width="10.5703125" style="284" customWidth="1"/>
    <col min="1839" max="1839" width="4.5703125" style="284"/>
    <col min="1840" max="1840" width="9.42578125" style="284" customWidth="1"/>
    <col min="1841" max="1841" width="11.42578125" style="284" customWidth="1"/>
    <col min="1842" max="2052" width="4.5703125" style="284"/>
    <col min="2053" max="2053" width="3.5703125" style="284" customWidth="1"/>
    <col min="2054" max="2072" width="4.5703125" style="284"/>
    <col min="2073" max="2073" width="7.5703125" style="284" customWidth="1"/>
    <col min="2074" max="2074" width="2.42578125" style="284" customWidth="1"/>
    <col min="2075" max="2093" width="4.5703125" style="284"/>
    <col min="2094" max="2094" width="10.5703125" style="284" customWidth="1"/>
    <col min="2095" max="2095" width="4.5703125" style="284"/>
    <col min="2096" max="2096" width="9.42578125" style="284" customWidth="1"/>
    <col min="2097" max="2097" width="11.42578125" style="284" customWidth="1"/>
    <col min="2098" max="2308" width="4.5703125" style="284"/>
    <col min="2309" max="2309" width="3.5703125" style="284" customWidth="1"/>
    <col min="2310" max="2328" width="4.5703125" style="284"/>
    <col min="2329" max="2329" width="7.5703125" style="284" customWidth="1"/>
    <col min="2330" max="2330" width="2.42578125" style="284" customWidth="1"/>
    <col min="2331" max="2349" width="4.5703125" style="284"/>
    <col min="2350" max="2350" width="10.5703125" style="284" customWidth="1"/>
    <col min="2351" max="2351" width="4.5703125" style="284"/>
    <col min="2352" max="2352" width="9.42578125" style="284" customWidth="1"/>
    <col min="2353" max="2353" width="11.42578125" style="284" customWidth="1"/>
    <col min="2354" max="2564" width="4.5703125" style="284"/>
    <col min="2565" max="2565" width="3.5703125" style="284" customWidth="1"/>
    <col min="2566" max="2584" width="4.5703125" style="284"/>
    <col min="2585" max="2585" width="7.5703125" style="284" customWidth="1"/>
    <col min="2586" max="2586" width="2.42578125" style="284" customWidth="1"/>
    <col min="2587" max="2605" width="4.5703125" style="284"/>
    <col min="2606" max="2606" width="10.5703125" style="284" customWidth="1"/>
    <col min="2607" max="2607" width="4.5703125" style="284"/>
    <col min="2608" max="2608" width="9.42578125" style="284" customWidth="1"/>
    <col min="2609" max="2609" width="11.42578125" style="284" customWidth="1"/>
    <col min="2610" max="2820" width="4.5703125" style="284"/>
    <col min="2821" max="2821" width="3.5703125" style="284" customWidth="1"/>
    <col min="2822" max="2840" width="4.5703125" style="284"/>
    <col min="2841" max="2841" width="7.5703125" style="284" customWidth="1"/>
    <col min="2842" max="2842" width="2.42578125" style="284" customWidth="1"/>
    <col min="2843" max="2861" width="4.5703125" style="284"/>
    <col min="2862" max="2862" width="10.5703125" style="284" customWidth="1"/>
    <col min="2863" max="2863" width="4.5703125" style="284"/>
    <col min="2864" max="2864" width="9.42578125" style="284" customWidth="1"/>
    <col min="2865" max="2865" width="11.42578125" style="284" customWidth="1"/>
    <col min="2866" max="3076" width="4.5703125" style="284"/>
    <col min="3077" max="3077" width="3.5703125" style="284" customWidth="1"/>
    <col min="3078" max="3096" width="4.5703125" style="284"/>
    <col min="3097" max="3097" width="7.5703125" style="284" customWidth="1"/>
    <col min="3098" max="3098" width="2.42578125" style="284" customWidth="1"/>
    <col min="3099" max="3117" width="4.5703125" style="284"/>
    <col min="3118" max="3118" width="10.5703125" style="284" customWidth="1"/>
    <col min="3119" max="3119" width="4.5703125" style="284"/>
    <col min="3120" max="3120" width="9.42578125" style="284" customWidth="1"/>
    <col min="3121" max="3121" width="11.42578125" style="284" customWidth="1"/>
    <col min="3122" max="3332" width="4.5703125" style="284"/>
    <col min="3333" max="3333" width="3.5703125" style="284" customWidth="1"/>
    <col min="3334" max="3352" width="4.5703125" style="284"/>
    <col min="3353" max="3353" width="7.5703125" style="284" customWidth="1"/>
    <col min="3354" max="3354" width="2.42578125" style="284" customWidth="1"/>
    <col min="3355" max="3373" width="4.5703125" style="284"/>
    <col min="3374" max="3374" width="10.5703125" style="284" customWidth="1"/>
    <col min="3375" max="3375" width="4.5703125" style="284"/>
    <col min="3376" max="3376" width="9.42578125" style="284" customWidth="1"/>
    <col min="3377" max="3377" width="11.42578125" style="284" customWidth="1"/>
    <col min="3378" max="3588" width="4.5703125" style="284"/>
    <col min="3589" max="3589" width="3.5703125" style="284" customWidth="1"/>
    <col min="3590" max="3608" width="4.5703125" style="284"/>
    <col min="3609" max="3609" width="7.5703125" style="284" customWidth="1"/>
    <col min="3610" max="3610" width="2.42578125" style="284" customWidth="1"/>
    <col min="3611" max="3629" width="4.5703125" style="284"/>
    <col min="3630" max="3630" width="10.5703125" style="284" customWidth="1"/>
    <col min="3631" max="3631" width="4.5703125" style="284"/>
    <col min="3632" max="3632" width="9.42578125" style="284" customWidth="1"/>
    <col min="3633" max="3633" width="11.42578125" style="284" customWidth="1"/>
    <col min="3634" max="3844" width="4.5703125" style="284"/>
    <col min="3845" max="3845" width="3.5703125" style="284" customWidth="1"/>
    <col min="3846" max="3864" width="4.5703125" style="284"/>
    <col min="3865" max="3865" width="7.5703125" style="284" customWidth="1"/>
    <col min="3866" max="3866" width="2.42578125" style="284" customWidth="1"/>
    <col min="3867" max="3885" width="4.5703125" style="284"/>
    <col min="3886" max="3886" width="10.5703125" style="284" customWidth="1"/>
    <col min="3887" max="3887" width="4.5703125" style="284"/>
    <col min="3888" max="3888" width="9.42578125" style="284" customWidth="1"/>
    <col min="3889" max="3889" width="11.42578125" style="284" customWidth="1"/>
    <col min="3890" max="4100" width="4.5703125" style="284"/>
    <col min="4101" max="4101" width="3.5703125" style="284" customWidth="1"/>
    <col min="4102" max="4120" width="4.5703125" style="284"/>
    <col min="4121" max="4121" width="7.5703125" style="284" customWidth="1"/>
    <col min="4122" max="4122" width="2.42578125" style="284" customWidth="1"/>
    <col min="4123" max="4141" width="4.5703125" style="284"/>
    <col min="4142" max="4142" width="10.5703125" style="284" customWidth="1"/>
    <col min="4143" max="4143" width="4.5703125" style="284"/>
    <col min="4144" max="4144" width="9.42578125" style="284" customWidth="1"/>
    <col min="4145" max="4145" width="11.42578125" style="284" customWidth="1"/>
    <col min="4146" max="4356" width="4.5703125" style="284"/>
    <col min="4357" max="4357" width="3.5703125" style="284" customWidth="1"/>
    <col min="4358" max="4376" width="4.5703125" style="284"/>
    <col min="4377" max="4377" width="7.5703125" style="284" customWidth="1"/>
    <col min="4378" max="4378" width="2.42578125" style="284" customWidth="1"/>
    <col min="4379" max="4397" width="4.5703125" style="284"/>
    <col min="4398" max="4398" width="10.5703125" style="284" customWidth="1"/>
    <col min="4399" max="4399" width="4.5703125" style="284"/>
    <col min="4400" max="4400" width="9.42578125" style="284" customWidth="1"/>
    <col min="4401" max="4401" width="11.42578125" style="284" customWidth="1"/>
    <col min="4402" max="4612" width="4.5703125" style="284"/>
    <col min="4613" max="4613" width="3.5703125" style="284" customWidth="1"/>
    <col min="4614" max="4632" width="4.5703125" style="284"/>
    <col min="4633" max="4633" width="7.5703125" style="284" customWidth="1"/>
    <col min="4634" max="4634" width="2.42578125" style="284" customWidth="1"/>
    <col min="4635" max="4653" width="4.5703125" style="284"/>
    <col min="4654" max="4654" width="10.5703125" style="284" customWidth="1"/>
    <col min="4655" max="4655" width="4.5703125" style="284"/>
    <col min="4656" max="4656" width="9.42578125" style="284" customWidth="1"/>
    <col min="4657" max="4657" width="11.42578125" style="284" customWidth="1"/>
    <col min="4658" max="4868" width="4.5703125" style="284"/>
    <col min="4869" max="4869" width="3.5703125" style="284" customWidth="1"/>
    <col min="4870" max="4888" width="4.5703125" style="284"/>
    <col min="4889" max="4889" width="7.5703125" style="284" customWidth="1"/>
    <col min="4890" max="4890" width="2.42578125" style="284" customWidth="1"/>
    <col min="4891" max="4909" width="4.5703125" style="284"/>
    <col min="4910" max="4910" width="10.5703125" style="284" customWidth="1"/>
    <col min="4911" max="4911" width="4.5703125" style="284"/>
    <col min="4912" max="4912" width="9.42578125" style="284" customWidth="1"/>
    <col min="4913" max="4913" width="11.42578125" style="284" customWidth="1"/>
    <col min="4914" max="5124" width="4.5703125" style="284"/>
    <col min="5125" max="5125" width="3.5703125" style="284" customWidth="1"/>
    <col min="5126" max="5144" width="4.5703125" style="284"/>
    <col min="5145" max="5145" width="7.5703125" style="284" customWidth="1"/>
    <col min="5146" max="5146" width="2.42578125" style="284" customWidth="1"/>
    <col min="5147" max="5165" width="4.5703125" style="284"/>
    <col min="5166" max="5166" width="10.5703125" style="284" customWidth="1"/>
    <col min="5167" max="5167" width="4.5703125" style="284"/>
    <col min="5168" max="5168" width="9.42578125" style="284" customWidth="1"/>
    <col min="5169" max="5169" width="11.42578125" style="284" customWidth="1"/>
    <col min="5170" max="5380" width="4.5703125" style="284"/>
    <col min="5381" max="5381" width="3.5703125" style="284" customWidth="1"/>
    <col min="5382" max="5400" width="4.5703125" style="284"/>
    <col min="5401" max="5401" width="7.5703125" style="284" customWidth="1"/>
    <col min="5402" max="5402" width="2.42578125" style="284" customWidth="1"/>
    <col min="5403" max="5421" width="4.5703125" style="284"/>
    <col min="5422" max="5422" width="10.5703125" style="284" customWidth="1"/>
    <col min="5423" max="5423" width="4.5703125" style="284"/>
    <col min="5424" max="5424" width="9.42578125" style="284" customWidth="1"/>
    <col min="5425" max="5425" width="11.42578125" style="284" customWidth="1"/>
    <col min="5426" max="5636" width="4.5703125" style="284"/>
    <col min="5637" max="5637" width="3.5703125" style="284" customWidth="1"/>
    <col min="5638" max="5656" width="4.5703125" style="284"/>
    <col min="5657" max="5657" width="7.5703125" style="284" customWidth="1"/>
    <col min="5658" max="5658" width="2.42578125" style="284" customWidth="1"/>
    <col min="5659" max="5677" width="4.5703125" style="284"/>
    <col min="5678" max="5678" width="10.5703125" style="284" customWidth="1"/>
    <col min="5679" max="5679" width="4.5703125" style="284"/>
    <col min="5680" max="5680" width="9.42578125" style="284" customWidth="1"/>
    <col min="5681" max="5681" width="11.42578125" style="284" customWidth="1"/>
    <col min="5682" max="5892" width="4.5703125" style="284"/>
    <col min="5893" max="5893" width="3.5703125" style="284" customWidth="1"/>
    <col min="5894" max="5912" width="4.5703125" style="284"/>
    <col min="5913" max="5913" width="7.5703125" style="284" customWidth="1"/>
    <col min="5914" max="5914" width="2.42578125" style="284" customWidth="1"/>
    <col min="5915" max="5933" width="4.5703125" style="284"/>
    <col min="5934" max="5934" width="10.5703125" style="284" customWidth="1"/>
    <col min="5935" max="5935" width="4.5703125" style="284"/>
    <col min="5936" max="5936" width="9.42578125" style="284" customWidth="1"/>
    <col min="5937" max="5937" width="11.42578125" style="284" customWidth="1"/>
    <col min="5938" max="6148" width="4.5703125" style="284"/>
    <col min="6149" max="6149" width="3.5703125" style="284" customWidth="1"/>
    <col min="6150" max="6168" width="4.5703125" style="284"/>
    <col min="6169" max="6169" width="7.5703125" style="284" customWidth="1"/>
    <col min="6170" max="6170" width="2.42578125" style="284" customWidth="1"/>
    <col min="6171" max="6189" width="4.5703125" style="284"/>
    <col min="6190" max="6190" width="10.5703125" style="284" customWidth="1"/>
    <col min="6191" max="6191" width="4.5703125" style="284"/>
    <col min="6192" max="6192" width="9.42578125" style="284" customWidth="1"/>
    <col min="6193" max="6193" width="11.42578125" style="284" customWidth="1"/>
    <col min="6194" max="6404" width="4.5703125" style="284"/>
    <col min="6405" max="6405" width="3.5703125" style="284" customWidth="1"/>
    <col min="6406" max="6424" width="4.5703125" style="284"/>
    <col min="6425" max="6425" width="7.5703125" style="284" customWidth="1"/>
    <col min="6426" max="6426" width="2.42578125" style="284" customWidth="1"/>
    <col min="6427" max="6445" width="4.5703125" style="284"/>
    <col min="6446" max="6446" width="10.5703125" style="284" customWidth="1"/>
    <col min="6447" max="6447" width="4.5703125" style="284"/>
    <col min="6448" max="6448" width="9.42578125" style="284" customWidth="1"/>
    <col min="6449" max="6449" width="11.42578125" style="284" customWidth="1"/>
    <col min="6450" max="6660" width="4.5703125" style="284"/>
    <col min="6661" max="6661" width="3.5703125" style="284" customWidth="1"/>
    <col min="6662" max="6680" width="4.5703125" style="284"/>
    <col min="6681" max="6681" width="7.5703125" style="284" customWidth="1"/>
    <col min="6682" max="6682" width="2.42578125" style="284" customWidth="1"/>
    <col min="6683" max="6701" width="4.5703125" style="284"/>
    <col min="6702" max="6702" width="10.5703125" style="284" customWidth="1"/>
    <col min="6703" max="6703" width="4.5703125" style="284"/>
    <col min="6704" max="6704" width="9.42578125" style="284" customWidth="1"/>
    <col min="6705" max="6705" width="11.42578125" style="284" customWidth="1"/>
    <col min="6706" max="6916" width="4.5703125" style="284"/>
    <col min="6917" max="6917" width="3.5703125" style="284" customWidth="1"/>
    <col min="6918" max="6936" width="4.5703125" style="284"/>
    <col min="6937" max="6937" width="7.5703125" style="284" customWidth="1"/>
    <col min="6938" max="6938" width="2.42578125" style="284" customWidth="1"/>
    <col min="6939" max="6957" width="4.5703125" style="284"/>
    <col min="6958" max="6958" width="10.5703125" style="284" customWidth="1"/>
    <col min="6959" max="6959" width="4.5703125" style="284"/>
    <col min="6960" max="6960" width="9.42578125" style="284" customWidth="1"/>
    <col min="6961" max="6961" width="11.42578125" style="284" customWidth="1"/>
    <col min="6962" max="7172" width="4.5703125" style="284"/>
    <col min="7173" max="7173" width="3.5703125" style="284" customWidth="1"/>
    <col min="7174" max="7192" width="4.5703125" style="284"/>
    <col min="7193" max="7193" width="7.5703125" style="284" customWidth="1"/>
    <col min="7194" max="7194" width="2.42578125" style="284" customWidth="1"/>
    <col min="7195" max="7213" width="4.5703125" style="284"/>
    <col min="7214" max="7214" width="10.5703125" style="284" customWidth="1"/>
    <col min="7215" max="7215" width="4.5703125" style="284"/>
    <col min="7216" max="7216" width="9.42578125" style="284" customWidth="1"/>
    <col min="7217" max="7217" width="11.42578125" style="284" customWidth="1"/>
    <col min="7218" max="7428" width="4.5703125" style="284"/>
    <col min="7429" max="7429" width="3.5703125" style="284" customWidth="1"/>
    <col min="7430" max="7448" width="4.5703125" style="284"/>
    <col min="7449" max="7449" width="7.5703125" style="284" customWidth="1"/>
    <col min="7450" max="7450" width="2.42578125" style="284" customWidth="1"/>
    <col min="7451" max="7469" width="4.5703125" style="284"/>
    <col min="7470" max="7470" width="10.5703125" style="284" customWidth="1"/>
    <col min="7471" max="7471" width="4.5703125" style="284"/>
    <col min="7472" max="7472" width="9.42578125" style="284" customWidth="1"/>
    <col min="7473" max="7473" width="11.42578125" style="284" customWidth="1"/>
    <col min="7474" max="7684" width="4.5703125" style="284"/>
    <col min="7685" max="7685" width="3.5703125" style="284" customWidth="1"/>
    <col min="7686" max="7704" width="4.5703125" style="284"/>
    <col min="7705" max="7705" width="7.5703125" style="284" customWidth="1"/>
    <col min="7706" max="7706" width="2.42578125" style="284" customWidth="1"/>
    <col min="7707" max="7725" width="4.5703125" style="284"/>
    <col min="7726" max="7726" width="10.5703125" style="284" customWidth="1"/>
    <col min="7727" max="7727" width="4.5703125" style="284"/>
    <col min="7728" max="7728" width="9.42578125" style="284" customWidth="1"/>
    <col min="7729" max="7729" width="11.42578125" style="284" customWidth="1"/>
    <col min="7730" max="7940" width="4.5703125" style="284"/>
    <col min="7941" max="7941" width="3.5703125" style="284" customWidth="1"/>
    <col min="7942" max="7960" width="4.5703125" style="284"/>
    <col min="7961" max="7961" width="7.5703125" style="284" customWidth="1"/>
    <col min="7962" max="7962" width="2.42578125" style="284" customWidth="1"/>
    <col min="7963" max="7981" width="4.5703125" style="284"/>
    <col min="7982" max="7982" width="10.5703125" style="284" customWidth="1"/>
    <col min="7983" max="7983" width="4.5703125" style="284"/>
    <col min="7984" max="7984" width="9.42578125" style="284" customWidth="1"/>
    <col min="7985" max="7985" width="11.42578125" style="284" customWidth="1"/>
    <col min="7986" max="8196" width="4.5703125" style="284"/>
    <col min="8197" max="8197" width="3.5703125" style="284" customWidth="1"/>
    <col min="8198" max="8216" width="4.5703125" style="284"/>
    <col min="8217" max="8217" width="7.5703125" style="284" customWidth="1"/>
    <col min="8218" max="8218" width="2.42578125" style="284" customWidth="1"/>
    <col min="8219" max="8237" width="4.5703125" style="284"/>
    <col min="8238" max="8238" width="10.5703125" style="284" customWidth="1"/>
    <col min="8239" max="8239" width="4.5703125" style="284"/>
    <col min="8240" max="8240" width="9.42578125" style="284" customWidth="1"/>
    <col min="8241" max="8241" width="11.42578125" style="284" customWidth="1"/>
    <col min="8242" max="8452" width="4.5703125" style="284"/>
    <col min="8453" max="8453" width="3.5703125" style="284" customWidth="1"/>
    <col min="8454" max="8472" width="4.5703125" style="284"/>
    <col min="8473" max="8473" width="7.5703125" style="284" customWidth="1"/>
    <col min="8474" max="8474" width="2.42578125" style="284" customWidth="1"/>
    <col min="8475" max="8493" width="4.5703125" style="284"/>
    <col min="8494" max="8494" width="10.5703125" style="284" customWidth="1"/>
    <col min="8495" max="8495" width="4.5703125" style="284"/>
    <col min="8496" max="8496" width="9.42578125" style="284" customWidth="1"/>
    <col min="8497" max="8497" width="11.42578125" style="284" customWidth="1"/>
    <col min="8498" max="8708" width="4.5703125" style="284"/>
    <col min="8709" max="8709" width="3.5703125" style="284" customWidth="1"/>
    <col min="8710" max="8728" width="4.5703125" style="284"/>
    <col min="8729" max="8729" width="7.5703125" style="284" customWidth="1"/>
    <col min="8730" max="8730" width="2.42578125" style="284" customWidth="1"/>
    <col min="8731" max="8749" width="4.5703125" style="284"/>
    <col min="8750" max="8750" width="10.5703125" style="284" customWidth="1"/>
    <col min="8751" max="8751" width="4.5703125" style="284"/>
    <col min="8752" max="8752" width="9.42578125" style="284" customWidth="1"/>
    <col min="8753" max="8753" width="11.42578125" style="284" customWidth="1"/>
    <col min="8754" max="8964" width="4.5703125" style="284"/>
    <col min="8965" max="8965" width="3.5703125" style="284" customWidth="1"/>
    <col min="8966" max="8984" width="4.5703125" style="284"/>
    <col min="8985" max="8985" width="7.5703125" style="284" customWidth="1"/>
    <col min="8986" max="8986" width="2.42578125" style="284" customWidth="1"/>
    <col min="8987" max="9005" width="4.5703125" style="284"/>
    <col min="9006" max="9006" width="10.5703125" style="284" customWidth="1"/>
    <col min="9007" max="9007" width="4.5703125" style="284"/>
    <col min="9008" max="9008" width="9.42578125" style="284" customWidth="1"/>
    <col min="9009" max="9009" width="11.42578125" style="284" customWidth="1"/>
    <col min="9010" max="9220" width="4.5703125" style="284"/>
    <col min="9221" max="9221" width="3.5703125" style="284" customWidth="1"/>
    <col min="9222" max="9240" width="4.5703125" style="284"/>
    <col min="9241" max="9241" width="7.5703125" style="284" customWidth="1"/>
    <col min="9242" max="9242" width="2.42578125" style="284" customWidth="1"/>
    <col min="9243" max="9261" width="4.5703125" style="284"/>
    <col min="9262" max="9262" width="10.5703125" style="284" customWidth="1"/>
    <col min="9263" max="9263" width="4.5703125" style="284"/>
    <col min="9264" max="9264" width="9.42578125" style="284" customWidth="1"/>
    <col min="9265" max="9265" width="11.42578125" style="284" customWidth="1"/>
    <col min="9266" max="9476" width="4.5703125" style="284"/>
    <col min="9477" max="9477" width="3.5703125" style="284" customWidth="1"/>
    <col min="9478" max="9496" width="4.5703125" style="284"/>
    <col min="9497" max="9497" width="7.5703125" style="284" customWidth="1"/>
    <col min="9498" max="9498" width="2.42578125" style="284" customWidth="1"/>
    <col min="9499" max="9517" width="4.5703125" style="284"/>
    <col min="9518" max="9518" width="10.5703125" style="284" customWidth="1"/>
    <col min="9519" max="9519" width="4.5703125" style="284"/>
    <col min="9520" max="9520" width="9.42578125" style="284" customWidth="1"/>
    <col min="9521" max="9521" width="11.42578125" style="284" customWidth="1"/>
    <col min="9522" max="9732" width="4.5703125" style="284"/>
    <col min="9733" max="9733" width="3.5703125" style="284" customWidth="1"/>
    <col min="9734" max="9752" width="4.5703125" style="284"/>
    <col min="9753" max="9753" width="7.5703125" style="284" customWidth="1"/>
    <col min="9754" max="9754" width="2.42578125" style="284" customWidth="1"/>
    <col min="9755" max="9773" width="4.5703125" style="284"/>
    <col min="9774" max="9774" width="10.5703125" style="284" customWidth="1"/>
    <col min="9775" max="9775" width="4.5703125" style="284"/>
    <col min="9776" max="9776" width="9.42578125" style="284" customWidth="1"/>
    <col min="9777" max="9777" width="11.42578125" style="284" customWidth="1"/>
    <col min="9778" max="9988" width="4.5703125" style="284"/>
    <col min="9989" max="9989" width="3.5703125" style="284" customWidth="1"/>
    <col min="9990" max="10008" width="4.5703125" style="284"/>
    <col min="10009" max="10009" width="7.5703125" style="284" customWidth="1"/>
    <col min="10010" max="10010" width="2.42578125" style="284" customWidth="1"/>
    <col min="10011" max="10029" width="4.5703125" style="284"/>
    <col min="10030" max="10030" width="10.5703125" style="284" customWidth="1"/>
    <col min="10031" max="10031" width="4.5703125" style="284"/>
    <col min="10032" max="10032" width="9.42578125" style="284" customWidth="1"/>
    <col min="10033" max="10033" width="11.42578125" style="284" customWidth="1"/>
    <col min="10034" max="10244" width="4.5703125" style="284"/>
    <col min="10245" max="10245" width="3.5703125" style="284" customWidth="1"/>
    <col min="10246" max="10264" width="4.5703125" style="284"/>
    <col min="10265" max="10265" width="7.5703125" style="284" customWidth="1"/>
    <col min="10266" max="10266" width="2.42578125" style="284" customWidth="1"/>
    <col min="10267" max="10285" width="4.5703125" style="284"/>
    <col min="10286" max="10286" width="10.5703125" style="284" customWidth="1"/>
    <col min="10287" max="10287" width="4.5703125" style="284"/>
    <col min="10288" max="10288" width="9.42578125" style="284" customWidth="1"/>
    <col min="10289" max="10289" width="11.42578125" style="284" customWidth="1"/>
    <col min="10290" max="10500" width="4.5703125" style="284"/>
    <col min="10501" max="10501" width="3.5703125" style="284" customWidth="1"/>
    <col min="10502" max="10520" width="4.5703125" style="284"/>
    <col min="10521" max="10521" width="7.5703125" style="284" customWidth="1"/>
    <col min="10522" max="10522" width="2.42578125" style="284" customWidth="1"/>
    <col min="10523" max="10541" width="4.5703125" style="284"/>
    <col min="10542" max="10542" width="10.5703125" style="284" customWidth="1"/>
    <col min="10543" max="10543" width="4.5703125" style="284"/>
    <col min="10544" max="10544" width="9.42578125" style="284" customWidth="1"/>
    <col min="10545" max="10545" width="11.42578125" style="284" customWidth="1"/>
    <col min="10546" max="10756" width="4.5703125" style="284"/>
    <col min="10757" max="10757" width="3.5703125" style="284" customWidth="1"/>
    <col min="10758" max="10776" width="4.5703125" style="284"/>
    <col min="10777" max="10777" width="7.5703125" style="284" customWidth="1"/>
    <col min="10778" max="10778" width="2.42578125" style="284" customWidth="1"/>
    <col min="10779" max="10797" width="4.5703125" style="284"/>
    <col min="10798" max="10798" width="10.5703125" style="284" customWidth="1"/>
    <col min="10799" max="10799" width="4.5703125" style="284"/>
    <col min="10800" max="10800" width="9.42578125" style="284" customWidth="1"/>
    <col min="10801" max="10801" width="11.42578125" style="284" customWidth="1"/>
    <col min="10802" max="11012" width="4.5703125" style="284"/>
    <col min="11013" max="11013" width="3.5703125" style="284" customWidth="1"/>
    <col min="11014" max="11032" width="4.5703125" style="284"/>
    <col min="11033" max="11033" width="7.5703125" style="284" customWidth="1"/>
    <col min="11034" max="11034" width="2.42578125" style="284" customWidth="1"/>
    <col min="11035" max="11053" width="4.5703125" style="284"/>
    <col min="11054" max="11054" width="10.5703125" style="284" customWidth="1"/>
    <col min="11055" max="11055" width="4.5703125" style="284"/>
    <col min="11056" max="11056" width="9.42578125" style="284" customWidth="1"/>
    <col min="11057" max="11057" width="11.42578125" style="284" customWidth="1"/>
    <col min="11058" max="11268" width="4.5703125" style="284"/>
    <col min="11269" max="11269" width="3.5703125" style="284" customWidth="1"/>
    <col min="11270" max="11288" width="4.5703125" style="284"/>
    <col min="11289" max="11289" width="7.5703125" style="284" customWidth="1"/>
    <col min="11290" max="11290" width="2.42578125" style="284" customWidth="1"/>
    <col min="11291" max="11309" width="4.5703125" style="284"/>
    <col min="11310" max="11310" width="10.5703125" style="284" customWidth="1"/>
    <col min="11311" max="11311" width="4.5703125" style="284"/>
    <col min="11312" max="11312" width="9.42578125" style="284" customWidth="1"/>
    <col min="11313" max="11313" width="11.42578125" style="284" customWidth="1"/>
    <col min="11314" max="11524" width="4.5703125" style="284"/>
    <col min="11525" max="11525" width="3.5703125" style="284" customWidth="1"/>
    <col min="11526" max="11544" width="4.5703125" style="284"/>
    <col min="11545" max="11545" width="7.5703125" style="284" customWidth="1"/>
    <col min="11546" max="11546" width="2.42578125" style="284" customWidth="1"/>
    <col min="11547" max="11565" width="4.5703125" style="284"/>
    <col min="11566" max="11566" width="10.5703125" style="284" customWidth="1"/>
    <col min="11567" max="11567" width="4.5703125" style="284"/>
    <col min="11568" max="11568" width="9.42578125" style="284" customWidth="1"/>
    <col min="11569" max="11569" width="11.42578125" style="284" customWidth="1"/>
    <col min="11570" max="11780" width="4.5703125" style="284"/>
    <col min="11781" max="11781" width="3.5703125" style="284" customWidth="1"/>
    <col min="11782" max="11800" width="4.5703125" style="284"/>
    <col min="11801" max="11801" width="7.5703125" style="284" customWidth="1"/>
    <col min="11802" max="11802" width="2.42578125" style="284" customWidth="1"/>
    <col min="11803" max="11821" width="4.5703125" style="284"/>
    <col min="11822" max="11822" width="10.5703125" style="284" customWidth="1"/>
    <col min="11823" max="11823" width="4.5703125" style="284"/>
    <col min="11824" max="11824" width="9.42578125" style="284" customWidth="1"/>
    <col min="11825" max="11825" width="11.42578125" style="284" customWidth="1"/>
    <col min="11826" max="12036" width="4.5703125" style="284"/>
    <col min="12037" max="12037" width="3.5703125" style="284" customWidth="1"/>
    <col min="12038" max="12056" width="4.5703125" style="284"/>
    <col min="12057" max="12057" width="7.5703125" style="284" customWidth="1"/>
    <col min="12058" max="12058" width="2.42578125" style="284" customWidth="1"/>
    <col min="12059" max="12077" width="4.5703125" style="284"/>
    <col min="12078" max="12078" width="10.5703125" style="284" customWidth="1"/>
    <col min="12079" max="12079" width="4.5703125" style="284"/>
    <col min="12080" max="12080" width="9.42578125" style="284" customWidth="1"/>
    <col min="12081" max="12081" width="11.42578125" style="284" customWidth="1"/>
    <col min="12082" max="12292" width="4.5703125" style="284"/>
    <col min="12293" max="12293" width="3.5703125" style="284" customWidth="1"/>
    <col min="12294" max="12312" width="4.5703125" style="284"/>
    <col min="12313" max="12313" width="7.5703125" style="284" customWidth="1"/>
    <col min="12314" max="12314" width="2.42578125" style="284" customWidth="1"/>
    <col min="12315" max="12333" width="4.5703125" style="284"/>
    <col min="12334" max="12334" width="10.5703125" style="284" customWidth="1"/>
    <col min="12335" max="12335" width="4.5703125" style="284"/>
    <col min="12336" max="12336" width="9.42578125" style="284" customWidth="1"/>
    <col min="12337" max="12337" width="11.42578125" style="284" customWidth="1"/>
    <col min="12338" max="12548" width="4.5703125" style="284"/>
    <col min="12549" max="12549" width="3.5703125" style="284" customWidth="1"/>
    <col min="12550" max="12568" width="4.5703125" style="284"/>
    <col min="12569" max="12569" width="7.5703125" style="284" customWidth="1"/>
    <col min="12570" max="12570" width="2.42578125" style="284" customWidth="1"/>
    <col min="12571" max="12589" width="4.5703125" style="284"/>
    <col min="12590" max="12590" width="10.5703125" style="284" customWidth="1"/>
    <col min="12591" max="12591" width="4.5703125" style="284"/>
    <col min="12592" max="12592" width="9.42578125" style="284" customWidth="1"/>
    <col min="12593" max="12593" width="11.42578125" style="284" customWidth="1"/>
    <col min="12594" max="12804" width="4.5703125" style="284"/>
    <col min="12805" max="12805" width="3.5703125" style="284" customWidth="1"/>
    <col min="12806" max="12824" width="4.5703125" style="284"/>
    <col min="12825" max="12825" width="7.5703125" style="284" customWidth="1"/>
    <col min="12826" max="12826" width="2.42578125" style="284" customWidth="1"/>
    <col min="12827" max="12845" width="4.5703125" style="284"/>
    <col min="12846" max="12846" width="10.5703125" style="284" customWidth="1"/>
    <col min="12847" max="12847" width="4.5703125" style="284"/>
    <col min="12848" max="12848" width="9.42578125" style="284" customWidth="1"/>
    <col min="12849" max="12849" width="11.42578125" style="284" customWidth="1"/>
    <col min="12850" max="13060" width="4.5703125" style="284"/>
    <col min="13061" max="13061" width="3.5703125" style="284" customWidth="1"/>
    <col min="13062" max="13080" width="4.5703125" style="284"/>
    <col min="13081" max="13081" width="7.5703125" style="284" customWidth="1"/>
    <col min="13082" max="13082" width="2.42578125" style="284" customWidth="1"/>
    <col min="13083" max="13101" width="4.5703125" style="284"/>
    <col min="13102" max="13102" width="10.5703125" style="284" customWidth="1"/>
    <col min="13103" max="13103" width="4.5703125" style="284"/>
    <col min="13104" max="13104" width="9.42578125" style="284" customWidth="1"/>
    <col min="13105" max="13105" width="11.42578125" style="284" customWidth="1"/>
    <col min="13106" max="13316" width="4.5703125" style="284"/>
    <col min="13317" max="13317" width="3.5703125" style="284" customWidth="1"/>
    <col min="13318" max="13336" width="4.5703125" style="284"/>
    <col min="13337" max="13337" width="7.5703125" style="284" customWidth="1"/>
    <col min="13338" max="13338" width="2.42578125" style="284" customWidth="1"/>
    <col min="13339" max="13357" width="4.5703125" style="284"/>
    <col min="13358" max="13358" width="10.5703125" style="284" customWidth="1"/>
    <col min="13359" max="13359" width="4.5703125" style="284"/>
    <col min="13360" max="13360" width="9.42578125" style="284" customWidth="1"/>
    <col min="13361" max="13361" width="11.42578125" style="284" customWidth="1"/>
    <col min="13362" max="13572" width="4.5703125" style="284"/>
    <col min="13573" max="13573" width="3.5703125" style="284" customWidth="1"/>
    <col min="13574" max="13592" width="4.5703125" style="284"/>
    <col min="13593" max="13593" width="7.5703125" style="284" customWidth="1"/>
    <col min="13594" max="13594" width="2.42578125" style="284" customWidth="1"/>
    <col min="13595" max="13613" width="4.5703125" style="284"/>
    <col min="13614" max="13614" width="10.5703125" style="284" customWidth="1"/>
    <col min="13615" max="13615" width="4.5703125" style="284"/>
    <col min="13616" max="13616" width="9.42578125" style="284" customWidth="1"/>
    <col min="13617" max="13617" width="11.42578125" style="284" customWidth="1"/>
    <col min="13618" max="13828" width="4.5703125" style="284"/>
    <col min="13829" max="13829" width="3.5703125" style="284" customWidth="1"/>
    <col min="13830" max="13848" width="4.5703125" style="284"/>
    <col min="13849" max="13849" width="7.5703125" style="284" customWidth="1"/>
    <col min="13850" max="13850" width="2.42578125" style="284" customWidth="1"/>
    <col min="13851" max="13869" width="4.5703125" style="284"/>
    <col min="13870" max="13870" width="10.5703125" style="284" customWidth="1"/>
    <col min="13871" max="13871" width="4.5703125" style="284"/>
    <col min="13872" max="13872" width="9.42578125" style="284" customWidth="1"/>
    <col min="13873" max="13873" width="11.42578125" style="284" customWidth="1"/>
    <col min="13874" max="14084" width="4.5703125" style="284"/>
    <col min="14085" max="14085" width="3.5703125" style="284" customWidth="1"/>
    <col min="14086" max="14104" width="4.5703125" style="284"/>
    <col min="14105" max="14105" width="7.5703125" style="284" customWidth="1"/>
    <col min="14106" max="14106" width="2.42578125" style="284" customWidth="1"/>
    <col min="14107" max="14125" width="4.5703125" style="284"/>
    <col min="14126" max="14126" width="10.5703125" style="284" customWidth="1"/>
    <col min="14127" max="14127" width="4.5703125" style="284"/>
    <col min="14128" max="14128" width="9.42578125" style="284" customWidth="1"/>
    <col min="14129" max="14129" width="11.42578125" style="284" customWidth="1"/>
    <col min="14130" max="14340" width="4.5703125" style="284"/>
    <col min="14341" max="14341" width="3.5703125" style="284" customWidth="1"/>
    <col min="14342" max="14360" width="4.5703125" style="284"/>
    <col min="14361" max="14361" width="7.5703125" style="284" customWidth="1"/>
    <col min="14362" max="14362" width="2.42578125" style="284" customWidth="1"/>
    <col min="14363" max="14381" width="4.5703125" style="284"/>
    <col min="14382" max="14382" width="10.5703125" style="284" customWidth="1"/>
    <col min="14383" max="14383" width="4.5703125" style="284"/>
    <col min="14384" max="14384" width="9.42578125" style="284" customWidth="1"/>
    <col min="14385" max="14385" width="11.42578125" style="284" customWidth="1"/>
    <col min="14386" max="14596" width="4.5703125" style="284"/>
    <col min="14597" max="14597" width="3.5703125" style="284" customWidth="1"/>
    <col min="14598" max="14616" width="4.5703125" style="284"/>
    <col min="14617" max="14617" width="7.5703125" style="284" customWidth="1"/>
    <col min="14618" max="14618" width="2.42578125" style="284" customWidth="1"/>
    <col min="14619" max="14637" width="4.5703125" style="284"/>
    <col min="14638" max="14638" width="10.5703125" style="284" customWidth="1"/>
    <col min="14639" max="14639" width="4.5703125" style="284"/>
    <col min="14640" max="14640" width="9.42578125" style="284" customWidth="1"/>
    <col min="14641" max="14641" width="11.42578125" style="284" customWidth="1"/>
    <col min="14642" max="14852" width="4.5703125" style="284"/>
    <col min="14853" max="14853" width="3.5703125" style="284" customWidth="1"/>
    <col min="14854" max="14872" width="4.5703125" style="284"/>
    <col min="14873" max="14873" width="7.5703125" style="284" customWidth="1"/>
    <col min="14874" max="14874" width="2.42578125" style="284" customWidth="1"/>
    <col min="14875" max="14893" width="4.5703125" style="284"/>
    <col min="14894" max="14894" width="10.5703125" style="284" customWidth="1"/>
    <col min="14895" max="14895" width="4.5703125" style="284"/>
    <col min="14896" max="14896" width="9.42578125" style="284" customWidth="1"/>
    <col min="14897" max="14897" width="11.42578125" style="284" customWidth="1"/>
    <col min="14898" max="15108" width="4.5703125" style="284"/>
    <col min="15109" max="15109" width="3.5703125" style="284" customWidth="1"/>
    <col min="15110" max="15128" width="4.5703125" style="284"/>
    <col min="15129" max="15129" width="7.5703125" style="284" customWidth="1"/>
    <col min="15130" max="15130" width="2.42578125" style="284" customWidth="1"/>
    <col min="15131" max="15149" width="4.5703125" style="284"/>
    <col min="15150" max="15150" width="10.5703125" style="284" customWidth="1"/>
    <col min="15151" max="15151" width="4.5703125" style="284"/>
    <col min="15152" max="15152" width="9.42578125" style="284" customWidth="1"/>
    <col min="15153" max="15153" width="11.42578125" style="284" customWidth="1"/>
    <col min="15154" max="15364" width="4.5703125" style="284"/>
    <col min="15365" max="15365" width="3.5703125" style="284" customWidth="1"/>
    <col min="15366" max="15384" width="4.5703125" style="284"/>
    <col min="15385" max="15385" width="7.5703125" style="284" customWidth="1"/>
    <col min="15386" max="15386" width="2.42578125" style="284" customWidth="1"/>
    <col min="15387" max="15405" width="4.5703125" style="284"/>
    <col min="15406" max="15406" width="10.5703125" style="284" customWidth="1"/>
    <col min="15407" max="15407" width="4.5703125" style="284"/>
    <col min="15408" max="15408" width="9.42578125" style="284" customWidth="1"/>
    <col min="15409" max="15409" width="11.42578125" style="284" customWidth="1"/>
    <col min="15410" max="15620" width="4.5703125" style="284"/>
    <col min="15621" max="15621" width="3.5703125" style="284" customWidth="1"/>
    <col min="15622" max="15640" width="4.5703125" style="284"/>
    <col min="15641" max="15641" width="7.5703125" style="284" customWidth="1"/>
    <col min="15642" max="15642" width="2.42578125" style="284" customWidth="1"/>
    <col min="15643" max="15661" width="4.5703125" style="284"/>
    <col min="15662" max="15662" width="10.5703125" style="284" customWidth="1"/>
    <col min="15663" max="15663" width="4.5703125" style="284"/>
    <col min="15664" max="15664" width="9.42578125" style="284" customWidth="1"/>
    <col min="15665" max="15665" width="11.42578125" style="284" customWidth="1"/>
    <col min="15666" max="15876" width="4.5703125" style="284"/>
    <col min="15877" max="15877" width="3.5703125" style="284" customWidth="1"/>
    <col min="15878" max="15896" width="4.5703125" style="284"/>
    <col min="15897" max="15897" width="7.5703125" style="284" customWidth="1"/>
    <col min="15898" max="15898" width="2.42578125" style="284" customWidth="1"/>
    <col min="15899" max="15917" width="4.5703125" style="284"/>
    <col min="15918" max="15918" width="10.5703125" style="284" customWidth="1"/>
    <col min="15919" max="15919" width="4.5703125" style="284"/>
    <col min="15920" max="15920" width="9.42578125" style="284" customWidth="1"/>
    <col min="15921" max="15921" width="11.42578125" style="284" customWidth="1"/>
    <col min="15922" max="16132" width="4.5703125" style="284"/>
    <col min="16133" max="16133" width="3.5703125" style="284" customWidth="1"/>
    <col min="16134" max="16152" width="4.5703125" style="284"/>
    <col min="16153" max="16153" width="7.5703125" style="284" customWidth="1"/>
    <col min="16154" max="16154" width="2.42578125" style="284" customWidth="1"/>
    <col min="16155" max="16173" width="4.5703125" style="284"/>
    <col min="16174" max="16174" width="10.5703125" style="284" customWidth="1"/>
    <col min="16175" max="16175" width="4.5703125" style="284"/>
    <col min="16176" max="16176" width="9.42578125" style="284" customWidth="1"/>
    <col min="16177" max="16177" width="11.42578125" style="284" customWidth="1"/>
    <col min="16178" max="16384" width="4.5703125" style="284"/>
  </cols>
  <sheetData>
    <row r="1" spans="1:44" ht="14.1" customHeight="1" x14ac:dyDescent="0.25">
      <c r="A1" s="484"/>
      <c r="B1" s="484"/>
      <c r="C1" s="484"/>
      <c r="D1" s="484"/>
      <c r="E1" s="484"/>
      <c r="F1" s="484"/>
      <c r="G1" s="484"/>
      <c r="H1" s="485"/>
      <c r="I1" s="486"/>
      <c r="J1" s="484"/>
      <c r="K1" s="487"/>
      <c r="L1" s="487"/>
      <c r="M1" s="487"/>
      <c r="N1" s="484"/>
      <c r="O1" s="484"/>
      <c r="P1" s="484"/>
      <c r="Q1" s="484"/>
      <c r="R1" s="484"/>
      <c r="S1" s="484"/>
    </row>
    <row r="2" spans="1:44" ht="45" customHeight="1" x14ac:dyDescent="0.2">
      <c r="A2" s="484"/>
      <c r="B2" s="1301" t="s">
        <v>1015</v>
      </c>
      <c r="C2" s="1301"/>
      <c r="D2" s="1301"/>
      <c r="E2" s="1301"/>
      <c r="F2" s="1301"/>
      <c r="G2" s="1301"/>
      <c r="H2" s="1301"/>
      <c r="I2" s="1301"/>
      <c r="J2" s="1301"/>
      <c r="K2" s="1301"/>
      <c r="L2" s="1301"/>
      <c r="M2" s="1301"/>
      <c r="N2" s="1301"/>
      <c r="O2" s="484"/>
      <c r="P2" s="484"/>
      <c r="Q2" s="484"/>
      <c r="R2" s="484"/>
      <c r="S2" s="998" t="str">
        <f>CONCATENATE(LohntabelleM!G1," / ",LohntabelleM!I1)</f>
        <v>V6.0 / 2026</v>
      </c>
    </row>
    <row r="3" spans="1:44" ht="5.0999999999999996" customHeight="1" x14ac:dyDescent="0.2">
      <c r="A3" s="484"/>
      <c r="B3" s="488"/>
      <c r="C3" s="489"/>
      <c r="D3" s="490"/>
      <c r="E3" s="491"/>
      <c r="F3" s="489"/>
      <c r="G3" s="489"/>
      <c r="H3" s="489"/>
      <c r="I3" s="489"/>
      <c r="J3" s="492"/>
      <c r="K3" s="492"/>
      <c r="L3" s="492"/>
      <c r="M3" s="492"/>
      <c r="N3" s="492"/>
      <c r="O3" s="492"/>
      <c r="P3" s="492"/>
      <c r="Q3" s="492"/>
      <c r="R3" s="492"/>
      <c r="S3" s="493"/>
      <c r="X3" s="327"/>
      <c r="AJ3" s="284"/>
      <c r="AK3" s="284"/>
      <c r="AL3" s="284"/>
      <c r="AM3" s="284"/>
      <c r="AN3" s="284"/>
    </row>
    <row r="4" spans="1:44" x14ac:dyDescent="0.2">
      <c r="A4" s="484"/>
      <c r="B4" s="494"/>
      <c r="C4" s="495" t="s">
        <v>770</v>
      </c>
      <c r="D4" s="496"/>
      <c r="E4" s="497"/>
      <c r="F4" s="496"/>
      <c r="G4" s="496"/>
      <c r="H4" s="496"/>
      <c r="I4" s="496"/>
      <c r="J4" s="484"/>
      <c r="K4" s="484"/>
      <c r="L4" s="484"/>
      <c r="M4" s="484"/>
      <c r="N4" s="484"/>
      <c r="O4" s="484"/>
      <c r="P4" s="484"/>
      <c r="Q4" s="484"/>
      <c r="R4" s="484"/>
      <c r="S4" s="498"/>
      <c r="T4" s="301"/>
      <c r="AO4" s="301"/>
      <c r="AP4" s="301"/>
      <c r="AQ4" s="301"/>
    </row>
    <row r="5" spans="1:44" ht="13.35" customHeight="1" x14ac:dyDescent="0.2">
      <c r="A5" s="484"/>
      <c r="B5" s="494"/>
      <c r="C5" s="499"/>
      <c r="D5" s="499"/>
      <c r="E5" s="500"/>
      <c r="F5" s="499"/>
      <c r="G5" s="499"/>
      <c r="H5" s="499"/>
      <c r="I5" s="499"/>
      <c r="J5" s="484"/>
      <c r="K5" s="484"/>
      <c r="L5" s="484"/>
      <c r="M5" s="484"/>
      <c r="N5" s="484"/>
      <c r="O5" s="484"/>
      <c r="P5" s="484"/>
      <c r="Q5" s="484"/>
      <c r="R5" s="484"/>
      <c r="S5" s="498"/>
      <c r="T5" s="312"/>
    </row>
    <row r="6" spans="1:44" x14ac:dyDescent="0.2">
      <c r="A6" s="484"/>
      <c r="B6" s="494"/>
      <c r="C6" s="499" t="s">
        <v>967</v>
      </c>
      <c r="D6" s="499"/>
      <c r="E6" s="1302" t="str">
        <f>IF(MAAnrede&lt;&gt;"",MAAnrede,"")</f>
        <v/>
      </c>
      <c r="F6" s="1302"/>
      <c r="G6" s="499"/>
      <c r="H6" s="499"/>
      <c r="I6" s="499"/>
      <c r="J6" s="484"/>
      <c r="K6" s="484"/>
      <c r="L6" s="484"/>
      <c r="M6" s="484"/>
      <c r="N6" s="484"/>
      <c r="O6" s="484"/>
      <c r="P6" s="484"/>
      <c r="Q6" s="484"/>
      <c r="R6" s="484"/>
      <c r="S6" s="498"/>
      <c r="W6" s="327"/>
      <c r="X6" s="327"/>
      <c r="AI6" s="284"/>
      <c r="AJ6" s="284"/>
      <c r="AK6" s="284"/>
      <c r="AL6" s="284"/>
      <c r="AM6" s="284"/>
      <c r="AN6" s="284"/>
      <c r="AQ6" s="286"/>
      <c r="AR6" s="286"/>
    </row>
    <row r="7" spans="1:44" x14ac:dyDescent="0.2">
      <c r="A7" s="484"/>
      <c r="B7" s="494"/>
      <c r="C7" s="499"/>
      <c r="D7" s="499"/>
      <c r="E7" s="500"/>
      <c r="F7" s="499"/>
      <c r="G7" s="499"/>
      <c r="H7" s="499"/>
      <c r="I7" s="499"/>
      <c r="J7" s="484"/>
      <c r="K7" s="484"/>
      <c r="L7" s="484"/>
      <c r="M7" s="484"/>
      <c r="N7" s="484"/>
      <c r="O7" s="484"/>
      <c r="P7" s="484"/>
      <c r="Q7" s="484"/>
      <c r="R7" s="484"/>
      <c r="S7" s="498"/>
      <c r="W7" s="327"/>
      <c r="X7" s="327"/>
      <c r="AI7" s="284"/>
      <c r="AJ7" s="284"/>
      <c r="AK7" s="284"/>
      <c r="AL7" s="284"/>
      <c r="AM7" s="284"/>
      <c r="AN7" s="284"/>
      <c r="AQ7" s="286"/>
      <c r="AR7" s="286"/>
    </row>
    <row r="8" spans="1:44" x14ac:dyDescent="0.2">
      <c r="A8" s="484"/>
      <c r="B8" s="494"/>
      <c r="C8" s="499" t="s">
        <v>756</v>
      </c>
      <c r="D8" s="499"/>
      <c r="E8" s="1302" t="str">
        <f>IF(MAName&lt;&gt;"",MAName,"")</f>
        <v/>
      </c>
      <c r="F8" s="1302"/>
      <c r="G8" s="1302"/>
      <c r="H8" s="1302"/>
      <c r="I8" s="1302"/>
      <c r="J8" s="1302"/>
      <c r="K8" s="484"/>
      <c r="L8" s="1313" t="s">
        <v>757</v>
      </c>
      <c r="M8" s="1313"/>
      <c r="N8" s="1313"/>
      <c r="O8" s="1302" t="str">
        <f>IF(MAVorname&lt;&gt;"",MAVorname,"")</f>
        <v/>
      </c>
      <c r="P8" s="1302"/>
      <c r="Q8" s="1302"/>
      <c r="R8" s="1302"/>
      <c r="S8" s="498"/>
      <c r="T8" s="306"/>
      <c r="U8" s="1149" t="s">
        <v>1029</v>
      </c>
      <c r="V8" s="1232"/>
      <c r="W8" s="1232"/>
      <c r="X8" s="1232"/>
      <c r="Y8" s="1232"/>
      <c r="Z8" s="1150"/>
      <c r="AO8" s="306"/>
      <c r="AP8" s="306"/>
      <c r="AQ8" s="306"/>
    </row>
    <row r="9" spans="1:44" x14ac:dyDescent="0.2">
      <c r="A9" s="484"/>
      <c r="B9" s="494"/>
      <c r="C9" s="499"/>
      <c r="D9" s="499"/>
      <c r="E9" s="500"/>
      <c r="F9" s="499"/>
      <c r="G9" s="499"/>
      <c r="H9" s="499"/>
      <c r="I9" s="499"/>
      <c r="J9" s="484"/>
      <c r="K9" s="484"/>
      <c r="L9" s="484"/>
      <c r="M9" s="484"/>
      <c r="N9" s="484"/>
      <c r="O9" s="484"/>
      <c r="P9" s="484"/>
      <c r="Q9" s="484"/>
      <c r="R9" s="484"/>
      <c r="S9" s="498"/>
      <c r="T9" s="328"/>
      <c r="U9" s="1151"/>
      <c r="V9" s="1233"/>
      <c r="W9" s="1233"/>
      <c r="X9" s="1233"/>
      <c r="Y9" s="1233"/>
      <c r="Z9" s="1152"/>
    </row>
    <row r="10" spans="1:44" x14ac:dyDescent="0.2">
      <c r="A10" s="484"/>
      <c r="B10" s="494"/>
      <c r="C10" s="499" t="s">
        <v>964</v>
      </c>
      <c r="D10" s="484"/>
      <c r="E10" s="1302" t="str">
        <f>IF(MAPersID&lt;&gt;"",MAPersID,"")</f>
        <v/>
      </c>
      <c r="F10" s="1302"/>
      <c r="G10" s="1302"/>
      <c r="H10" s="1302"/>
      <c r="I10" s="1302"/>
      <c r="J10" s="1302"/>
      <c r="K10" s="484"/>
      <c r="L10" s="499" t="s">
        <v>763</v>
      </c>
      <c r="M10" s="484"/>
      <c r="N10" s="484"/>
      <c r="O10" s="1302" t="str">
        <f>IF(MAVertragsNr&lt;&gt;"",MAVertragsNr,"")</f>
        <v/>
      </c>
      <c r="P10" s="1302"/>
      <c r="Q10" s="1302"/>
      <c r="R10" s="1302"/>
      <c r="S10" s="498"/>
      <c r="Y10" s="284"/>
      <c r="Z10" s="284"/>
      <c r="AA10" s="284"/>
      <c r="AB10" s="284"/>
      <c r="AC10" s="284"/>
      <c r="AD10" s="284"/>
      <c r="AE10" s="284"/>
      <c r="AF10" s="284"/>
      <c r="AG10" s="284"/>
      <c r="AH10" s="284"/>
      <c r="AI10" s="284"/>
      <c r="AJ10" s="284"/>
      <c r="AK10" s="284"/>
      <c r="AL10" s="284"/>
      <c r="AM10" s="284"/>
      <c r="AN10" s="284"/>
    </row>
    <row r="11" spans="1:44" x14ac:dyDescent="0.2">
      <c r="A11" s="484"/>
      <c r="B11" s="494"/>
      <c r="C11" s="499"/>
      <c r="D11" s="499"/>
      <c r="E11" s="484"/>
      <c r="F11" s="499"/>
      <c r="G11" s="499"/>
      <c r="H11" s="499"/>
      <c r="I11" s="484"/>
      <c r="J11" s="484"/>
      <c r="K11" s="484"/>
      <c r="L11" s="499"/>
      <c r="M11" s="484"/>
      <c r="N11" s="484"/>
      <c r="O11" s="499"/>
      <c r="P11" s="499"/>
      <c r="Q11" s="499"/>
      <c r="R11" s="499"/>
      <c r="S11" s="498"/>
      <c r="Y11" s="284"/>
      <c r="Z11" s="284"/>
      <c r="AA11" s="284"/>
      <c r="AB11" s="284"/>
      <c r="AC11" s="284"/>
      <c r="AD11" s="284"/>
      <c r="AE11" s="284"/>
      <c r="AF11" s="284"/>
      <c r="AG11" s="284"/>
      <c r="AH11" s="284"/>
      <c r="AI11" s="284"/>
      <c r="AJ11" s="284"/>
      <c r="AK11" s="284"/>
      <c r="AL11" s="284"/>
      <c r="AM11" s="284"/>
      <c r="AN11" s="284"/>
    </row>
    <row r="12" spans="1:44" x14ac:dyDescent="0.2">
      <c r="A12" s="484"/>
      <c r="B12" s="494"/>
      <c r="C12" s="499" t="s">
        <v>760</v>
      </c>
      <c r="D12" s="499"/>
      <c r="E12" s="484"/>
      <c r="F12" s="1305" t="str">
        <f>IF(MAGeburtsdatum="","",MAGeburtsdatum)</f>
        <v/>
      </c>
      <c r="G12" s="1305"/>
      <c r="H12" s="1305"/>
      <c r="I12" s="484"/>
      <c r="J12" s="484"/>
      <c r="K12" s="484"/>
      <c r="L12" s="499" t="s">
        <v>1004</v>
      </c>
      <c r="M12" s="484"/>
      <c r="N12" s="484"/>
      <c r="O12" s="1196"/>
      <c r="P12" s="1196"/>
      <c r="Q12" s="1196"/>
      <c r="R12" s="1196"/>
      <c r="S12" s="498"/>
      <c r="Y12" s="284"/>
      <c r="Z12" s="284"/>
      <c r="AA12" s="284"/>
      <c r="AB12" s="284"/>
      <c r="AC12" s="284"/>
      <c r="AD12" s="284"/>
      <c r="AE12" s="284"/>
      <c r="AF12" s="284"/>
      <c r="AG12" s="284"/>
      <c r="AH12" s="284"/>
      <c r="AI12" s="284"/>
      <c r="AJ12" s="284"/>
      <c r="AK12" s="284"/>
      <c r="AL12" s="284"/>
      <c r="AM12" s="284"/>
      <c r="AN12" s="284"/>
    </row>
    <row r="13" spans="1:44" s="244" customFormat="1" x14ac:dyDescent="0.2">
      <c r="A13" s="46"/>
      <c r="B13" s="50"/>
      <c r="C13" s="97"/>
      <c r="D13" s="97"/>
      <c r="E13" s="97"/>
      <c r="F13" s="46"/>
      <c r="G13" s="46"/>
      <c r="H13" s="46"/>
      <c r="I13" s="46"/>
      <c r="J13" s="46"/>
      <c r="K13" s="46"/>
      <c r="L13" s="46"/>
      <c r="M13" s="46"/>
      <c r="N13" s="46"/>
      <c r="O13" s="46"/>
      <c r="P13" s="46"/>
      <c r="Q13" s="46"/>
      <c r="R13" s="46"/>
      <c r="S13" s="52"/>
      <c r="AP13" s="244" t="s">
        <v>754</v>
      </c>
      <c r="AQ13" s="244" t="s">
        <v>764</v>
      </c>
      <c r="AR13" s="244" t="s">
        <v>1957</v>
      </c>
    </row>
    <row r="14" spans="1:44" s="244" customFormat="1" x14ac:dyDescent="0.2">
      <c r="A14" s="46"/>
      <c r="B14" s="50"/>
      <c r="C14" s="97" t="s">
        <v>993</v>
      </c>
      <c r="D14" s="97"/>
      <c r="E14" s="46"/>
      <c r="F14" s="46"/>
      <c r="G14" s="1182"/>
      <c r="H14" s="1182"/>
      <c r="I14" s="1182"/>
      <c r="J14" s="1182"/>
      <c r="K14" s="1182"/>
      <c r="L14" s="1182"/>
      <c r="M14" s="1182"/>
      <c r="N14" s="1182"/>
      <c r="O14" s="1182"/>
      <c r="P14" s="1182"/>
      <c r="Q14" s="1182"/>
      <c r="R14" s="1182"/>
      <c r="S14" s="52"/>
      <c r="AP14" s="1048" t="str">
        <f ca="1">IFERROR(IF(K25&lt;VLOOKUP(AQ14,LohntabelleM!A4:B31,2,1),"C",INDEX(LohntabelleM!A3:AE3,MATCH(K25,OFFSET(LohntabelleM!A4:AE4,AQ14-1,0)))),"")</f>
        <v/>
      </c>
      <c r="AQ14" s="1048" t="str">
        <f>IFERROR(VLOOKUP("M"&amp;I20,'MU-Daten'!B:H,7,0),"")</f>
        <v/>
      </c>
      <c r="AR14" s="1048" t="str">
        <f>IFERROR(IF(K25&lt;VLOOKUP(AQ14,LohntabelleM!A4:B31,2,0),1,IF(K25=INDEX(LohntabelleM!A3:AE31,MATCH(AQ14,LohntabelleM!A3:A31,0),MATCH(AP14,LohntabelleM!A3:AE3,0)),1,0)),"")</f>
        <v/>
      </c>
    </row>
    <row r="15" spans="1:44" ht="8.1" customHeight="1" x14ac:dyDescent="0.2">
      <c r="A15" s="484"/>
      <c r="B15" s="501"/>
      <c r="C15" s="502"/>
      <c r="D15" s="502"/>
      <c r="E15" s="502"/>
      <c r="F15" s="502"/>
      <c r="G15" s="502"/>
      <c r="H15" s="502"/>
      <c r="I15" s="503"/>
      <c r="J15" s="504"/>
      <c r="K15" s="504"/>
      <c r="L15" s="504"/>
      <c r="M15" s="504"/>
      <c r="N15" s="504"/>
      <c r="O15" s="504"/>
      <c r="P15" s="504"/>
      <c r="Q15" s="504"/>
      <c r="R15" s="504"/>
      <c r="S15" s="505"/>
      <c r="T15" s="286"/>
    </row>
    <row r="16" spans="1:44" ht="6" customHeight="1" x14ac:dyDescent="0.2">
      <c r="A16" s="484"/>
      <c r="B16" s="523"/>
      <c r="C16" s="484"/>
      <c r="D16" s="484"/>
      <c r="E16" s="484"/>
      <c r="F16" s="484"/>
      <c r="G16" s="484"/>
      <c r="H16" s="484"/>
      <c r="I16" s="484"/>
      <c r="J16" s="484"/>
      <c r="K16" s="487"/>
      <c r="L16" s="487"/>
      <c r="M16" s="487"/>
      <c r="N16" s="484"/>
      <c r="O16" s="484"/>
      <c r="P16" s="484"/>
      <c r="Q16" s="484"/>
      <c r="R16" s="484"/>
      <c r="S16" s="484"/>
      <c r="U16" s="286"/>
      <c r="V16" s="286"/>
      <c r="X16" s="327"/>
      <c r="AJ16" s="284"/>
      <c r="AK16" s="284"/>
      <c r="AL16" s="284"/>
      <c r="AM16" s="284"/>
      <c r="AN16" s="284"/>
    </row>
    <row r="17" spans="1:44" ht="12.75" customHeight="1" x14ac:dyDescent="0.2">
      <c r="A17" s="484"/>
      <c r="B17" s="506"/>
      <c r="C17" s="489"/>
      <c r="D17" s="489"/>
      <c r="E17" s="489"/>
      <c r="F17" s="489"/>
      <c r="G17" s="489"/>
      <c r="H17" s="489"/>
      <c r="I17" s="489"/>
      <c r="J17" s="489"/>
      <c r="K17" s="489"/>
      <c r="L17" s="489"/>
      <c r="M17" s="489"/>
      <c r="N17" s="489"/>
      <c r="O17" s="489"/>
      <c r="P17" s="489"/>
      <c r="Q17" s="489"/>
      <c r="R17" s="489"/>
      <c r="S17" s="507"/>
      <c r="T17" s="286"/>
      <c r="U17" s="286"/>
      <c r="V17" s="286"/>
      <c r="X17" s="327"/>
      <c r="AJ17" s="284"/>
      <c r="AK17" s="284" t="s">
        <v>2057</v>
      </c>
      <c r="AL17" s="284"/>
      <c r="AM17" s="284" t="s">
        <v>2058</v>
      </c>
      <c r="AN17" s="284" t="s">
        <v>2046</v>
      </c>
      <c r="AO17" s="927" t="s">
        <v>2046</v>
      </c>
      <c r="AP17" s="927" t="s">
        <v>2048</v>
      </c>
      <c r="AQ17" s="927" t="s">
        <v>2047</v>
      </c>
      <c r="AR17" s="927" t="s">
        <v>2045</v>
      </c>
    </row>
    <row r="18" spans="1:44" x14ac:dyDescent="0.2">
      <c r="A18" s="484"/>
      <c r="B18" s="508"/>
      <c r="C18" s="496" t="s">
        <v>1005</v>
      </c>
      <c r="D18" s="496"/>
      <c r="E18" s="496"/>
      <c r="F18" s="496"/>
      <c r="G18" s="496"/>
      <c r="H18" s="496"/>
      <c r="I18" s="1315"/>
      <c r="J18" s="1315"/>
      <c r="K18" s="1033" t="s">
        <v>753</v>
      </c>
      <c r="L18" s="1038"/>
      <c r="M18" s="1320" t="str">
        <f>IFERROR(IF(I18="","",VLOOKUP("M"&amp;I18,'MU-Daten'!B$1:K$65538,6,0)),"Keine gültige MU")</f>
        <v/>
      </c>
      <c r="N18" s="1320"/>
      <c r="O18" s="1320"/>
      <c r="P18" s="1320"/>
      <c r="Q18" s="1320"/>
      <c r="R18" s="1320"/>
      <c r="S18" s="509"/>
      <c r="T18" s="286"/>
      <c r="U18" s="306" t="s">
        <v>1017</v>
      </c>
      <c r="V18" s="301"/>
      <c r="Y18" s="301"/>
      <c r="Z18" s="301"/>
      <c r="AA18" s="301"/>
      <c r="AB18" s="301"/>
      <c r="AC18" s="301"/>
      <c r="AD18" s="301"/>
      <c r="AE18" s="301"/>
      <c r="AF18" s="301"/>
      <c r="AG18" s="301"/>
      <c r="AH18" s="301"/>
      <c r="AI18" s="301"/>
      <c r="AJ18" s="301"/>
      <c r="AK18" s="301" t="s">
        <v>1377</v>
      </c>
      <c r="AL18" s="302">
        <f>IFERROR(VLOOKUP(I18,AK18:AK25,1,0),0)</f>
        <v>0</v>
      </c>
      <c r="AM18" s="302">
        <f>IF(OR(AL18=0,AL19=0),0,IF(AL18=AL19,1,0))</f>
        <v>0</v>
      </c>
      <c r="AN18" s="302" t="e">
        <f>IF(AND(AL18&lt;&gt;0,L18&lt;&gt;""),L18,VLOOKUP("M"&amp;I18,'MU-Daten'!B:K,7,0))</f>
        <v>#N/A</v>
      </c>
      <c r="AO18" s="927" t="str">
        <f>IFERROR(IF(AND(I18="402.PS",L18&lt;&gt;""),L18,IF(AND(I18="407.S1",L18&lt;&gt;""),L18,IF(AND(I18="408.S2",L18&lt;&gt;""),L18,IF(AND(I18="341.15c",L18&lt;&gt;""),L18,IF(AND(I18="405A.11",L18&lt;&gt;""),L18,IF(AND(I18="405B.10",L18&lt;&gt;""),L18,IF(AND(I18="409A.09",L18&lt;&gt;""),L18,VLOOKUP("M"&amp;I18,'MU-Daten'!B:H,7,0)))))))),"")</f>
        <v/>
      </c>
      <c r="AP18" s="927">
        <f>IF(OR(I18="",M18="keine gültige MU"),0,1)</f>
        <v>0</v>
      </c>
      <c r="AQ18" s="927">
        <f>IF(L18&lt;&gt;"",1,0)</f>
        <v>0</v>
      </c>
      <c r="AR18" s="927">
        <f>IF(I18="402.PS",1,IF(I18="407.S1",1,IF(I18="408.S2",1,IF(I18="341.15c",1,IF(I18="405A.11",1,IF(I18="405B.10",1,IF(I18="409A.09",1,0)))))))</f>
        <v>0</v>
      </c>
    </row>
    <row r="19" spans="1:44" ht="16.5" customHeight="1" x14ac:dyDescent="0.2">
      <c r="A19" s="484"/>
      <c r="B19" s="508"/>
      <c r="C19" s="496"/>
      <c r="D19" s="496"/>
      <c r="E19" s="496"/>
      <c r="F19" s="496"/>
      <c r="G19" s="496"/>
      <c r="H19" s="496"/>
      <c r="I19" s="496"/>
      <c r="J19" s="496"/>
      <c r="K19" s="496"/>
      <c r="L19" s="496"/>
      <c r="M19" s="496"/>
      <c r="N19" s="496"/>
      <c r="O19" s="496"/>
      <c r="P19" s="496"/>
      <c r="Q19" s="496"/>
      <c r="R19" s="496"/>
      <c r="S19" s="509"/>
      <c r="T19" s="286"/>
      <c r="U19" s="1319" t="s">
        <v>1018</v>
      </c>
      <c r="V19" s="1319"/>
      <c r="W19" s="1319"/>
      <c r="X19" s="1319"/>
      <c r="Y19" s="1319"/>
      <c r="Z19" s="1319"/>
      <c r="AA19" s="1319"/>
      <c r="AB19" s="1319"/>
      <c r="AC19" s="1319"/>
      <c r="AD19" s="1319"/>
      <c r="AE19" s="1319"/>
      <c r="AF19" s="1319"/>
      <c r="AG19" s="1319"/>
      <c r="AH19" s="1319"/>
      <c r="AI19" s="1319"/>
      <c r="AJ19" s="1319"/>
      <c r="AK19" s="1043" t="s">
        <v>1453</v>
      </c>
      <c r="AL19" s="1047">
        <f>IFERROR(VLOOKUP(I20,AK18:AK25,1,0),0)</f>
        <v>0</v>
      </c>
      <c r="AM19" s="1047"/>
      <c r="AN19" s="302" t="e">
        <f>IF(AND(AL19&lt;&gt;0,L20&lt;&gt;""),L20,VLOOKUP("M"&amp;I20,'MU-Daten'!B:K,7,0))</f>
        <v>#N/A</v>
      </c>
      <c r="AO19" s="927"/>
      <c r="AP19" s="927"/>
      <c r="AQ19" s="927"/>
      <c r="AR19" s="927"/>
    </row>
    <row r="20" spans="1:44" x14ac:dyDescent="0.2">
      <c r="A20" s="484"/>
      <c r="B20" s="508"/>
      <c r="C20" s="496" t="s">
        <v>1006</v>
      </c>
      <c r="D20" s="496"/>
      <c r="E20" s="496"/>
      <c r="F20" s="496"/>
      <c r="G20" s="496"/>
      <c r="H20" s="496"/>
      <c r="I20" s="1315"/>
      <c r="J20" s="1315"/>
      <c r="K20" s="1033" t="s">
        <v>753</v>
      </c>
      <c r="L20" s="1038"/>
      <c r="M20" s="1320" t="str">
        <f>IFERROR(IF(I20="","",VLOOKUP("M"&amp;I20,'MU-Daten'!B$1:K$65538,6,0)),"Keine gültige MU")</f>
        <v/>
      </c>
      <c r="N20" s="1320"/>
      <c r="O20" s="1320"/>
      <c r="P20" s="1320"/>
      <c r="Q20" s="1320"/>
      <c r="R20" s="1320"/>
      <c r="S20" s="509"/>
      <c r="T20" s="286"/>
      <c r="U20" s="1319"/>
      <c r="V20" s="1319"/>
      <c r="W20" s="1319"/>
      <c r="X20" s="1319"/>
      <c r="Y20" s="1319"/>
      <c r="Z20" s="1319"/>
      <c r="AA20" s="1319"/>
      <c r="AB20" s="1319"/>
      <c r="AC20" s="1319"/>
      <c r="AD20" s="1319"/>
      <c r="AE20" s="1319"/>
      <c r="AF20" s="1319"/>
      <c r="AG20" s="1319"/>
      <c r="AH20" s="1319"/>
      <c r="AI20" s="1319"/>
      <c r="AJ20" s="1319"/>
      <c r="AK20" s="1043" t="s">
        <v>1494</v>
      </c>
      <c r="AL20" s="1047"/>
      <c r="AM20" s="1047"/>
      <c r="AN20" s="1047"/>
      <c r="AO20" s="927" t="str">
        <f>IFERROR(IF(AND(I20="402.PS",L20&lt;&gt;""),L20,IF(AND(I20="407.S1",L20&lt;&gt;""),L20,IF(AND(I20="408.S2",L20&lt;&gt;""),L20,IF(AND(I20="341.15c",L20&lt;&gt;""),L20,IF(AND(I20="405A.11",L20&lt;&gt;""),L20,IF(AND(I20="405B.10",L20&lt;&gt;""),L20,IF(AND(I20="409A.09",L20&lt;&gt;""),L20,VLOOKUP("M"&amp;I20,'MU-Daten'!B:H,7,0)))))))),"")</f>
        <v/>
      </c>
      <c r="AP20" s="927">
        <f>IF(OR(I20="",M20="Keine gültige MU"),0,1)</f>
        <v>0</v>
      </c>
      <c r="AQ20" s="927">
        <f>IF(L20&lt;&gt;"",1,0)</f>
        <v>0</v>
      </c>
      <c r="AR20" s="927">
        <f>IF(I20="402.PS",1,IF(I20="407.S1",1,IF(I20="408.S2",1,IF(I20="341.15c",1,IF(I20="405A.11",1,IF(I20="405B.10",1,IF(I20="409A.09",1,0)))))))</f>
        <v>0</v>
      </c>
    </row>
    <row r="21" spans="1:44" x14ac:dyDescent="0.2">
      <c r="A21" s="484"/>
      <c r="B21" s="508"/>
      <c r="C21" s="496"/>
      <c r="D21" s="496"/>
      <c r="E21" s="496"/>
      <c r="F21" s="496"/>
      <c r="G21" s="496"/>
      <c r="H21" s="496"/>
      <c r="I21" s="496"/>
      <c r="J21" s="496"/>
      <c r="K21" s="496"/>
      <c r="L21" s="496"/>
      <c r="M21" s="496"/>
      <c r="N21" s="496"/>
      <c r="O21" s="496"/>
      <c r="P21" s="496"/>
      <c r="Q21" s="496"/>
      <c r="R21" s="496"/>
      <c r="S21" s="509"/>
      <c r="T21" s="286"/>
      <c r="U21" s="1319"/>
      <c r="V21" s="1319"/>
      <c r="W21" s="1319"/>
      <c r="X21" s="1319"/>
      <c r="Y21" s="1319"/>
      <c r="Z21" s="1319"/>
      <c r="AA21" s="1319"/>
      <c r="AB21" s="1319"/>
      <c r="AC21" s="1319"/>
      <c r="AD21" s="1319"/>
      <c r="AE21" s="1319"/>
      <c r="AF21" s="1319"/>
      <c r="AG21" s="1319"/>
      <c r="AH21" s="1319"/>
      <c r="AI21" s="1319"/>
      <c r="AJ21" s="1319"/>
      <c r="AK21" s="1043" t="s">
        <v>1363</v>
      </c>
      <c r="AL21" s="1047"/>
      <c r="AM21" s="1047"/>
      <c r="AN21" s="1047"/>
      <c r="AO21" s="927"/>
      <c r="AP21" s="927">
        <f>SUM(AP18:AP20)</f>
        <v>0</v>
      </c>
      <c r="AQ21" s="927">
        <f>SUM(AQ18:AQ20)</f>
        <v>0</v>
      </c>
      <c r="AR21" s="927">
        <f>SUM(AR18:AR20)</f>
        <v>0</v>
      </c>
    </row>
    <row r="22" spans="1:44" ht="5.25" customHeight="1" x14ac:dyDescent="0.2">
      <c r="A22" s="484"/>
      <c r="B22" s="508"/>
      <c r="C22" s="510"/>
      <c r="D22" s="496"/>
      <c r="E22" s="496"/>
      <c r="F22" s="496"/>
      <c r="G22" s="496"/>
      <c r="H22" s="496"/>
      <c r="I22" s="496"/>
      <c r="J22" s="496"/>
      <c r="K22" s="496"/>
      <c r="L22" s="496"/>
      <c r="M22" s="496"/>
      <c r="N22" s="496"/>
      <c r="O22" s="496"/>
      <c r="P22" s="496"/>
      <c r="Q22" s="496"/>
      <c r="R22" s="496"/>
      <c r="S22" s="509"/>
      <c r="T22" s="286"/>
      <c r="U22" s="1319"/>
      <c r="V22" s="1319"/>
      <c r="W22" s="1319"/>
      <c r="X22" s="1319"/>
      <c r="Y22" s="1319"/>
      <c r="Z22" s="1319"/>
      <c r="AA22" s="1319"/>
      <c r="AB22" s="1319"/>
      <c r="AC22" s="1319"/>
      <c r="AD22" s="1319"/>
      <c r="AE22" s="1319"/>
      <c r="AF22" s="1319"/>
      <c r="AG22" s="1319"/>
      <c r="AH22" s="1319"/>
      <c r="AI22" s="1319"/>
      <c r="AJ22" s="1319"/>
      <c r="AK22" s="1043"/>
      <c r="AL22" s="1047"/>
      <c r="AM22" s="1047"/>
      <c r="AN22" s="1047"/>
      <c r="AO22" s="927"/>
      <c r="AP22" s="927"/>
      <c r="AQ22" s="927"/>
      <c r="AR22" s="927"/>
    </row>
    <row r="23" spans="1:44" x14ac:dyDescent="0.2">
      <c r="A23" s="484"/>
      <c r="B23" s="508"/>
      <c r="C23" s="1320" t="str">
        <f>IF(OR(I18="",I20=""),"Modellumschreibungen erfassen",IF(AP21&lt;2,"keine gültigen Modellumschreibungen",IF(AND(AO18-AO20&gt;0,AQ21=2),"Lohnband besser als bisher",IF(AND(I18=I20,AR21=2),"selbe Modellumschreibung (für beide MU müssen Lohnbänder manuell eingegeben werden)",IF(AO18-AO20&lt;1,"Lohnband ist gleich oder Ziellohnband ist schlechter","Lohnband besser als bisher")))))</f>
        <v>Modellumschreibungen erfassen</v>
      </c>
      <c r="D23" s="1320"/>
      <c r="E23" s="1320"/>
      <c r="F23" s="1320"/>
      <c r="G23" s="1320"/>
      <c r="H23" s="1320"/>
      <c r="I23" s="1320"/>
      <c r="J23" s="1320"/>
      <c r="K23" s="1320"/>
      <c r="L23" s="1320"/>
      <c r="M23" s="1320"/>
      <c r="N23" s="1320"/>
      <c r="O23" s="1320"/>
      <c r="P23" s="1320"/>
      <c r="Q23" s="1320"/>
      <c r="R23" s="1320"/>
      <c r="S23" s="509"/>
      <c r="T23" s="286"/>
      <c r="U23" s="1319"/>
      <c r="V23" s="1319"/>
      <c r="W23" s="1319"/>
      <c r="X23" s="1319"/>
      <c r="Y23" s="1319"/>
      <c r="Z23" s="1319"/>
      <c r="AA23" s="1319"/>
      <c r="AB23" s="1319"/>
      <c r="AC23" s="1319"/>
      <c r="AD23" s="1319"/>
      <c r="AE23" s="1319"/>
      <c r="AF23" s="1319"/>
      <c r="AG23" s="1319"/>
      <c r="AH23" s="1319"/>
      <c r="AI23" s="1319"/>
      <c r="AJ23" s="1319"/>
      <c r="AK23" s="1043" t="s">
        <v>1234</v>
      </c>
      <c r="AL23" s="1047"/>
      <c r="AM23" s="1047"/>
      <c r="AN23" s="1047"/>
      <c r="AO23" s="927">
        <f>IF(AO20&lt;AO18,1,0)</f>
        <v>0</v>
      </c>
      <c r="AP23" s="927"/>
      <c r="AQ23" s="927"/>
      <c r="AR23" s="927"/>
    </row>
    <row r="24" spans="1:44" x14ac:dyDescent="0.2">
      <c r="A24" s="484"/>
      <c r="B24" s="508"/>
      <c r="C24" s="496"/>
      <c r="D24" s="496"/>
      <c r="E24" s="496"/>
      <c r="F24" s="496"/>
      <c r="G24" s="496"/>
      <c r="H24" s="496"/>
      <c r="I24" s="496"/>
      <c r="J24" s="496"/>
      <c r="K24" s="496"/>
      <c r="L24" s="496"/>
      <c r="M24" s="496"/>
      <c r="N24" s="496"/>
      <c r="O24" s="496"/>
      <c r="P24" s="496"/>
      <c r="Q24" s="496"/>
      <c r="R24" s="496"/>
      <c r="S24" s="509"/>
      <c r="T24" s="286"/>
      <c r="U24" s="1319"/>
      <c r="V24" s="1319"/>
      <c r="W24" s="1319"/>
      <c r="X24" s="1319"/>
      <c r="Y24" s="1319"/>
      <c r="Z24" s="1319"/>
      <c r="AA24" s="1319"/>
      <c r="AB24" s="1319"/>
      <c r="AC24" s="1319"/>
      <c r="AD24" s="1319"/>
      <c r="AE24" s="1319"/>
      <c r="AF24" s="1319"/>
      <c r="AG24" s="1319"/>
      <c r="AH24" s="1319"/>
      <c r="AI24" s="1319"/>
      <c r="AJ24" s="1319"/>
      <c r="AK24" s="1043" t="s">
        <v>1239</v>
      </c>
      <c r="AL24" s="1047"/>
      <c r="AM24" s="1047"/>
      <c r="AN24" s="1047"/>
    </row>
    <row r="25" spans="1:44" x14ac:dyDescent="0.2">
      <c r="A25" s="484"/>
      <c r="B25" s="508"/>
      <c r="C25" s="496" t="str">
        <f>IFERROR(CONCATENATE("Bisheriger Lohn bei 100%-BG im LB ",AO18," :"),"")</f>
        <v>Bisheriger Lohn bei 100%-BG im LB  :</v>
      </c>
      <c r="D25" s="496"/>
      <c r="E25" s="496"/>
      <c r="F25" s="496"/>
      <c r="G25" s="496"/>
      <c r="H25" s="496"/>
      <c r="I25" s="496"/>
      <c r="K25" s="1328"/>
      <c r="L25" s="1328"/>
      <c r="N25" s="1324" t="str">
        <f>IFERROR(IF(OR(K25="",K25=0),"Lohn erfassen",IF(K25&lt;VLOOKUP(AN18,LohntabelleM!$A$4:$B$31,2,FALSE),"Lohn unterhalb Minimum LB",IF(K25&gt;VLOOKUP(AN18,LohntabelleM!$A$4:$AE$31,31,FALSE),"Lohn über Maximum LB","Lohn innerhalb Lohnbandgrenzen"))),"")</f>
        <v>Lohn erfassen</v>
      </c>
      <c r="O25" s="1324"/>
      <c r="P25" s="1324"/>
      <c r="Q25" s="1324"/>
      <c r="R25" s="1324"/>
      <c r="S25" s="524"/>
      <c r="T25" s="1034"/>
      <c r="U25" s="306" t="s">
        <v>1019</v>
      </c>
      <c r="V25" s="327"/>
      <c r="W25" s="327"/>
      <c r="X25" s="327"/>
      <c r="AH25" s="284"/>
      <c r="AI25" s="284"/>
      <c r="AJ25" s="284"/>
      <c r="AK25" s="284" t="s">
        <v>1531</v>
      </c>
      <c r="AL25" s="927"/>
      <c r="AM25" s="927"/>
      <c r="AN25" s="927"/>
    </row>
    <row r="26" spans="1:44" ht="12.75" customHeight="1" x14ac:dyDescent="0.2">
      <c r="A26" s="484"/>
      <c r="B26" s="508"/>
      <c r="C26" s="496"/>
      <c r="D26" s="496"/>
      <c r="E26" s="496"/>
      <c r="F26" s="496"/>
      <c r="G26" s="496"/>
      <c r="H26" s="496"/>
      <c r="I26" s="496"/>
      <c r="J26" s="496"/>
      <c r="K26" s="496"/>
      <c r="L26" s="484"/>
      <c r="M26" s="484"/>
      <c r="N26" s="484"/>
      <c r="O26" s="496"/>
      <c r="P26" s="496"/>
      <c r="Q26" s="496"/>
      <c r="R26" s="496"/>
      <c r="S26" s="509"/>
      <c r="T26" s="286"/>
      <c r="U26" s="1319" t="s">
        <v>1020</v>
      </c>
      <c r="V26" s="1319"/>
      <c r="W26" s="1319"/>
      <c r="X26" s="1319"/>
      <c r="Y26" s="1319"/>
      <c r="Z26" s="1319"/>
      <c r="AA26" s="1319"/>
      <c r="AB26" s="1319"/>
      <c r="AC26" s="1319"/>
      <c r="AD26" s="1319"/>
      <c r="AE26" s="1319"/>
      <c r="AF26" s="1319"/>
      <c r="AG26" s="1319"/>
      <c r="AH26" s="1319"/>
      <c r="AI26" s="1319"/>
      <c r="AJ26" s="1319"/>
      <c r="AK26" s="1043"/>
      <c r="AL26" s="1043"/>
      <c r="AM26" s="1043"/>
      <c r="AN26" s="1043"/>
    </row>
    <row r="27" spans="1:44" x14ac:dyDescent="0.2">
      <c r="A27" s="484"/>
      <c r="B27" s="508"/>
      <c r="C27" s="511" t="str">
        <f>IFERROR(CONCATENATE("1. höherer Erfahrungswert im LB ",AO20,":"),"")</f>
        <v>1. höherer Erfahrungswert im LB :</v>
      </c>
      <c r="D27" s="511"/>
      <c r="E27" s="511"/>
      <c r="F27" s="511"/>
      <c r="G27" s="511"/>
      <c r="H27" s="511"/>
      <c r="I27" s="511"/>
      <c r="J27" s="1325" t="str">
        <f ca="1">IF(I20="","",IF(K25="","",IF(C23="Lohnband besser als bisher",IF(K25&lt;VLOOKUP(AO20,LohntabelleM!$A$4:$B$31,2,FALSE),"C",INDEX(LohntabelleM!$B$3:$AE$3,MATCH(K25,OFFSET(LohntabelleM!$B$4:$AE$4,AO20-1,-1)))),"")))</f>
        <v/>
      </c>
      <c r="K27" s="1325"/>
      <c r="L27" s="525"/>
      <c r="M27" s="511" t="s">
        <v>1008</v>
      </c>
      <c r="N27" s="1326" t="str">
        <f>IF(C23="Lohnband besser als bisher",IF(J27="","",ROUND(HLOOKUP(J27,LohntabelleM!$B$3:$AE$31,AO20+1,FALSE),2)),"")</f>
        <v/>
      </c>
      <c r="O27" s="1326"/>
      <c r="P27" s="511" t="str">
        <f ca="1">IF(J27="","","(im neuen Lohnband)")</f>
        <v/>
      </c>
      <c r="Q27" s="511"/>
      <c r="R27" s="511"/>
      <c r="S27" s="509"/>
      <c r="T27" s="286"/>
      <c r="U27" s="1319"/>
      <c r="V27" s="1319"/>
      <c r="W27" s="1319"/>
      <c r="X27" s="1319"/>
      <c r="Y27" s="1319"/>
      <c r="Z27" s="1319"/>
      <c r="AA27" s="1319"/>
      <c r="AB27" s="1319"/>
      <c r="AC27" s="1319"/>
      <c r="AD27" s="1319"/>
      <c r="AE27" s="1319"/>
      <c r="AF27" s="1319"/>
      <c r="AG27" s="1319"/>
      <c r="AH27" s="1319"/>
      <c r="AI27" s="1319"/>
      <c r="AJ27" s="1319"/>
      <c r="AK27" s="1043"/>
      <c r="AL27" s="1043"/>
      <c r="AM27" s="1043"/>
      <c r="AN27" s="1043"/>
    </row>
    <row r="28" spans="1:44" x14ac:dyDescent="0.2">
      <c r="A28" s="484"/>
      <c r="B28" s="508"/>
      <c r="C28" s="511" t="str">
        <f>IFERROR(CONCATENATE("2. höherer Erfahrungswert im LB ",AO20,":"),"")</f>
        <v>2. höherer Erfahrungswert im LB :</v>
      </c>
      <c r="D28" s="511"/>
      <c r="E28" s="511"/>
      <c r="F28" s="511"/>
      <c r="G28" s="511"/>
      <c r="H28" s="511"/>
      <c r="I28" s="511"/>
      <c r="J28" s="1327" t="str">
        <f>IF(K25="","",IF(C23="Lohnband besser als bisher",IF(J27="C","B",IF(J27="B","A",IF(J27="A",1,IF(J27=27,27,J27+1)))),""))</f>
        <v/>
      </c>
      <c r="K28" s="1327"/>
      <c r="L28" s="525"/>
      <c r="M28" s="511" t="s">
        <v>1008</v>
      </c>
      <c r="N28" s="1326" t="str">
        <f>IF(C23="Lohnband besser als bisher",IF(J28="","",ROUND(HLOOKUP(J28,LohntabelleM!$B$3:$Z$31,AO20+1,FALSE),2)),"")</f>
        <v/>
      </c>
      <c r="O28" s="1326"/>
      <c r="P28" s="511" t="str">
        <f>IF(J28="","","(im neuen Lohnband)")</f>
        <v/>
      </c>
      <c r="Q28" s="511"/>
      <c r="R28" s="511"/>
      <c r="S28" s="509"/>
      <c r="T28" s="286"/>
      <c r="U28" s="1319"/>
      <c r="V28" s="1319"/>
      <c r="W28" s="1319"/>
      <c r="X28" s="1319"/>
      <c r="Y28" s="1319"/>
      <c r="Z28" s="1319"/>
      <c r="AA28" s="1319"/>
      <c r="AB28" s="1319"/>
      <c r="AC28" s="1319"/>
      <c r="AD28" s="1319"/>
      <c r="AE28" s="1319"/>
      <c r="AF28" s="1319"/>
      <c r="AG28" s="1319"/>
      <c r="AH28" s="1319"/>
      <c r="AI28" s="1319"/>
      <c r="AJ28" s="1319"/>
      <c r="AK28" s="1043"/>
      <c r="AL28" s="1043"/>
      <c r="AM28" s="1043"/>
      <c r="AN28" s="1043"/>
    </row>
    <row r="29" spans="1:44" x14ac:dyDescent="0.2">
      <c r="A29" s="484"/>
      <c r="B29" s="508"/>
      <c r="C29" s="496"/>
      <c r="D29" s="496"/>
      <c r="E29" s="496"/>
      <c r="F29" s="496"/>
      <c r="G29" s="496"/>
      <c r="H29" s="496"/>
      <c r="I29" s="496"/>
      <c r="J29" s="496"/>
      <c r="K29" s="496"/>
      <c r="L29" s="496"/>
      <c r="M29" s="496"/>
      <c r="N29" s="496"/>
      <c r="O29" s="496"/>
      <c r="P29" s="496"/>
      <c r="Q29" s="496"/>
      <c r="R29" s="496"/>
      <c r="S29" s="509"/>
      <c r="T29" s="286"/>
      <c r="U29" s="1319"/>
      <c r="V29" s="1319"/>
      <c r="W29" s="1319"/>
      <c r="X29" s="1319"/>
      <c r="Y29" s="1319"/>
      <c r="Z29" s="1319"/>
      <c r="AA29" s="1319"/>
      <c r="AB29" s="1319"/>
      <c r="AC29" s="1319"/>
      <c r="AD29" s="1319"/>
      <c r="AE29" s="1319"/>
      <c r="AF29" s="1319"/>
      <c r="AG29" s="1319"/>
      <c r="AH29" s="1319"/>
      <c r="AI29" s="1319"/>
      <c r="AJ29" s="1319"/>
      <c r="AK29" s="1043"/>
      <c r="AL29" s="1043"/>
      <c r="AM29" s="1043"/>
      <c r="AN29" s="1043"/>
    </row>
    <row r="30" spans="1:44" x14ac:dyDescent="0.2">
      <c r="A30" s="484"/>
      <c r="B30" s="508"/>
      <c r="C30" s="495" t="s">
        <v>1012</v>
      </c>
      <c r="D30" s="496"/>
      <c r="E30" s="496"/>
      <c r="F30" s="496"/>
      <c r="G30" s="496"/>
      <c r="H30" s="496"/>
      <c r="I30" s="496"/>
      <c r="J30" s="496"/>
      <c r="K30" s="496"/>
      <c r="L30" s="496"/>
      <c r="M30" s="496"/>
      <c r="N30" s="496"/>
      <c r="O30" s="496"/>
      <c r="P30" s="496"/>
      <c r="Q30" s="484"/>
      <c r="R30" s="496"/>
      <c r="S30" s="509"/>
      <c r="T30" s="286"/>
      <c r="U30" s="1319"/>
      <c r="V30" s="1319"/>
      <c r="W30" s="1319"/>
      <c r="X30" s="1319"/>
      <c r="Y30" s="1319"/>
      <c r="Z30" s="1319"/>
      <c r="AA30" s="1319"/>
      <c r="AB30" s="1319"/>
      <c r="AC30" s="1319"/>
      <c r="AD30" s="1319"/>
      <c r="AE30" s="1319"/>
      <c r="AF30" s="1319"/>
      <c r="AG30" s="1319"/>
      <c r="AH30" s="1319"/>
      <c r="AI30" s="1319"/>
      <c r="AJ30" s="1319"/>
      <c r="AK30" s="1043"/>
      <c r="AL30" s="1043"/>
      <c r="AM30" s="1043"/>
      <c r="AN30" s="1043"/>
    </row>
    <row r="31" spans="1:44" x14ac:dyDescent="0.2">
      <c r="A31" s="484"/>
      <c r="B31" s="508"/>
      <c r="C31" s="495"/>
      <c r="D31" s="496"/>
      <c r="E31" s="496"/>
      <c r="F31" s="496"/>
      <c r="G31" s="496"/>
      <c r="H31" s="496"/>
      <c r="I31" s="496"/>
      <c r="J31" s="496"/>
      <c r="K31" s="496"/>
      <c r="L31" s="496"/>
      <c r="M31" s="496"/>
      <c r="N31" s="496"/>
      <c r="O31" s="496"/>
      <c r="P31" s="496"/>
      <c r="Q31" s="484"/>
      <c r="R31" s="496"/>
      <c r="S31" s="509"/>
      <c r="T31" s="286"/>
      <c r="U31" s="1319"/>
      <c r="V31" s="1319"/>
      <c r="W31" s="1319"/>
      <c r="X31" s="1319"/>
      <c r="Y31" s="1319"/>
      <c r="Z31" s="1319"/>
      <c r="AA31" s="1319"/>
      <c r="AB31" s="1319"/>
      <c r="AC31" s="1319"/>
      <c r="AD31" s="1319"/>
      <c r="AE31" s="1319"/>
      <c r="AF31" s="1319"/>
      <c r="AG31" s="1319"/>
      <c r="AH31" s="1319"/>
      <c r="AI31" s="1319"/>
      <c r="AJ31" s="1319"/>
      <c r="AK31" s="1043"/>
      <c r="AL31" s="1043"/>
      <c r="AM31" s="1043"/>
      <c r="AN31" s="1043"/>
    </row>
    <row r="32" spans="1:44" x14ac:dyDescent="0.2">
      <c r="A32" s="484"/>
      <c r="B32" s="508"/>
      <c r="C32" s="496" t="s">
        <v>1013</v>
      </c>
      <c r="D32" s="496"/>
      <c r="E32" s="496"/>
      <c r="F32" s="496"/>
      <c r="G32" s="496"/>
      <c r="H32" s="496"/>
      <c r="I32" s="496"/>
      <c r="J32" s="1298" t="str">
        <f>IFERROR(AO20,"")</f>
        <v/>
      </c>
      <c r="K32" s="1298"/>
      <c r="L32" s="496"/>
      <c r="M32" s="496"/>
      <c r="N32" s="496"/>
      <c r="O32" s="496"/>
      <c r="P32" s="496"/>
      <c r="Q32" s="484"/>
      <c r="R32" s="496"/>
      <c r="S32" s="509"/>
      <c r="T32" s="286"/>
    </row>
    <row r="33" spans="1:49" ht="13.35" customHeight="1" x14ac:dyDescent="0.2">
      <c r="A33" s="484"/>
      <c r="B33" s="508"/>
      <c r="C33" s="495"/>
      <c r="D33" s="496"/>
      <c r="E33" s="496"/>
      <c r="F33" s="496"/>
      <c r="G33" s="496"/>
      <c r="H33" s="496"/>
      <c r="I33" s="496"/>
      <c r="J33" s="496"/>
      <c r="K33" s="496"/>
      <c r="L33" s="496"/>
      <c r="M33" s="496"/>
      <c r="N33" s="496"/>
      <c r="O33" s="496"/>
      <c r="P33" s="496"/>
      <c r="Q33" s="496" t="s">
        <v>1014</v>
      </c>
      <c r="R33" s="496"/>
      <c r="S33" s="509"/>
      <c r="T33" s="286"/>
    </row>
    <row r="34" spans="1:49" x14ac:dyDescent="0.2">
      <c r="A34" s="484"/>
      <c r="B34" s="508"/>
      <c r="C34" s="496" t="s">
        <v>1016</v>
      </c>
      <c r="D34" s="496"/>
      <c r="E34" s="496"/>
      <c r="F34" s="496"/>
      <c r="G34" s="496"/>
      <c r="H34" s="496"/>
      <c r="I34" s="496"/>
      <c r="J34" s="1298" t="str">
        <f>IF(I20="","",J28)</f>
        <v/>
      </c>
      <c r="K34" s="1298"/>
      <c r="L34" s="496"/>
      <c r="M34" s="496" t="s">
        <v>1008</v>
      </c>
      <c r="N34" s="1299" t="str">
        <f>IF(C23 = "Lohnband besser als bisher",IF(J34="","",HLOOKUP(J34,LohntabelleM!$B$3:$Z$31,AO20+1,FALSE)),"")</f>
        <v/>
      </c>
      <c r="O34" s="1299"/>
      <c r="P34" s="496"/>
      <c r="Q34" s="1300" t="str">
        <f>IF(N34="","",IF(K25&gt;0,(N34-K25)/K25,"N/A"))</f>
        <v/>
      </c>
      <c r="R34" s="1300"/>
      <c r="S34" s="509"/>
      <c r="T34" s="286"/>
    </row>
    <row r="35" spans="1:49" ht="8.1" customHeight="1" x14ac:dyDescent="0.2">
      <c r="A35" s="484"/>
      <c r="B35" s="512"/>
      <c r="C35" s="513"/>
      <c r="D35" s="513"/>
      <c r="E35" s="513"/>
      <c r="F35" s="513"/>
      <c r="G35" s="513"/>
      <c r="H35" s="513"/>
      <c r="I35" s="513"/>
      <c r="J35" s="513"/>
      <c r="K35" s="513"/>
      <c r="L35" s="513"/>
      <c r="M35" s="513"/>
      <c r="N35" s="513"/>
      <c r="O35" s="513"/>
      <c r="P35" s="513"/>
      <c r="Q35" s="513"/>
      <c r="R35" s="513"/>
      <c r="S35" s="514"/>
      <c r="T35" s="286"/>
    </row>
    <row r="36" spans="1:49" ht="6" customHeight="1" x14ac:dyDescent="0.2">
      <c r="A36" s="484"/>
      <c r="B36" s="496"/>
      <c r="C36" s="496"/>
      <c r="D36" s="496"/>
      <c r="E36" s="496"/>
      <c r="F36" s="496"/>
      <c r="G36" s="496"/>
      <c r="H36" s="496"/>
      <c r="I36" s="496"/>
      <c r="J36" s="496"/>
      <c r="K36" s="496"/>
      <c r="L36" s="496"/>
      <c r="M36" s="496"/>
      <c r="N36" s="496"/>
      <c r="O36" s="496"/>
      <c r="P36" s="496"/>
      <c r="Q36" s="496"/>
      <c r="R36" s="496"/>
      <c r="S36" s="496"/>
      <c r="T36" s="286"/>
    </row>
    <row r="37" spans="1:49" ht="6" customHeight="1" x14ac:dyDescent="0.2">
      <c r="A37" s="484"/>
      <c r="B37" s="515"/>
      <c r="C37" s="48"/>
      <c r="D37" s="48"/>
      <c r="E37" s="48"/>
      <c r="F37" s="48"/>
      <c r="G37" s="48"/>
      <c r="H37" s="48"/>
      <c r="I37" s="48"/>
      <c r="J37" s="48"/>
      <c r="K37" s="48"/>
      <c r="L37" s="48"/>
      <c r="M37" s="48"/>
      <c r="N37" s="48"/>
      <c r="O37" s="48"/>
      <c r="P37" s="48"/>
      <c r="Q37" s="48"/>
      <c r="R37" s="48"/>
      <c r="S37" s="516"/>
      <c r="T37" s="286"/>
    </row>
    <row r="38" spans="1:49" x14ac:dyDescent="0.2">
      <c r="A38" s="484"/>
      <c r="B38" s="517"/>
      <c r="C38" s="94" t="s">
        <v>978</v>
      </c>
      <c r="D38" s="96"/>
      <c r="E38" s="96"/>
      <c r="F38" s="96"/>
      <c r="G38" s="96"/>
      <c r="H38" s="96"/>
      <c r="I38" s="96"/>
      <c r="J38" s="96"/>
      <c r="K38" s="96"/>
      <c r="L38" s="96"/>
      <c r="M38" s="96"/>
      <c r="N38" s="96"/>
      <c r="O38" s="96"/>
      <c r="P38" s="96"/>
      <c r="Q38" s="96"/>
      <c r="R38" s="96"/>
      <c r="S38" s="518"/>
    </row>
    <row r="39" spans="1:49" ht="6" customHeight="1" x14ac:dyDescent="0.2">
      <c r="A39" s="484"/>
      <c r="B39" s="517"/>
      <c r="C39" s="96"/>
      <c r="D39" s="96"/>
      <c r="E39" s="96"/>
      <c r="F39" s="96"/>
      <c r="G39" s="96"/>
      <c r="H39" s="96"/>
      <c r="I39" s="96"/>
      <c r="J39" s="96"/>
      <c r="K39" s="96"/>
      <c r="L39" s="96"/>
      <c r="M39" s="96"/>
      <c r="N39" s="96"/>
      <c r="O39" s="96"/>
      <c r="P39" s="96"/>
      <c r="Q39" s="96"/>
      <c r="R39" s="96"/>
      <c r="S39" s="518"/>
    </row>
    <row r="40" spans="1:49" x14ac:dyDescent="0.2">
      <c r="A40" s="484"/>
      <c r="B40" s="517"/>
      <c r="C40" s="1297"/>
      <c r="D40" s="1312"/>
      <c r="E40" s="1312"/>
      <c r="F40" s="1312"/>
      <c r="G40" s="1312"/>
      <c r="H40" s="1312"/>
      <c r="I40" s="1312"/>
      <c r="J40" s="1312"/>
      <c r="K40" s="1312"/>
      <c r="L40" s="1312"/>
      <c r="M40" s="1312"/>
      <c r="N40" s="1312"/>
      <c r="O40" s="1312"/>
      <c r="P40" s="1312"/>
      <c r="Q40" s="1312"/>
      <c r="R40" s="1312"/>
      <c r="S40" s="518"/>
    </row>
    <row r="41" spans="1:49" x14ac:dyDescent="0.2">
      <c r="A41" s="484"/>
      <c r="B41" s="517"/>
      <c r="C41" s="1297"/>
      <c r="D41" s="1312"/>
      <c r="E41" s="1312"/>
      <c r="F41" s="1312"/>
      <c r="G41" s="1312"/>
      <c r="H41" s="1312"/>
      <c r="I41" s="1312"/>
      <c r="J41" s="1312"/>
      <c r="K41" s="1312"/>
      <c r="L41" s="1312"/>
      <c r="M41" s="1312"/>
      <c r="N41" s="1312"/>
      <c r="O41" s="1312"/>
      <c r="P41" s="1312"/>
      <c r="Q41" s="1312"/>
      <c r="R41" s="1312"/>
      <c r="S41" s="518"/>
    </row>
    <row r="42" spans="1:49" x14ac:dyDescent="0.2">
      <c r="A42" s="484"/>
      <c r="B42" s="517"/>
      <c r="C42" s="1297"/>
      <c r="D42" s="1312"/>
      <c r="E42" s="1312"/>
      <c r="F42" s="1312"/>
      <c r="G42" s="1312"/>
      <c r="H42" s="1312"/>
      <c r="I42" s="1312"/>
      <c r="J42" s="1312"/>
      <c r="K42" s="1312"/>
      <c r="L42" s="1312"/>
      <c r="M42" s="1312"/>
      <c r="N42" s="1312"/>
      <c r="O42" s="1312"/>
      <c r="P42" s="1312"/>
      <c r="Q42" s="1312"/>
      <c r="R42" s="1312"/>
      <c r="S42" s="518"/>
    </row>
    <row r="43" spans="1:49" ht="7.9" customHeight="1" x14ac:dyDescent="0.2">
      <c r="A43" s="484"/>
      <c r="B43" s="519"/>
      <c r="C43" s="520"/>
      <c r="D43" s="520"/>
      <c r="E43" s="520"/>
      <c r="F43" s="520"/>
      <c r="G43" s="520"/>
      <c r="H43" s="520"/>
      <c r="I43" s="520"/>
      <c r="J43" s="520"/>
      <c r="K43" s="520"/>
      <c r="L43" s="520"/>
      <c r="M43" s="520"/>
      <c r="N43" s="520"/>
      <c r="O43" s="520"/>
      <c r="P43" s="520"/>
      <c r="Q43" s="520"/>
      <c r="R43" s="520"/>
      <c r="S43" s="521"/>
    </row>
    <row r="44" spans="1:49" ht="6" customHeight="1" x14ac:dyDescent="0.2">
      <c r="A44" s="484"/>
      <c r="B44" s="96"/>
      <c r="C44" s="96"/>
      <c r="D44" s="96"/>
      <c r="E44" s="96"/>
      <c r="F44" s="96"/>
      <c r="G44" s="96"/>
      <c r="H44" s="96"/>
      <c r="I44" s="96"/>
      <c r="J44" s="96"/>
      <c r="K44" s="96"/>
      <c r="L44" s="96"/>
      <c r="M44" s="96"/>
      <c r="N44" s="96"/>
      <c r="O44" s="96"/>
      <c r="P44" s="96"/>
      <c r="Q44" s="96"/>
      <c r="R44" s="96"/>
      <c r="S44" s="522"/>
    </row>
    <row r="45" spans="1:49" ht="6" customHeight="1" x14ac:dyDescent="0.2">
      <c r="A45" s="484"/>
      <c r="B45" s="515"/>
      <c r="C45" s="48"/>
      <c r="D45" s="48"/>
      <c r="E45" s="48"/>
      <c r="F45" s="48"/>
      <c r="G45" s="48"/>
      <c r="H45" s="48"/>
      <c r="I45" s="48"/>
      <c r="J45" s="48"/>
      <c r="K45" s="48"/>
      <c r="L45" s="48"/>
      <c r="M45" s="48"/>
      <c r="N45" s="48"/>
      <c r="O45" s="48"/>
      <c r="P45" s="48"/>
      <c r="Q45" s="48"/>
      <c r="R45" s="48"/>
      <c r="S45" s="516"/>
    </row>
    <row r="46" spans="1:49" x14ac:dyDescent="0.2">
      <c r="A46" s="484"/>
      <c r="B46" s="517"/>
      <c r="C46" s="94" t="s">
        <v>1065</v>
      </c>
      <c r="D46" s="96"/>
      <c r="E46" s="96"/>
      <c r="F46" s="96"/>
      <c r="G46" s="96"/>
      <c r="H46" s="96"/>
      <c r="I46" s="96"/>
      <c r="J46" s="96"/>
      <c r="K46" s="96"/>
      <c r="L46" s="96"/>
      <c r="M46" s="96"/>
      <c r="N46" s="96"/>
      <c r="O46" s="96"/>
      <c r="P46" s="96"/>
      <c r="Q46" s="96"/>
      <c r="R46" s="96"/>
      <c r="S46" s="518"/>
      <c r="AU46" s="329"/>
      <c r="AV46" s="329"/>
      <c r="AW46" s="329"/>
    </row>
    <row r="47" spans="1:49" ht="6" customHeight="1" x14ac:dyDescent="0.2">
      <c r="A47" s="484"/>
      <c r="B47" s="517"/>
      <c r="C47" s="96"/>
      <c r="D47" s="96"/>
      <c r="E47" s="96"/>
      <c r="F47" s="96"/>
      <c r="G47" s="96"/>
      <c r="H47" s="96"/>
      <c r="I47" s="96"/>
      <c r="J47" s="96"/>
      <c r="K47" s="96"/>
      <c r="L47" s="96"/>
      <c r="M47" s="96"/>
      <c r="N47" s="96"/>
      <c r="O47" s="96"/>
      <c r="P47" s="96"/>
      <c r="Q47" s="96"/>
      <c r="R47" s="96"/>
      <c r="S47" s="518"/>
      <c r="AU47" s="329"/>
      <c r="AV47" s="329"/>
      <c r="AW47" s="329"/>
    </row>
    <row r="48" spans="1:49" x14ac:dyDescent="0.2">
      <c r="A48" s="484"/>
      <c r="B48" s="517"/>
      <c r="C48" s="1297"/>
      <c r="D48" s="1312"/>
      <c r="E48" s="1312"/>
      <c r="F48" s="1312"/>
      <c r="G48" s="1312"/>
      <c r="H48" s="1312"/>
      <c r="I48" s="1312"/>
      <c r="J48" s="1312"/>
      <c r="K48" s="1312"/>
      <c r="L48" s="1312"/>
      <c r="M48" s="1312"/>
      <c r="N48" s="1312"/>
      <c r="O48" s="1312"/>
      <c r="P48" s="1312"/>
      <c r="Q48" s="1312"/>
      <c r="R48" s="1312"/>
      <c r="S48" s="518"/>
      <c r="AU48" s="329"/>
      <c r="AV48" s="329"/>
      <c r="AW48" s="329"/>
    </row>
    <row r="49" spans="1:49" x14ac:dyDescent="0.2">
      <c r="A49" s="484"/>
      <c r="B49" s="517"/>
      <c r="C49" s="1297"/>
      <c r="D49" s="1312"/>
      <c r="E49" s="1312"/>
      <c r="F49" s="1312"/>
      <c r="G49" s="1312"/>
      <c r="H49" s="1312"/>
      <c r="I49" s="1312"/>
      <c r="J49" s="1312"/>
      <c r="K49" s="1312"/>
      <c r="L49" s="1312"/>
      <c r="M49" s="1312"/>
      <c r="N49" s="1312"/>
      <c r="O49" s="1312"/>
      <c r="P49" s="1312"/>
      <c r="Q49" s="1312"/>
      <c r="R49" s="1312"/>
      <c r="S49" s="518"/>
    </row>
    <row r="50" spans="1:49" x14ac:dyDescent="0.2">
      <c r="A50" s="484"/>
      <c r="B50" s="517"/>
      <c r="C50" s="1297"/>
      <c r="D50" s="1312"/>
      <c r="E50" s="1312"/>
      <c r="F50" s="1312"/>
      <c r="G50" s="1312"/>
      <c r="H50" s="1312"/>
      <c r="I50" s="1312"/>
      <c r="J50" s="1312"/>
      <c r="K50" s="1312"/>
      <c r="L50" s="1312"/>
      <c r="M50" s="1312"/>
      <c r="N50" s="1312"/>
      <c r="O50" s="1312"/>
      <c r="P50" s="1312"/>
      <c r="Q50" s="1312"/>
      <c r="R50" s="1312"/>
      <c r="S50" s="518"/>
    </row>
    <row r="51" spans="1:49" ht="7.9" customHeight="1" x14ac:dyDescent="0.2">
      <c r="A51" s="484"/>
      <c r="B51" s="519"/>
      <c r="C51" s="520"/>
      <c r="D51" s="520"/>
      <c r="E51" s="520"/>
      <c r="F51" s="520"/>
      <c r="G51" s="520"/>
      <c r="H51" s="520"/>
      <c r="I51" s="520"/>
      <c r="J51" s="520"/>
      <c r="K51" s="520"/>
      <c r="L51" s="520"/>
      <c r="M51" s="520"/>
      <c r="N51" s="520"/>
      <c r="O51" s="520"/>
      <c r="P51" s="520"/>
      <c r="Q51" s="520"/>
      <c r="R51" s="520"/>
      <c r="S51" s="521"/>
    </row>
    <row r="53" spans="1:49" x14ac:dyDescent="0.2">
      <c r="AU53" s="451" t="s">
        <v>1021</v>
      </c>
      <c r="AV53" s="452"/>
      <c r="AW53" s="453" t="s">
        <v>1022</v>
      </c>
    </row>
    <row r="54" spans="1:49" x14ac:dyDescent="0.2">
      <c r="AU54" s="454"/>
      <c r="AV54" s="454"/>
      <c r="AW54" s="454"/>
    </row>
    <row r="55" spans="1:49" x14ac:dyDescent="0.2">
      <c r="AU55" s="454"/>
      <c r="AV55" s="454"/>
      <c r="AW55" s="454"/>
    </row>
    <row r="56" spans="1:49" x14ac:dyDescent="0.2">
      <c r="AU56" s="455">
        <v>1</v>
      </c>
      <c r="AV56" s="455"/>
      <c r="AW56" s="456">
        <v>2</v>
      </c>
    </row>
    <row r="57" spans="1:49" x14ac:dyDescent="0.2">
      <c r="AU57" s="455">
        <v>2</v>
      </c>
      <c r="AV57" s="455"/>
      <c r="AW57" s="456">
        <v>3</v>
      </c>
    </row>
    <row r="58" spans="1:49" x14ac:dyDescent="0.2">
      <c r="AU58" s="455">
        <v>3</v>
      </c>
      <c r="AV58" s="455"/>
      <c r="AW58" s="456">
        <v>4</v>
      </c>
    </row>
    <row r="59" spans="1:49" x14ac:dyDescent="0.2">
      <c r="AU59" s="455">
        <v>4</v>
      </c>
      <c r="AV59" s="455"/>
      <c r="AW59" s="456">
        <v>5</v>
      </c>
    </row>
    <row r="60" spans="1:49" x14ac:dyDescent="0.2">
      <c r="AU60" s="455">
        <v>5</v>
      </c>
      <c r="AV60" s="455"/>
      <c r="AW60" s="456">
        <v>6</v>
      </c>
    </row>
    <row r="61" spans="1:49" x14ac:dyDescent="0.2">
      <c r="AU61" s="455">
        <v>6</v>
      </c>
      <c r="AV61" s="455"/>
      <c r="AW61" s="456">
        <v>7</v>
      </c>
    </row>
    <row r="62" spans="1:49" x14ac:dyDescent="0.2">
      <c r="AU62" s="455">
        <v>7</v>
      </c>
      <c r="AV62" s="455"/>
      <c r="AW62" s="456">
        <v>8</v>
      </c>
    </row>
    <row r="63" spans="1:49" x14ac:dyDescent="0.2">
      <c r="AU63" s="455">
        <v>8</v>
      </c>
      <c r="AV63" s="455"/>
      <c r="AW63" s="456">
        <v>9</v>
      </c>
    </row>
    <row r="64" spans="1:49" x14ac:dyDescent="0.2">
      <c r="AU64" s="455">
        <v>9</v>
      </c>
      <c r="AV64" s="455"/>
      <c r="AW64" s="456">
        <v>10</v>
      </c>
    </row>
    <row r="65" spans="47:49" x14ac:dyDescent="0.2">
      <c r="AU65" s="455">
        <v>10</v>
      </c>
      <c r="AV65" s="455"/>
      <c r="AW65" s="456">
        <v>11</v>
      </c>
    </row>
    <row r="66" spans="47:49" x14ac:dyDescent="0.2">
      <c r="AU66" s="455">
        <v>11</v>
      </c>
      <c r="AV66" s="455"/>
      <c r="AW66" s="456">
        <v>12</v>
      </c>
    </row>
    <row r="67" spans="47:49" x14ac:dyDescent="0.2">
      <c r="AU67" s="455">
        <v>12</v>
      </c>
      <c r="AV67" s="455"/>
      <c r="AW67" s="456">
        <v>13</v>
      </c>
    </row>
    <row r="68" spans="47:49" x14ac:dyDescent="0.2">
      <c r="AU68" s="455">
        <v>13</v>
      </c>
      <c r="AV68" s="455"/>
      <c r="AW68" s="456">
        <v>14</v>
      </c>
    </row>
    <row r="69" spans="47:49" x14ac:dyDescent="0.2">
      <c r="AU69" s="455">
        <v>14</v>
      </c>
      <c r="AV69" s="455"/>
      <c r="AW69" s="456">
        <v>15</v>
      </c>
    </row>
    <row r="70" spans="47:49" x14ac:dyDescent="0.2">
      <c r="AU70" s="455">
        <v>15</v>
      </c>
      <c r="AV70" s="455"/>
      <c r="AW70" s="456">
        <v>16</v>
      </c>
    </row>
    <row r="71" spans="47:49" x14ac:dyDescent="0.2">
      <c r="AU71" s="455">
        <v>16</v>
      </c>
      <c r="AV71" s="455"/>
      <c r="AW71" s="456">
        <v>17</v>
      </c>
    </row>
    <row r="72" spans="47:49" x14ac:dyDescent="0.2">
      <c r="AU72" s="455">
        <v>17</v>
      </c>
      <c r="AV72" s="455"/>
      <c r="AW72" s="456">
        <v>18</v>
      </c>
    </row>
    <row r="73" spans="47:49" x14ac:dyDescent="0.2">
      <c r="AU73" s="455">
        <v>18</v>
      </c>
      <c r="AV73" s="455"/>
      <c r="AW73" s="456">
        <v>19</v>
      </c>
    </row>
    <row r="74" spans="47:49" x14ac:dyDescent="0.2">
      <c r="AU74" s="455">
        <v>19</v>
      </c>
      <c r="AV74" s="455"/>
      <c r="AW74" s="456">
        <v>20</v>
      </c>
    </row>
    <row r="75" spans="47:49" x14ac:dyDescent="0.2">
      <c r="AU75" s="455">
        <v>20</v>
      </c>
      <c r="AV75" s="455"/>
      <c r="AW75" s="456">
        <v>21</v>
      </c>
    </row>
    <row r="76" spans="47:49" x14ac:dyDescent="0.2">
      <c r="AU76" s="455">
        <v>21</v>
      </c>
      <c r="AV76" s="455"/>
      <c r="AW76" s="456">
        <v>22</v>
      </c>
    </row>
    <row r="77" spans="47:49" x14ac:dyDescent="0.2">
      <c r="AU77" s="455">
        <v>22</v>
      </c>
      <c r="AV77" s="455"/>
      <c r="AW77" s="456">
        <v>23</v>
      </c>
    </row>
    <row r="78" spans="47:49" x14ac:dyDescent="0.2">
      <c r="AU78" s="455">
        <v>23</v>
      </c>
      <c r="AV78" s="455"/>
      <c r="AW78" s="456">
        <v>24</v>
      </c>
    </row>
    <row r="79" spans="47:49" x14ac:dyDescent="0.2">
      <c r="AU79" s="455">
        <v>24</v>
      </c>
      <c r="AV79" s="455"/>
      <c r="AW79" s="456">
        <v>25</v>
      </c>
    </row>
    <row r="80" spans="47:49" x14ac:dyDescent="0.2">
      <c r="AU80" s="455">
        <v>25</v>
      </c>
      <c r="AV80" s="455"/>
      <c r="AW80" s="456">
        <v>26</v>
      </c>
    </row>
    <row r="81" spans="47:49" x14ac:dyDescent="0.2">
      <c r="AU81" s="455">
        <v>26</v>
      </c>
      <c r="AV81" s="455"/>
      <c r="AW81" s="456">
        <v>27</v>
      </c>
    </row>
    <row r="82" spans="47:49" x14ac:dyDescent="0.2">
      <c r="AU82" s="455">
        <v>27</v>
      </c>
      <c r="AV82" s="455"/>
      <c r="AW82" s="456">
        <v>27</v>
      </c>
    </row>
    <row r="83" spans="47:49" x14ac:dyDescent="0.2">
      <c r="AU83" s="455" t="s">
        <v>590</v>
      </c>
      <c r="AV83" s="455"/>
      <c r="AW83" s="456">
        <v>1</v>
      </c>
    </row>
    <row r="84" spans="47:49" x14ac:dyDescent="0.2">
      <c r="AU84" s="455" t="s">
        <v>589</v>
      </c>
      <c r="AV84" s="455"/>
      <c r="AW84" s="456" t="s">
        <v>590</v>
      </c>
    </row>
    <row r="85" spans="47:49" x14ac:dyDescent="0.2">
      <c r="AU85" s="455" t="s">
        <v>588</v>
      </c>
      <c r="AV85" s="455"/>
      <c r="AW85" s="456" t="s">
        <v>589</v>
      </c>
    </row>
  </sheetData>
  <sheetProtection algorithmName="SHA-512" hashValue="CpN1VOvne1mGmdQY924zXpOhnOzAU4wpb4tgAWYNXLRZ4Olswtf/wv705QqXpbqqKrptvAK7kRl24td9hYtTjQ==" saltValue="xTcJKGn6bkbyrfEalcHIXg==" spinCount="100000" sheet="1" objects="1" scenarios="1"/>
  <protectedRanges>
    <protectedRange algorithmName="SHA-512" hashValue="Tgo67N00KTp2dzMiXSnY1pAmHXgwOlHmUIA/q9IeQSuIzA+sN0YTlRLqaX50dq0X73SCkEMW6Jkli90s4gUzJQ==" saltValue="hfkOyWJaFhl8Vh0xPVhUbw==" spinCount="100000" sqref="O12 G14 I18 I20 K25 C40:R42 C48:R50" name="Eingabefelder"/>
  </protectedRanges>
  <mergeCells count="34">
    <mergeCell ref="U8:Z9"/>
    <mergeCell ref="J27:K27"/>
    <mergeCell ref="N27:O27"/>
    <mergeCell ref="J28:K28"/>
    <mergeCell ref="N28:O28"/>
    <mergeCell ref="O12:R12"/>
    <mergeCell ref="C23:R23"/>
    <mergeCell ref="K25:L25"/>
    <mergeCell ref="I18:J18"/>
    <mergeCell ref="I20:J20"/>
    <mergeCell ref="M20:R20"/>
    <mergeCell ref="U19:AJ24"/>
    <mergeCell ref="U26:AJ31"/>
    <mergeCell ref="B2:N2"/>
    <mergeCell ref="E6:F6"/>
    <mergeCell ref="E8:J8"/>
    <mergeCell ref="L8:N8"/>
    <mergeCell ref="M18:R18"/>
    <mergeCell ref="O8:R8"/>
    <mergeCell ref="E10:J10"/>
    <mergeCell ref="O10:R10"/>
    <mergeCell ref="G14:R14"/>
    <mergeCell ref="F12:H12"/>
    <mergeCell ref="C42:R42"/>
    <mergeCell ref="C50:R50"/>
    <mergeCell ref="C41:R41"/>
    <mergeCell ref="C40:R40"/>
    <mergeCell ref="C49:R49"/>
    <mergeCell ref="C48:R48"/>
    <mergeCell ref="J32:K32"/>
    <mergeCell ref="J34:K34"/>
    <mergeCell ref="N34:O34"/>
    <mergeCell ref="Q34:R34"/>
    <mergeCell ref="N25:R25"/>
  </mergeCells>
  <conditionalFormatting sqref="N25">
    <cfRule type="cellIs" dxfId="23" priority="28" stopIfTrue="1" operator="equal">
      <formula>"Lohn innerhalb Lohnbandgrenzen"</formula>
    </cfRule>
  </conditionalFormatting>
  <conditionalFormatting sqref="S25">
    <cfRule type="cellIs" dxfId="22" priority="26" stopIfTrue="1" operator="equal">
      <formula>"Lohn innerhalb Lohnbandgrenzen"</formula>
    </cfRule>
    <cfRule type="cellIs" dxfId="21" priority="27" stopIfTrue="1" operator="equal">
      <formula>""</formula>
    </cfRule>
  </conditionalFormatting>
  <conditionalFormatting sqref="C23">
    <cfRule type="expression" dxfId="20" priority="25">
      <formula>C23="Lohnband ist gleich oder Ziellohnband ist schlechter"</formula>
    </cfRule>
  </conditionalFormatting>
  <conditionalFormatting sqref="M44">
    <cfRule type="cellIs" dxfId="19" priority="19" stopIfTrue="1" operator="equal">
      <formula>"Lohn innerhalb Lohnbandgrenzen"</formula>
    </cfRule>
    <cfRule type="cellIs" dxfId="18" priority="20" stopIfTrue="1" operator="equal">
      <formula>""</formula>
    </cfRule>
  </conditionalFormatting>
  <conditionalFormatting sqref="S44">
    <cfRule type="cellIs" dxfId="17" priority="17" stopIfTrue="1" operator="equal">
      <formula>"Lohn innerhalb Lohnbandgrenzen"</formula>
    </cfRule>
    <cfRule type="cellIs" dxfId="16" priority="18" stopIfTrue="1" operator="equal">
      <formula>""</formula>
    </cfRule>
  </conditionalFormatting>
  <conditionalFormatting sqref="K18:L18">
    <cfRule type="expression" dxfId="15" priority="14">
      <formula>$AL$18=0</formula>
    </cfRule>
  </conditionalFormatting>
  <conditionalFormatting sqref="K20:L20">
    <cfRule type="expression" dxfId="14" priority="13">
      <formula>$AL$19=0</formula>
    </cfRule>
  </conditionalFormatting>
  <conditionalFormatting sqref="C28:R34 C27:J27 L27:R27">
    <cfRule type="expression" dxfId="13" priority="223">
      <formula>$K$25=""</formula>
    </cfRule>
  </conditionalFormatting>
  <conditionalFormatting sqref="C23:R23">
    <cfRule type="expression" dxfId="12" priority="5">
      <formula>$C$23="Modellumschreibungen erfassen"</formula>
    </cfRule>
    <cfRule type="expression" dxfId="11" priority="10">
      <formula>$C$23="selbe Modellumschreibung (für beide MU müssen Lohnbänder manuell eingegeben werden)"</formula>
    </cfRule>
    <cfRule type="expression" dxfId="10" priority="11">
      <formula>$C$23="Lohnband besser als bisher"</formula>
    </cfRule>
    <cfRule type="expression" dxfId="9" priority="12">
      <formula>$C$23="keine gültigen Modellumschreibungen"</formula>
    </cfRule>
  </conditionalFormatting>
  <conditionalFormatting sqref="M18:R18">
    <cfRule type="expression" dxfId="8" priority="8">
      <formula>AND($M$18&lt;&gt;"",$M$18&lt;&gt;"Keine gültige MU")</formula>
    </cfRule>
    <cfRule type="expression" dxfId="7" priority="9">
      <formula>$M$18="Keine gültige MU"</formula>
    </cfRule>
  </conditionalFormatting>
  <conditionalFormatting sqref="M20:R20">
    <cfRule type="expression" dxfId="6" priority="6">
      <formula>AND($M$20&lt;&gt;"",$M$20&lt;&gt;"Keine gültige MU")</formula>
    </cfRule>
    <cfRule type="expression" dxfId="5" priority="7">
      <formula>$M$20="Keine gültige MU"</formula>
    </cfRule>
  </conditionalFormatting>
  <conditionalFormatting sqref="C25:R34">
    <cfRule type="expression" dxfId="4" priority="1">
      <formula>$C$23&lt;&gt;"Lohnband besser als bisher"</formula>
    </cfRule>
  </conditionalFormatting>
  <conditionalFormatting sqref="N25:R25">
    <cfRule type="expression" dxfId="3" priority="3">
      <formula>OR($I$18="",$I$20="")</formula>
    </cfRule>
    <cfRule type="expression" dxfId="2" priority="4">
      <formula>$N$25="Lohn erfassen"</formula>
    </cfRule>
  </conditionalFormatting>
  <conditionalFormatting sqref="C27:R34">
    <cfRule type="expression" dxfId="1" priority="2">
      <formula>$N$25&lt;&gt;"Lohn innerhalb Lohnbandgrenzen"</formula>
    </cfRule>
  </conditionalFormatting>
  <dataValidations count="2">
    <dataValidation type="list" allowBlank="1" showInputMessage="1" showErrorMessage="1" sqref="K65493:L65493 JK65478:JL65478 TG65478:TH65478 ADC65478:ADD65478 AMY65478:AMZ65478 AWU65478:AWV65478 BGQ65478:BGR65478 BQM65478:BQN65478 CAI65478:CAJ65478 CKE65478:CKF65478 CUA65478:CUB65478 DDW65478:DDX65478 DNS65478:DNT65478 DXO65478:DXP65478 EHK65478:EHL65478 ERG65478:ERH65478 FBC65478:FBD65478 FKY65478:FKZ65478 FUU65478:FUV65478 GEQ65478:GER65478 GOM65478:GON65478 GYI65478:GYJ65478 HIE65478:HIF65478 HSA65478:HSB65478 IBW65478:IBX65478 ILS65478:ILT65478 IVO65478:IVP65478 JFK65478:JFL65478 JPG65478:JPH65478 JZC65478:JZD65478 KIY65478:KIZ65478 KSU65478:KSV65478 LCQ65478:LCR65478 LMM65478:LMN65478 LWI65478:LWJ65478 MGE65478:MGF65478 MQA65478:MQB65478 MZW65478:MZX65478 NJS65478:NJT65478 NTO65478:NTP65478 ODK65478:ODL65478 ONG65478:ONH65478 OXC65478:OXD65478 PGY65478:PGZ65478 PQU65478:PQV65478 QAQ65478:QAR65478 QKM65478:QKN65478 QUI65478:QUJ65478 REE65478:REF65478 ROA65478:ROB65478 RXW65478:RXX65478 SHS65478:SHT65478 SRO65478:SRP65478 TBK65478:TBL65478 TLG65478:TLH65478 TVC65478:TVD65478 UEY65478:UEZ65478 UOU65478:UOV65478 UYQ65478:UYR65478 VIM65478:VIN65478 VSI65478:VSJ65478 WCE65478:WCF65478 WMA65478:WMB65478 WVW65478:WVX65478 K131029:L131029 JK131014:JL131014 TG131014:TH131014 ADC131014:ADD131014 AMY131014:AMZ131014 AWU131014:AWV131014 BGQ131014:BGR131014 BQM131014:BQN131014 CAI131014:CAJ131014 CKE131014:CKF131014 CUA131014:CUB131014 DDW131014:DDX131014 DNS131014:DNT131014 DXO131014:DXP131014 EHK131014:EHL131014 ERG131014:ERH131014 FBC131014:FBD131014 FKY131014:FKZ131014 FUU131014:FUV131014 GEQ131014:GER131014 GOM131014:GON131014 GYI131014:GYJ131014 HIE131014:HIF131014 HSA131014:HSB131014 IBW131014:IBX131014 ILS131014:ILT131014 IVO131014:IVP131014 JFK131014:JFL131014 JPG131014:JPH131014 JZC131014:JZD131014 KIY131014:KIZ131014 KSU131014:KSV131014 LCQ131014:LCR131014 LMM131014:LMN131014 LWI131014:LWJ131014 MGE131014:MGF131014 MQA131014:MQB131014 MZW131014:MZX131014 NJS131014:NJT131014 NTO131014:NTP131014 ODK131014:ODL131014 ONG131014:ONH131014 OXC131014:OXD131014 PGY131014:PGZ131014 PQU131014:PQV131014 QAQ131014:QAR131014 QKM131014:QKN131014 QUI131014:QUJ131014 REE131014:REF131014 ROA131014:ROB131014 RXW131014:RXX131014 SHS131014:SHT131014 SRO131014:SRP131014 TBK131014:TBL131014 TLG131014:TLH131014 TVC131014:TVD131014 UEY131014:UEZ131014 UOU131014:UOV131014 UYQ131014:UYR131014 VIM131014:VIN131014 VSI131014:VSJ131014 WCE131014:WCF131014 WMA131014:WMB131014 WVW131014:WVX131014 K196565:L196565 JK196550:JL196550 TG196550:TH196550 ADC196550:ADD196550 AMY196550:AMZ196550 AWU196550:AWV196550 BGQ196550:BGR196550 BQM196550:BQN196550 CAI196550:CAJ196550 CKE196550:CKF196550 CUA196550:CUB196550 DDW196550:DDX196550 DNS196550:DNT196550 DXO196550:DXP196550 EHK196550:EHL196550 ERG196550:ERH196550 FBC196550:FBD196550 FKY196550:FKZ196550 FUU196550:FUV196550 GEQ196550:GER196550 GOM196550:GON196550 GYI196550:GYJ196550 HIE196550:HIF196550 HSA196550:HSB196550 IBW196550:IBX196550 ILS196550:ILT196550 IVO196550:IVP196550 JFK196550:JFL196550 JPG196550:JPH196550 JZC196550:JZD196550 KIY196550:KIZ196550 KSU196550:KSV196550 LCQ196550:LCR196550 LMM196550:LMN196550 LWI196550:LWJ196550 MGE196550:MGF196550 MQA196550:MQB196550 MZW196550:MZX196550 NJS196550:NJT196550 NTO196550:NTP196550 ODK196550:ODL196550 ONG196550:ONH196550 OXC196550:OXD196550 PGY196550:PGZ196550 PQU196550:PQV196550 QAQ196550:QAR196550 QKM196550:QKN196550 QUI196550:QUJ196550 REE196550:REF196550 ROA196550:ROB196550 RXW196550:RXX196550 SHS196550:SHT196550 SRO196550:SRP196550 TBK196550:TBL196550 TLG196550:TLH196550 TVC196550:TVD196550 UEY196550:UEZ196550 UOU196550:UOV196550 UYQ196550:UYR196550 VIM196550:VIN196550 VSI196550:VSJ196550 WCE196550:WCF196550 WMA196550:WMB196550 WVW196550:WVX196550 K262101:L262101 JK262086:JL262086 TG262086:TH262086 ADC262086:ADD262086 AMY262086:AMZ262086 AWU262086:AWV262086 BGQ262086:BGR262086 BQM262086:BQN262086 CAI262086:CAJ262086 CKE262086:CKF262086 CUA262086:CUB262086 DDW262086:DDX262086 DNS262086:DNT262086 DXO262086:DXP262086 EHK262086:EHL262086 ERG262086:ERH262086 FBC262086:FBD262086 FKY262086:FKZ262086 FUU262086:FUV262086 GEQ262086:GER262086 GOM262086:GON262086 GYI262086:GYJ262086 HIE262086:HIF262086 HSA262086:HSB262086 IBW262086:IBX262086 ILS262086:ILT262086 IVO262086:IVP262086 JFK262086:JFL262086 JPG262086:JPH262086 JZC262086:JZD262086 KIY262086:KIZ262086 KSU262086:KSV262086 LCQ262086:LCR262086 LMM262086:LMN262086 LWI262086:LWJ262086 MGE262086:MGF262086 MQA262086:MQB262086 MZW262086:MZX262086 NJS262086:NJT262086 NTO262086:NTP262086 ODK262086:ODL262086 ONG262086:ONH262086 OXC262086:OXD262086 PGY262086:PGZ262086 PQU262086:PQV262086 QAQ262086:QAR262086 QKM262086:QKN262086 QUI262086:QUJ262086 REE262086:REF262086 ROA262086:ROB262086 RXW262086:RXX262086 SHS262086:SHT262086 SRO262086:SRP262086 TBK262086:TBL262086 TLG262086:TLH262086 TVC262086:TVD262086 UEY262086:UEZ262086 UOU262086:UOV262086 UYQ262086:UYR262086 VIM262086:VIN262086 VSI262086:VSJ262086 WCE262086:WCF262086 WMA262086:WMB262086 WVW262086:WVX262086 K327637:L327637 JK327622:JL327622 TG327622:TH327622 ADC327622:ADD327622 AMY327622:AMZ327622 AWU327622:AWV327622 BGQ327622:BGR327622 BQM327622:BQN327622 CAI327622:CAJ327622 CKE327622:CKF327622 CUA327622:CUB327622 DDW327622:DDX327622 DNS327622:DNT327622 DXO327622:DXP327622 EHK327622:EHL327622 ERG327622:ERH327622 FBC327622:FBD327622 FKY327622:FKZ327622 FUU327622:FUV327622 GEQ327622:GER327622 GOM327622:GON327622 GYI327622:GYJ327622 HIE327622:HIF327622 HSA327622:HSB327622 IBW327622:IBX327622 ILS327622:ILT327622 IVO327622:IVP327622 JFK327622:JFL327622 JPG327622:JPH327622 JZC327622:JZD327622 KIY327622:KIZ327622 KSU327622:KSV327622 LCQ327622:LCR327622 LMM327622:LMN327622 LWI327622:LWJ327622 MGE327622:MGF327622 MQA327622:MQB327622 MZW327622:MZX327622 NJS327622:NJT327622 NTO327622:NTP327622 ODK327622:ODL327622 ONG327622:ONH327622 OXC327622:OXD327622 PGY327622:PGZ327622 PQU327622:PQV327622 QAQ327622:QAR327622 QKM327622:QKN327622 QUI327622:QUJ327622 REE327622:REF327622 ROA327622:ROB327622 RXW327622:RXX327622 SHS327622:SHT327622 SRO327622:SRP327622 TBK327622:TBL327622 TLG327622:TLH327622 TVC327622:TVD327622 UEY327622:UEZ327622 UOU327622:UOV327622 UYQ327622:UYR327622 VIM327622:VIN327622 VSI327622:VSJ327622 WCE327622:WCF327622 WMA327622:WMB327622 WVW327622:WVX327622 K393173:L393173 JK393158:JL393158 TG393158:TH393158 ADC393158:ADD393158 AMY393158:AMZ393158 AWU393158:AWV393158 BGQ393158:BGR393158 BQM393158:BQN393158 CAI393158:CAJ393158 CKE393158:CKF393158 CUA393158:CUB393158 DDW393158:DDX393158 DNS393158:DNT393158 DXO393158:DXP393158 EHK393158:EHL393158 ERG393158:ERH393158 FBC393158:FBD393158 FKY393158:FKZ393158 FUU393158:FUV393158 GEQ393158:GER393158 GOM393158:GON393158 GYI393158:GYJ393158 HIE393158:HIF393158 HSA393158:HSB393158 IBW393158:IBX393158 ILS393158:ILT393158 IVO393158:IVP393158 JFK393158:JFL393158 JPG393158:JPH393158 JZC393158:JZD393158 KIY393158:KIZ393158 KSU393158:KSV393158 LCQ393158:LCR393158 LMM393158:LMN393158 LWI393158:LWJ393158 MGE393158:MGF393158 MQA393158:MQB393158 MZW393158:MZX393158 NJS393158:NJT393158 NTO393158:NTP393158 ODK393158:ODL393158 ONG393158:ONH393158 OXC393158:OXD393158 PGY393158:PGZ393158 PQU393158:PQV393158 QAQ393158:QAR393158 QKM393158:QKN393158 QUI393158:QUJ393158 REE393158:REF393158 ROA393158:ROB393158 RXW393158:RXX393158 SHS393158:SHT393158 SRO393158:SRP393158 TBK393158:TBL393158 TLG393158:TLH393158 TVC393158:TVD393158 UEY393158:UEZ393158 UOU393158:UOV393158 UYQ393158:UYR393158 VIM393158:VIN393158 VSI393158:VSJ393158 WCE393158:WCF393158 WMA393158:WMB393158 WVW393158:WVX393158 K458709:L458709 JK458694:JL458694 TG458694:TH458694 ADC458694:ADD458694 AMY458694:AMZ458694 AWU458694:AWV458694 BGQ458694:BGR458694 BQM458694:BQN458694 CAI458694:CAJ458694 CKE458694:CKF458694 CUA458694:CUB458694 DDW458694:DDX458694 DNS458694:DNT458694 DXO458694:DXP458694 EHK458694:EHL458694 ERG458694:ERH458694 FBC458694:FBD458694 FKY458694:FKZ458694 FUU458694:FUV458694 GEQ458694:GER458694 GOM458694:GON458694 GYI458694:GYJ458694 HIE458694:HIF458694 HSA458694:HSB458694 IBW458694:IBX458694 ILS458694:ILT458694 IVO458694:IVP458694 JFK458694:JFL458694 JPG458694:JPH458694 JZC458694:JZD458694 KIY458694:KIZ458694 KSU458694:KSV458694 LCQ458694:LCR458694 LMM458694:LMN458694 LWI458694:LWJ458694 MGE458694:MGF458694 MQA458694:MQB458694 MZW458694:MZX458694 NJS458694:NJT458694 NTO458694:NTP458694 ODK458694:ODL458694 ONG458694:ONH458694 OXC458694:OXD458694 PGY458694:PGZ458694 PQU458694:PQV458694 QAQ458694:QAR458694 QKM458694:QKN458694 QUI458694:QUJ458694 REE458694:REF458694 ROA458694:ROB458694 RXW458694:RXX458694 SHS458694:SHT458694 SRO458694:SRP458694 TBK458694:TBL458694 TLG458694:TLH458694 TVC458694:TVD458694 UEY458694:UEZ458694 UOU458694:UOV458694 UYQ458694:UYR458694 VIM458694:VIN458694 VSI458694:VSJ458694 WCE458694:WCF458694 WMA458694:WMB458694 WVW458694:WVX458694 K524245:L524245 JK524230:JL524230 TG524230:TH524230 ADC524230:ADD524230 AMY524230:AMZ524230 AWU524230:AWV524230 BGQ524230:BGR524230 BQM524230:BQN524230 CAI524230:CAJ524230 CKE524230:CKF524230 CUA524230:CUB524230 DDW524230:DDX524230 DNS524230:DNT524230 DXO524230:DXP524230 EHK524230:EHL524230 ERG524230:ERH524230 FBC524230:FBD524230 FKY524230:FKZ524230 FUU524230:FUV524230 GEQ524230:GER524230 GOM524230:GON524230 GYI524230:GYJ524230 HIE524230:HIF524230 HSA524230:HSB524230 IBW524230:IBX524230 ILS524230:ILT524230 IVO524230:IVP524230 JFK524230:JFL524230 JPG524230:JPH524230 JZC524230:JZD524230 KIY524230:KIZ524230 KSU524230:KSV524230 LCQ524230:LCR524230 LMM524230:LMN524230 LWI524230:LWJ524230 MGE524230:MGF524230 MQA524230:MQB524230 MZW524230:MZX524230 NJS524230:NJT524230 NTO524230:NTP524230 ODK524230:ODL524230 ONG524230:ONH524230 OXC524230:OXD524230 PGY524230:PGZ524230 PQU524230:PQV524230 QAQ524230:QAR524230 QKM524230:QKN524230 QUI524230:QUJ524230 REE524230:REF524230 ROA524230:ROB524230 RXW524230:RXX524230 SHS524230:SHT524230 SRO524230:SRP524230 TBK524230:TBL524230 TLG524230:TLH524230 TVC524230:TVD524230 UEY524230:UEZ524230 UOU524230:UOV524230 UYQ524230:UYR524230 VIM524230:VIN524230 VSI524230:VSJ524230 WCE524230:WCF524230 WMA524230:WMB524230 WVW524230:WVX524230 K589781:L589781 JK589766:JL589766 TG589766:TH589766 ADC589766:ADD589766 AMY589766:AMZ589766 AWU589766:AWV589766 BGQ589766:BGR589766 BQM589766:BQN589766 CAI589766:CAJ589766 CKE589766:CKF589766 CUA589766:CUB589766 DDW589766:DDX589766 DNS589766:DNT589766 DXO589766:DXP589766 EHK589766:EHL589766 ERG589766:ERH589766 FBC589766:FBD589766 FKY589766:FKZ589766 FUU589766:FUV589766 GEQ589766:GER589766 GOM589766:GON589766 GYI589766:GYJ589766 HIE589766:HIF589766 HSA589766:HSB589766 IBW589766:IBX589766 ILS589766:ILT589766 IVO589766:IVP589766 JFK589766:JFL589766 JPG589766:JPH589766 JZC589766:JZD589766 KIY589766:KIZ589766 KSU589766:KSV589766 LCQ589766:LCR589766 LMM589766:LMN589766 LWI589766:LWJ589766 MGE589766:MGF589766 MQA589766:MQB589766 MZW589766:MZX589766 NJS589766:NJT589766 NTO589766:NTP589766 ODK589766:ODL589766 ONG589766:ONH589766 OXC589766:OXD589766 PGY589766:PGZ589766 PQU589766:PQV589766 QAQ589766:QAR589766 QKM589766:QKN589766 QUI589766:QUJ589766 REE589766:REF589766 ROA589766:ROB589766 RXW589766:RXX589766 SHS589766:SHT589766 SRO589766:SRP589766 TBK589766:TBL589766 TLG589766:TLH589766 TVC589766:TVD589766 UEY589766:UEZ589766 UOU589766:UOV589766 UYQ589766:UYR589766 VIM589766:VIN589766 VSI589766:VSJ589766 WCE589766:WCF589766 WMA589766:WMB589766 WVW589766:WVX589766 K655317:L655317 JK655302:JL655302 TG655302:TH655302 ADC655302:ADD655302 AMY655302:AMZ655302 AWU655302:AWV655302 BGQ655302:BGR655302 BQM655302:BQN655302 CAI655302:CAJ655302 CKE655302:CKF655302 CUA655302:CUB655302 DDW655302:DDX655302 DNS655302:DNT655302 DXO655302:DXP655302 EHK655302:EHL655302 ERG655302:ERH655302 FBC655302:FBD655302 FKY655302:FKZ655302 FUU655302:FUV655302 GEQ655302:GER655302 GOM655302:GON655302 GYI655302:GYJ655302 HIE655302:HIF655302 HSA655302:HSB655302 IBW655302:IBX655302 ILS655302:ILT655302 IVO655302:IVP655302 JFK655302:JFL655302 JPG655302:JPH655302 JZC655302:JZD655302 KIY655302:KIZ655302 KSU655302:KSV655302 LCQ655302:LCR655302 LMM655302:LMN655302 LWI655302:LWJ655302 MGE655302:MGF655302 MQA655302:MQB655302 MZW655302:MZX655302 NJS655302:NJT655302 NTO655302:NTP655302 ODK655302:ODL655302 ONG655302:ONH655302 OXC655302:OXD655302 PGY655302:PGZ655302 PQU655302:PQV655302 QAQ655302:QAR655302 QKM655302:QKN655302 QUI655302:QUJ655302 REE655302:REF655302 ROA655302:ROB655302 RXW655302:RXX655302 SHS655302:SHT655302 SRO655302:SRP655302 TBK655302:TBL655302 TLG655302:TLH655302 TVC655302:TVD655302 UEY655302:UEZ655302 UOU655302:UOV655302 UYQ655302:UYR655302 VIM655302:VIN655302 VSI655302:VSJ655302 WCE655302:WCF655302 WMA655302:WMB655302 WVW655302:WVX655302 K720853:L720853 JK720838:JL720838 TG720838:TH720838 ADC720838:ADD720838 AMY720838:AMZ720838 AWU720838:AWV720838 BGQ720838:BGR720838 BQM720838:BQN720838 CAI720838:CAJ720838 CKE720838:CKF720838 CUA720838:CUB720838 DDW720838:DDX720838 DNS720838:DNT720838 DXO720838:DXP720838 EHK720838:EHL720838 ERG720838:ERH720838 FBC720838:FBD720838 FKY720838:FKZ720838 FUU720838:FUV720838 GEQ720838:GER720838 GOM720838:GON720838 GYI720838:GYJ720838 HIE720838:HIF720838 HSA720838:HSB720838 IBW720838:IBX720838 ILS720838:ILT720838 IVO720838:IVP720838 JFK720838:JFL720838 JPG720838:JPH720838 JZC720838:JZD720838 KIY720838:KIZ720838 KSU720838:KSV720838 LCQ720838:LCR720838 LMM720838:LMN720838 LWI720838:LWJ720838 MGE720838:MGF720838 MQA720838:MQB720838 MZW720838:MZX720838 NJS720838:NJT720838 NTO720838:NTP720838 ODK720838:ODL720838 ONG720838:ONH720838 OXC720838:OXD720838 PGY720838:PGZ720838 PQU720838:PQV720838 QAQ720838:QAR720838 QKM720838:QKN720838 QUI720838:QUJ720838 REE720838:REF720838 ROA720838:ROB720838 RXW720838:RXX720838 SHS720838:SHT720838 SRO720838:SRP720838 TBK720838:TBL720838 TLG720838:TLH720838 TVC720838:TVD720838 UEY720838:UEZ720838 UOU720838:UOV720838 UYQ720838:UYR720838 VIM720838:VIN720838 VSI720838:VSJ720838 WCE720838:WCF720838 WMA720838:WMB720838 WVW720838:WVX720838 K786389:L786389 JK786374:JL786374 TG786374:TH786374 ADC786374:ADD786374 AMY786374:AMZ786374 AWU786374:AWV786374 BGQ786374:BGR786374 BQM786374:BQN786374 CAI786374:CAJ786374 CKE786374:CKF786374 CUA786374:CUB786374 DDW786374:DDX786374 DNS786374:DNT786374 DXO786374:DXP786374 EHK786374:EHL786374 ERG786374:ERH786374 FBC786374:FBD786374 FKY786374:FKZ786374 FUU786374:FUV786374 GEQ786374:GER786374 GOM786374:GON786374 GYI786374:GYJ786374 HIE786374:HIF786374 HSA786374:HSB786374 IBW786374:IBX786374 ILS786374:ILT786374 IVO786374:IVP786374 JFK786374:JFL786374 JPG786374:JPH786374 JZC786374:JZD786374 KIY786374:KIZ786374 KSU786374:KSV786374 LCQ786374:LCR786374 LMM786374:LMN786374 LWI786374:LWJ786374 MGE786374:MGF786374 MQA786374:MQB786374 MZW786374:MZX786374 NJS786374:NJT786374 NTO786374:NTP786374 ODK786374:ODL786374 ONG786374:ONH786374 OXC786374:OXD786374 PGY786374:PGZ786374 PQU786374:PQV786374 QAQ786374:QAR786374 QKM786374:QKN786374 QUI786374:QUJ786374 REE786374:REF786374 ROA786374:ROB786374 RXW786374:RXX786374 SHS786374:SHT786374 SRO786374:SRP786374 TBK786374:TBL786374 TLG786374:TLH786374 TVC786374:TVD786374 UEY786374:UEZ786374 UOU786374:UOV786374 UYQ786374:UYR786374 VIM786374:VIN786374 VSI786374:VSJ786374 WCE786374:WCF786374 WMA786374:WMB786374 WVW786374:WVX786374 K851925:L851925 JK851910:JL851910 TG851910:TH851910 ADC851910:ADD851910 AMY851910:AMZ851910 AWU851910:AWV851910 BGQ851910:BGR851910 BQM851910:BQN851910 CAI851910:CAJ851910 CKE851910:CKF851910 CUA851910:CUB851910 DDW851910:DDX851910 DNS851910:DNT851910 DXO851910:DXP851910 EHK851910:EHL851910 ERG851910:ERH851910 FBC851910:FBD851910 FKY851910:FKZ851910 FUU851910:FUV851910 GEQ851910:GER851910 GOM851910:GON851910 GYI851910:GYJ851910 HIE851910:HIF851910 HSA851910:HSB851910 IBW851910:IBX851910 ILS851910:ILT851910 IVO851910:IVP851910 JFK851910:JFL851910 JPG851910:JPH851910 JZC851910:JZD851910 KIY851910:KIZ851910 KSU851910:KSV851910 LCQ851910:LCR851910 LMM851910:LMN851910 LWI851910:LWJ851910 MGE851910:MGF851910 MQA851910:MQB851910 MZW851910:MZX851910 NJS851910:NJT851910 NTO851910:NTP851910 ODK851910:ODL851910 ONG851910:ONH851910 OXC851910:OXD851910 PGY851910:PGZ851910 PQU851910:PQV851910 QAQ851910:QAR851910 QKM851910:QKN851910 QUI851910:QUJ851910 REE851910:REF851910 ROA851910:ROB851910 RXW851910:RXX851910 SHS851910:SHT851910 SRO851910:SRP851910 TBK851910:TBL851910 TLG851910:TLH851910 TVC851910:TVD851910 UEY851910:UEZ851910 UOU851910:UOV851910 UYQ851910:UYR851910 VIM851910:VIN851910 VSI851910:VSJ851910 WCE851910:WCF851910 WMA851910:WMB851910 WVW851910:WVX851910 K917461:L917461 JK917446:JL917446 TG917446:TH917446 ADC917446:ADD917446 AMY917446:AMZ917446 AWU917446:AWV917446 BGQ917446:BGR917446 BQM917446:BQN917446 CAI917446:CAJ917446 CKE917446:CKF917446 CUA917446:CUB917446 DDW917446:DDX917446 DNS917446:DNT917446 DXO917446:DXP917446 EHK917446:EHL917446 ERG917446:ERH917446 FBC917446:FBD917446 FKY917446:FKZ917446 FUU917446:FUV917446 GEQ917446:GER917446 GOM917446:GON917446 GYI917446:GYJ917446 HIE917446:HIF917446 HSA917446:HSB917446 IBW917446:IBX917446 ILS917446:ILT917446 IVO917446:IVP917446 JFK917446:JFL917446 JPG917446:JPH917446 JZC917446:JZD917446 KIY917446:KIZ917446 KSU917446:KSV917446 LCQ917446:LCR917446 LMM917446:LMN917446 LWI917446:LWJ917446 MGE917446:MGF917446 MQA917446:MQB917446 MZW917446:MZX917446 NJS917446:NJT917446 NTO917446:NTP917446 ODK917446:ODL917446 ONG917446:ONH917446 OXC917446:OXD917446 PGY917446:PGZ917446 PQU917446:PQV917446 QAQ917446:QAR917446 QKM917446:QKN917446 QUI917446:QUJ917446 REE917446:REF917446 ROA917446:ROB917446 RXW917446:RXX917446 SHS917446:SHT917446 SRO917446:SRP917446 TBK917446:TBL917446 TLG917446:TLH917446 TVC917446:TVD917446 UEY917446:UEZ917446 UOU917446:UOV917446 UYQ917446:UYR917446 VIM917446:VIN917446 VSI917446:VSJ917446 WCE917446:WCF917446 WMA917446:WMB917446 WVW917446:WVX917446 K982997:L982997 JK982982:JL982982 TG982982:TH982982 ADC982982:ADD982982 AMY982982:AMZ982982 AWU982982:AWV982982 BGQ982982:BGR982982 BQM982982:BQN982982 CAI982982:CAJ982982 CKE982982:CKF982982 CUA982982:CUB982982 DDW982982:DDX982982 DNS982982:DNT982982 DXO982982:DXP982982 EHK982982:EHL982982 ERG982982:ERH982982 FBC982982:FBD982982 FKY982982:FKZ982982 FUU982982:FUV982982 GEQ982982:GER982982 GOM982982:GON982982 GYI982982:GYJ982982 HIE982982:HIF982982 HSA982982:HSB982982 IBW982982:IBX982982 ILS982982:ILT982982 IVO982982:IVP982982 JFK982982:JFL982982 JPG982982:JPH982982 JZC982982:JZD982982 KIY982982:KIZ982982 KSU982982:KSV982982 LCQ982982:LCR982982 LMM982982:LMN982982 LWI982982:LWJ982982 MGE982982:MGF982982 MQA982982:MQB982982 MZW982982:MZX982982 NJS982982:NJT982982 NTO982982:NTP982982 ODK982982:ODL982982 ONG982982:ONH982982 OXC982982:OXD982982 PGY982982:PGZ982982 PQU982982:PQV982982 QAQ982982:QAR982982 QKM982982:QKN982982 QUI982982:QUJ982982 REE982982:REF982982 ROA982982:ROB982982 RXW982982:RXX982982 SHS982982:SHT982982 SRO982982:SRP982982 TBK982982:TBL982982 TLG982982:TLH982982 TVC982982:TVD982982 UEY982982:UEZ982982 UOU982982:UOV982982 UYQ982982:UYR982982 VIM982982:VIN982982 VSI982982:VSJ982982 WCE982982:WCF982982 WMA982982:WMB982982 WVW982982:WVX982982 K65495:L65495 JK65480:JL65480 TG65480:TH65480 ADC65480:ADD65480 AMY65480:AMZ65480 AWU65480:AWV65480 BGQ65480:BGR65480 BQM65480:BQN65480 CAI65480:CAJ65480 CKE65480:CKF65480 CUA65480:CUB65480 DDW65480:DDX65480 DNS65480:DNT65480 DXO65480:DXP65480 EHK65480:EHL65480 ERG65480:ERH65480 FBC65480:FBD65480 FKY65480:FKZ65480 FUU65480:FUV65480 GEQ65480:GER65480 GOM65480:GON65480 GYI65480:GYJ65480 HIE65480:HIF65480 HSA65480:HSB65480 IBW65480:IBX65480 ILS65480:ILT65480 IVO65480:IVP65480 JFK65480:JFL65480 JPG65480:JPH65480 JZC65480:JZD65480 KIY65480:KIZ65480 KSU65480:KSV65480 LCQ65480:LCR65480 LMM65480:LMN65480 LWI65480:LWJ65480 MGE65480:MGF65480 MQA65480:MQB65480 MZW65480:MZX65480 NJS65480:NJT65480 NTO65480:NTP65480 ODK65480:ODL65480 ONG65480:ONH65480 OXC65480:OXD65480 PGY65480:PGZ65480 PQU65480:PQV65480 QAQ65480:QAR65480 QKM65480:QKN65480 QUI65480:QUJ65480 REE65480:REF65480 ROA65480:ROB65480 RXW65480:RXX65480 SHS65480:SHT65480 SRO65480:SRP65480 TBK65480:TBL65480 TLG65480:TLH65480 TVC65480:TVD65480 UEY65480:UEZ65480 UOU65480:UOV65480 UYQ65480:UYR65480 VIM65480:VIN65480 VSI65480:VSJ65480 WCE65480:WCF65480 WMA65480:WMB65480 WVW65480:WVX65480 K131031:L131031 JK131016:JL131016 TG131016:TH131016 ADC131016:ADD131016 AMY131016:AMZ131016 AWU131016:AWV131016 BGQ131016:BGR131016 BQM131016:BQN131016 CAI131016:CAJ131016 CKE131016:CKF131016 CUA131016:CUB131016 DDW131016:DDX131016 DNS131016:DNT131016 DXO131016:DXP131016 EHK131016:EHL131016 ERG131016:ERH131016 FBC131016:FBD131016 FKY131016:FKZ131016 FUU131016:FUV131016 GEQ131016:GER131016 GOM131016:GON131016 GYI131016:GYJ131016 HIE131016:HIF131016 HSA131016:HSB131016 IBW131016:IBX131016 ILS131016:ILT131016 IVO131016:IVP131016 JFK131016:JFL131016 JPG131016:JPH131016 JZC131016:JZD131016 KIY131016:KIZ131016 KSU131016:KSV131016 LCQ131016:LCR131016 LMM131016:LMN131016 LWI131016:LWJ131016 MGE131016:MGF131016 MQA131016:MQB131016 MZW131016:MZX131016 NJS131016:NJT131016 NTO131016:NTP131016 ODK131016:ODL131016 ONG131016:ONH131016 OXC131016:OXD131016 PGY131016:PGZ131016 PQU131016:PQV131016 QAQ131016:QAR131016 QKM131016:QKN131016 QUI131016:QUJ131016 REE131016:REF131016 ROA131016:ROB131016 RXW131016:RXX131016 SHS131016:SHT131016 SRO131016:SRP131016 TBK131016:TBL131016 TLG131016:TLH131016 TVC131016:TVD131016 UEY131016:UEZ131016 UOU131016:UOV131016 UYQ131016:UYR131016 VIM131016:VIN131016 VSI131016:VSJ131016 WCE131016:WCF131016 WMA131016:WMB131016 WVW131016:WVX131016 K196567:L196567 JK196552:JL196552 TG196552:TH196552 ADC196552:ADD196552 AMY196552:AMZ196552 AWU196552:AWV196552 BGQ196552:BGR196552 BQM196552:BQN196552 CAI196552:CAJ196552 CKE196552:CKF196552 CUA196552:CUB196552 DDW196552:DDX196552 DNS196552:DNT196552 DXO196552:DXP196552 EHK196552:EHL196552 ERG196552:ERH196552 FBC196552:FBD196552 FKY196552:FKZ196552 FUU196552:FUV196552 GEQ196552:GER196552 GOM196552:GON196552 GYI196552:GYJ196552 HIE196552:HIF196552 HSA196552:HSB196552 IBW196552:IBX196552 ILS196552:ILT196552 IVO196552:IVP196552 JFK196552:JFL196552 JPG196552:JPH196552 JZC196552:JZD196552 KIY196552:KIZ196552 KSU196552:KSV196552 LCQ196552:LCR196552 LMM196552:LMN196552 LWI196552:LWJ196552 MGE196552:MGF196552 MQA196552:MQB196552 MZW196552:MZX196552 NJS196552:NJT196552 NTO196552:NTP196552 ODK196552:ODL196552 ONG196552:ONH196552 OXC196552:OXD196552 PGY196552:PGZ196552 PQU196552:PQV196552 QAQ196552:QAR196552 QKM196552:QKN196552 QUI196552:QUJ196552 REE196552:REF196552 ROA196552:ROB196552 RXW196552:RXX196552 SHS196552:SHT196552 SRO196552:SRP196552 TBK196552:TBL196552 TLG196552:TLH196552 TVC196552:TVD196552 UEY196552:UEZ196552 UOU196552:UOV196552 UYQ196552:UYR196552 VIM196552:VIN196552 VSI196552:VSJ196552 WCE196552:WCF196552 WMA196552:WMB196552 WVW196552:WVX196552 K262103:L262103 JK262088:JL262088 TG262088:TH262088 ADC262088:ADD262088 AMY262088:AMZ262088 AWU262088:AWV262088 BGQ262088:BGR262088 BQM262088:BQN262088 CAI262088:CAJ262088 CKE262088:CKF262088 CUA262088:CUB262088 DDW262088:DDX262088 DNS262088:DNT262088 DXO262088:DXP262088 EHK262088:EHL262088 ERG262088:ERH262088 FBC262088:FBD262088 FKY262088:FKZ262088 FUU262088:FUV262088 GEQ262088:GER262088 GOM262088:GON262088 GYI262088:GYJ262088 HIE262088:HIF262088 HSA262088:HSB262088 IBW262088:IBX262088 ILS262088:ILT262088 IVO262088:IVP262088 JFK262088:JFL262088 JPG262088:JPH262088 JZC262088:JZD262088 KIY262088:KIZ262088 KSU262088:KSV262088 LCQ262088:LCR262088 LMM262088:LMN262088 LWI262088:LWJ262088 MGE262088:MGF262088 MQA262088:MQB262088 MZW262088:MZX262088 NJS262088:NJT262088 NTO262088:NTP262088 ODK262088:ODL262088 ONG262088:ONH262088 OXC262088:OXD262088 PGY262088:PGZ262088 PQU262088:PQV262088 QAQ262088:QAR262088 QKM262088:QKN262088 QUI262088:QUJ262088 REE262088:REF262088 ROA262088:ROB262088 RXW262088:RXX262088 SHS262088:SHT262088 SRO262088:SRP262088 TBK262088:TBL262088 TLG262088:TLH262088 TVC262088:TVD262088 UEY262088:UEZ262088 UOU262088:UOV262088 UYQ262088:UYR262088 VIM262088:VIN262088 VSI262088:VSJ262088 WCE262088:WCF262088 WMA262088:WMB262088 WVW262088:WVX262088 K327639:L327639 JK327624:JL327624 TG327624:TH327624 ADC327624:ADD327624 AMY327624:AMZ327624 AWU327624:AWV327624 BGQ327624:BGR327624 BQM327624:BQN327624 CAI327624:CAJ327624 CKE327624:CKF327624 CUA327624:CUB327624 DDW327624:DDX327624 DNS327624:DNT327624 DXO327624:DXP327624 EHK327624:EHL327624 ERG327624:ERH327624 FBC327624:FBD327624 FKY327624:FKZ327624 FUU327624:FUV327624 GEQ327624:GER327624 GOM327624:GON327624 GYI327624:GYJ327624 HIE327624:HIF327624 HSA327624:HSB327624 IBW327624:IBX327624 ILS327624:ILT327624 IVO327624:IVP327624 JFK327624:JFL327624 JPG327624:JPH327624 JZC327624:JZD327624 KIY327624:KIZ327624 KSU327624:KSV327624 LCQ327624:LCR327624 LMM327624:LMN327624 LWI327624:LWJ327624 MGE327624:MGF327624 MQA327624:MQB327624 MZW327624:MZX327624 NJS327624:NJT327624 NTO327624:NTP327624 ODK327624:ODL327624 ONG327624:ONH327624 OXC327624:OXD327624 PGY327624:PGZ327624 PQU327624:PQV327624 QAQ327624:QAR327624 QKM327624:QKN327624 QUI327624:QUJ327624 REE327624:REF327624 ROA327624:ROB327624 RXW327624:RXX327624 SHS327624:SHT327624 SRO327624:SRP327624 TBK327624:TBL327624 TLG327624:TLH327624 TVC327624:TVD327624 UEY327624:UEZ327624 UOU327624:UOV327624 UYQ327624:UYR327624 VIM327624:VIN327624 VSI327624:VSJ327624 WCE327624:WCF327624 WMA327624:WMB327624 WVW327624:WVX327624 K393175:L393175 JK393160:JL393160 TG393160:TH393160 ADC393160:ADD393160 AMY393160:AMZ393160 AWU393160:AWV393160 BGQ393160:BGR393160 BQM393160:BQN393160 CAI393160:CAJ393160 CKE393160:CKF393160 CUA393160:CUB393160 DDW393160:DDX393160 DNS393160:DNT393160 DXO393160:DXP393160 EHK393160:EHL393160 ERG393160:ERH393160 FBC393160:FBD393160 FKY393160:FKZ393160 FUU393160:FUV393160 GEQ393160:GER393160 GOM393160:GON393160 GYI393160:GYJ393160 HIE393160:HIF393160 HSA393160:HSB393160 IBW393160:IBX393160 ILS393160:ILT393160 IVO393160:IVP393160 JFK393160:JFL393160 JPG393160:JPH393160 JZC393160:JZD393160 KIY393160:KIZ393160 KSU393160:KSV393160 LCQ393160:LCR393160 LMM393160:LMN393160 LWI393160:LWJ393160 MGE393160:MGF393160 MQA393160:MQB393160 MZW393160:MZX393160 NJS393160:NJT393160 NTO393160:NTP393160 ODK393160:ODL393160 ONG393160:ONH393160 OXC393160:OXD393160 PGY393160:PGZ393160 PQU393160:PQV393160 QAQ393160:QAR393160 QKM393160:QKN393160 QUI393160:QUJ393160 REE393160:REF393160 ROA393160:ROB393160 RXW393160:RXX393160 SHS393160:SHT393160 SRO393160:SRP393160 TBK393160:TBL393160 TLG393160:TLH393160 TVC393160:TVD393160 UEY393160:UEZ393160 UOU393160:UOV393160 UYQ393160:UYR393160 VIM393160:VIN393160 VSI393160:VSJ393160 WCE393160:WCF393160 WMA393160:WMB393160 WVW393160:WVX393160 K458711:L458711 JK458696:JL458696 TG458696:TH458696 ADC458696:ADD458696 AMY458696:AMZ458696 AWU458696:AWV458696 BGQ458696:BGR458696 BQM458696:BQN458696 CAI458696:CAJ458696 CKE458696:CKF458696 CUA458696:CUB458696 DDW458696:DDX458696 DNS458696:DNT458696 DXO458696:DXP458696 EHK458696:EHL458696 ERG458696:ERH458696 FBC458696:FBD458696 FKY458696:FKZ458696 FUU458696:FUV458696 GEQ458696:GER458696 GOM458696:GON458696 GYI458696:GYJ458696 HIE458696:HIF458696 HSA458696:HSB458696 IBW458696:IBX458696 ILS458696:ILT458696 IVO458696:IVP458696 JFK458696:JFL458696 JPG458696:JPH458696 JZC458696:JZD458696 KIY458696:KIZ458696 KSU458696:KSV458696 LCQ458696:LCR458696 LMM458696:LMN458696 LWI458696:LWJ458696 MGE458696:MGF458696 MQA458696:MQB458696 MZW458696:MZX458696 NJS458696:NJT458696 NTO458696:NTP458696 ODK458696:ODL458696 ONG458696:ONH458696 OXC458696:OXD458696 PGY458696:PGZ458696 PQU458696:PQV458696 QAQ458696:QAR458696 QKM458696:QKN458696 QUI458696:QUJ458696 REE458696:REF458696 ROA458696:ROB458696 RXW458696:RXX458696 SHS458696:SHT458696 SRO458696:SRP458696 TBK458696:TBL458696 TLG458696:TLH458696 TVC458696:TVD458696 UEY458696:UEZ458696 UOU458696:UOV458696 UYQ458696:UYR458696 VIM458696:VIN458696 VSI458696:VSJ458696 WCE458696:WCF458696 WMA458696:WMB458696 WVW458696:WVX458696 K524247:L524247 JK524232:JL524232 TG524232:TH524232 ADC524232:ADD524232 AMY524232:AMZ524232 AWU524232:AWV524232 BGQ524232:BGR524232 BQM524232:BQN524232 CAI524232:CAJ524232 CKE524232:CKF524232 CUA524232:CUB524232 DDW524232:DDX524232 DNS524232:DNT524232 DXO524232:DXP524232 EHK524232:EHL524232 ERG524232:ERH524232 FBC524232:FBD524232 FKY524232:FKZ524232 FUU524232:FUV524232 GEQ524232:GER524232 GOM524232:GON524232 GYI524232:GYJ524232 HIE524232:HIF524232 HSA524232:HSB524232 IBW524232:IBX524232 ILS524232:ILT524232 IVO524232:IVP524232 JFK524232:JFL524232 JPG524232:JPH524232 JZC524232:JZD524232 KIY524232:KIZ524232 KSU524232:KSV524232 LCQ524232:LCR524232 LMM524232:LMN524232 LWI524232:LWJ524232 MGE524232:MGF524232 MQA524232:MQB524232 MZW524232:MZX524232 NJS524232:NJT524232 NTO524232:NTP524232 ODK524232:ODL524232 ONG524232:ONH524232 OXC524232:OXD524232 PGY524232:PGZ524232 PQU524232:PQV524232 QAQ524232:QAR524232 QKM524232:QKN524232 QUI524232:QUJ524232 REE524232:REF524232 ROA524232:ROB524232 RXW524232:RXX524232 SHS524232:SHT524232 SRO524232:SRP524232 TBK524232:TBL524232 TLG524232:TLH524232 TVC524232:TVD524232 UEY524232:UEZ524232 UOU524232:UOV524232 UYQ524232:UYR524232 VIM524232:VIN524232 VSI524232:VSJ524232 WCE524232:WCF524232 WMA524232:WMB524232 WVW524232:WVX524232 K589783:L589783 JK589768:JL589768 TG589768:TH589768 ADC589768:ADD589768 AMY589768:AMZ589768 AWU589768:AWV589768 BGQ589768:BGR589768 BQM589768:BQN589768 CAI589768:CAJ589768 CKE589768:CKF589768 CUA589768:CUB589768 DDW589768:DDX589768 DNS589768:DNT589768 DXO589768:DXP589768 EHK589768:EHL589768 ERG589768:ERH589768 FBC589768:FBD589768 FKY589768:FKZ589768 FUU589768:FUV589768 GEQ589768:GER589768 GOM589768:GON589768 GYI589768:GYJ589768 HIE589768:HIF589768 HSA589768:HSB589768 IBW589768:IBX589768 ILS589768:ILT589768 IVO589768:IVP589768 JFK589768:JFL589768 JPG589768:JPH589768 JZC589768:JZD589768 KIY589768:KIZ589768 KSU589768:KSV589768 LCQ589768:LCR589768 LMM589768:LMN589768 LWI589768:LWJ589768 MGE589768:MGF589768 MQA589768:MQB589768 MZW589768:MZX589768 NJS589768:NJT589768 NTO589768:NTP589768 ODK589768:ODL589768 ONG589768:ONH589768 OXC589768:OXD589768 PGY589768:PGZ589768 PQU589768:PQV589768 QAQ589768:QAR589768 QKM589768:QKN589768 QUI589768:QUJ589768 REE589768:REF589768 ROA589768:ROB589768 RXW589768:RXX589768 SHS589768:SHT589768 SRO589768:SRP589768 TBK589768:TBL589768 TLG589768:TLH589768 TVC589768:TVD589768 UEY589768:UEZ589768 UOU589768:UOV589768 UYQ589768:UYR589768 VIM589768:VIN589768 VSI589768:VSJ589768 WCE589768:WCF589768 WMA589768:WMB589768 WVW589768:WVX589768 K655319:L655319 JK655304:JL655304 TG655304:TH655304 ADC655304:ADD655304 AMY655304:AMZ655304 AWU655304:AWV655304 BGQ655304:BGR655304 BQM655304:BQN655304 CAI655304:CAJ655304 CKE655304:CKF655304 CUA655304:CUB655304 DDW655304:DDX655304 DNS655304:DNT655304 DXO655304:DXP655304 EHK655304:EHL655304 ERG655304:ERH655304 FBC655304:FBD655304 FKY655304:FKZ655304 FUU655304:FUV655304 GEQ655304:GER655304 GOM655304:GON655304 GYI655304:GYJ655304 HIE655304:HIF655304 HSA655304:HSB655304 IBW655304:IBX655304 ILS655304:ILT655304 IVO655304:IVP655304 JFK655304:JFL655304 JPG655304:JPH655304 JZC655304:JZD655304 KIY655304:KIZ655304 KSU655304:KSV655304 LCQ655304:LCR655304 LMM655304:LMN655304 LWI655304:LWJ655304 MGE655304:MGF655304 MQA655304:MQB655304 MZW655304:MZX655304 NJS655304:NJT655304 NTO655304:NTP655304 ODK655304:ODL655304 ONG655304:ONH655304 OXC655304:OXD655304 PGY655304:PGZ655304 PQU655304:PQV655304 QAQ655304:QAR655304 QKM655304:QKN655304 QUI655304:QUJ655304 REE655304:REF655304 ROA655304:ROB655304 RXW655304:RXX655304 SHS655304:SHT655304 SRO655304:SRP655304 TBK655304:TBL655304 TLG655304:TLH655304 TVC655304:TVD655304 UEY655304:UEZ655304 UOU655304:UOV655304 UYQ655304:UYR655304 VIM655304:VIN655304 VSI655304:VSJ655304 WCE655304:WCF655304 WMA655304:WMB655304 WVW655304:WVX655304 K720855:L720855 JK720840:JL720840 TG720840:TH720840 ADC720840:ADD720840 AMY720840:AMZ720840 AWU720840:AWV720840 BGQ720840:BGR720840 BQM720840:BQN720840 CAI720840:CAJ720840 CKE720840:CKF720840 CUA720840:CUB720840 DDW720840:DDX720840 DNS720840:DNT720840 DXO720840:DXP720840 EHK720840:EHL720840 ERG720840:ERH720840 FBC720840:FBD720840 FKY720840:FKZ720840 FUU720840:FUV720840 GEQ720840:GER720840 GOM720840:GON720840 GYI720840:GYJ720840 HIE720840:HIF720840 HSA720840:HSB720840 IBW720840:IBX720840 ILS720840:ILT720840 IVO720840:IVP720840 JFK720840:JFL720840 JPG720840:JPH720840 JZC720840:JZD720840 KIY720840:KIZ720840 KSU720840:KSV720840 LCQ720840:LCR720840 LMM720840:LMN720840 LWI720840:LWJ720840 MGE720840:MGF720840 MQA720840:MQB720840 MZW720840:MZX720840 NJS720840:NJT720840 NTO720840:NTP720840 ODK720840:ODL720840 ONG720840:ONH720840 OXC720840:OXD720840 PGY720840:PGZ720840 PQU720840:PQV720840 QAQ720840:QAR720840 QKM720840:QKN720840 QUI720840:QUJ720840 REE720840:REF720840 ROA720840:ROB720840 RXW720840:RXX720840 SHS720840:SHT720840 SRO720840:SRP720840 TBK720840:TBL720840 TLG720840:TLH720840 TVC720840:TVD720840 UEY720840:UEZ720840 UOU720840:UOV720840 UYQ720840:UYR720840 VIM720840:VIN720840 VSI720840:VSJ720840 WCE720840:WCF720840 WMA720840:WMB720840 WVW720840:WVX720840 K786391:L786391 JK786376:JL786376 TG786376:TH786376 ADC786376:ADD786376 AMY786376:AMZ786376 AWU786376:AWV786376 BGQ786376:BGR786376 BQM786376:BQN786376 CAI786376:CAJ786376 CKE786376:CKF786376 CUA786376:CUB786376 DDW786376:DDX786376 DNS786376:DNT786376 DXO786376:DXP786376 EHK786376:EHL786376 ERG786376:ERH786376 FBC786376:FBD786376 FKY786376:FKZ786376 FUU786376:FUV786376 GEQ786376:GER786376 GOM786376:GON786376 GYI786376:GYJ786376 HIE786376:HIF786376 HSA786376:HSB786376 IBW786376:IBX786376 ILS786376:ILT786376 IVO786376:IVP786376 JFK786376:JFL786376 JPG786376:JPH786376 JZC786376:JZD786376 KIY786376:KIZ786376 KSU786376:KSV786376 LCQ786376:LCR786376 LMM786376:LMN786376 LWI786376:LWJ786376 MGE786376:MGF786376 MQA786376:MQB786376 MZW786376:MZX786376 NJS786376:NJT786376 NTO786376:NTP786376 ODK786376:ODL786376 ONG786376:ONH786376 OXC786376:OXD786376 PGY786376:PGZ786376 PQU786376:PQV786376 QAQ786376:QAR786376 QKM786376:QKN786376 QUI786376:QUJ786376 REE786376:REF786376 ROA786376:ROB786376 RXW786376:RXX786376 SHS786376:SHT786376 SRO786376:SRP786376 TBK786376:TBL786376 TLG786376:TLH786376 TVC786376:TVD786376 UEY786376:UEZ786376 UOU786376:UOV786376 UYQ786376:UYR786376 VIM786376:VIN786376 VSI786376:VSJ786376 WCE786376:WCF786376 WMA786376:WMB786376 WVW786376:WVX786376 K851927:L851927 JK851912:JL851912 TG851912:TH851912 ADC851912:ADD851912 AMY851912:AMZ851912 AWU851912:AWV851912 BGQ851912:BGR851912 BQM851912:BQN851912 CAI851912:CAJ851912 CKE851912:CKF851912 CUA851912:CUB851912 DDW851912:DDX851912 DNS851912:DNT851912 DXO851912:DXP851912 EHK851912:EHL851912 ERG851912:ERH851912 FBC851912:FBD851912 FKY851912:FKZ851912 FUU851912:FUV851912 GEQ851912:GER851912 GOM851912:GON851912 GYI851912:GYJ851912 HIE851912:HIF851912 HSA851912:HSB851912 IBW851912:IBX851912 ILS851912:ILT851912 IVO851912:IVP851912 JFK851912:JFL851912 JPG851912:JPH851912 JZC851912:JZD851912 KIY851912:KIZ851912 KSU851912:KSV851912 LCQ851912:LCR851912 LMM851912:LMN851912 LWI851912:LWJ851912 MGE851912:MGF851912 MQA851912:MQB851912 MZW851912:MZX851912 NJS851912:NJT851912 NTO851912:NTP851912 ODK851912:ODL851912 ONG851912:ONH851912 OXC851912:OXD851912 PGY851912:PGZ851912 PQU851912:PQV851912 QAQ851912:QAR851912 QKM851912:QKN851912 QUI851912:QUJ851912 REE851912:REF851912 ROA851912:ROB851912 RXW851912:RXX851912 SHS851912:SHT851912 SRO851912:SRP851912 TBK851912:TBL851912 TLG851912:TLH851912 TVC851912:TVD851912 UEY851912:UEZ851912 UOU851912:UOV851912 UYQ851912:UYR851912 VIM851912:VIN851912 VSI851912:VSJ851912 WCE851912:WCF851912 WMA851912:WMB851912 WVW851912:WVX851912 K917463:L917463 JK917448:JL917448 TG917448:TH917448 ADC917448:ADD917448 AMY917448:AMZ917448 AWU917448:AWV917448 BGQ917448:BGR917448 BQM917448:BQN917448 CAI917448:CAJ917448 CKE917448:CKF917448 CUA917448:CUB917448 DDW917448:DDX917448 DNS917448:DNT917448 DXO917448:DXP917448 EHK917448:EHL917448 ERG917448:ERH917448 FBC917448:FBD917448 FKY917448:FKZ917448 FUU917448:FUV917448 GEQ917448:GER917448 GOM917448:GON917448 GYI917448:GYJ917448 HIE917448:HIF917448 HSA917448:HSB917448 IBW917448:IBX917448 ILS917448:ILT917448 IVO917448:IVP917448 JFK917448:JFL917448 JPG917448:JPH917448 JZC917448:JZD917448 KIY917448:KIZ917448 KSU917448:KSV917448 LCQ917448:LCR917448 LMM917448:LMN917448 LWI917448:LWJ917448 MGE917448:MGF917448 MQA917448:MQB917448 MZW917448:MZX917448 NJS917448:NJT917448 NTO917448:NTP917448 ODK917448:ODL917448 ONG917448:ONH917448 OXC917448:OXD917448 PGY917448:PGZ917448 PQU917448:PQV917448 QAQ917448:QAR917448 QKM917448:QKN917448 QUI917448:QUJ917448 REE917448:REF917448 ROA917448:ROB917448 RXW917448:RXX917448 SHS917448:SHT917448 SRO917448:SRP917448 TBK917448:TBL917448 TLG917448:TLH917448 TVC917448:TVD917448 UEY917448:UEZ917448 UOU917448:UOV917448 UYQ917448:UYR917448 VIM917448:VIN917448 VSI917448:VSJ917448 WCE917448:WCF917448 WMA917448:WMB917448 WVW917448:WVX917448 K982999:L982999 JK982984:JL982984 TG982984:TH982984 ADC982984:ADD982984 AMY982984:AMZ982984 AWU982984:AWV982984 BGQ982984:BGR982984 BQM982984:BQN982984 CAI982984:CAJ982984 CKE982984:CKF982984 CUA982984:CUB982984 DDW982984:DDX982984 DNS982984:DNT982984 DXO982984:DXP982984 EHK982984:EHL982984 ERG982984:ERH982984 FBC982984:FBD982984 FKY982984:FKZ982984 FUU982984:FUV982984 GEQ982984:GER982984 GOM982984:GON982984 GYI982984:GYJ982984 HIE982984:HIF982984 HSA982984:HSB982984 IBW982984:IBX982984 ILS982984:ILT982984 IVO982984:IVP982984 JFK982984:JFL982984 JPG982984:JPH982984 JZC982984:JZD982984 KIY982984:KIZ982984 KSU982984:KSV982984 LCQ982984:LCR982984 LMM982984:LMN982984 LWI982984:LWJ982984 MGE982984:MGF982984 MQA982984:MQB982984 MZW982984:MZX982984 NJS982984:NJT982984 NTO982984:NTP982984 ODK982984:ODL982984 ONG982984:ONH982984 OXC982984:OXD982984 PGY982984:PGZ982984 PQU982984:PQV982984 QAQ982984:QAR982984 QKM982984:QKN982984 QUI982984:QUJ982984 REE982984:REF982984 ROA982984:ROB982984 RXW982984:RXX982984 SHS982984:SHT982984 SRO982984:SRP982984 TBK982984:TBL982984 TLG982984:TLH982984 TVC982984:TVD982984 UEY982984:UEZ982984 UOU982984:UOV982984 UYQ982984:UYR982984 VIM982984:VIN982984 VSI982984:VSJ982984 WCE982984:WCF982984 WMA982984:WMB982984 WVW982984:WVX982984 WCE983013:WCF983013 WVW983013:WVX983013 K65555:L65555 JK65540:JL65540 TG65540:TH65540 ADC65540:ADD65540 AMY65540:AMZ65540 AWU65540:AWV65540 BGQ65540:BGR65540 BQM65540:BQN65540 CAI65540:CAJ65540 CKE65540:CKF65540 CUA65540:CUB65540 DDW65540:DDX65540 DNS65540:DNT65540 DXO65540:DXP65540 EHK65540:EHL65540 ERG65540:ERH65540 FBC65540:FBD65540 FKY65540:FKZ65540 FUU65540:FUV65540 GEQ65540:GER65540 GOM65540:GON65540 GYI65540:GYJ65540 HIE65540:HIF65540 HSA65540:HSB65540 IBW65540:IBX65540 ILS65540:ILT65540 IVO65540:IVP65540 JFK65540:JFL65540 JPG65540:JPH65540 JZC65540:JZD65540 KIY65540:KIZ65540 KSU65540:KSV65540 LCQ65540:LCR65540 LMM65540:LMN65540 LWI65540:LWJ65540 MGE65540:MGF65540 MQA65540:MQB65540 MZW65540:MZX65540 NJS65540:NJT65540 NTO65540:NTP65540 ODK65540:ODL65540 ONG65540:ONH65540 OXC65540:OXD65540 PGY65540:PGZ65540 PQU65540:PQV65540 QAQ65540:QAR65540 QKM65540:QKN65540 QUI65540:QUJ65540 REE65540:REF65540 ROA65540:ROB65540 RXW65540:RXX65540 SHS65540:SHT65540 SRO65540:SRP65540 TBK65540:TBL65540 TLG65540:TLH65540 TVC65540:TVD65540 UEY65540:UEZ65540 UOU65540:UOV65540 UYQ65540:UYR65540 VIM65540:VIN65540 VSI65540:VSJ65540 WCE65540:WCF65540 WMA65540:WMB65540 WVW65540:WVX65540 K131091:L131091 JK131076:JL131076 TG131076:TH131076 ADC131076:ADD131076 AMY131076:AMZ131076 AWU131076:AWV131076 BGQ131076:BGR131076 BQM131076:BQN131076 CAI131076:CAJ131076 CKE131076:CKF131076 CUA131076:CUB131076 DDW131076:DDX131076 DNS131076:DNT131076 DXO131076:DXP131076 EHK131076:EHL131076 ERG131076:ERH131076 FBC131076:FBD131076 FKY131076:FKZ131076 FUU131076:FUV131076 GEQ131076:GER131076 GOM131076:GON131076 GYI131076:GYJ131076 HIE131076:HIF131076 HSA131076:HSB131076 IBW131076:IBX131076 ILS131076:ILT131076 IVO131076:IVP131076 JFK131076:JFL131076 JPG131076:JPH131076 JZC131076:JZD131076 KIY131076:KIZ131076 KSU131076:KSV131076 LCQ131076:LCR131076 LMM131076:LMN131076 LWI131076:LWJ131076 MGE131076:MGF131076 MQA131076:MQB131076 MZW131076:MZX131076 NJS131076:NJT131076 NTO131076:NTP131076 ODK131076:ODL131076 ONG131076:ONH131076 OXC131076:OXD131076 PGY131076:PGZ131076 PQU131076:PQV131076 QAQ131076:QAR131076 QKM131076:QKN131076 QUI131076:QUJ131076 REE131076:REF131076 ROA131076:ROB131076 RXW131076:RXX131076 SHS131076:SHT131076 SRO131076:SRP131076 TBK131076:TBL131076 TLG131076:TLH131076 TVC131076:TVD131076 UEY131076:UEZ131076 UOU131076:UOV131076 UYQ131076:UYR131076 VIM131076:VIN131076 VSI131076:VSJ131076 WCE131076:WCF131076 WMA131076:WMB131076 WVW131076:WVX131076 K196627:L196627 JK196612:JL196612 TG196612:TH196612 ADC196612:ADD196612 AMY196612:AMZ196612 AWU196612:AWV196612 BGQ196612:BGR196612 BQM196612:BQN196612 CAI196612:CAJ196612 CKE196612:CKF196612 CUA196612:CUB196612 DDW196612:DDX196612 DNS196612:DNT196612 DXO196612:DXP196612 EHK196612:EHL196612 ERG196612:ERH196612 FBC196612:FBD196612 FKY196612:FKZ196612 FUU196612:FUV196612 GEQ196612:GER196612 GOM196612:GON196612 GYI196612:GYJ196612 HIE196612:HIF196612 HSA196612:HSB196612 IBW196612:IBX196612 ILS196612:ILT196612 IVO196612:IVP196612 JFK196612:JFL196612 JPG196612:JPH196612 JZC196612:JZD196612 KIY196612:KIZ196612 KSU196612:KSV196612 LCQ196612:LCR196612 LMM196612:LMN196612 LWI196612:LWJ196612 MGE196612:MGF196612 MQA196612:MQB196612 MZW196612:MZX196612 NJS196612:NJT196612 NTO196612:NTP196612 ODK196612:ODL196612 ONG196612:ONH196612 OXC196612:OXD196612 PGY196612:PGZ196612 PQU196612:PQV196612 QAQ196612:QAR196612 QKM196612:QKN196612 QUI196612:QUJ196612 REE196612:REF196612 ROA196612:ROB196612 RXW196612:RXX196612 SHS196612:SHT196612 SRO196612:SRP196612 TBK196612:TBL196612 TLG196612:TLH196612 TVC196612:TVD196612 UEY196612:UEZ196612 UOU196612:UOV196612 UYQ196612:UYR196612 VIM196612:VIN196612 VSI196612:VSJ196612 WCE196612:WCF196612 WMA196612:WMB196612 WVW196612:WVX196612 K262163:L262163 JK262148:JL262148 TG262148:TH262148 ADC262148:ADD262148 AMY262148:AMZ262148 AWU262148:AWV262148 BGQ262148:BGR262148 BQM262148:BQN262148 CAI262148:CAJ262148 CKE262148:CKF262148 CUA262148:CUB262148 DDW262148:DDX262148 DNS262148:DNT262148 DXO262148:DXP262148 EHK262148:EHL262148 ERG262148:ERH262148 FBC262148:FBD262148 FKY262148:FKZ262148 FUU262148:FUV262148 GEQ262148:GER262148 GOM262148:GON262148 GYI262148:GYJ262148 HIE262148:HIF262148 HSA262148:HSB262148 IBW262148:IBX262148 ILS262148:ILT262148 IVO262148:IVP262148 JFK262148:JFL262148 JPG262148:JPH262148 JZC262148:JZD262148 KIY262148:KIZ262148 KSU262148:KSV262148 LCQ262148:LCR262148 LMM262148:LMN262148 LWI262148:LWJ262148 MGE262148:MGF262148 MQA262148:MQB262148 MZW262148:MZX262148 NJS262148:NJT262148 NTO262148:NTP262148 ODK262148:ODL262148 ONG262148:ONH262148 OXC262148:OXD262148 PGY262148:PGZ262148 PQU262148:PQV262148 QAQ262148:QAR262148 QKM262148:QKN262148 QUI262148:QUJ262148 REE262148:REF262148 ROA262148:ROB262148 RXW262148:RXX262148 SHS262148:SHT262148 SRO262148:SRP262148 TBK262148:TBL262148 TLG262148:TLH262148 TVC262148:TVD262148 UEY262148:UEZ262148 UOU262148:UOV262148 UYQ262148:UYR262148 VIM262148:VIN262148 VSI262148:VSJ262148 WCE262148:WCF262148 WMA262148:WMB262148 WVW262148:WVX262148 K327699:L327699 JK327684:JL327684 TG327684:TH327684 ADC327684:ADD327684 AMY327684:AMZ327684 AWU327684:AWV327684 BGQ327684:BGR327684 BQM327684:BQN327684 CAI327684:CAJ327684 CKE327684:CKF327684 CUA327684:CUB327684 DDW327684:DDX327684 DNS327684:DNT327684 DXO327684:DXP327684 EHK327684:EHL327684 ERG327684:ERH327684 FBC327684:FBD327684 FKY327684:FKZ327684 FUU327684:FUV327684 GEQ327684:GER327684 GOM327684:GON327684 GYI327684:GYJ327684 HIE327684:HIF327684 HSA327684:HSB327684 IBW327684:IBX327684 ILS327684:ILT327684 IVO327684:IVP327684 JFK327684:JFL327684 JPG327684:JPH327684 JZC327684:JZD327684 KIY327684:KIZ327684 KSU327684:KSV327684 LCQ327684:LCR327684 LMM327684:LMN327684 LWI327684:LWJ327684 MGE327684:MGF327684 MQA327684:MQB327684 MZW327684:MZX327684 NJS327684:NJT327684 NTO327684:NTP327684 ODK327684:ODL327684 ONG327684:ONH327684 OXC327684:OXD327684 PGY327684:PGZ327684 PQU327684:PQV327684 QAQ327684:QAR327684 QKM327684:QKN327684 QUI327684:QUJ327684 REE327684:REF327684 ROA327684:ROB327684 RXW327684:RXX327684 SHS327684:SHT327684 SRO327684:SRP327684 TBK327684:TBL327684 TLG327684:TLH327684 TVC327684:TVD327684 UEY327684:UEZ327684 UOU327684:UOV327684 UYQ327684:UYR327684 VIM327684:VIN327684 VSI327684:VSJ327684 WCE327684:WCF327684 WMA327684:WMB327684 WVW327684:WVX327684 K393235:L393235 JK393220:JL393220 TG393220:TH393220 ADC393220:ADD393220 AMY393220:AMZ393220 AWU393220:AWV393220 BGQ393220:BGR393220 BQM393220:BQN393220 CAI393220:CAJ393220 CKE393220:CKF393220 CUA393220:CUB393220 DDW393220:DDX393220 DNS393220:DNT393220 DXO393220:DXP393220 EHK393220:EHL393220 ERG393220:ERH393220 FBC393220:FBD393220 FKY393220:FKZ393220 FUU393220:FUV393220 GEQ393220:GER393220 GOM393220:GON393220 GYI393220:GYJ393220 HIE393220:HIF393220 HSA393220:HSB393220 IBW393220:IBX393220 ILS393220:ILT393220 IVO393220:IVP393220 JFK393220:JFL393220 JPG393220:JPH393220 JZC393220:JZD393220 KIY393220:KIZ393220 KSU393220:KSV393220 LCQ393220:LCR393220 LMM393220:LMN393220 LWI393220:LWJ393220 MGE393220:MGF393220 MQA393220:MQB393220 MZW393220:MZX393220 NJS393220:NJT393220 NTO393220:NTP393220 ODK393220:ODL393220 ONG393220:ONH393220 OXC393220:OXD393220 PGY393220:PGZ393220 PQU393220:PQV393220 QAQ393220:QAR393220 QKM393220:QKN393220 QUI393220:QUJ393220 REE393220:REF393220 ROA393220:ROB393220 RXW393220:RXX393220 SHS393220:SHT393220 SRO393220:SRP393220 TBK393220:TBL393220 TLG393220:TLH393220 TVC393220:TVD393220 UEY393220:UEZ393220 UOU393220:UOV393220 UYQ393220:UYR393220 VIM393220:VIN393220 VSI393220:VSJ393220 WCE393220:WCF393220 WMA393220:WMB393220 WVW393220:WVX393220 K458771:L458771 JK458756:JL458756 TG458756:TH458756 ADC458756:ADD458756 AMY458756:AMZ458756 AWU458756:AWV458756 BGQ458756:BGR458756 BQM458756:BQN458756 CAI458756:CAJ458756 CKE458756:CKF458756 CUA458756:CUB458756 DDW458756:DDX458756 DNS458756:DNT458756 DXO458756:DXP458756 EHK458756:EHL458756 ERG458756:ERH458756 FBC458756:FBD458756 FKY458756:FKZ458756 FUU458756:FUV458756 GEQ458756:GER458756 GOM458756:GON458756 GYI458756:GYJ458756 HIE458756:HIF458756 HSA458756:HSB458756 IBW458756:IBX458756 ILS458756:ILT458756 IVO458756:IVP458756 JFK458756:JFL458756 JPG458756:JPH458756 JZC458756:JZD458756 KIY458756:KIZ458756 KSU458756:KSV458756 LCQ458756:LCR458756 LMM458756:LMN458756 LWI458756:LWJ458756 MGE458756:MGF458756 MQA458756:MQB458756 MZW458756:MZX458756 NJS458756:NJT458756 NTO458756:NTP458756 ODK458756:ODL458756 ONG458756:ONH458756 OXC458756:OXD458756 PGY458756:PGZ458756 PQU458756:PQV458756 QAQ458756:QAR458756 QKM458756:QKN458756 QUI458756:QUJ458756 REE458756:REF458756 ROA458756:ROB458756 RXW458756:RXX458756 SHS458756:SHT458756 SRO458756:SRP458756 TBK458756:TBL458756 TLG458756:TLH458756 TVC458756:TVD458756 UEY458756:UEZ458756 UOU458756:UOV458756 UYQ458756:UYR458756 VIM458756:VIN458756 VSI458756:VSJ458756 WCE458756:WCF458756 WMA458756:WMB458756 WVW458756:WVX458756 K524307:L524307 JK524292:JL524292 TG524292:TH524292 ADC524292:ADD524292 AMY524292:AMZ524292 AWU524292:AWV524292 BGQ524292:BGR524292 BQM524292:BQN524292 CAI524292:CAJ524292 CKE524292:CKF524292 CUA524292:CUB524292 DDW524292:DDX524292 DNS524292:DNT524292 DXO524292:DXP524292 EHK524292:EHL524292 ERG524292:ERH524292 FBC524292:FBD524292 FKY524292:FKZ524292 FUU524292:FUV524292 GEQ524292:GER524292 GOM524292:GON524292 GYI524292:GYJ524292 HIE524292:HIF524292 HSA524292:HSB524292 IBW524292:IBX524292 ILS524292:ILT524292 IVO524292:IVP524292 JFK524292:JFL524292 JPG524292:JPH524292 JZC524292:JZD524292 KIY524292:KIZ524292 KSU524292:KSV524292 LCQ524292:LCR524292 LMM524292:LMN524292 LWI524292:LWJ524292 MGE524292:MGF524292 MQA524292:MQB524292 MZW524292:MZX524292 NJS524292:NJT524292 NTO524292:NTP524292 ODK524292:ODL524292 ONG524292:ONH524292 OXC524292:OXD524292 PGY524292:PGZ524292 PQU524292:PQV524292 QAQ524292:QAR524292 QKM524292:QKN524292 QUI524292:QUJ524292 REE524292:REF524292 ROA524292:ROB524292 RXW524292:RXX524292 SHS524292:SHT524292 SRO524292:SRP524292 TBK524292:TBL524292 TLG524292:TLH524292 TVC524292:TVD524292 UEY524292:UEZ524292 UOU524292:UOV524292 UYQ524292:UYR524292 VIM524292:VIN524292 VSI524292:VSJ524292 WCE524292:WCF524292 WMA524292:WMB524292 WVW524292:WVX524292 K589843:L589843 JK589828:JL589828 TG589828:TH589828 ADC589828:ADD589828 AMY589828:AMZ589828 AWU589828:AWV589828 BGQ589828:BGR589828 BQM589828:BQN589828 CAI589828:CAJ589828 CKE589828:CKF589828 CUA589828:CUB589828 DDW589828:DDX589828 DNS589828:DNT589828 DXO589828:DXP589828 EHK589828:EHL589828 ERG589828:ERH589828 FBC589828:FBD589828 FKY589828:FKZ589828 FUU589828:FUV589828 GEQ589828:GER589828 GOM589828:GON589828 GYI589828:GYJ589828 HIE589828:HIF589828 HSA589828:HSB589828 IBW589828:IBX589828 ILS589828:ILT589828 IVO589828:IVP589828 JFK589828:JFL589828 JPG589828:JPH589828 JZC589828:JZD589828 KIY589828:KIZ589828 KSU589828:KSV589828 LCQ589828:LCR589828 LMM589828:LMN589828 LWI589828:LWJ589828 MGE589828:MGF589828 MQA589828:MQB589828 MZW589828:MZX589828 NJS589828:NJT589828 NTO589828:NTP589828 ODK589828:ODL589828 ONG589828:ONH589828 OXC589828:OXD589828 PGY589828:PGZ589828 PQU589828:PQV589828 QAQ589828:QAR589828 QKM589828:QKN589828 QUI589828:QUJ589828 REE589828:REF589828 ROA589828:ROB589828 RXW589828:RXX589828 SHS589828:SHT589828 SRO589828:SRP589828 TBK589828:TBL589828 TLG589828:TLH589828 TVC589828:TVD589828 UEY589828:UEZ589828 UOU589828:UOV589828 UYQ589828:UYR589828 VIM589828:VIN589828 VSI589828:VSJ589828 WCE589828:WCF589828 WMA589828:WMB589828 WVW589828:WVX589828 K655379:L655379 JK655364:JL655364 TG655364:TH655364 ADC655364:ADD655364 AMY655364:AMZ655364 AWU655364:AWV655364 BGQ655364:BGR655364 BQM655364:BQN655364 CAI655364:CAJ655364 CKE655364:CKF655364 CUA655364:CUB655364 DDW655364:DDX655364 DNS655364:DNT655364 DXO655364:DXP655364 EHK655364:EHL655364 ERG655364:ERH655364 FBC655364:FBD655364 FKY655364:FKZ655364 FUU655364:FUV655364 GEQ655364:GER655364 GOM655364:GON655364 GYI655364:GYJ655364 HIE655364:HIF655364 HSA655364:HSB655364 IBW655364:IBX655364 ILS655364:ILT655364 IVO655364:IVP655364 JFK655364:JFL655364 JPG655364:JPH655364 JZC655364:JZD655364 KIY655364:KIZ655364 KSU655364:KSV655364 LCQ655364:LCR655364 LMM655364:LMN655364 LWI655364:LWJ655364 MGE655364:MGF655364 MQA655364:MQB655364 MZW655364:MZX655364 NJS655364:NJT655364 NTO655364:NTP655364 ODK655364:ODL655364 ONG655364:ONH655364 OXC655364:OXD655364 PGY655364:PGZ655364 PQU655364:PQV655364 QAQ655364:QAR655364 QKM655364:QKN655364 QUI655364:QUJ655364 REE655364:REF655364 ROA655364:ROB655364 RXW655364:RXX655364 SHS655364:SHT655364 SRO655364:SRP655364 TBK655364:TBL655364 TLG655364:TLH655364 TVC655364:TVD655364 UEY655364:UEZ655364 UOU655364:UOV655364 UYQ655364:UYR655364 VIM655364:VIN655364 VSI655364:VSJ655364 WCE655364:WCF655364 WMA655364:WMB655364 WVW655364:WVX655364 K720915:L720915 JK720900:JL720900 TG720900:TH720900 ADC720900:ADD720900 AMY720900:AMZ720900 AWU720900:AWV720900 BGQ720900:BGR720900 BQM720900:BQN720900 CAI720900:CAJ720900 CKE720900:CKF720900 CUA720900:CUB720900 DDW720900:DDX720900 DNS720900:DNT720900 DXO720900:DXP720900 EHK720900:EHL720900 ERG720900:ERH720900 FBC720900:FBD720900 FKY720900:FKZ720900 FUU720900:FUV720900 GEQ720900:GER720900 GOM720900:GON720900 GYI720900:GYJ720900 HIE720900:HIF720900 HSA720900:HSB720900 IBW720900:IBX720900 ILS720900:ILT720900 IVO720900:IVP720900 JFK720900:JFL720900 JPG720900:JPH720900 JZC720900:JZD720900 KIY720900:KIZ720900 KSU720900:KSV720900 LCQ720900:LCR720900 LMM720900:LMN720900 LWI720900:LWJ720900 MGE720900:MGF720900 MQA720900:MQB720900 MZW720900:MZX720900 NJS720900:NJT720900 NTO720900:NTP720900 ODK720900:ODL720900 ONG720900:ONH720900 OXC720900:OXD720900 PGY720900:PGZ720900 PQU720900:PQV720900 QAQ720900:QAR720900 QKM720900:QKN720900 QUI720900:QUJ720900 REE720900:REF720900 ROA720900:ROB720900 RXW720900:RXX720900 SHS720900:SHT720900 SRO720900:SRP720900 TBK720900:TBL720900 TLG720900:TLH720900 TVC720900:TVD720900 UEY720900:UEZ720900 UOU720900:UOV720900 UYQ720900:UYR720900 VIM720900:VIN720900 VSI720900:VSJ720900 WCE720900:WCF720900 WMA720900:WMB720900 WVW720900:WVX720900 K786451:L786451 JK786436:JL786436 TG786436:TH786436 ADC786436:ADD786436 AMY786436:AMZ786436 AWU786436:AWV786436 BGQ786436:BGR786436 BQM786436:BQN786436 CAI786436:CAJ786436 CKE786436:CKF786436 CUA786436:CUB786436 DDW786436:DDX786436 DNS786436:DNT786436 DXO786436:DXP786436 EHK786436:EHL786436 ERG786436:ERH786436 FBC786436:FBD786436 FKY786436:FKZ786436 FUU786436:FUV786436 GEQ786436:GER786436 GOM786436:GON786436 GYI786436:GYJ786436 HIE786436:HIF786436 HSA786436:HSB786436 IBW786436:IBX786436 ILS786436:ILT786436 IVO786436:IVP786436 JFK786436:JFL786436 JPG786436:JPH786436 JZC786436:JZD786436 KIY786436:KIZ786436 KSU786436:KSV786436 LCQ786436:LCR786436 LMM786436:LMN786436 LWI786436:LWJ786436 MGE786436:MGF786436 MQA786436:MQB786436 MZW786436:MZX786436 NJS786436:NJT786436 NTO786436:NTP786436 ODK786436:ODL786436 ONG786436:ONH786436 OXC786436:OXD786436 PGY786436:PGZ786436 PQU786436:PQV786436 QAQ786436:QAR786436 QKM786436:QKN786436 QUI786436:QUJ786436 REE786436:REF786436 ROA786436:ROB786436 RXW786436:RXX786436 SHS786436:SHT786436 SRO786436:SRP786436 TBK786436:TBL786436 TLG786436:TLH786436 TVC786436:TVD786436 UEY786436:UEZ786436 UOU786436:UOV786436 UYQ786436:UYR786436 VIM786436:VIN786436 VSI786436:VSJ786436 WCE786436:WCF786436 WMA786436:WMB786436 WVW786436:WVX786436 K851987:L851987 JK851972:JL851972 TG851972:TH851972 ADC851972:ADD851972 AMY851972:AMZ851972 AWU851972:AWV851972 BGQ851972:BGR851972 BQM851972:BQN851972 CAI851972:CAJ851972 CKE851972:CKF851972 CUA851972:CUB851972 DDW851972:DDX851972 DNS851972:DNT851972 DXO851972:DXP851972 EHK851972:EHL851972 ERG851972:ERH851972 FBC851972:FBD851972 FKY851972:FKZ851972 FUU851972:FUV851972 GEQ851972:GER851972 GOM851972:GON851972 GYI851972:GYJ851972 HIE851972:HIF851972 HSA851972:HSB851972 IBW851972:IBX851972 ILS851972:ILT851972 IVO851972:IVP851972 JFK851972:JFL851972 JPG851972:JPH851972 JZC851972:JZD851972 KIY851972:KIZ851972 KSU851972:KSV851972 LCQ851972:LCR851972 LMM851972:LMN851972 LWI851972:LWJ851972 MGE851972:MGF851972 MQA851972:MQB851972 MZW851972:MZX851972 NJS851972:NJT851972 NTO851972:NTP851972 ODK851972:ODL851972 ONG851972:ONH851972 OXC851972:OXD851972 PGY851972:PGZ851972 PQU851972:PQV851972 QAQ851972:QAR851972 QKM851972:QKN851972 QUI851972:QUJ851972 REE851972:REF851972 ROA851972:ROB851972 RXW851972:RXX851972 SHS851972:SHT851972 SRO851972:SRP851972 TBK851972:TBL851972 TLG851972:TLH851972 TVC851972:TVD851972 UEY851972:UEZ851972 UOU851972:UOV851972 UYQ851972:UYR851972 VIM851972:VIN851972 VSI851972:VSJ851972 WCE851972:WCF851972 WMA851972:WMB851972 WVW851972:WVX851972 K917523:L917523 JK917508:JL917508 TG917508:TH917508 ADC917508:ADD917508 AMY917508:AMZ917508 AWU917508:AWV917508 BGQ917508:BGR917508 BQM917508:BQN917508 CAI917508:CAJ917508 CKE917508:CKF917508 CUA917508:CUB917508 DDW917508:DDX917508 DNS917508:DNT917508 DXO917508:DXP917508 EHK917508:EHL917508 ERG917508:ERH917508 FBC917508:FBD917508 FKY917508:FKZ917508 FUU917508:FUV917508 GEQ917508:GER917508 GOM917508:GON917508 GYI917508:GYJ917508 HIE917508:HIF917508 HSA917508:HSB917508 IBW917508:IBX917508 ILS917508:ILT917508 IVO917508:IVP917508 JFK917508:JFL917508 JPG917508:JPH917508 JZC917508:JZD917508 KIY917508:KIZ917508 KSU917508:KSV917508 LCQ917508:LCR917508 LMM917508:LMN917508 LWI917508:LWJ917508 MGE917508:MGF917508 MQA917508:MQB917508 MZW917508:MZX917508 NJS917508:NJT917508 NTO917508:NTP917508 ODK917508:ODL917508 ONG917508:ONH917508 OXC917508:OXD917508 PGY917508:PGZ917508 PQU917508:PQV917508 QAQ917508:QAR917508 QKM917508:QKN917508 QUI917508:QUJ917508 REE917508:REF917508 ROA917508:ROB917508 RXW917508:RXX917508 SHS917508:SHT917508 SRO917508:SRP917508 TBK917508:TBL917508 TLG917508:TLH917508 TVC917508:TVD917508 UEY917508:UEZ917508 UOU917508:UOV917508 UYQ917508:UYR917508 VIM917508:VIN917508 VSI917508:VSJ917508 WCE917508:WCF917508 WMA917508:WMB917508 WVW917508:WVX917508 K983059:L983059 JK983044:JL983044 TG983044:TH983044 ADC983044:ADD983044 AMY983044:AMZ983044 AWU983044:AWV983044 BGQ983044:BGR983044 BQM983044:BQN983044 CAI983044:CAJ983044 CKE983044:CKF983044 CUA983044:CUB983044 DDW983044:DDX983044 DNS983044:DNT983044 DXO983044:DXP983044 EHK983044:EHL983044 ERG983044:ERH983044 FBC983044:FBD983044 FKY983044:FKZ983044 FUU983044:FUV983044 GEQ983044:GER983044 GOM983044:GON983044 GYI983044:GYJ983044 HIE983044:HIF983044 HSA983044:HSB983044 IBW983044:IBX983044 ILS983044:ILT983044 IVO983044:IVP983044 JFK983044:JFL983044 JPG983044:JPH983044 JZC983044:JZD983044 KIY983044:KIZ983044 KSU983044:KSV983044 LCQ983044:LCR983044 LMM983044:LMN983044 LWI983044:LWJ983044 MGE983044:MGF983044 MQA983044:MQB983044 MZW983044:MZX983044 NJS983044:NJT983044 NTO983044:NTP983044 ODK983044:ODL983044 ONG983044:ONH983044 OXC983044:OXD983044 PGY983044:PGZ983044 PQU983044:PQV983044 QAQ983044:QAR983044 QKM983044:QKN983044 QUI983044:QUJ983044 REE983044:REF983044 ROA983044:ROB983044 RXW983044:RXX983044 SHS983044:SHT983044 SRO983044:SRP983044 TBK983044:TBL983044 TLG983044:TLH983044 TVC983044:TVD983044 UEY983044:UEZ983044 UOU983044:UOV983044 UYQ983044:UYR983044 VIM983044:VIN983044 VSI983044:VSJ983044 WCE983044:WCF983044 WMA983044:WMB983044 WVW983044:WVX983044 K65521:L65521 JK65506:JL65506 TG65506:TH65506 ADC65506:ADD65506 AMY65506:AMZ65506 AWU65506:AWV65506 BGQ65506:BGR65506 BQM65506:BQN65506 CAI65506:CAJ65506 CKE65506:CKF65506 CUA65506:CUB65506 DDW65506:DDX65506 DNS65506:DNT65506 DXO65506:DXP65506 EHK65506:EHL65506 ERG65506:ERH65506 FBC65506:FBD65506 FKY65506:FKZ65506 FUU65506:FUV65506 GEQ65506:GER65506 GOM65506:GON65506 GYI65506:GYJ65506 HIE65506:HIF65506 HSA65506:HSB65506 IBW65506:IBX65506 ILS65506:ILT65506 IVO65506:IVP65506 JFK65506:JFL65506 JPG65506:JPH65506 JZC65506:JZD65506 KIY65506:KIZ65506 KSU65506:KSV65506 LCQ65506:LCR65506 LMM65506:LMN65506 LWI65506:LWJ65506 MGE65506:MGF65506 MQA65506:MQB65506 MZW65506:MZX65506 NJS65506:NJT65506 NTO65506:NTP65506 ODK65506:ODL65506 ONG65506:ONH65506 OXC65506:OXD65506 PGY65506:PGZ65506 PQU65506:PQV65506 QAQ65506:QAR65506 QKM65506:QKN65506 QUI65506:QUJ65506 REE65506:REF65506 ROA65506:ROB65506 RXW65506:RXX65506 SHS65506:SHT65506 SRO65506:SRP65506 TBK65506:TBL65506 TLG65506:TLH65506 TVC65506:TVD65506 UEY65506:UEZ65506 UOU65506:UOV65506 UYQ65506:UYR65506 VIM65506:VIN65506 VSI65506:VSJ65506 WCE65506:WCF65506 WMA65506:WMB65506 WVW65506:WVX65506 K131057:L131057 JK131042:JL131042 TG131042:TH131042 ADC131042:ADD131042 AMY131042:AMZ131042 AWU131042:AWV131042 BGQ131042:BGR131042 BQM131042:BQN131042 CAI131042:CAJ131042 CKE131042:CKF131042 CUA131042:CUB131042 DDW131042:DDX131042 DNS131042:DNT131042 DXO131042:DXP131042 EHK131042:EHL131042 ERG131042:ERH131042 FBC131042:FBD131042 FKY131042:FKZ131042 FUU131042:FUV131042 GEQ131042:GER131042 GOM131042:GON131042 GYI131042:GYJ131042 HIE131042:HIF131042 HSA131042:HSB131042 IBW131042:IBX131042 ILS131042:ILT131042 IVO131042:IVP131042 JFK131042:JFL131042 JPG131042:JPH131042 JZC131042:JZD131042 KIY131042:KIZ131042 KSU131042:KSV131042 LCQ131042:LCR131042 LMM131042:LMN131042 LWI131042:LWJ131042 MGE131042:MGF131042 MQA131042:MQB131042 MZW131042:MZX131042 NJS131042:NJT131042 NTO131042:NTP131042 ODK131042:ODL131042 ONG131042:ONH131042 OXC131042:OXD131042 PGY131042:PGZ131042 PQU131042:PQV131042 QAQ131042:QAR131042 QKM131042:QKN131042 QUI131042:QUJ131042 REE131042:REF131042 ROA131042:ROB131042 RXW131042:RXX131042 SHS131042:SHT131042 SRO131042:SRP131042 TBK131042:TBL131042 TLG131042:TLH131042 TVC131042:TVD131042 UEY131042:UEZ131042 UOU131042:UOV131042 UYQ131042:UYR131042 VIM131042:VIN131042 VSI131042:VSJ131042 WCE131042:WCF131042 WMA131042:WMB131042 WVW131042:WVX131042 K196593:L196593 JK196578:JL196578 TG196578:TH196578 ADC196578:ADD196578 AMY196578:AMZ196578 AWU196578:AWV196578 BGQ196578:BGR196578 BQM196578:BQN196578 CAI196578:CAJ196578 CKE196578:CKF196578 CUA196578:CUB196578 DDW196578:DDX196578 DNS196578:DNT196578 DXO196578:DXP196578 EHK196578:EHL196578 ERG196578:ERH196578 FBC196578:FBD196578 FKY196578:FKZ196578 FUU196578:FUV196578 GEQ196578:GER196578 GOM196578:GON196578 GYI196578:GYJ196578 HIE196578:HIF196578 HSA196578:HSB196578 IBW196578:IBX196578 ILS196578:ILT196578 IVO196578:IVP196578 JFK196578:JFL196578 JPG196578:JPH196578 JZC196578:JZD196578 KIY196578:KIZ196578 KSU196578:KSV196578 LCQ196578:LCR196578 LMM196578:LMN196578 LWI196578:LWJ196578 MGE196578:MGF196578 MQA196578:MQB196578 MZW196578:MZX196578 NJS196578:NJT196578 NTO196578:NTP196578 ODK196578:ODL196578 ONG196578:ONH196578 OXC196578:OXD196578 PGY196578:PGZ196578 PQU196578:PQV196578 QAQ196578:QAR196578 QKM196578:QKN196578 QUI196578:QUJ196578 REE196578:REF196578 ROA196578:ROB196578 RXW196578:RXX196578 SHS196578:SHT196578 SRO196578:SRP196578 TBK196578:TBL196578 TLG196578:TLH196578 TVC196578:TVD196578 UEY196578:UEZ196578 UOU196578:UOV196578 UYQ196578:UYR196578 VIM196578:VIN196578 VSI196578:VSJ196578 WCE196578:WCF196578 WMA196578:WMB196578 WVW196578:WVX196578 K262129:L262129 JK262114:JL262114 TG262114:TH262114 ADC262114:ADD262114 AMY262114:AMZ262114 AWU262114:AWV262114 BGQ262114:BGR262114 BQM262114:BQN262114 CAI262114:CAJ262114 CKE262114:CKF262114 CUA262114:CUB262114 DDW262114:DDX262114 DNS262114:DNT262114 DXO262114:DXP262114 EHK262114:EHL262114 ERG262114:ERH262114 FBC262114:FBD262114 FKY262114:FKZ262114 FUU262114:FUV262114 GEQ262114:GER262114 GOM262114:GON262114 GYI262114:GYJ262114 HIE262114:HIF262114 HSA262114:HSB262114 IBW262114:IBX262114 ILS262114:ILT262114 IVO262114:IVP262114 JFK262114:JFL262114 JPG262114:JPH262114 JZC262114:JZD262114 KIY262114:KIZ262114 KSU262114:KSV262114 LCQ262114:LCR262114 LMM262114:LMN262114 LWI262114:LWJ262114 MGE262114:MGF262114 MQA262114:MQB262114 MZW262114:MZX262114 NJS262114:NJT262114 NTO262114:NTP262114 ODK262114:ODL262114 ONG262114:ONH262114 OXC262114:OXD262114 PGY262114:PGZ262114 PQU262114:PQV262114 QAQ262114:QAR262114 QKM262114:QKN262114 QUI262114:QUJ262114 REE262114:REF262114 ROA262114:ROB262114 RXW262114:RXX262114 SHS262114:SHT262114 SRO262114:SRP262114 TBK262114:TBL262114 TLG262114:TLH262114 TVC262114:TVD262114 UEY262114:UEZ262114 UOU262114:UOV262114 UYQ262114:UYR262114 VIM262114:VIN262114 VSI262114:VSJ262114 WCE262114:WCF262114 WMA262114:WMB262114 WVW262114:WVX262114 K327665:L327665 JK327650:JL327650 TG327650:TH327650 ADC327650:ADD327650 AMY327650:AMZ327650 AWU327650:AWV327650 BGQ327650:BGR327650 BQM327650:BQN327650 CAI327650:CAJ327650 CKE327650:CKF327650 CUA327650:CUB327650 DDW327650:DDX327650 DNS327650:DNT327650 DXO327650:DXP327650 EHK327650:EHL327650 ERG327650:ERH327650 FBC327650:FBD327650 FKY327650:FKZ327650 FUU327650:FUV327650 GEQ327650:GER327650 GOM327650:GON327650 GYI327650:GYJ327650 HIE327650:HIF327650 HSA327650:HSB327650 IBW327650:IBX327650 ILS327650:ILT327650 IVO327650:IVP327650 JFK327650:JFL327650 JPG327650:JPH327650 JZC327650:JZD327650 KIY327650:KIZ327650 KSU327650:KSV327650 LCQ327650:LCR327650 LMM327650:LMN327650 LWI327650:LWJ327650 MGE327650:MGF327650 MQA327650:MQB327650 MZW327650:MZX327650 NJS327650:NJT327650 NTO327650:NTP327650 ODK327650:ODL327650 ONG327650:ONH327650 OXC327650:OXD327650 PGY327650:PGZ327650 PQU327650:PQV327650 QAQ327650:QAR327650 QKM327650:QKN327650 QUI327650:QUJ327650 REE327650:REF327650 ROA327650:ROB327650 RXW327650:RXX327650 SHS327650:SHT327650 SRO327650:SRP327650 TBK327650:TBL327650 TLG327650:TLH327650 TVC327650:TVD327650 UEY327650:UEZ327650 UOU327650:UOV327650 UYQ327650:UYR327650 VIM327650:VIN327650 VSI327650:VSJ327650 WCE327650:WCF327650 WMA327650:WMB327650 WVW327650:WVX327650 K393201:L393201 JK393186:JL393186 TG393186:TH393186 ADC393186:ADD393186 AMY393186:AMZ393186 AWU393186:AWV393186 BGQ393186:BGR393186 BQM393186:BQN393186 CAI393186:CAJ393186 CKE393186:CKF393186 CUA393186:CUB393186 DDW393186:DDX393186 DNS393186:DNT393186 DXO393186:DXP393186 EHK393186:EHL393186 ERG393186:ERH393186 FBC393186:FBD393186 FKY393186:FKZ393186 FUU393186:FUV393186 GEQ393186:GER393186 GOM393186:GON393186 GYI393186:GYJ393186 HIE393186:HIF393186 HSA393186:HSB393186 IBW393186:IBX393186 ILS393186:ILT393186 IVO393186:IVP393186 JFK393186:JFL393186 JPG393186:JPH393186 JZC393186:JZD393186 KIY393186:KIZ393186 KSU393186:KSV393186 LCQ393186:LCR393186 LMM393186:LMN393186 LWI393186:LWJ393186 MGE393186:MGF393186 MQA393186:MQB393186 MZW393186:MZX393186 NJS393186:NJT393186 NTO393186:NTP393186 ODK393186:ODL393186 ONG393186:ONH393186 OXC393186:OXD393186 PGY393186:PGZ393186 PQU393186:PQV393186 QAQ393186:QAR393186 QKM393186:QKN393186 QUI393186:QUJ393186 REE393186:REF393186 ROA393186:ROB393186 RXW393186:RXX393186 SHS393186:SHT393186 SRO393186:SRP393186 TBK393186:TBL393186 TLG393186:TLH393186 TVC393186:TVD393186 UEY393186:UEZ393186 UOU393186:UOV393186 UYQ393186:UYR393186 VIM393186:VIN393186 VSI393186:VSJ393186 WCE393186:WCF393186 WMA393186:WMB393186 WVW393186:WVX393186 K458737:L458737 JK458722:JL458722 TG458722:TH458722 ADC458722:ADD458722 AMY458722:AMZ458722 AWU458722:AWV458722 BGQ458722:BGR458722 BQM458722:BQN458722 CAI458722:CAJ458722 CKE458722:CKF458722 CUA458722:CUB458722 DDW458722:DDX458722 DNS458722:DNT458722 DXO458722:DXP458722 EHK458722:EHL458722 ERG458722:ERH458722 FBC458722:FBD458722 FKY458722:FKZ458722 FUU458722:FUV458722 GEQ458722:GER458722 GOM458722:GON458722 GYI458722:GYJ458722 HIE458722:HIF458722 HSA458722:HSB458722 IBW458722:IBX458722 ILS458722:ILT458722 IVO458722:IVP458722 JFK458722:JFL458722 JPG458722:JPH458722 JZC458722:JZD458722 KIY458722:KIZ458722 KSU458722:KSV458722 LCQ458722:LCR458722 LMM458722:LMN458722 LWI458722:LWJ458722 MGE458722:MGF458722 MQA458722:MQB458722 MZW458722:MZX458722 NJS458722:NJT458722 NTO458722:NTP458722 ODK458722:ODL458722 ONG458722:ONH458722 OXC458722:OXD458722 PGY458722:PGZ458722 PQU458722:PQV458722 QAQ458722:QAR458722 QKM458722:QKN458722 QUI458722:QUJ458722 REE458722:REF458722 ROA458722:ROB458722 RXW458722:RXX458722 SHS458722:SHT458722 SRO458722:SRP458722 TBK458722:TBL458722 TLG458722:TLH458722 TVC458722:TVD458722 UEY458722:UEZ458722 UOU458722:UOV458722 UYQ458722:UYR458722 VIM458722:VIN458722 VSI458722:VSJ458722 WCE458722:WCF458722 WMA458722:WMB458722 WVW458722:WVX458722 K524273:L524273 JK524258:JL524258 TG524258:TH524258 ADC524258:ADD524258 AMY524258:AMZ524258 AWU524258:AWV524258 BGQ524258:BGR524258 BQM524258:BQN524258 CAI524258:CAJ524258 CKE524258:CKF524258 CUA524258:CUB524258 DDW524258:DDX524258 DNS524258:DNT524258 DXO524258:DXP524258 EHK524258:EHL524258 ERG524258:ERH524258 FBC524258:FBD524258 FKY524258:FKZ524258 FUU524258:FUV524258 GEQ524258:GER524258 GOM524258:GON524258 GYI524258:GYJ524258 HIE524258:HIF524258 HSA524258:HSB524258 IBW524258:IBX524258 ILS524258:ILT524258 IVO524258:IVP524258 JFK524258:JFL524258 JPG524258:JPH524258 JZC524258:JZD524258 KIY524258:KIZ524258 KSU524258:KSV524258 LCQ524258:LCR524258 LMM524258:LMN524258 LWI524258:LWJ524258 MGE524258:MGF524258 MQA524258:MQB524258 MZW524258:MZX524258 NJS524258:NJT524258 NTO524258:NTP524258 ODK524258:ODL524258 ONG524258:ONH524258 OXC524258:OXD524258 PGY524258:PGZ524258 PQU524258:PQV524258 QAQ524258:QAR524258 QKM524258:QKN524258 QUI524258:QUJ524258 REE524258:REF524258 ROA524258:ROB524258 RXW524258:RXX524258 SHS524258:SHT524258 SRO524258:SRP524258 TBK524258:TBL524258 TLG524258:TLH524258 TVC524258:TVD524258 UEY524258:UEZ524258 UOU524258:UOV524258 UYQ524258:UYR524258 VIM524258:VIN524258 VSI524258:VSJ524258 WCE524258:WCF524258 WMA524258:WMB524258 WVW524258:WVX524258 K589809:L589809 JK589794:JL589794 TG589794:TH589794 ADC589794:ADD589794 AMY589794:AMZ589794 AWU589794:AWV589794 BGQ589794:BGR589794 BQM589794:BQN589794 CAI589794:CAJ589794 CKE589794:CKF589794 CUA589794:CUB589794 DDW589794:DDX589794 DNS589794:DNT589794 DXO589794:DXP589794 EHK589794:EHL589794 ERG589794:ERH589794 FBC589794:FBD589794 FKY589794:FKZ589794 FUU589794:FUV589794 GEQ589794:GER589794 GOM589794:GON589794 GYI589794:GYJ589794 HIE589794:HIF589794 HSA589794:HSB589794 IBW589794:IBX589794 ILS589794:ILT589794 IVO589794:IVP589794 JFK589794:JFL589794 JPG589794:JPH589794 JZC589794:JZD589794 KIY589794:KIZ589794 KSU589794:KSV589794 LCQ589794:LCR589794 LMM589794:LMN589794 LWI589794:LWJ589794 MGE589794:MGF589794 MQA589794:MQB589794 MZW589794:MZX589794 NJS589794:NJT589794 NTO589794:NTP589794 ODK589794:ODL589794 ONG589794:ONH589794 OXC589794:OXD589794 PGY589794:PGZ589794 PQU589794:PQV589794 QAQ589794:QAR589794 QKM589794:QKN589794 QUI589794:QUJ589794 REE589794:REF589794 ROA589794:ROB589794 RXW589794:RXX589794 SHS589794:SHT589794 SRO589794:SRP589794 TBK589794:TBL589794 TLG589794:TLH589794 TVC589794:TVD589794 UEY589794:UEZ589794 UOU589794:UOV589794 UYQ589794:UYR589794 VIM589794:VIN589794 VSI589794:VSJ589794 WCE589794:WCF589794 WMA589794:WMB589794 WVW589794:WVX589794 K655345:L655345 JK655330:JL655330 TG655330:TH655330 ADC655330:ADD655330 AMY655330:AMZ655330 AWU655330:AWV655330 BGQ655330:BGR655330 BQM655330:BQN655330 CAI655330:CAJ655330 CKE655330:CKF655330 CUA655330:CUB655330 DDW655330:DDX655330 DNS655330:DNT655330 DXO655330:DXP655330 EHK655330:EHL655330 ERG655330:ERH655330 FBC655330:FBD655330 FKY655330:FKZ655330 FUU655330:FUV655330 GEQ655330:GER655330 GOM655330:GON655330 GYI655330:GYJ655330 HIE655330:HIF655330 HSA655330:HSB655330 IBW655330:IBX655330 ILS655330:ILT655330 IVO655330:IVP655330 JFK655330:JFL655330 JPG655330:JPH655330 JZC655330:JZD655330 KIY655330:KIZ655330 KSU655330:KSV655330 LCQ655330:LCR655330 LMM655330:LMN655330 LWI655330:LWJ655330 MGE655330:MGF655330 MQA655330:MQB655330 MZW655330:MZX655330 NJS655330:NJT655330 NTO655330:NTP655330 ODK655330:ODL655330 ONG655330:ONH655330 OXC655330:OXD655330 PGY655330:PGZ655330 PQU655330:PQV655330 QAQ655330:QAR655330 QKM655330:QKN655330 QUI655330:QUJ655330 REE655330:REF655330 ROA655330:ROB655330 RXW655330:RXX655330 SHS655330:SHT655330 SRO655330:SRP655330 TBK655330:TBL655330 TLG655330:TLH655330 TVC655330:TVD655330 UEY655330:UEZ655330 UOU655330:UOV655330 UYQ655330:UYR655330 VIM655330:VIN655330 VSI655330:VSJ655330 WCE655330:WCF655330 WMA655330:WMB655330 WVW655330:WVX655330 K720881:L720881 JK720866:JL720866 TG720866:TH720866 ADC720866:ADD720866 AMY720866:AMZ720866 AWU720866:AWV720866 BGQ720866:BGR720866 BQM720866:BQN720866 CAI720866:CAJ720866 CKE720866:CKF720866 CUA720866:CUB720866 DDW720866:DDX720866 DNS720866:DNT720866 DXO720866:DXP720866 EHK720866:EHL720866 ERG720866:ERH720866 FBC720866:FBD720866 FKY720866:FKZ720866 FUU720866:FUV720866 GEQ720866:GER720866 GOM720866:GON720866 GYI720866:GYJ720866 HIE720866:HIF720866 HSA720866:HSB720866 IBW720866:IBX720866 ILS720866:ILT720866 IVO720866:IVP720866 JFK720866:JFL720866 JPG720866:JPH720866 JZC720866:JZD720866 KIY720866:KIZ720866 KSU720866:KSV720866 LCQ720866:LCR720866 LMM720866:LMN720866 LWI720866:LWJ720866 MGE720866:MGF720866 MQA720866:MQB720866 MZW720866:MZX720866 NJS720866:NJT720866 NTO720866:NTP720866 ODK720866:ODL720866 ONG720866:ONH720866 OXC720866:OXD720866 PGY720866:PGZ720866 PQU720866:PQV720866 QAQ720866:QAR720866 QKM720866:QKN720866 QUI720866:QUJ720866 REE720866:REF720866 ROA720866:ROB720866 RXW720866:RXX720866 SHS720866:SHT720866 SRO720866:SRP720866 TBK720866:TBL720866 TLG720866:TLH720866 TVC720866:TVD720866 UEY720866:UEZ720866 UOU720866:UOV720866 UYQ720866:UYR720866 VIM720866:VIN720866 VSI720866:VSJ720866 WCE720866:WCF720866 WMA720866:WMB720866 WVW720866:WVX720866 K786417:L786417 JK786402:JL786402 TG786402:TH786402 ADC786402:ADD786402 AMY786402:AMZ786402 AWU786402:AWV786402 BGQ786402:BGR786402 BQM786402:BQN786402 CAI786402:CAJ786402 CKE786402:CKF786402 CUA786402:CUB786402 DDW786402:DDX786402 DNS786402:DNT786402 DXO786402:DXP786402 EHK786402:EHL786402 ERG786402:ERH786402 FBC786402:FBD786402 FKY786402:FKZ786402 FUU786402:FUV786402 GEQ786402:GER786402 GOM786402:GON786402 GYI786402:GYJ786402 HIE786402:HIF786402 HSA786402:HSB786402 IBW786402:IBX786402 ILS786402:ILT786402 IVO786402:IVP786402 JFK786402:JFL786402 JPG786402:JPH786402 JZC786402:JZD786402 KIY786402:KIZ786402 KSU786402:KSV786402 LCQ786402:LCR786402 LMM786402:LMN786402 LWI786402:LWJ786402 MGE786402:MGF786402 MQA786402:MQB786402 MZW786402:MZX786402 NJS786402:NJT786402 NTO786402:NTP786402 ODK786402:ODL786402 ONG786402:ONH786402 OXC786402:OXD786402 PGY786402:PGZ786402 PQU786402:PQV786402 QAQ786402:QAR786402 QKM786402:QKN786402 QUI786402:QUJ786402 REE786402:REF786402 ROA786402:ROB786402 RXW786402:RXX786402 SHS786402:SHT786402 SRO786402:SRP786402 TBK786402:TBL786402 TLG786402:TLH786402 TVC786402:TVD786402 UEY786402:UEZ786402 UOU786402:UOV786402 UYQ786402:UYR786402 VIM786402:VIN786402 VSI786402:VSJ786402 WCE786402:WCF786402 WMA786402:WMB786402 WVW786402:WVX786402 K851953:L851953 JK851938:JL851938 TG851938:TH851938 ADC851938:ADD851938 AMY851938:AMZ851938 AWU851938:AWV851938 BGQ851938:BGR851938 BQM851938:BQN851938 CAI851938:CAJ851938 CKE851938:CKF851938 CUA851938:CUB851938 DDW851938:DDX851938 DNS851938:DNT851938 DXO851938:DXP851938 EHK851938:EHL851938 ERG851938:ERH851938 FBC851938:FBD851938 FKY851938:FKZ851938 FUU851938:FUV851938 GEQ851938:GER851938 GOM851938:GON851938 GYI851938:GYJ851938 HIE851938:HIF851938 HSA851938:HSB851938 IBW851938:IBX851938 ILS851938:ILT851938 IVO851938:IVP851938 JFK851938:JFL851938 JPG851938:JPH851938 JZC851938:JZD851938 KIY851938:KIZ851938 KSU851938:KSV851938 LCQ851938:LCR851938 LMM851938:LMN851938 LWI851938:LWJ851938 MGE851938:MGF851938 MQA851938:MQB851938 MZW851938:MZX851938 NJS851938:NJT851938 NTO851938:NTP851938 ODK851938:ODL851938 ONG851938:ONH851938 OXC851938:OXD851938 PGY851938:PGZ851938 PQU851938:PQV851938 QAQ851938:QAR851938 QKM851938:QKN851938 QUI851938:QUJ851938 REE851938:REF851938 ROA851938:ROB851938 RXW851938:RXX851938 SHS851938:SHT851938 SRO851938:SRP851938 TBK851938:TBL851938 TLG851938:TLH851938 TVC851938:TVD851938 UEY851938:UEZ851938 UOU851938:UOV851938 UYQ851938:UYR851938 VIM851938:VIN851938 VSI851938:VSJ851938 WCE851938:WCF851938 WMA851938:WMB851938 WVW851938:WVX851938 K917489:L917489 JK917474:JL917474 TG917474:TH917474 ADC917474:ADD917474 AMY917474:AMZ917474 AWU917474:AWV917474 BGQ917474:BGR917474 BQM917474:BQN917474 CAI917474:CAJ917474 CKE917474:CKF917474 CUA917474:CUB917474 DDW917474:DDX917474 DNS917474:DNT917474 DXO917474:DXP917474 EHK917474:EHL917474 ERG917474:ERH917474 FBC917474:FBD917474 FKY917474:FKZ917474 FUU917474:FUV917474 GEQ917474:GER917474 GOM917474:GON917474 GYI917474:GYJ917474 HIE917474:HIF917474 HSA917474:HSB917474 IBW917474:IBX917474 ILS917474:ILT917474 IVO917474:IVP917474 JFK917474:JFL917474 JPG917474:JPH917474 JZC917474:JZD917474 KIY917474:KIZ917474 KSU917474:KSV917474 LCQ917474:LCR917474 LMM917474:LMN917474 LWI917474:LWJ917474 MGE917474:MGF917474 MQA917474:MQB917474 MZW917474:MZX917474 NJS917474:NJT917474 NTO917474:NTP917474 ODK917474:ODL917474 ONG917474:ONH917474 OXC917474:OXD917474 PGY917474:PGZ917474 PQU917474:PQV917474 QAQ917474:QAR917474 QKM917474:QKN917474 QUI917474:QUJ917474 REE917474:REF917474 ROA917474:ROB917474 RXW917474:RXX917474 SHS917474:SHT917474 SRO917474:SRP917474 TBK917474:TBL917474 TLG917474:TLH917474 TVC917474:TVD917474 UEY917474:UEZ917474 UOU917474:UOV917474 UYQ917474:UYR917474 VIM917474:VIN917474 VSI917474:VSJ917474 WCE917474:WCF917474 WMA917474:WMB917474 WVW917474:WVX917474 K983025:L983025 JK983010:JL983010 TG983010:TH983010 ADC983010:ADD983010 AMY983010:AMZ983010 AWU983010:AWV983010 BGQ983010:BGR983010 BQM983010:BQN983010 CAI983010:CAJ983010 CKE983010:CKF983010 CUA983010:CUB983010 DDW983010:DDX983010 DNS983010:DNT983010 DXO983010:DXP983010 EHK983010:EHL983010 ERG983010:ERH983010 FBC983010:FBD983010 FKY983010:FKZ983010 FUU983010:FUV983010 GEQ983010:GER983010 GOM983010:GON983010 GYI983010:GYJ983010 HIE983010:HIF983010 HSA983010:HSB983010 IBW983010:IBX983010 ILS983010:ILT983010 IVO983010:IVP983010 JFK983010:JFL983010 JPG983010:JPH983010 JZC983010:JZD983010 KIY983010:KIZ983010 KSU983010:KSV983010 LCQ983010:LCR983010 LMM983010:LMN983010 LWI983010:LWJ983010 MGE983010:MGF983010 MQA983010:MQB983010 MZW983010:MZX983010 NJS983010:NJT983010 NTO983010:NTP983010 ODK983010:ODL983010 ONG983010:ONH983010 OXC983010:OXD983010 PGY983010:PGZ983010 PQU983010:PQV983010 QAQ983010:QAR983010 QKM983010:QKN983010 QUI983010:QUJ983010 REE983010:REF983010 ROA983010:ROB983010 RXW983010:RXX983010 SHS983010:SHT983010 SRO983010:SRP983010 TBK983010:TBL983010 TLG983010:TLH983010 TVC983010:TVD983010 UEY983010:UEZ983010 UOU983010:UOV983010 UYQ983010:UYR983010 VIM983010:VIN983010 VSI983010:VSJ983010 WCE983010:WCF983010 WMA983010:WMB983010 WVW983010:WVX983010 WMA983013:WMB983013 K65553:L65553 JK65538:JL65538 TG65538:TH65538 ADC65538:ADD65538 AMY65538:AMZ65538 AWU65538:AWV65538 BGQ65538:BGR65538 BQM65538:BQN65538 CAI65538:CAJ65538 CKE65538:CKF65538 CUA65538:CUB65538 DDW65538:DDX65538 DNS65538:DNT65538 DXO65538:DXP65538 EHK65538:EHL65538 ERG65538:ERH65538 FBC65538:FBD65538 FKY65538:FKZ65538 FUU65538:FUV65538 GEQ65538:GER65538 GOM65538:GON65538 GYI65538:GYJ65538 HIE65538:HIF65538 HSA65538:HSB65538 IBW65538:IBX65538 ILS65538:ILT65538 IVO65538:IVP65538 JFK65538:JFL65538 JPG65538:JPH65538 JZC65538:JZD65538 KIY65538:KIZ65538 KSU65538:KSV65538 LCQ65538:LCR65538 LMM65538:LMN65538 LWI65538:LWJ65538 MGE65538:MGF65538 MQA65538:MQB65538 MZW65538:MZX65538 NJS65538:NJT65538 NTO65538:NTP65538 ODK65538:ODL65538 ONG65538:ONH65538 OXC65538:OXD65538 PGY65538:PGZ65538 PQU65538:PQV65538 QAQ65538:QAR65538 QKM65538:QKN65538 QUI65538:QUJ65538 REE65538:REF65538 ROA65538:ROB65538 RXW65538:RXX65538 SHS65538:SHT65538 SRO65538:SRP65538 TBK65538:TBL65538 TLG65538:TLH65538 TVC65538:TVD65538 UEY65538:UEZ65538 UOU65538:UOV65538 UYQ65538:UYR65538 VIM65538:VIN65538 VSI65538:VSJ65538 WCE65538:WCF65538 WMA65538:WMB65538 WVW65538:WVX65538 K131089:L131089 JK131074:JL131074 TG131074:TH131074 ADC131074:ADD131074 AMY131074:AMZ131074 AWU131074:AWV131074 BGQ131074:BGR131074 BQM131074:BQN131074 CAI131074:CAJ131074 CKE131074:CKF131074 CUA131074:CUB131074 DDW131074:DDX131074 DNS131074:DNT131074 DXO131074:DXP131074 EHK131074:EHL131074 ERG131074:ERH131074 FBC131074:FBD131074 FKY131074:FKZ131074 FUU131074:FUV131074 GEQ131074:GER131074 GOM131074:GON131074 GYI131074:GYJ131074 HIE131074:HIF131074 HSA131074:HSB131074 IBW131074:IBX131074 ILS131074:ILT131074 IVO131074:IVP131074 JFK131074:JFL131074 JPG131074:JPH131074 JZC131074:JZD131074 KIY131074:KIZ131074 KSU131074:KSV131074 LCQ131074:LCR131074 LMM131074:LMN131074 LWI131074:LWJ131074 MGE131074:MGF131074 MQA131074:MQB131074 MZW131074:MZX131074 NJS131074:NJT131074 NTO131074:NTP131074 ODK131074:ODL131074 ONG131074:ONH131074 OXC131074:OXD131074 PGY131074:PGZ131074 PQU131074:PQV131074 QAQ131074:QAR131074 QKM131074:QKN131074 QUI131074:QUJ131074 REE131074:REF131074 ROA131074:ROB131074 RXW131074:RXX131074 SHS131074:SHT131074 SRO131074:SRP131074 TBK131074:TBL131074 TLG131074:TLH131074 TVC131074:TVD131074 UEY131074:UEZ131074 UOU131074:UOV131074 UYQ131074:UYR131074 VIM131074:VIN131074 VSI131074:VSJ131074 WCE131074:WCF131074 WMA131074:WMB131074 WVW131074:WVX131074 K196625:L196625 JK196610:JL196610 TG196610:TH196610 ADC196610:ADD196610 AMY196610:AMZ196610 AWU196610:AWV196610 BGQ196610:BGR196610 BQM196610:BQN196610 CAI196610:CAJ196610 CKE196610:CKF196610 CUA196610:CUB196610 DDW196610:DDX196610 DNS196610:DNT196610 DXO196610:DXP196610 EHK196610:EHL196610 ERG196610:ERH196610 FBC196610:FBD196610 FKY196610:FKZ196610 FUU196610:FUV196610 GEQ196610:GER196610 GOM196610:GON196610 GYI196610:GYJ196610 HIE196610:HIF196610 HSA196610:HSB196610 IBW196610:IBX196610 ILS196610:ILT196610 IVO196610:IVP196610 JFK196610:JFL196610 JPG196610:JPH196610 JZC196610:JZD196610 KIY196610:KIZ196610 KSU196610:KSV196610 LCQ196610:LCR196610 LMM196610:LMN196610 LWI196610:LWJ196610 MGE196610:MGF196610 MQA196610:MQB196610 MZW196610:MZX196610 NJS196610:NJT196610 NTO196610:NTP196610 ODK196610:ODL196610 ONG196610:ONH196610 OXC196610:OXD196610 PGY196610:PGZ196610 PQU196610:PQV196610 QAQ196610:QAR196610 QKM196610:QKN196610 QUI196610:QUJ196610 REE196610:REF196610 ROA196610:ROB196610 RXW196610:RXX196610 SHS196610:SHT196610 SRO196610:SRP196610 TBK196610:TBL196610 TLG196610:TLH196610 TVC196610:TVD196610 UEY196610:UEZ196610 UOU196610:UOV196610 UYQ196610:UYR196610 VIM196610:VIN196610 VSI196610:VSJ196610 WCE196610:WCF196610 WMA196610:WMB196610 WVW196610:WVX196610 K262161:L262161 JK262146:JL262146 TG262146:TH262146 ADC262146:ADD262146 AMY262146:AMZ262146 AWU262146:AWV262146 BGQ262146:BGR262146 BQM262146:BQN262146 CAI262146:CAJ262146 CKE262146:CKF262146 CUA262146:CUB262146 DDW262146:DDX262146 DNS262146:DNT262146 DXO262146:DXP262146 EHK262146:EHL262146 ERG262146:ERH262146 FBC262146:FBD262146 FKY262146:FKZ262146 FUU262146:FUV262146 GEQ262146:GER262146 GOM262146:GON262146 GYI262146:GYJ262146 HIE262146:HIF262146 HSA262146:HSB262146 IBW262146:IBX262146 ILS262146:ILT262146 IVO262146:IVP262146 JFK262146:JFL262146 JPG262146:JPH262146 JZC262146:JZD262146 KIY262146:KIZ262146 KSU262146:KSV262146 LCQ262146:LCR262146 LMM262146:LMN262146 LWI262146:LWJ262146 MGE262146:MGF262146 MQA262146:MQB262146 MZW262146:MZX262146 NJS262146:NJT262146 NTO262146:NTP262146 ODK262146:ODL262146 ONG262146:ONH262146 OXC262146:OXD262146 PGY262146:PGZ262146 PQU262146:PQV262146 QAQ262146:QAR262146 QKM262146:QKN262146 QUI262146:QUJ262146 REE262146:REF262146 ROA262146:ROB262146 RXW262146:RXX262146 SHS262146:SHT262146 SRO262146:SRP262146 TBK262146:TBL262146 TLG262146:TLH262146 TVC262146:TVD262146 UEY262146:UEZ262146 UOU262146:UOV262146 UYQ262146:UYR262146 VIM262146:VIN262146 VSI262146:VSJ262146 WCE262146:WCF262146 WMA262146:WMB262146 WVW262146:WVX262146 K327697:L327697 JK327682:JL327682 TG327682:TH327682 ADC327682:ADD327682 AMY327682:AMZ327682 AWU327682:AWV327682 BGQ327682:BGR327682 BQM327682:BQN327682 CAI327682:CAJ327682 CKE327682:CKF327682 CUA327682:CUB327682 DDW327682:DDX327682 DNS327682:DNT327682 DXO327682:DXP327682 EHK327682:EHL327682 ERG327682:ERH327682 FBC327682:FBD327682 FKY327682:FKZ327682 FUU327682:FUV327682 GEQ327682:GER327682 GOM327682:GON327682 GYI327682:GYJ327682 HIE327682:HIF327682 HSA327682:HSB327682 IBW327682:IBX327682 ILS327682:ILT327682 IVO327682:IVP327682 JFK327682:JFL327682 JPG327682:JPH327682 JZC327682:JZD327682 KIY327682:KIZ327682 KSU327682:KSV327682 LCQ327682:LCR327682 LMM327682:LMN327682 LWI327682:LWJ327682 MGE327682:MGF327682 MQA327682:MQB327682 MZW327682:MZX327682 NJS327682:NJT327682 NTO327682:NTP327682 ODK327682:ODL327682 ONG327682:ONH327682 OXC327682:OXD327682 PGY327682:PGZ327682 PQU327682:PQV327682 QAQ327682:QAR327682 QKM327682:QKN327682 QUI327682:QUJ327682 REE327682:REF327682 ROA327682:ROB327682 RXW327682:RXX327682 SHS327682:SHT327682 SRO327682:SRP327682 TBK327682:TBL327682 TLG327682:TLH327682 TVC327682:TVD327682 UEY327682:UEZ327682 UOU327682:UOV327682 UYQ327682:UYR327682 VIM327682:VIN327682 VSI327682:VSJ327682 WCE327682:WCF327682 WMA327682:WMB327682 WVW327682:WVX327682 K393233:L393233 JK393218:JL393218 TG393218:TH393218 ADC393218:ADD393218 AMY393218:AMZ393218 AWU393218:AWV393218 BGQ393218:BGR393218 BQM393218:BQN393218 CAI393218:CAJ393218 CKE393218:CKF393218 CUA393218:CUB393218 DDW393218:DDX393218 DNS393218:DNT393218 DXO393218:DXP393218 EHK393218:EHL393218 ERG393218:ERH393218 FBC393218:FBD393218 FKY393218:FKZ393218 FUU393218:FUV393218 GEQ393218:GER393218 GOM393218:GON393218 GYI393218:GYJ393218 HIE393218:HIF393218 HSA393218:HSB393218 IBW393218:IBX393218 ILS393218:ILT393218 IVO393218:IVP393218 JFK393218:JFL393218 JPG393218:JPH393218 JZC393218:JZD393218 KIY393218:KIZ393218 KSU393218:KSV393218 LCQ393218:LCR393218 LMM393218:LMN393218 LWI393218:LWJ393218 MGE393218:MGF393218 MQA393218:MQB393218 MZW393218:MZX393218 NJS393218:NJT393218 NTO393218:NTP393218 ODK393218:ODL393218 ONG393218:ONH393218 OXC393218:OXD393218 PGY393218:PGZ393218 PQU393218:PQV393218 QAQ393218:QAR393218 QKM393218:QKN393218 QUI393218:QUJ393218 REE393218:REF393218 ROA393218:ROB393218 RXW393218:RXX393218 SHS393218:SHT393218 SRO393218:SRP393218 TBK393218:TBL393218 TLG393218:TLH393218 TVC393218:TVD393218 UEY393218:UEZ393218 UOU393218:UOV393218 UYQ393218:UYR393218 VIM393218:VIN393218 VSI393218:VSJ393218 WCE393218:WCF393218 WMA393218:WMB393218 WVW393218:WVX393218 K458769:L458769 JK458754:JL458754 TG458754:TH458754 ADC458754:ADD458754 AMY458754:AMZ458754 AWU458754:AWV458754 BGQ458754:BGR458754 BQM458754:BQN458754 CAI458754:CAJ458754 CKE458754:CKF458754 CUA458754:CUB458754 DDW458754:DDX458754 DNS458754:DNT458754 DXO458754:DXP458754 EHK458754:EHL458754 ERG458754:ERH458754 FBC458754:FBD458754 FKY458754:FKZ458754 FUU458754:FUV458754 GEQ458754:GER458754 GOM458754:GON458754 GYI458754:GYJ458754 HIE458754:HIF458754 HSA458754:HSB458754 IBW458754:IBX458754 ILS458754:ILT458754 IVO458754:IVP458754 JFK458754:JFL458754 JPG458754:JPH458754 JZC458754:JZD458754 KIY458754:KIZ458754 KSU458754:KSV458754 LCQ458754:LCR458754 LMM458754:LMN458754 LWI458754:LWJ458754 MGE458754:MGF458754 MQA458754:MQB458754 MZW458754:MZX458754 NJS458754:NJT458754 NTO458754:NTP458754 ODK458754:ODL458754 ONG458754:ONH458754 OXC458754:OXD458754 PGY458754:PGZ458754 PQU458754:PQV458754 QAQ458754:QAR458754 QKM458754:QKN458754 QUI458754:QUJ458754 REE458754:REF458754 ROA458754:ROB458754 RXW458754:RXX458754 SHS458754:SHT458754 SRO458754:SRP458754 TBK458754:TBL458754 TLG458754:TLH458754 TVC458754:TVD458754 UEY458754:UEZ458754 UOU458754:UOV458754 UYQ458754:UYR458754 VIM458754:VIN458754 VSI458754:VSJ458754 WCE458754:WCF458754 WMA458754:WMB458754 WVW458754:WVX458754 K524305:L524305 JK524290:JL524290 TG524290:TH524290 ADC524290:ADD524290 AMY524290:AMZ524290 AWU524290:AWV524290 BGQ524290:BGR524290 BQM524290:BQN524290 CAI524290:CAJ524290 CKE524290:CKF524290 CUA524290:CUB524290 DDW524290:DDX524290 DNS524290:DNT524290 DXO524290:DXP524290 EHK524290:EHL524290 ERG524290:ERH524290 FBC524290:FBD524290 FKY524290:FKZ524290 FUU524290:FUV524290 GEQ524290:GER524290 GOM524290:GON524290 GYI524290:GYJ524290 HIE524290:HIF524290 HSA524290:HSB524290 IBW524290:IBX524290 ILS524290:ILT524290 IVO524290:IVP524290 JFK524290:JFL524290 JPG524290:JPH524290 JZC524290:JZD524290 KIY524290:KIZ524290 KSU524290:KSV524290 LCQ524290:LCR524290 LMM524290:LMN524290 LWI524290:LWJ524290 MGE524290:MGF524290 MQA524290:MQB524290 MZW524290:MZX524290 NJS524290:NJT524290 NTO524290:NTP524290 ODK524290:ODL524290 ONG524290:ONH524290 OXC524290:OXD524290 PGY524290:PGZ524290 PQU524290:PQV524290 QAQ524290:QAR524290 QKM524290:QKN524290 QUI524290:QUJ524290 REE524290:REF524290 ROA524290:ROB524290 RXW524290:RXX524290 SHS524290:SHT524290 SRO524290:SRP524290 TBK524290:TBL524290 TLG524290:TLH524290 TVC524290:TVD524290 UEY524290:UEZ524290 UOU524290:UOV524290 UYQ524290:UYR524290 VIM524290:VIN524290 VSI524290:VSJ524290 WCE524290:WCF524290 WMA524290:WMB524290 WVW524290:WVX524290 K589841:L589841 JK589826:JL589826 TG589826:TH589826 ADC589826:ADD589826 AMY589826:AMZ589826 AWU589826:AWV589826 BGQ589826:BGR589826 BQM589826:BQN589826 CAI589826:CAJ589826 CKE589826:CKF589826 CUA589826:CUB589826 DDW589826:DDX589826 DNS589826:DNT589826 DXO589826:DXP589826 EHK589826:EHL589826 ERG589826:ERH589826 FBC589826:FBD589826 FKY589826:FKZ589826 FUU589826:FUV589826 GEQ589826:GER589826 GOM589826:GON589826 GYI589826:GYJ589826 HIE589826:HIF589826 HSA589826:HSB589826 IBW589826:IBX589826 ILS589826:ILT589826 IVO589826:IVP589826 JFK589826:JFL589826 JPG589826:JPH589826 JZC589826:JZD589826 KIY589826:KIZ589826 KSU589826:KSV589826 LCQ589826:LCR589826 LMM589826:LMN589826 LWI589826:LWJ589826 MGE589826:MGF589826 MQA589826:MQB589826 MZW589826:MZX589826 NJS589826:NJT589826 NTO589826:NTP589826 ODK589826:ODL589826 ONG589826:ONH589826 OXC589826:OXD589826 PGY589826:PGZ589826 PQU589826:PQV589826 QAQ589826:QAR589826 QKM589826:QKN589826 QUI589826:QUJ589826 REE589826:REF589826 ROA589826:ROB589826 RXW589826:RXX589826 SHS589826:SHT589826 SRO589826:SRP589826 TBK589826:TBL589826 TLG589826:TLH589826 TVC589826:TVD589826 UEY589826:UEZ589826 UOU589826:UOV589826 UYQ589826:UYR589826 VIM589826:VIN589826 VSI589826:VSJ589826 WCE589826:WCF589826 WMA589826:WMB589826 WVW589826:WVX589826 K655377:L655377 JK655362:JL655362 TG655362:TH655362 ADC655362:ADD655362 AMY655362:AMZ655362 AWU655362:AWV655362 BGQ655362:BGR655362 BQM655362:BQN655362 CAI655362:CAJ655362 CKE655362:CKF655362 CUA655362:CUB655362 DDW655362:DDX655362 DNS655362:DNT655362 DXO655362:DXP655362 EHK655362:EHL655362 ERG655362:ERH655362 FBC655362:FBD655362 FKY655362:FKZ655362 FUU655362:FUV655362 GEQ655362:GER655362 GOM655362:GON655362 GYI655362:GYJ655362 HIE655362:HIF655362 HSA655362:HSB655362 IBW655362:IBX655362 ILS655362:ILT655362 IVO655362:IVP655362 JFK655362:JFL655362 JPG655362:JPH655362 JZC655362:JZD655362 KIY655362:KIZ655362 KSU655362:KSV655362 LCQ655362:LCR655362 LMM655362:LMN655362 LWI655362:LWJ655362 MGE655362:MGF655362 MQA655362:MQB655362 MZW655362:MZX655362 NJS655362:NJT655362 NTO655362:NTP655362 ODK655362:ODL655362 ONG655362:ONH655362 OXC655362:OXD655362 PGY655362:PGZ655362 PQU655362:PQV655362 QAQ655362:QAR655362 QKM655362:QKN655362 QUI655362:QUJ655362 REE655362:REF655362 ROA655362:ROB655362 RXW655362:RXX655362 SHS655362:SHT655362 SRO655362:SRP655362 TBK655362:TBL655362 TLG655362:TLH655362 TVC655362:TVD655362 UEY655362:UEZ655362 UOU655362:UOV655362 UYQ655362:UYR655362 VIM655362:VIN655362 VSI655362:VSJ655362 WCE655362:WCF655362 WMA655362:WMB655362 WVW655362:WVX655362 K720913:L720913 JK720898:JL720898 TG720898:TH720898 ADC720898:ADD720898 AMY720898:AMZ720898 AWU720898:AWV720898 BGQ720898:BGR720898 BQM720898:BQN720898 CAI720898:CAJ720898 CKE720898:CKF720898 CUA720898:CUB720898 DDW720898:DDX720898 DNS720898:DNT720898 DXO720898:DXP720898 EHK720898:EHL720898 ERG720898:ERH720898 FBC720898:FBD720898 FKY720898:FKZ720898 FUU720898:FUV720898 GEQ720898:GER720898 GOM720898:GON720898 GYI720898:GYJ720898 HIE720898:HIF720898 HSA720898:HSB720898 IBW720898:IBX720898 ILS720898:ILT720898 IVO720898:IVP720898 JFK720898:JFL720898 JPG720898:JPH720898 JZC720898:JZD720898 KIY720898:KIZ720898 KSU720898:KSV720898 LCQ720898:LCR720898 LMM720898:LMN720898 LWI720898:LWJ720898 MGE720898:MGF720898 MQA720898:MQB720898 MZW720898:MZX720898 NJS720898:NJT720898 NTO720898:NTP720898 ODK720898:ODL720898 ONG720898:ONH720898 OXC720898:OXD720898 PGY720898:PGZ720898 PQU720898:PQV720898 QAQ720898:QAR720898 QKM720898:QKN720898 QUI720898:QUJ720898 REE720898:REF720898 ROA720898:ROB720898 RXW720898:RXX720898 SHS720898:SHT720898 SRO720898:SRP720898 TBK720898:TBL720898 TLG720898:TLH720898 TVC720898:TVD720898 UEY720898:UEZ720898 UOU720898:UOV720898 UYQ720898:UYR720898 VIM720898:VIN720898 VSI720898:VSJ720898 WCE720898:WCF720898 WMA720898:WMB720898 WVW720898:WVX720898 K786449:L786449 JK786434:JL786434 TG786434:TH786434 ADC786434:ADD786434 AMY786434:AMZ786434 AWU786434:AWV786434 BGQ786434:BGR786434 BQM786434:BQN786434 CAI786434:CAJ786434 CKE786434:CKF786434 CUA786434:CUB786434 DDW786434:DDX786434 DNS786434:DNT786434 DXO786434:DXP786434 EHK786434:EHL786434 ERG786434:ERH786434 FBC786434:FBD786434 FKY786434:FKZ786434 FUU786434:FUV786434 GEQ786434:GER786434 GOM786434:GON786434 GYI786434:GYJ786434 HIE786434:HIF786434 HSA786434:HSB786434 IBW786434:IBX786434 ILS786434:ILT786434 IVO786434:IVP786434 JFK786434:JFL786434 JPG786434:JPH786434 JZC786434:JZD786434 KIY786434:KIZ786434 KSU786434:KSV786434 LCQ786434:LCR786434 LMM786434:LMN786434 LWI786434:LWJ786434 MGE786434:MGF786434 MQA786434:MQB786434 MZW786434:MZX786434 NJS786434:NJT786434 NTO786434:NTP786434 ODK786434:ODL786434 ONG786434:ONH786434 OXC786434:OXD786434 PGY786434:PGZ786434 PQU786434:PQV786434 QAQ786434:QAR786434 QKM786434:QKN786434 QUI786434:QUJ786434 REE786434:REF786434 ROA786434:ROB786434 RXW786434:RXX786434 SHS786434:SHT786434 SRO786434:SRP786434 TBK786434:TBL786434 TLG786434:TLH786434 TVC786434:TVD786434 UEY786434:UEZ786434 UOU786434:UOV786434 UYQ786434:UYR786434 VIM786434:VIN786434 VSI786434:VSJ786434 WCE786434:WCF786434 WMA786434:WMB786434 WVW786434:WVX786434 K851985:L851985 JK851970:JL851970 TG851970:TH851970 ADC851970:ADD851970 AMY851970:AMZ851970 AWU851970:AWV851970 BGQ851970:BGR851970 BQM851970:BQN851970 CAI851970:CAJ851970 CKE851970:CKF851970 CUA851970:CUB851970 DDW851970:DDX851970 DNS851970:DNT851970 DXO851970:DXP851970 EHK851970:EHL851970 ERG851970:ERH851970 FBC851970:FBD851970 FKY851970:FKZ851970 FUU851970:FUV851970 GEQ851970:GER851970 GOM851970:GON851970 GYI851970:GYJ851970 HIE851970:HIF851970 HSA851970:HSB851970 IBW851970:IBX851970 ILS851970:ILT851970 IVO851970:IVP851970 JFK851970:JFL851970 JPG851970:JPH851970 JZC851970:JZD851970 KIY851970:KIZ851970 KSU851970:KSV851970 LCQ851970:LCR851970 LMM851970:LMN851970 LWI851970:LWJ851970 MGE851970:MGF851970 MQA851970:MQB851970 MZW851970:MZX851970 NJS851970:NJT851970 NTO851970:NTP851970 ODK851970:ODL851970 ONG851970:ONH851970 OXC851970:OXD851970 PGY851970:PGZ851970 PQU851970:PQV851970 QAQ851970:QAR851970 QKM851970:QKN851970 QUI851970:QUJ851970 REE851970:REF851970 ROA851970:ROB851970 RXW851970:RXX851970 SHS851970:SHT851970 SRO851970:SRP851970 TBK851970:TBL851970 TLG851970:TLH851970 TVC851970:TVD851970 UEY851970:UEZ851970 UOU851970:UOV851970 UYQ851970:UYR851970 VIM851970:VIN851970 VSI851970:VSJ851970 WCE851970:WCF851970 WMA851970:WMB851970 WVW851970:WVX851970 K917521:L917521 JK917506:JL917506 TG917506:TH917506 ADC917506:ADD917506 AMY917506:AMZ917506 AWU917506:AWV917506 BGQ917506:BGR917506 BQM917506:BQN917506 CAI917506:CAJ917506 CKE917506:CKF917506 CUA917506:CUB917506 DDW917506:DDX917506 DNS917506:DNT917506 DXO917506:DXP917506 EHK917506:EHL917506 ERG917506:ERH917506 FBC917506:FBD917506 FKY917506:FKZ917506 FUU917506:FUV917506 GEQ917506:GER917506 GOM917506:GON917506 GYI917506:GYJ917506 HIE917506:HIF917506 HSA917506:HSB917506 IBW917506:IBX917506 ILS917506:ILT917506 IVO917506:IVP917506 JFK917506:JFL917506 JPG917506:JPH917506 JZC917506:JZD917506 KIY917506:KIZ917506 KSU917506:KSV917506 LCQ917506:LCR917506 LMM917506:LMN917506 LWI917506:LWJ917506 MGE917506:MGF917506 MQA917506:MQB917506 MZW917506:MZX917506 NJS917506:NJT917506 NTO917506:NTP917506 ODK917506:ODL917506 ONG917506:ONH917506 OXC917506:OXD917506 PGY917506:PGZ917506 PQU917506:PQV917506 QAQ917506:QAR917506 QKM917506:QKN917506 QUI917506:QUJ917506 REE917506:REF917506 ROA917506:ROB917506 RXW917506:RXX917506 SHS917506:SHT917506 SRO917506:SRP917506 TBK917506:TBL917506 TLG917506:TLH917506 TVC917506:TVD917506 UEY917506:UEZ917506 UOU917506:UOV917506 UYQ917506:UYR917506 VIM917506:VIN917506 VSI917506:VSJ917506 WCE917506:WCF917506 WMA917506:WMB917506 WVW917506:WVX917506 K983057:L983057 JK983042:JL983042 TG983042:TH983042 ADC983042:ADD983042 AMY983042:AMZ983042 AWU983042:AWV983042 BGQ983042:BGR983042 BQM983042:BQN983042 CAI983042:CAJ983042 CKE983042:CKF983042 CUA983042:CUB983042 DDW983042:DDX983042 DNS983042:DNT983042 DXO983042:DXP983042 EHK983042:EHL983042 ERG983042:ERH983042 FBC983042:FBD983042 FKY983042:FKZ983042 FUU983042:FUV983042 GEQ983042:GER983042 GOM983042:GON983042 GYI983042:GYJ983042 HIE983042:HIF983042 HSA983042:HSB983042 IBW983042:IBX983042 ILS983042:ILT983042 IVO983042:IVP983042 JFK983042:JFL983042 JPG983042:JPH983042 JZC983042:JZD983042 KIY983042:KIZ983042 KSU983042:KSV983042 LCQ983042:LCR983042 LMM983042:LMN983042 LWI983042:LWJ983042 MGE983042:MGF983042 MQA983042:MQB983042 MZW983042:MZX983042 NJS983042:NJT983042 NTO983042:NTP983042 ODK983042:ODL983042 ONG983042:ONH983042 OXC983042:OXD983042 PGY983042:PGZ983042 PQU983042:PQV983042 QAQ983042:QAR983042 QKM983042:QKN983042 QUI983042:QUJ983042 REE983042:REF983042 ROA983042:ROB983042 RXW983042:RXX983042 SHS983042:SHT983042 SRO983042:SRP983042 TBK983042:TBL983042 TLG983042:TLH983042 TVC983042:TVD983042 UEY983042:UEZ983042 UOU983042:UOV983042 UYQ983042:UYR983042 VIM983042:VIN983042 VSI983042:VSJ983042 WCE983042:WCF983042 WMA983042:WMB983042 WVW983042:WVX983042 K65524:L65524 JK65509:JL65509 TG65509:TH65509 ADC65509:ADD65509 AMY65509:AMZ65509 AWU65509:AWV65509 BGQ65509:BGR65509 BQM65509:BQN65509 CAI65509:CAJ65509 CKE65509:CKF65509 CUA65509:CUB65509 DDW65509:DDX65509 DNS65509:DNT65509 DXO65509:DXP65509 EHK65509:EHL65509 ERG65509:ERH65509 FBC65509:FBD65509 FKY65509:FKZ65509 FUU65509:FUV65509 GEQ65509:GER65509 GOM65509:GON65509 GYI65509:GYJ65509 HIE65509:HIF65509 HSA65509:HSB65509 IBW65509:IBX65509 ILS65509:ILT65509 IVO65509:IVP65509 JFK65509:JFL65509 JPG65509:JPH65509 JZC65509:JZD65509 KIY65509:KIZ65509 KSU65509:KSV65509 LCQ65509:LCR65509 LMM65509:LMN65509 LWI65509:LWJ65509 MGE65509:MGF65509 MQA65509:MQB65509 MZW65509:MZX65509 NJS65509:NJT65509 NTO65509:NTP65509 ODK65509:ODL65509 ONG65509:ONH65509 OXC65509:OXD65509 PGY65509:PGZ65509 PQU65509:PQV65509 QAQ65509:QAR65509 QKM65509:QKN65509 QUI65509:QUJ65509 REE65509:REF65509 ROA65509:ROB65509 RXW65509:RXX65509 SHS65509:SHT65509 SRO65509:SRP65509 TBK65509:TBL65509 TLG65509:TLH65509 TVC65509:TVD65509 UEY65509:UEZ65509 UOU65509:UOV65509 UYQ65509:UYR65509 VIM65509:VIN65509 VSI65509:VSJ65509 WCE65509:WCF65509 WMA65509:WMB65509 WVW65509:WVX65509 K131060:L131060 JK131045:JL131045 TG131045:TH131045 ADC131045:ADD131045 AMY131045:AMZ131045 AWU131045:AWV131045 BGQ131045:BGR131045 BQM131045:BQN131045 CAI131045:CAJ131045 CKE131045:CKF131045 CUA131045:CUB131045 DDW131045:DDX131045 DNS131045:DNT131045 DXO131045:DXP131045 EHK131045:EHL131045 ERG131045:ERH131045 FBC131045:FBD131045 FKY131045:FKZ131045 FUU131045:FUV131045 GEQ131045:GER131045 GOM131045:GON131045 GYI131045:GYJ131045 HIE131045:HIF131045 HSA131045:HSB131045 IBW131045:IBX131045 ILS131045:ILT131045 IVO131045:IVP131045 JFK131045:JFL131045 JPG131045:JPH131045 JZC131045:JZD131045 KIY131045:KIZ131045 KSU131045:KSV131045 LCQ131045:LCR131045 LMM131045:LMN131045 LWI131045:LWJ131045 MGE131045:MGF131045 MQA131045:MQB131045 MZW131045:MZX131045 NJS131045:NJT131045 NTO131045:NTP131045 ODK131045:ODL131045 ONG131045:ONH131045 OXC131045:OXD131045 PGY131045:PGZ131045 PQU131045:PQV131045 QAQ131045:QAR131045 QKM131045:QKN131045 QUI131045:QUJ131045 REE131045:REF131045 ROA131045:ROB131045 RXW131045:RXX131045 SHS131045:SHT131045 SRO131045:SRP131045 TBK131045:TBL131045 TLG131045:TLH131045 TVC131045:TVD131045 UEY131045:UEZ131045 UOU131045:UOV131045 UYQ131045:UYR131045 VIM131045:VIN131045 VSI131045:VSJ131045 WCE131045:WCF131045 WMA131045:WMB131045 WVW131045:WVX131045 K196596:L196596 JK196581:JL196581 TG196581:TH196581 ADC196581:ADD196581 AMY196581:AMZ196581 AWU196581:AWV196581 BGQ196581:BGR196581 BQM196581:BQN196581 CAI196581:CAJ196581 CKE196581:CKF196581 CUA196581:CUB196581 DDW196581:DDX196581 DNS196581:DNT196581 DXO196581:DXP196581 EHK196581:EHL196581 ERG196581:ERH196581 FBC196581:FBD196581 FKY196581:FKZ196581 FUU196581:FUV196581 GEQ196581:GER196581 GOM196581:GON196581 GYI196581:GYJ196581 HIE196581:HIF196581 HSA196581:HSB196581 IBW196581:IBX196581 ILS196581:ILT196581 IVO196581:IVP196581 JFK196581:JFL196581 JPG196581:JPH196581 JZC196581:JZD196581 KIY196581:KIZ196581 KSU196581:KSV196581 LCQ196581:LCR196581 LMM196581:LMN196581 LWI196581:LWJ196581 MGE196581:MGF196581 MQA196581:MQB196581 MZW196581:MZX196581 NJS196581:NJT196581 NTO196581:NTP196581 ODK196581:ODL196581 ONG196581:ONH196581 OXC196581:OXD196581 PGY196581:PGZ196581 PQU196581:PQV196581 QAQ196581:QAR196581 QKM196581:QKN196581 QUI196581:QUJ196581 REE196581:REF196581 ROA196581:ROB196581 RXW196581:RXX196581 SHS196581:SHT196581 SRO196581:SRP196581 TBK196581:TBL196581 TLG196581:TLH196581 TVC196581:TVD196581 UEY196581:UEZ196581 UOU196581:UOV196581 UYQ196581:UYR196581 VIM196581:VIN196581 VSI196581:VSJ196581 WCE196581:WCF196581 WMA196581:WMB196581 WVW196581:WVX196581 K262132:L262132 JK262117:JL262117 TG262117:TH262117 ADC262117:ADD262117 AMY262117:AMZ262117 AWU262117:AWV262117 BGQ262117:BGR262117 BQM262117:BQN262117 CAI262117:CAJ262117 CKE262117:CKF262117 CUA262117:CUB262117 DDW262117:DDX262117 DNS262117:DNT262117 DXO262117:DXP262117 EHK262117:EHL262117 ERG262117:ERH262117 FBC262117:FBD262117 FKY262117:FKZ262117 FUU262117:FUV262117 GEQ262117:GER262117 GOM262117:GON262117 GYI262117:GYJ262117 HIE262117:HIF262117 HSA262117:HSB262117 IBW262117:IBX262117 ILS262117:ILT262117 IVO262117:IVP262117 JFK262117:JFL262117 JPG262117:JPH262117 JZC262117:JZD262117 KIY262117:KIZ262117 KSU262117:KSV262117 LCQ262117:LCR262117 LMM262117:LMN262117 LWI262117:LWJ262117 MGE262117:MGF262117 MQA262117:MQB262117 MZW262117:MZX262117 NJS262117:NJT262117 NTO262117:NTP262117 ODK262117:ODL262117 ONG262117:ONH262117 OXC262117:OXD262117 PGY262117:PGZ262117 PQU262117:PQV262117 QAQ262117:QAR262117 QKM262117:QKN262117 QUI262117:QUJ262117 REE262117:REF262117 ROA262117:ROB262117 RXW262117:RXX262117 SHS262117:SHT262117 SRO262117:SRP262117 TBK262117:TBL262117 TLG262117:TLH262117 TVC262117:TVD262117 UEY262117:UEZ262117 UOU262117:UOV262117 UYQ262117:UYR262117 VIM262117:VIN262117 VSI262117:VSJ262117 WCE262117:WCF262117 WMA262117:WMB262117 WVW262117:WVX262117 K327668:L327668 JK327653:JL327653 TG327653:TH327653 ADC327653:ADD327653 AMY327653:AMZ327653 AWU327653:AWV327653 BGQ327653:BGR327653 BQM327653:BQN327653 CAI327653:CAJ327653 CKE327653:CKF327653 CUA327653:CUB327653 DDW327653:DDX327653 DNS327653:DNT327653 DXO327653:DXP327653 EHK327653:EHL327653 ERG327653:ERH327653 FBC327653:FBD327653 FKY327653:FKZ327653 FUU327653:FUV327653 GEQ327653:GER327653 GOM327653:GON327653 GYI327653:GYJ327653 HIE327653:HIF327653 HSA327653:HSB327653 IBW327653:IBX327653 ILS327653:ILT327653 IVO327653:IVP327653 JFK327653:JFL327653 JPG327653:JPH327653 JZC327653:JZD327653 KIY327653:KIZ327653 KSU327653:KSV327653 LCQ327653:LCR327653 LMM327653:LMN327653 LWI327653:LWJ327653 MGE327653:MGF327653 MQA327653:MQB327653 MZW327653:MZX327653 NJS327653:NJT327653 NTO327653:NTP327653 ODK327653:ODL327653 ONG327653:ONH327653 OXC327653:OXD327653 PGY327653:PGZ327653 PQU327653:PQV327653 QAQ327653:QAR327653 QKM327653:QKN327653 QUI327653:QUJ327653 REE327653:REF327653 ROA327653:ROB327653 RXW327653:RXX327653 SHS327653:SHT327653 SRO327653:SRP327653 TBK327653:TBL327653 TLG327653:TLH327653 TVC327653:TVD327653 UEY327653:UEZ327653 UOU327653:UOV327653 UYQ327653:UYR327653 VIM327653:VIN327653 VSI327653:VSJ327653 WCE327653:WCF327653 WMA327653:WMB327653 WVW327653:WVX327653 K393204:L393204 JK393189:JL393189 TG393189:TH393189 ADC393189:ADD393189 AMY393189:AMZ393189 AWU393189:AWV393189 BGQ393189:BGR393189 BQM393189:BQN393189 CAI393189:CAJ393189 CKE393189:CKF393189 CUA393189:CUB393189 DDW393189:DDX393189 DNS393189:DNT393189 DXO393189:DXP393189 EHK393189:EHL393189 ERG393189:ERH393189 FBC393189:FBD393189 FKY393189:FKZ393189 FUU393189:FUV393189 GEQ393189:GER393189 GOM393189:GON393189 GYI393189:GYJ393189 HIE393189:HIF393189 HSA393189:HSB393189 IBW393189:IBX393189 ILS393189:ILT393189 IVO393189:IVP393189 JFK393189:JFL393189 JPG393189:JPH393189 JZC393189:JZD393189 KIY393189:KIZ393189 KSU393189:KSV393189 LCQ393189:LCR393189 LMM393189:LMN393189 LWI393189:LWJ393189 MGE393189:MGF393189 MQA393189:MQB393189 MZW393189:MZX393189 NJS393189:NJT393189 NTO393189:NTP393189 ODK393189:ODL393189 ONG393189:ONH393189 OXC393189:OXD393189 PGY393189:PGZ393189 PQU393189:PQV393189 QAQ393189:QAR393189 QKM393189:QKN393189 QUI393189:QUJ393189 REE393189:REF393189 ROA393189:ROB393189 RXW393189:RXX393189 SHS393189:SHT393189 SRO393189:SRP393189 TBK393189:TBL393189 TLG393189:TLH393189 TVC393189:TVD393189 UEY393189:UEZ393189 UOU393189:UOV393189 UYQ393189:UYR393189 VIM393189:VIN393189 VSI393189:VSJ393189 WCE393189:WCF393189 WMA393189:WMB393189 WVW393189:WVX393189 K458740:L458740 JK458725:JL458725 TG458725:TH458725 ADC458725:ADD458725 AMY458725:AMZ458725 AWU458725:AWV458725 BGQ458725:BGR458725 BQM458725:BQN458725 CAI458725:CAJ458725 CKE458725:CKF458725 CUA458725:CUB458725 DDW458725:DDX458725 DNS458725:DNT458725 DXO458725:DXP458725 EHK458725:EHL458725 ERG458725:ERH458725 FBC458725:FBD458725 FKY458725:FKZ458725 FUU458725:FUV458725 GEQ458725:GER458725 GOM458725:GON458725 GYI458725:GYJ458725 HIE458725:HIF458725 HSA458725:HSB458725 IBW458725:IBX458725 ILS458725:ILT458725 IVO458725:IVP458725 JFK458725:JFL458725 JPG458725:JPH458725 JZC458725:JZD458725 KIY458725:KIZ458725 KSU458725:KSV458725 LCQ458725:LCR458725 LMM458725:LMN458725 LWI458725:LWJ458725 MGE458725:MGF458725 MQA458725:MQB458725 MZW458725:MZX458725 NJS458725:NJT458725 NTO458725:NTP458725 ODK458725:ODL458725 ONG458725:ONH458725 OXC458725:OXD458725 PGY458725:PGZ458725 PQU458725:PQV458725 QAQ458725:QAR458725 QKM458725:QKN458725 QUI458725:QUJ458725 REE458725:REF458725 ROA458725:ROB458725 RXW458725:RXX458725 SHS458725:SHT458725 SRO458725:SRP458725 TBK458725:TBL458725 TLG458725:TLH458725 TVC458725:TVD458725 UEY458725:UEZ458725 UOU458725:UOV458725 UYQ458725:UYR458725 VIM458725:VIN458725 VSI458725:VSJ458725 WCE458725:WCF458725 WMA458725:WMB458725 WVW458725:WVX458725 K524276:L524276 JK524261:JL524261 TG524261:TH524261 ADC524261:ADD524261 AMY524261:AMZ524261 AWU524261:AWV524261 BGQ524261:BGR524261 BQM524261:BQN524261 CAI524261:CAJ524261 CKE524261:CKF524261 CUA524261:CUB524261 DDW524261:DDX524261 DNS524261:DNT524261 DXO524261:DXP524261 EHK524261:EHL524261 ERG524261:ERH524261 FBC524261:FBD524261 FKY524261:FKZ524261 FUU524261:FUV524261 GEQ524261:GER524261 GOM524261:GON524261 GYI524261:GYJ524261 HIE524261:HIF524261 HSA524261:HSB524261 IBW524261:IBX524261 ILS524261:ILT524261 IVO524261:IVP524261 JFK524261:JFL524261 JPG524261:JPH524261 JZC524261:JZD524261 KIY524261:KIZ524261 KSU524261:KSV524261 LCQ524261:LCR524261 LMM524261:LMN524261 LWI524261:LWJ524261 MGE524261:MGF524261 MQA524261:MQB524261 MZW524261:MZX524261 NJS524261:NJT524261 NTO524261:NTP524261 ODK524261:ODL524261 ONG524261:ONH524261 OXC524261:OXD524261 PGY524261:PGZ524261 PQU524261:PQV524261 QAQ524261:QAR524261 QKM524261:QKN524261 QUI524261:QUJ524261 REE524261:REF524261 ROA524261:ROB524261 RXW524261:RXX524261 SHS524261:SHT524261 SRO524261:SRP524261 TBK524261:TBL524261 TLG524261:TLH524261 TVC524261:TVD524261 UEY524261:UEZ524261 UOU524261:UOV524261 UYQ524261:UYR524261 VIM524261:VIN524261 VSI524261:VSJ524261 WCE524261:WCF524261 WMA524261:WMB524261 WVW524261:WVX524261 K589812:L589812 JK589797:JL589797 TG589797:TH589797 ADC589797:ADD589797 AMY589797:AMZ589797 AWU589797:AWV589797 BGQ589797:BGR589797 BQM589797:BQN589797 CAI589797:CAJ589797 CKE589797:CKF589797 CUA589797:CUB589797 DDW589797:DDX589797 DNS589797:DNT589797 DXO589797:DXP589797 EHK589797:EHL589797 ERG589797:ERH589797 FBC589797:FBD589797 FKY589797:FKZ589797 FUU589797:FUV589797 GEQ589797:GER589797 GOM589797:GON589797 GYI589797:GYJ589797 HIE589797:HIF589797 HSA589797:HSB589797 IBW589797:IBX589797 ILS589797:ILT589797 IVO589797:IVP589797 JFK589797:JFL589797 JPG589797:JPH589797 JZC589797:JZD589797 KIY589797:KIZ589797 KSU589797:KSV589797 LCQ589797:LCR589797 LMM589797:LMN589797 LWI589797:LWJ589797 MGE589797:MGF589797 MQA589797:MQB589797 MZW589797:MZX589797 NJS589797:NJT589797 NTO589797:NTP589797 ODK589797:ODL589797 ONG589797:ONH589797 OXC589797:OXD589797 PGY589797:PGZ589797 PQU589797:PQV589797 QAQ589797:QAR589797 QKM589797:QKN589797 QUI589797:QUJ589797 REE589797:REF589797 ROA589797:ROB589797 RXW589797:RXX589797 SHS589797:SHT589797 SRO589797:SRP589797 TBK589797:TBL589797 TLG589797:TLH589797 TVC589797:TVD589797 UEY589797:UEZ589797 UOU589797:UOV589797 UYQ589797:UYR589797 VIM589797:VIN589797 VSI589797:VSJ589797 WCE589797:WCF589797 WMA589797:WMB589797 WVW589797:WVX589797 K655348:L655348 JK655333:JL655333 TG655333:TH655333 ADC655333:ADD655333 AMY655333:AMZ655333 AWU655333:AWV655333 BGQ655333:BGR655333 BQM655333:BQN655333 CAI655333:CAJ655333 CKE655333:CKF655333 CUA655333:CUB655333 DDW655333:DDX655333 DNS655333:DNT655333 DXO655333:DXP655333 EHK655333:EHL655333 ERG655333:ERH655333 FBC655333:FBD655333 FKY655333:FKZ655333 FUU655333:FUV655333 GEQ655333:GER655333 GOM655333:GON655333 GYI655333:GYJ655333 HIE655333:HIF655333 HSA655333:HSB655333 IBW655333:IBX655333 ILS655333:ILT655333 IVO655333:IVP655333 JFK655333:JFL655333 JPG655333:JPH655333 JZC655333:JZD655333 KIY655333:KIZ655333 KSU655333:KSV655333 LCQ655333:LCR655333 LMM655333:LMN655333 LWI655333:LWJ655333 MGE655333:MGF655333 MQA655333:MQB655333 MZW655333:MZX655333 NJS655333:NJT655333 NTO655333:NTP655333 ODK655333:ODL655333 ONG655333:ONH655333 OXC655333:OXD655333 PGY655333:PGZ655333 PQU655333:PQV655333 QAQ655333:QAR655333 QKM655333:QKN655333 QUI655333:QUJ655333 REE655333:REF655333 ROA655333:ROB655333 RXW655333:RXX655333 SHS655333:SHT655333 SRO655333:SRP655333 TBK655333:TBL655333 TLG655333:TLH655333 TVC655333:TVD655333 UEY655333:UEZ655333 UOU655333:UOV655333 UYQ655333:UYR655333 VIM655333:VIN655333 VSI655333:VSJ655333 WCE655333:WCF655333 WMA655333:WMB655333 WVW655333:WVX655333 K720884:L720884 JK720869:JL720869 TG720869:TH720869 ADC720869:ADD720869 AMY720869:AMZ720869 AWU720869:AWV720869 BGQ720869:BGR720869 BQM720869:BQN720869 CAI720869:CAJ720869 CKE720869:CKF720869 CUA720869:CUB720869 DDW720869:DDX720869 DNS720869:DNT720869 DXO720869:DXP720869 EHK720869:EHL720869 ERG720869:ERH720869 FBC720869:FBD720869 FKY720869:FKZ720869 FUU720869:FUV720869 GEQ720869:GER720869 GOM720869:GON720869 GYI720869:GYJ720869 HIE720869:HIF720869 HSA720869:HSB720869 IBW720869:IBX720869 ILS720869:ILT720869 IVO720869:IVP720869 JFK720869:JFL720869 JPG720869:JPH720869 JZC720869:JZD720869 KIY720869:KIZ720869 KSU720869:KSV720869 LCQ720869:LCR720869 LMM720869:LMN720869 LWI720869:LWJ720869 MGE720869:MGF720869 MQA720869:MQB720869 MZW720869:MZX720869 NJS720869:NJT720869 NTO720869:NTP720869 ODK720869:ODL720869 ONG720869:ONH720869 OXC720869:OXD720869 PGY720869:PGZ720869 PQU720869:PQV720869 QAQ720869:QAR720869 QKM720869:QKN720869 QUI720869:QUJ720869 REE720869:REF720869 ROA720869:ROB720869 RXW720869:RXX720869 SHS720869:SHT720869 SRO720869:SRP720869 TBK720869:TBL720869 TLG720869:TLH720869 TVC720869:TVD720869 UEY720869:UEZ720869 UOU720869:UOV720869 UYQ720869:UYR720869 VIM720869:VIN720869 VSI720869:VSJ720869 WCE720869:WCF720869 WMA720869:WMB720869 WVW720869:WVX720869 K786420:L786420 JK786405:JL786405 TG786405:TH786405 ADC786405:ADD786405 AMY786405:AMZ786405 AWU786405:AWV786405 BGQ786405:BGR786405 BQM786405:BQN786405 CAI786405:CAJ786405 CKE786405:CKF786405 CUA786405:CUB786405 DDW786405:DDX786405 DNS786405:DNT786405 DXO786405:DXP786405 EHK786405:EHL786405 ERG786405:ERH786405 FBC786405:FBD786405 FKY786405:FKZ786405 FUU786405:FUV786405 GEQ786405:GER786405 GOM786405:GON786405 GYI786405:GYJ786405 HIE786405:HIF786405 HSA786405:HSB786405 IBW786405:IBX786405 ILS786405:ILT786405 IVO786405:IVP786405 JFK786405:JFL786405 JPG786405:JPH786405 JZC786405:JZD786405 KIY786405:KIZ786405 KSU786405:KSV786405 LCQ786405:LCR786405 LMM786405:LMN786405 LWI786405:LWJ786405 MGE786405:MGF786405 MQA786405:MQB786405 MZW786405:MZX786405 NJS786405:NJT786405 NTO786405:NTP786405 ODK786405:ODL786405 ONG786405:ONH786405 OXC786405:OXD786405 PGY786405:PGZ786405 PQU786405:PQV786405 QAQ786405:QAR786405 QKM786405:QKN786405 QUI786405:QUJ786405 REE786405:REF786405 ROA786405:ROB786405 RXW786405:RXX786405 SHS786405:SHT786405 SRO786405:SRP786405 TBK786405:TBL786405 TLG786405:TLH786405 TVC786405:TVD786405 UEY786405:UEZ786405 UOU786405:UOV786405 UYQ786405:UYR786405 VIM786405:VIN786405 VSI786405:VSJ786405 WCE786405:WCF786405 WMA786405:WMB786405 WVW786405:WVX786405 K851956:L851956 JK851941:JL851941 TG851941:TH851941 ADC851941:ADD851941 AMY851941:AMZ851941 AWU851941:AWV851941 BGQ851941:BGR851941 BQM851941:BQN851941 CAI851941:CAJ851941 CKE851941:CKF851941 CUA851941:CUB851941 DDW851941:DDX851941 DNS851941:DNT851941 DXO851941:DXP851941 EHK851941:EHL851941 ERG851941:ERH851941 FBC851941:FBD851941 FKY851941:FKZ851941 FUU851941:FUV851941 GEQ851941:GER851941 GOM851941:GON851941 GYI851941:GYJ851941 HIE851941:HIF851941 HSA851941:HSB851941 IBW851941:IBX851941 ILS851941:ILT851941 IVO851941:IVP851941 JFK851941:JFL851941 JPG851941:JPH851941 JZC851941:JZD851941 KIY851941:KIZ851941 KSU851941:KSV851941 LCQ851941:LCR851941 LMM851941:LMN851941 LWI851941:LWJ851941 MGE851941:MGF851941 MQA851941:MQB851941 MZW851941:MZX851941 NJS851941:NJT851941 NTO851941:NTP851941 ODK851941:ODL851941 ONG851941:ONH851941 OXC851941:OXD851941 PGY851941:PGZ851941 PQU851941:PQV851941 QAQ851941:QAR851941 QKM851941:QKN851941 QUI851941:QUJ851941 REE851941:REF851941 ROA851941:ROB851941 RXW851941:RXX851941 SHS851941:SHT851941 SRO851941:SRP851941 TBK851941:TBL851941 TLG851941:TLH851941 TVC851941:TVD851941 UEY851941:UEZ851941 UOU851941:UOV851941 UYQ851941:UYR851941 VIM851941:VIN851941 VSI851941:VSJ851941 WCE851941:WCF851941 WMA851941:WMB851941 WVW851941:WVX851941 K917492:L917492 JK917477:JL917477 TG917477:TH917477 ADC917477:ADD917477 AMY917477:AMZ917477 AWU917477:AWV917477 BGQ917477:BGR917477 BQM917477:BQN917477 CAI917477:CAJ917477 CKE917477:CKF917477 CUA917477:CUB917477 DDW917477:DDX917477 DNS917477:DNT917477 DXO917477:DXP917477 EHK917477:EHL917477 ERG917477:ERH917477 FBC917477:FBD917477 FKY917477:FKZ917477 FUU917477:FUV917477 GEQ917477:GER917477 GOM917477:GON917477 GYI917477:GYJ917477 HIE917477:HIF917477 HSA917477:HSB917477 IBW917477:IBX917477 ILS917477:ILT917477 IVO917477:IVP917477 JFK917477:JFL917477 JPG917477:JPH917477 JZC917477:JZD917477 KIY917477:KIZ917477 KSU917477:KSV917477 LCQ917477:LCR917477 LMM917477:LMN917477 LWI917477:LWJ917477 MGE917477:MGF917477 MQA917477:MQB917477 MZW917477:MZX917477 NJS917477:NJT917477 NTO917477:NTP917477 ODK917477:ODL917477 ONG917477:ONH917477 OXC917477:OXD917477 PGY917477:PGZ917477 PQU917477:PQV917477 QAQ917477:QAR917477 QKM917477:QKN917477 QUI917477:QUJ917477 REE917477:REF917477 ROA917477:ROB917477 RXW917477:RXX917477 SHS917477:SHT917477 SRO917477:SRP917477 TBK917477:TBL917477 TLG917477:TLH917477 TVC917477:TVD917477 UEY917477:UEZ917477 UOU917477:UOV917477 UYQ917477:UYR917477 VIM917477:VIN917477 VSI917477:VSJ917477 WCE917477:WCF917477 WMA917477:WMB917477 WVW917477:WVX917477 K983028:L983028 JK983013:JL983013 TG983013:TH983013 ADC983013:ADD983013 AMY983013:AMZ983013 AWU983013:AWV983013 BGQ983013:BGR983013 BQM983013:BQN983013 CAI983013:CAJ983013 CKE983013:CKF983013 CUA983013:CUB983013 DDW983013:DDX983013 DNS983013:DNT983013 DXO983013:DXP983013 EHK983013:EHL983013 ERG983013:ERH983013 FBC983013:FBD983013 FKY983013:FKZ983013 FUU983013:FUV983013 GEQ983013:GER983013 GOM983013:GON983013 GYI983013:GYJ983013 HIE983013:HIF983013 HSA983013:HSB983013 IBW983013:IBX983013 ILS983013:ILT983013 IVO983013:IVP983013 JFK983013:JFL983013 JPG983013:JPH983013 JZC983013:JZD983013 KIY983013:KIZ983013 KSU983013:KSV983013 LCQ983013:LCR983013 LMM983013:LMN983013 LWI983013:LWJ983013 MGE983013:MGF983013 MQA983013:MQB983013 MZW983013:MZX983013 NJS983013:NJT983013 NTO983013:NTP983013 ODK983013:ODL983013 ONG983013:ONH983013 OXC983013:OXD983013 PGY983013:PGZ983013 PQU983013:PQV983013 QAQ983013:QAR983013 QKM983013:QKN983013 QUI983013:QUJ983013 REE983013:REF983013 ROA983013:ROB983013 RXW983013:RXX983013 SHS983013:SHT983013 SRO983013:SRP983013 TBK983013:TBL983013 TLG983013:TLH983013 TVC983013:TVD983013 UEY983013:UEZ983013 UOU983013:UOV983013 UYQ983013:UYR983013 VIM983013:VIN983013 VSI983013:VSJ983013" xr:uid="{00000000-0002-0000-1600-000000000000}">
      <formula1>Aus_MU</formula1>
    </dataValidation>
    <dataValidation type="date" operator="greaterThan" allowBlank="1" showInputMessage="1" showErrorMessage="1" errorTitle="Fehler" error="Geben Sie ein gültiges Datum dd.mm.yyyy ein!" sqref="E15 F12:F14" xr:uid="{00000000-0002-0000-1600-000001000000}">
      <formula1>1</formula1>
    </dataValidation>
  </dataValidations>
  <hyperlinks>
    <hyperlink ref="U8:W9" location="Grunddaten!A1" tooltip="Zurück zu Grunddaten" display="Zurück zu Grunddaten" xr:uid="{00000000-0004-0000-1600-000000000000}"/>
    <hyperlink ref="U8:Z9" location="Grunddaten!E9" tooltip="Zurück zu Grunddaten" display="Zurück zu Grunddaten" xr:uid="{00000000-0004-0000-1600-000001000000}"/>
  </hyperlinks>
  <pageMargins left="0.70866141732283472" right="0.70866141732283472" top="0.78740157480314965" bottom="0.78740157480314965" header="0.31496062992125984" footer="0.31496062992125984"/>
  <pageSetup paperSize="9" fitToHeight="0" orientation="portrait" r:id="rId1"/>
  <headerFooter>
    <oddFooter>Seite &amp;P von &amp;N</oddFooter>
  </headerFooter>
  <drawing r:id="rId2"/>
  <legacyDrawing r:id="rId3"/>
  <extLst>
    <ext xmlns:x14="http://schemas.microsoft.com/office/spreadsheetml/2009/9/main" uri="{CCE6A557-97BC-4b89-ADB6-D9C93CAAB3DF}">
      <x14:dataValidations xmlns:xm="http://schemas.microsoft.com/office/excel/2006/main" count="1">
        <x14:dataValidation type="list" allowBlank="1" showDropDown="1" showInputMessage="1" xr:uid="{00000000-0002-0000-1600-000002000000}">
          <x14:formula1>
            <xm:f>'MU-Daten'!$U:$U</xm:f>
          </x14:formula1>
          <xm:sqref>I20:J20 I18:J18</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14">
    <pageSetUpPr fitToPage="1"/>
  </sheetPr>
  <dimension ref="B3:J57"/>
  <sheetViews>
    <sheetView workbookViewId="0">
      <selection activeCell="H42" sqref="H42:J43"/>
    </sheetView>
  </sheetViews>
  <sheetFormatPr baseColWidth="10" defaultColWidth="11.5703125" defaultRowHeight="12.75" x14ac:dyDescent="0.2"/>
  <cols>
    <col min="1" max="6" width="11.5703125" style="93"/>
    <col min="7" max="7" width="22.7109375" style="93" customWidth="1"/>
    <col min="8" max="16384" width="11.5703125" style="93"/>
  </cols>
  <sheetData>
    <row r="3" spans="2:8" x14ac:dyDescent="0.2">
      <c r="B3" s="283" t="s">
        <v>1053</v>
      </c>
      <c r="H3" s="283" t="s">
        <v>1048</v>
      </c>
    </row>
    <row r="5" spans="2:8" x14ac:dyDescent="0.2">
      <c r="B5" s="93" t="s">
        <v>1051</v>
      </c>
      <c r="H5" s="93" t="s">
        <v>1049</v>
      </c>
    </row>
    <row r="6" spans="2:8" x14ac:dyDescent="0.2">
      <c r="B6" s="93" t="s">
        <v>1052</v>
      </c>
      <c r="H6" s="93" t="s">
        <v>1050</v>
      </c>
    </row>
    <row r="42" spans="8:10" x14ac:dyDescent="0.2">
      <c r="H42" s="1149" t="s">
        <v>1029</v>
      </c>
      <c r="I42" s="1232"/>
      <c r="J42" s="1150"/>
    </row>
    <row r="43" spans="8:10" x14ac:dyDescent="0.2">
      <c r="H43" s="1151"/>
      <c r="I43" s="1233"/>
      <c r="J43" s="1152"/>
    </row>
    <row r="54" spans="2:2" x14ac:dyDescent="0.2">
      <c r="B54" s="283" t="s">
        <v>1054</v>
      </c>
    </row>
    <row r="56" spans="2:2" x14ac:dyDescent="0.2">
      <c r="B56" s="93" t="s">
        <v>1055</v>
      </c>
    </row>
    <row r="57" spans="2:2" x14ac:dyDescent="0.2">
      <c r="B57" s="93" t="s">
        <v>1056</v>
      </c>
    </row>
  </sheetData>
  <sheetProtection algorithmName="SHA-512" hashValue="5ggcvB8lGrOr3IhUtJg8b5cp0oD2MKdtaDsK6SWG9s1SLyKF0Ur3i3iVWFhYhs2DLOC57iK0RzOW9S2wRCIbiQ==" saltValue="rLvGzUbIauGS0guhxR9a9Q==" spinCount="100000" sheet="1"/>
  <mergeCells count="1">
    <mergeCell ref="H42:J43"/>
  </mergeCells>
  <hyperlinks>
    <hyperlink ref="H42:J43" location="Grunddaten!E9" tooltip="Zurück zu Grunddaten" display="Zurück zu Grunddaten" xr:uid="{00000000-0004-0000-1700-000000000000}"/>
  </hyperlinks>
  <pageMargins left="0.7" right="0.7" top="0.78740157499999996" bottom="0.78740157499999996" header="0.3" footer="0.3"/>
  <pageSetup paperSize="9" scale="56"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10">
    <tabColor theme="0" tint="-0.249977111117893"/>
  </sheetPr>
  <dimension ref="A2:G121"/>
  <sheetViews>
    <sheetView topLeftCell="A37" zoomScale="85" zoomScaleNormal="85" workbookViewId="0">
      <selection activeCell="E72" sqref="E72"/>
    </sheetView>
  </sheetViews>
  <sheetFormatPr baseColWidth="10" defaultRowHeight="12.75" x14ac:dyDescent="0.2"/>
  <cols>
    <col min="1" max="1" width="69.5703125" style="23" bestFit="1" customWidth="1"/>
    <col min="3" max="3" width="26.5703125" customWidth="1"/>
    <col min="5" max="5" width="48.28515625" bestFit="1" customWidth="1"/>
  </cols>
  <sheetData>
    <row r="2" spans="1:7" x14ac:dyDescent="0.2">
      <c r="A2" s="38" t="s">
        <v>769</v>
      </c>
      <c r="C2" s="37" t="s">
        <v>779</v>
      </c>
    </row>
    <row r="3" spans="1:7" ht="12.75" customHeight="1" x14ac:dyDescent="0.2">
      <c r="A3" s="39" t="s">
        <v>771</v>
      </c>
      <c r="C3" s="39" t="s">
        <v>589</v>
      </c>
      <c r="E3" s="1332" t="s">
        <v>807</v>
      </c>
      <c r="F3" s="1332"/>
      <c r="G3" s="1332"/>
    </row>
    <row r="4" spans="1:7" x14ac:dyDescent="0.2">
      <c r="A4" s="39" t="s">
        <v>772</v>
      </c>
      <c r="C4" s="39" t="s">
        <v>588</v>
      </c>
      <c r="E4" s="1332"/>
      <c r="F4" s="1332"/>
      <c r="G4" s="1332"/>
    </row>
    <row r="5" spans="1:7" x14ac:dyDescent="0.2">
      <c r="A5" s="39" t="s">
        <v>773</v>
      </c>
      <c r="C5" s="39" t="s">
        <v>591</v>
      </c>
      <c r="E5" s="1332"/>
      <c r="F5" s="1332"/>
      <c r="G5" s="1332"/>
    </row>
    <row r="6" spans="1:7" x14ac:dyDescent="0.2">
      <c r="A6" s="39" t="s">
        <v>774</v>
      </c>
      <c r="C6" s="39" t="s">
        <v>592</v>
      </c>
      <c r="E6" s="1332"/>
      <c r="F6" s="1332"/>
      <c r="G6" s="1332"/>
    </row>
    <row r="7" spans="1:7" x14ac:dyDescent="0.2">
      <c r="A7" s="39" t="s">
        <v>775</v>
      </c>
      <c r="C7" s="39" t="s">
        <v>780</v>
      </c>
      <c r="E7" s="1332"/>
      <c r="F7" s="1332"/>
      <c r="G7" s="1332"/>
    </row>
    <row r="8" spans="1:7" x14ac:dyDescent="0.2">
      <c r="A8" s="39" t="s">
        <v>776</v>
      </c>
      <c r="E8" s="1332"/>
      <c r="F8" s="1332"/>
      <c r="G8" s="1332"/>
    </row>
    <row r="9" spans="1:7" x14ac:dyDescent="0.2">
      <c r="A9" s="39" t="s">
        <v>777</v>
      </c>
      <c r="C9" s="37" t="s">
        <v>781</v>
      </c>
      <c r="E9" s="1332"/>
      <c r="F9" s="1332"/>
      <c r="G9" s="1332"/>
    </row>
    <row r="10" spans="1:7" x14ac:dyDescent="0.2">
      <c r="A10" s="39" t="s">
        <v>778</v>
      </c>
      <c r="C10" s="39" t="s">
        <v>593</v>
      </c>
      <c r="E10" s="1332"/>
      <c r="F10" s="1332"/>
      <c r="G10" s="1332"/>
    </row>
    <row r="11" spans="1:7" x14ac:dyDescent="0.2">
      <c r="C11" s="39" t="s">
        <v>805</v>
      </c>
    </row>
    <row r="12" spans="1:7" x14ac:dyDescent="0.2">
      <c r="A12" s="37" t="s">
        <v>782</v>
      </c>
      <c r="E12" s="37" t="s">
        <v>761</v>
      </c>
    </row>
    <row r="13" spans="1:7" x14ac:dyDescent="0.2">
      <c r="A13" s="39" t="s">
        <v>979</v>
      </c>
      <c r="C13" s="37" t="s">
        <v>784</v>
      </c>
      <c r="E13" s="44">
        <f>DATE(Lohnberechnung!K10,Lohnberechnung!J10,Lohnberechnung!I10)</f>
        <v>45658</v>
      </c>
    </row>
    <row r="14" spans="1:7" x14ac:dyDescent="0.2">
      <c r="A14" s="39" t="s">
        <v>783</v>
      </c>
      <c r="B14">
        <v>1</v>
      </c>
      <c r="C14" s="40" t="s">
        <v>875</v>
      </c>
    </row>
    <row r="15" spans="1:7" x14ac:dyDescent="0.2">
      <c r="A15" s="39" t="s">
        <v>925</v>
      </c>
      <c r="B15">
        <v>2</v>
      </c>
      <c r="C15" s="40" t="s">
        <v>876</v>
      </c>
      <c r="E15" s="37" t="s">
        <v>920</v>
      </c>
    </row>
    <row r="16" spans="1:7" x14ac:dyDescent="0.2">
      <c r="B16">
        <v>3</v>
      </c>
      <c r="C16" s="40" t="s">
        <v>877</v>
      </c>
      <c r="E16" s="39" t="s">
        <v>812</v>
      </c>
    </row>
    <row r="17" spans="1:5" x14ac:dyDescent="0.2">
      <c r="A17" s="37" t="s">
        <v>765</v>
      </c>
      <c r="B17">
        <v>4</v>
      </c>
      <c r="C17" s="40" t="s">
        <v>878</v>
      </c>
      <c r="E17" s="39" t="s">
        <v>813</v>
      </c>
    </row>
    <row r="18" spans="1:5" x14ac:dyDescent="0.2">
      <c r="A18" s="39" t="s">
        <v>801</v>
      </c>
      <c r="B18">
        <v>5</v>
      </c>
      <c r="C18" s="40" t="s">
        <v>879</v>
      </c>
      <c r="E18" s="39" t="s">
        <v>958</v>
      </c>
    </row>
    <row r="19" spans="1:5" x14ac:dyDescent="0.2">
      <c r="A19" s="39" t="s">
        <v>926</v>
      </c>
      <c r="B19">
        <v>6</v>
      </c>
      <c r="C19" s="40" t="s">
        <v>880</v>
      </c>
      <c r="E19" s="39" t="s">
        <v>977</v>
      </c>
    </row>
    <row r="20" spans="1:5" x14ac:dyDescent="0.2">
      <c r="A20" s="39" t="s">
        <v>802</v>
      </c>
      <c r="B20">
        <v>7</v>
      </c>
      <c r="C20" s="40" t="s">
        <v>881</v>
      </c>
    </row>
    <row r="21" spans="1:5" x14ac:dyDescent="0.2">
      <c r="A21" s="39" t="s">
        <v>803</v>
      </c>
      <c r="B21">
        <v>8</v>
      </c>
      <c r="C21" s="40" t="s">
        <v>882</v>
      </c>
      <c r="E21" s="39"/>
    </row>
    <row r="22" spans="1:5" x14ac:dyDescent="0.2">
      <c r="A22" s="39" t="s">
        <v>804</v>
      </c>
      <c r="B22">
        <v>9</v>
      </c>
      <c r="C22" s="40" t="s">
        <v>883</v>
      </c>
    </row>
    <row r="23" spans="1:5" x14ac:dyDescent="0.2">
      <c r="B23">
        <v>31</v>
      </c>
      <c r="C23" s="40" t="s">
        <v>884</v>
      </c>
      <c r="E23" s="37" t="s">
        <v>766</v>
      </c>
    </row>
    <row r="24" spans="1:5" ht="13.5" thickBot="1" x14ac:dyDescent="0.25">
      <c r="A24" s="41" t="s">
        <v>806</v>
      </c>
      <c r="B24">
        <v>32</v>
      </c>
      <c r="C24" s="40" t="s">
        <v>885</v>
      </c>
      <c r="E24" s="39" t="s">
        <v>830</v>
      </c>
    </row>
    <row r="25" spans="1:5" ht="13.5" thickBot="1" x14ac:dyDescent="0.25">
      <c r="A25" s="42">
        <v>10</v>
      </c>
      <c r="B25">
        <v>33</v>
      </c>
      <c r="C25" s="40" t="s">
        <v>886</v>
      </c>
      <c r="E25" s="39" t="s">
        <v>831</v>
      </c>
    </row>
    <row r="26" spans="1:5" x14ac:dyDescent="0.2">
      <c r="B26">
        <v>34</v>
      </c>
      <c r="C26" s="40" t="s">
        <v>785</v>
      </c>
    </row>
    <row r="27" spans="1:5" x14ac:dyDescent="0.2">
      <c r="A27" s="37" t="s">
        <v>816</v>
      </c>
      <c r="B27">
        <v>41</v>
      </c>
      <c r="C27" s="40" t="s">
        <v>887</v>
      </c>
      <c r="E27" s="37" t="s">
        <v>928</v>
      </c>
    </row>
    <row r="28" spans="1:5" x14ac:dyDescent="0.2">
      <c r="A28" s="39" t="s">
        <v>817</v>
      </c>
      <c r="B28">
        <v>42</v>
      </c>
      <c r="C28" s="40" t="s">
        <v>888</v>
      </c>
      <c r="E28" s="39" t="s">
        <v>830</v>
      </c>
    </row>
    <row r="29" spans="1:5" x14ac:dyDescent="0.2">
      <c r="A29" s="39" t="s">
        <v>818</v>
      </c>
      <c r="B29">
        <v>43</v>
      </c>
      <c r="C29" s="40" t="s">
        <v>889</v>
      </c>
      <c r="E29" s="39" t="s">
        <v>831</v>
      </c>
    </row>
    <row r="30" spans="1:5" x14ac:dyDescent="0.2">
      <c r="B30">
        <v>44</v>
      </c>
      <c r="C30" s="40" t="s">
        <v>890</v>
      </c>
    </row>
    <row r="31" spans="1:5" x14ac:dyDescent="0.2">
      <c r="A31" s="37" t="s">
        <v>845</v>
      </c>
      <c r="B31">
        <v>50</v>
      </c>
      <c r="C31" s="40" t="s">
        <v>786</v>
      </c>
      <c r="E31" s="37" t="s">
        <v>1079</v>
      </c>
    </row>
    <row r="32" spans="1:5" x14ac:dyDescent="0.2">
      <c r="A32" s="39" t="s">
        <v>819</v>
      </c>
      <c r="B32">
        <v>51</v>
      </c>
      <c r="C32" s="40" t="s">
        <v>891</v>
      </c>
      <c r="E32" s="39" t="s">
        <v>1124</v>
      </c>
    </row>
    <row r="33" spans="1:5" x14ac:dyDescent="0.2">
      <c r="A33" s="39" t="s">
        <v>924</v>
      </c>
      <c r="B33">
        <v>52</v>
      </c>
      <c r="C33" s="40" t="s">
        <v>787</v>
      </c>
      <c r="E33" s="39" t="s">
        <v>1125</v>
      </c>
    </row>
    <row r="34" spans="1:5" x14ac:dyDescent="0.2">
      <c r="A34" s="39" t="s">
        <v>820</v>
      </c>
      <c r="B34">
        <v>53</v>
      </c>
      <c r="C34" s="40" t="s">
        <v>892</v>
      </c>
      <c r="E34" s="39" t="s">
        <v>1076</v>
      </c>
    </row>
    <row r="35" spans="1:5" x14ac:dyDescent="0.2">
      <c r="A35" s="39" t="s">
        <v>1173</v>
      </c>
      <c r="B35">
        <v>54</v>
      </c>
      <c r="C35" s="40" t="s">
        <v>893</v>
      </c>
      <c r="E35" s="39" t="s">
        <v>1077</v>
      </c>
    </row>
    <row r="36" spans="1:5" x14ac:dyDescent="0.2">
      <c r="B36">
        <v>55</v>
      </c>
      <c r="C36" s="40" t="s">
        <v>788</v>
      </c>
      <c r="E36" s="39" t="s">
        <v>1078</v>
      </c>
    </row>
    <row r="37" spans="1:5" x14ac:dyDescent="0.2">
      <c r="A37" s="37" t="s">
        <v>847</v>
      </c>
      <c r="B37">
        <v>56</v>
      </c>
      <c r="C37" s="40" t="s">
        <v>789</v>
      </c>
    </row>
    <row r="38" spans="1:5" x14ac:dyDescent="0.2">
      <c r="A38" s="39" t="s">
        <v>830</v>
      </c>
      <c r="B38">
        <v>57</v>
      </c>
      <c r="C38" s="40" t="s">
        <v>790</v>
      </c>
      <c r="E38" s="37" t="s">
        <v>1096</v>
      </c>
    </row>
    <row r="39" spans="1:5" x14ac:dyDescent="0.2">
      <c r="A39" s="39" t="s">
        <v>831</v>
      </c>
      <c r="B39">
        <v>58</v>
      </c>
      <c r="C39" s="40" t="s">
        <v>894</v>
      </c>
      <c r="E39" s="39" t="s">
        <v>1126</v>
      </c>
    </row>
    <row r="40" spans="1:5" x14ac:dyDescent="0.2">
      <c r="B40">
        <v>59</v>
      </c>
      <c r="C40" s="40" t="s">
        <v>791</v>
      </c>
      <c r="E40" s="39" t="s">
        <v>1127</v>
      </c>
    </row>
    <row r="41" spans="1:5" x14ac:dyDescent="0.2">
      <c r="A41" s="37" t="s">
        <v>1068</v>
      </c>
      <c r="B41">
        <v>60</v>
      </c>
      <c r="C41" s="40" t="s">
        <v>792</v>
      </c>
      <c r="E41" s="39" t="s">
        <v>1128</v>
      </c>
    </row>
    <row r="42" spans="1:5" x14ac:dyDescent="0.2">
      <c r="A42" s="39" t="s">
        <v>833</v>
      </c>
      <c r="B42">
        <v>61</v>
      </c>
      <c r="C42" s="40" t="s">
        <v>793</v>
      </c>
    </row>
    <row r="43" spans="1:5" x14ac:dyDescent="0.2">
      <c r="A43" s="39" t="s">
        <v>834</v>
      </c>
      <c r="B43">
        <v>62</v>
      </c>
      <c r="C43" s="40" t="s">
        <v>794</v>
      </c>
    </row>
    <row r="44" spans="1:5" x14ac:dyDescent="0.2">
      <c r="A44" s="39" t="s">
        <v>835</v>
      </c>
      <c r="B44">
        <v>63</v>
      </c>
      <c r="C44" s="40" t="s">
        <v>895</v>
      </c>
    </row>
    <row r="45" spans="1:5" x14ac:dyDescent="0.2">
      <c r="A45" s="39" t="s">
        <v>974</v>
      </c>
      <c r="B45">
        <v>64</v>
      </c>
      <c r="C45" s="40" t="s">
        <v>795</v>
      </c>
    </row>
    <row r="46" spans="1:5" x14ac:dyDescent="0.2">
      <c r="A46" s="39" t="s">
        <v>2014</v>
      </c>
      <c r="B46">
        <v>65</v>
      </c>
      <c r="C46" s="40" t="s">
        <v>796</v>
      </c>
    </row>
    <row r="47" spans="1:5" x14ac:dyDescent="0.2">
      <c r="A47" s="39" t="s">
        <v>836</v>
      </c>
      <c r="B47">
        <v>66</v>
      </c>
      <c r="C47" s="40" t="s">
        <v>896</v>
      </c>
      <c r="E47" s="37" t="s">
        <v>1215</v>
      </c>
    </row>
    <row r="48" spans="1:5" x14ac:dyDescent="0.2">
      <c r="A48" s="39" t="s">
        <v>837</v>
      </c>
      <c r="B48">
        <v>67</v>
      </c>
      <c r="C48" s="40" t="s">
        <v>797</v>
      </c>
      <c r="E48" s="39" t="s">
        <v>1222</v>
      </c>
    </row>
    <row r="49" spans="1:5" x14ac:dyDescent="0.2">
      <c r="A49" s="39" t="s">
        <v>927</v>
      </c>
      <c r="B49">
        <v>68</v>
      </c>
      <c r="C49" s="40" t="s">
        <v>897</v>
      </c>
      <c r="E49" s="39" t="s">
        <v>1223</v>
      </c>
    </row>
    <row r="50" spans="1:5" x14ac:dyDescent="0.2">
      <c r="B50">
        <v>69</v>
      </c>
      <c r="C50" s="40" t="s">
        <v>798</v>
      </c>
      <c r="E50" s="39" t="s">
        <v>1224</v>
      </c>
    </row>
    <row r="51" spans="1:5" x14ac:dyDescent="0.2">
      <c r="A51" s="37" t="s">
        <v>846</v>
      </c>
      <c r="B51">
        <v>70</v>
      </c>
      <c r="C51" s="40" t="s">
        <v>898</v>
      </c>
      <c r="E51" s="39" t="s">
        <v>1225</v>
      </c>
    </row>
    <row r="52" spans="1:5" x14ac:dyDescent="0.2">
      <c r="A52" s="39" t="s">
        <v>838</v>
      </c>
      <c r="B52">
        <v>71</v>
      </c>
      <c r="C52" s="40" t="s">
        <v>899</v>
      </c>
      <c r="E52" s="39" t="s">
        <v>1216</v>
      </c>
    </row>
    <row r="53" spans="1:5" x14ac:dyDescent="0.2">
      <c r="A53" s="39" t="s">
        <v>839</v>
      </c>
      <c r="B53">
        <v>72</v>
      </c>
      <c r="C53" s="40" t="s">
        <v>900</v>
      </c>
      <c r="E53" s="39" t="s">
        <v>1226</v>
      </c>
    </row>
    <row r="54" spans="1:5" x14ac:dyDescent="0.2">
      <c r="A54" s="39" t="s">
        <v>923</v>
      </c>
      <c r="B54">
        <v>73</v>
      </c>
      <c r="C54" s="40" t="s">
        <v>799</v>
      </c>
    </row>
    <row r="55" spans="1:5" x14ac:dyDescent="0.2">
      <c r="A55" s="39" t="s">
        <v>840</v>
      </c>
      <c r="B55">
        <v>74</v>
      </c>
      <c r="C55" s="40" t="s">
        <v>800</v>
      </c>
      <c r="E55" s="37" t="s">
        <v>1217</v>
      </c>
    </row>
    <row r="56" spans="1:5" x14ac:dyDescent="0.2">
      <c r="E56" s="773" t="s">
        <v>817</v>
      </c>
    </row>
    <row r="57" spans="1:5" x14ac:dyDescent="0.2">
      <c r="A57" s="37" t="s">
        <v>842</v>
      </c>
      <c r="E57" s="773" t="s">
        <v>818</v>
      </c>
    </row>
    <row r="58" spans="1:5" x14ac:dyDescent="0.2">
      <c r="A58" s="39" t="s">
        <v>843</v>
      </c>
      <c r="C58" s="37" t="s">
        <v>864</v>
      </c>
      <c r="E58" s="773" t="s">
        <v>1173</v>
      </c>
    </row>
    <row r="59" spans="1:5" x14ac:dyDescent="0.2">
      <c r="A59" s="43" t="s">
        <v>844</v>
      </c>
      <c r="C59" s="39" t="s">
        <v>865</v>
      </c>
    </row>
    <row r="60" spans="1:5" x14ac:dyDescent="0.2">
      <c r="C60" s="39" t="s">
        <v>866</v>
      </c>
    </row>
    <row r="61" spans="1:5" x14ac:dyDescent="0.2">
      <c r="A61" s="37" t="s">
        <v>850</v>
      </c>
    </row>
    <row r="62" spans="1:5" x14ac:dyDescent="0.2">
      <c r="A62" s="39" t="s">
        <v>356</v>
      </c>
      <c r="C62" s="37" t="s">
        <v>906</v>
      </c>
      <c r="E62" s="37" t="s">
        <v>356</v>
      </c>
    </row>
    <row r="63" spans="1:5" x14ac:dyDescent="0.2">
      <c r="A63" s="39" t="s">
        <v>851</v>
      </c>
      <c r="C63" s="39" t="s">
        <v>356</v>
      </c>
      <c r="E63" s="39" t="s">
        <v>854</v>
      </c>
    </row>
    <row r="64" spans="1:5" x14ac:dyDescent="0.2">
      <c r="A64" s="39" t="s">
        <v>852</v>
      </c>
      <c r="C64" s="39" t="s">
        <v>851</v>
      </c>
      <c r="E64" s="39" t="s">
        <v>855</v>
      </c>
    </row>
    <row r="65" spans="1:5" x14ac:dyDescent="0.2">
      <c r="A65" s="39" t="s">
        <v>853</v>
      </c>
      <c r="C65" s="39" t="s">
        <v>854</v>
      </c>
      <c r="E65" s="39" t="s">
        <v>1946</v>
      </c>
    </row>
    <row r="66" spans="1:5" x14ac:dyDescent="0.2">
      <c r="A66" s="39"/>
      <c r="C66" s="39" t="s">
        <v>855</v>
      </c>
    </row>
    <row r="67" spans="1:5" x14ac:dyDescent="0.2">
      <c r="C67" s="39" t="s">
        <v>902</v>
      </c>
      <c r="E67" s="37" t="s">
        <v>851</v>
      </c>
    </row>
    <row r="68" spans="1:5" x14ac:dyDescent="0.2">
      <c r="A68" s="37" t="s">
        <v>901</v>
      </c>
      <c r="C68" s="39" t="s">
        <v>856</v>
      </c>
      <c r="E68" s="39" t="s">
        <v>854</v>
      </c>
    </row>
    <row r="69" spans="1:5" x14ac:dyDescent="0.2">
      <c r="A69" s="39" t="s">
        <v>867</v>
      </c>
      <c r="C69" s="39" t="s">
        <v>862</v>
      </c>
      <c r="E69" s="39" t="s">
        <v>855</v>
      </c>
    </row>
    <row r="70" spans="1:5" x14ac:dyDescent="0.2">
      <c r="A70" s="39" t="s">
        <v>868</v>
      </c>
      <c r="C70" s="39" t="s">
        <v>852</v>
      </c>
      <c r="E70" s="39" t="s">
        <v>1946</v>
      </c>
    </row>
    <row r="71" spans="1:5" x14ac:dyDescent="0.2">
      <c r="A71" s="39" t="s">
        <v>860</v>
      </c>
      <c r="C71" s="39" t="s">
        <v>853</v>
      </c>
    </row>
    <row r="72" spans="1:5" x14ac:dyDescent="0.2">
      <c r="A72" s="39" t="s">
        <v>859</v>
      </c>
      <c r="C72" s="39" t="s">
        <v>904</v>
      </c>
      <c r="E72" s="37" t="s">
        <v>852</v>
      </c>
    </row>
    <row r="73" spans="1:5" x14ac:dyDescent="0.2">
      <c r="A73" s="39" t="s">
        <v>921</v>
      </c>
      <c r="C73" s="39" t="s">
        <v>857</v>
      </c>
      <c r="E73" s="39" t="s">
        <v>854</v>
      </c>
    </row>
    <row r="74" spans="1:5" x14ac:dyDescent="0.2">
      <c r="A74" s="39" t="s">
        <v>862</v>
      </c>
      <c r="C74" s="39" t="s">
        <v>905</v>
      </c>
      <c r="E74" s="39" t="s">
        <v>1121</v>
      </c>
    </row>
    <row r="75" spans="1:5" x14ac:dyDescent="0.2">
      <c r="A75" s="39" t="s">
        <v>903</v>
      </c>
      <c r="C75" s="39" t="s">
        <v>1120</v>
      </c>
      <c r="E75" s="39" t="s">
        <v>1116</v>
      </c>
    </row>
    <row r="76" spans="1:5" x14ac:dyDescent="0.2">
      <c r="A76" s="39" t="s">
        <v>922</v>
      </c>
      <c r="C76" s="39" t="s">
        <v>858</v>
      </c>
      <c r="E76" s="39" t="s">
        <v>585</v>
      </c>
    </row>
    <row r="77" spans="1:5" x14ac:dyDescent="0.2">
      <c r="C77" s="39" t="s">
        <v>585</v>
      </c>
      <c r="E77" s="39" t="s">
        <v>855</v>
      </c>
    </row>
    <row r="78" spans="1:5" x14ac:dyDescent="0.2">
      <c r="A78" s="37" t="s">
        <v>907</v>
      </c>
      <c r="C78" s="39" t="s">
        <v>859</v>
      </c>
      <c r="E78" s="39" t="s">
        <v>903</v>
      </c>
    </row>
    <row r="79" spans="1:5" x14ac:dyDescent="0.2">
      <c r="A79" s="39" t="s">
        <v>593</v>
      </c>
      <c r="C79" s="39" t="s">
        <v>903</v>
      </c>
      <c r="E79" s="39" t="s">
        <v>860</v>
      </c>
    </row>
    <row r="80" spans="1:5" x14ac:dyDescent="0.2">
      <c r="A80" s="39" t="s">
        <v>805</v>
      </c>
      <c r="C80" s="39" t="s">
        <v>860</v>
      </c>
      <c r="E80" s="39"/>
    </row>
    <row r="81" spans="1:5" x14ac:dyDescent="0.2">
      <c r="C81" s="39" t="s">
        <v>902</v>
      </c>
    </row>
    <row r="82" spans="1:5" x14ac:dyDescent="0.2">
      <c r="A82" s="37" t="s">
        <v>908</v>
      </c>
      <c r="C82" s="39" t="s">
        <v>861</v>
      </c>
      <c r="E82" s="37" t="s">
        <v>853</v>
      </c>
    </row>
    <row r="83" spans="1:5" x14ac:dyDescent="0.2">
      <c r="A83" s="39" t="s">
        <v>909</v>
      </c>
      <c r="E83" s="39" t="s">
        <v>854</v>
      </c>
    </row>
    <row r="84" spans="1:5" x14ac:dyDescent="0.2">
      <c r="A84" s="39" t="s">
        <v>910</v>
      </c>
      <c r="C84" s="37" t="s">
        <v>914</v>
      </c>
      <c r="E84" s="39" t="s">
        <v>1121</v>
      </c>
    </row>
    <row r="85" spans="1:5" x14ac:dyDescent="0.2">
      <c r="A85" s="39" t="s">
        <v>911</v>
      </c>
      <c r="C85" s="39" t="s">
        <v>915</v>
      </c>
      <c r="E85" s="39" t="s">
        <v>1116</v>
      </c>
    </row>
    <row r="86" spans="1:5" x14ac:dyDescent="0.2">
      <c r="A86" s="39" t="s">
        <v>912</v>
      </c>
      <c r="C86" s="39" t="s">
        <v>916</v>
      </c>
      <c r="E86" s="39" t="s">
        <v>585</v>
      </c>
    </row>
    <row r="87" spans="1:5" x14ac:dyDescent="0.2">
      <c r="A87" s="39" t="s">
        <v>913</v>
      </c>
      <c r="E87" s="39" t="s">
        <v>855</v>
      </c>
    </row>
    <row r="88" spans="1:5" x14ac:dyDescent="0.2">
      <c r="C88" s="37" t="s">
        <v>948</v>
      </c>
      <c r="E88" s="39" t="s">
        <v>903</v>
      </c>
    </row>
    <row r="89" spans="1:5" x14ac:dyDescent="0.2">
      <c r="A89" s="37" t="s">
        <v>917</v>
      </c>
      <c r="C89" s="39" t="s">
        <v>854</v>
      </c>
      <c r="E89" s="39" t="s">
        <v>860</v>
      </c>
    </row>
    <row r="90" spans="1:5" x14ac:dyDescent="0.2">
      <c r="A90" s="39" t="s">
        <v>918</v>
      </c>
      <c r="C90" s="39" t="s">
        <v>855</v>
      </c>
      <c r="E90" s="39"/>
    </row>
    <row r="91" spans="1:5" x14ac:dyDescent="0.2">
      <c r="A91" s="39" t="s">
        <v>919</v>
      </c>
      <c r="C91" s="39" t="s">
        <v>949</v>
      </c>
    </row>
    <row r="92" spans="1:5" x14ac:dyDescent="0.2">
      <c r="C92" s="39" t="s">
        <v>1120</v>
      </c>
      <c r="E92" s="37" t="s">
        <v>1947</v>
      </c>
    </row>
    <row r="93" spans="1:5" x14ac:dyDescent="0.2">
      <c r="A93" s="37" t="s">
        <v>967</v>
      </c>
      <c r="C93" s="39" t="s">
        <v>950</v>
      </c>
      <c r="E93" s="849" t="s">
        <v>1983</v>
      </c>
    </row>
    <row r="94" spans="1:5" x14ac:dyDescent="0.2">
      <c r="A94" s="39" t="s">
        <v>968</v>
      </c>
      <c r="C94" s="39" t="s">
        <v>951</v>
      </c>
      <c r="E94" s="849" t="s">
        <v>1984</v>
      </c>
    </row>
    <row r="95" spans="1:5" x14ac:dyDescent="0.2">
      <c r="A95" s="39" t="s">
        <v>969</v>
      </c>
      <c r="C95" s="39" t="s">
        <v>585</v>
      </c>
      <c r="E95" s="849" t="s">
        <v>1985</v>
      </c>
    </row>
    <row r="96" spans="1:5" x14ac:dyDescent="0.2">
      <c r="A96" s="39" t="s">
        <v>970</v>
      </c>
      <c r="C96" s="39" t="s">
        <v>860</v>
      </c>
      <c r="E96" s="849" t="s">
        <v>1986</v>
      </c>
    </row>
    <row r="97" spans="1:5" x14ac:dyDescent="0.2">
      <c r="C97" s="39" t="s">
        <v>861</v>
      </c>
      <c r="E97" s="849" t="s">
        <v>1987</v>
      </c>
    </row>
    <row r="98" spans="1:5" x14ac:dyDescent="0.2">
      <c r="A98" s="37" t="s">
        <v>976</v>
      </c>
      <c r="C98" s="39" t="s">
        <v>952</v>
      </c>
      <c r="E98" s="849" t="s">
        <v>1988</v>
      </c>
    </row>
    <row r="99" spans="1:5" x14ac:dyDescent="0.2">
      <c r="A99" s="39" t="s">
        <v>1039</v>
      </c>
      <c r="E99" s="849" t="s">
        <v>1989</v>
      </c>
    </row>
    <row r="100" spans="1:5" x14ac:dyDescent="0.2">
      <c r="A100" s="39" t="s">
        <v>1040</v>
      </c>
      <c r="E100" s="849" t="s">
        <v>1990</v>
      </c>
    </row>
    <row r="101" spans="1:5" x14ac:dyDescent="0.2">
      <c r="A101" s="39" t="s">
        <v>1041</v>
      </c>
    </row>
    <row r="102" spans="1:5" x14ac:dyDescent="0.2">
      <c r="A102" s="39" t="s">
        <v>1042</v>
      </c>
      <c r="E102" s="37" t="s">
        <v>1949</v>
      </c>
    </row>
    <row r="103" spans="1:5" x14ac:dyDescent="0.2">
      <c r="E103" s="979" t="s">
        <v>830</v>
      </c>
    </row>
    <row r="104" spans="1:5" x14ac:dyDescent="0.2">
      <c r="A104" s="1329" t="s">
        <v>986</v>
      </c>
      <c r="B104" s="1330"/>
      <c r="C104" s="1331"/>
      <c r="E104" s="979" t="s">
        <v>831</v>
      </c>
    </row>
    <row r="105" spans="1:5" x14ac:dyDescent="0.2">
      <c r="A105" s="214" t="s">
        <v>1227</v>
      </c>
      <c r="B105" s="214"/>
      <c r="C105" s="214"/>
    </row>
    <row r="106" spans="1:5" x14ac:dyDescent="0.2">
      <c r="A106" s="214" t="s">
        <v>1228</v>
      </c>
      <c r="B106" s="214"/>
      <c r="C106" s="214"/>
      <c r="E106" s="37" t="s">
        <v>1953</v>
      </c>
    </row>
    <row r="107" spans="1:5" x14ac:dyDescent="0.2">
      <c r="A107" s="214" t="s">
        <v>980</v>
      </c>
      <c r="B107" s="214"/>
      <c r="C107" s="214"/>
      <c r="E107" s="979" t="s">
        <v>590</v>
      </c>
    </row>
    <row r="108" spans="1:5" x14ac:dyDescent="0.2">
      <c r="A108" s="214" t="s">
        <v>981</v>
      </c>
      <c r="B108" s="214"/>
      <c r="C108" s="214"/>
      <c r="E108" s="979" t="s">
        <v>1954</v>
      </c>
    </row>
    <row r="109" spans="1:5" x14ac:dyDescent="0.2">
      <c r="A109" s="214" t="s">
        <v>982</v>
      </c>
      <c r="B109" s="214"/>
      <c r="C109" s="214"/>
      <c r="E109" s="979" t="s">
        <v>1955</v>
      </c>
    </row>
    <row r="110" spans="1:5" x14ac:dyDescent="0.2">
      <c r="A110" s="214" t="s">
        <v>983</v>
      </c>
      <c r="B110" s="214"/>
      <c r="C110" s="214"/>
      <c r="E110" s="979" t="s">
        <v>589</v>
      </c>
    </row>
    <row r="111" spans="1:5" x14ac:dyDescent="0.2">
      <c r="A111" s="214" t="s">
        <v>984</v>
      </c>
      <c r="B111" s="214"/>
      <c r="C111" s="214"/>
    </row>
    <row r="112" spans="1:5" x14ac:dyDescent="0.2">
      <c r="A112" s="214" t="s">
        <v>985</v>
      </c>
      <c r="B112" s="214"/>
      <c r="C112" s="214"/>
      <c r="E112" s="37" t="s">
        <v>2016</v>
      </c>
    </row>
    <row r="113" spans="1:5" x14ac:dyDescent="0.2">
      <c r="B113" s="23"/>
      <c r="C113" s="23"/>
      <c r="E113" s="39" t="s">
        <v>854</v>
      </c>
    </row>
    <row r="114" spans="1:5" x14ac:dyDescent="0.2">
      <c r="A114" s="23" t="s">
        <v>1949</v>
      </c>
      <c r="E114" s="39" t="s">
        <v>903</v>
      </c>
    </row>
    <row r="115" spans="1:5" x14ac:dyDescent="0.2">
      <c r="A115" s="852" t="s">
        <v>1950</v>
      </c>
      <c r="E115" s="39" t="s">
        <v>860</v>
      </c>
    </row>
    <row r="116" spans="1:5" x14ac:dyDescent="0.2">
      <c r="A116" s="852" t="str">
        <f>CONCATENATE("Bei einem Neueintritt nach dem 01.07.",LohntabelleM!I1," ist keine individuelle Lohnentwicklung vorgesehen.")</f>
        <v>Bei einem Neueintritt nach dem 01.07.2026 ist keine individuelle Lohnentwicklung vorgesehen.</v>
      </c>
      <c r="E116" s="39" t="s">
        <v>2017</v>
      </c>
    </row>
    <row r="117" spans="1:5" x14ac:dyDescent="0.2">
      <c r="A117" s="852" t="s">
        <v>1951</v>
      </c>
      <c r="E117" s="39" t="s">
        <v>2018</v>
      </c>
    </row>
    <row r="118" spans="1:5" x14ac:dyDescent="0.2">
      <c r="A118" s="852" t="s">
        <v>1956</v>
      </c>
    </row>
    <row r="119" spans="1:5" x14ac:dyDescent="0.2">
      <c r="A119" s="852" t="s">
        <v>1952</v>
      </c>
    </row>
    <row r="121" spans="1:5" x14ac:dyDescent="0.2">
      <c r="A121" s="853"/>
      <c r="B121" s="854"/>
    </row>
  </sheetData>
  <mergeCells count="2">
    <mergeCell ref="A104:C104"/>
    <mergeCell ref="E3:G10"/>
  </mergeCells>
  <pageMargins left="0.7" right="0.7" top="0.78740157499999996" bottom="0.78740157499999996"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7">
    <tabColor theme="0" tint="-0.249977111117893"/>
  </sheetPr>
  <dimension ref="A1:AE62"/>
  <sheetViews>
    <sheetView workbookViewId="0">
      <selection activeCell="M36" sqref="M36"/>
    </sheetView>
  </sheetViews>
  <sheetFormatPr baseColWidth="10" defaultColWidth="11.42578125" defaultRowHeight="12.75" x14ac:dyDescent="0.2"/>
  <cols>
    <col min="1" max="16384" width="11.42578125" style="22"/>
  </cols>
  <sheetData>
    <row r="1" spans="1:31" x14ac:dyDescent="0.2">
      <c r="A1" s="677" t="str">
        <f>CONCATENATE("Lohntabelle Monatslohn ",I1)</f>
        <v>Lohntabelle Monatslohn 2026</v>
      </c>
      <c r="B1" s="82"/>
      <c r="C1" s="82"/>
      <c r="D1" s="83"/>
      <c r="E1" s="83">
        <v>13</v>
      </c>
      <c r="F1" s="82" t="s">
        <v>1243</v>
      </c>
      <c r="G1" s="778" t="s">
        <v>2061</v>
      </c>
      <c r="H1" s="82" t="s">
        <v>1244</v>
      </c>
      <c r="I1" s="778">
        <v>2026</v>
      </c>
      <c r="J1" s="83"/>
      <c r="K1" s="83"/>
      <c r="L1" s="83"/>
      <c r="M1" s="83"/>
      <c r="N1" s="83"/>
      <c r="O1" s="83"/>
      <c r="P1" s="83"/>
      <c r="Q1" s="83"/>
      <c r="R1" s="83"/>
      <c r="S1" s="83"/>
      <c r="T1" s="83"/>
      <c r="U1" s="83"/>
      <c r="V1" s="83"/>
      <c r="W1" s="83"/>
      <c r="X1" s="83"/>
      <c r="Y1" s="83"/>
      <c r="Z1" s="83"/>
      <c r="AA1" s="83"/>
      <c r="AB1" s="83"/>
      <c r="AC1" s="83"/>
      <c r="AD1" s="83"/>
      <c r="AE1" s="83"/>
    </row>
    <row r="2" spans="1:31" x14ac:dyDescent="0.2">
      <c r="A2" s="81"/>
      <c r="B2" s="82" t="s">
        <v>808</v>
      </c>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1" x14ac:dyDescent="0.2">
      <c r="A3" s="84" t="s">
        <v>764</v>
      </c>
      <c r="B3" s="84" t="s">
        <v>588</v>
      </c>
      <c r="C3" s="84" t="s">
        <v>589</v>
      </c>
      <c r="D3" s="85" t="s">
        <v>590</v>
      </c>
      <c r="E3" s="84">
        <v>1</v>
      </c>
      <c r="F3" s="84">
        <v>2</v>
      </c>
      <c r="G3" s="84">
        <v>3</v>
      </c>
      <c r="H3" s="84">
        <v>4</v>
      </c>
      <c r="I3" s="84">
        <v>5</v>
      </c>
      <c r="J3" s="84">
        <v>6</v>
      </c>
      <c r="K3" s="84">
        <v>7</v>
      </c>
      <c r="L3" s="84">
        <v>8</v>
      </c>
      <c r="M3" s="84">
        <v>9</v>
      </c>
      <c r="N3" s="84">
        <v>10</v>
      </c>
      <c r="O3" s="84">
        <v>11</v>
      </c>
      <c r="P3" s="84">
        <v>12</v>
      </c>
      <c r="Q3" s="84">
        <v>13</v>
      </c>
      <c r="R3" s="84">
        <v>14</v>
      </c>
      <c r="S3" s="84">
        <v>15</v>
      </c>
      <c r="T3" s="84">
        <v>16</v>
      </c>
      <c r="U3" s="84">
        <v>17</v>
      </c>
      <c r="V3" s="84">
        <v>18</v>
      </c>
      <c r="W3" s="84">
        <v>19</v>
      </c>
      <c r="X3" s="84">
        <v>20</v>
      </c>
      <c r="Y3" s="84">
        <v>21</v>
      </c>
      <c r="Z3" s="84">
        <v>22</v>
      </c>
      <c r="AA3" s="84">
        <v>23</v>
      </c>
      <c r="AB3" s="84">
        <v>24</v>
      </c>
      <c r="AC3" s="84">
        <v>25</v>
      </c>
      <c r="AD3" s="84">
        <v>26</v>
      </c>
      <c r="AE3" s="84">
        <v>27</v>
      </c>
    </row>
    <row r="4" spans="1:31" x14ac:dyDescent="0.2">
      <c r="A4" s="84">
        <v>1</v>
      </c>
      <c r="B4" s="86">
        <v>14104.95</v>
      </c>
      <c r="C4" s="86">
        <v>14755.05</v>
      </c>
      <c r="D4" s="86">
        <v>15405.35</v>
      </c>
      <c r="E4" s="86">
        <v>16055.45</v>
      </c>
      <c r="F4" s="86">
        <v>16682.900000000001</v>
      </c>
      <c r="G4" s="86">
        <v>17310.25</v>
      </c>
      <c r="H4" s="86">
        <v>17937.7</v>
      </c>
      <c r="I4" s="86">
        <v>18565.2</v>
      </c>
      <c r="J4" s="86">
        <v>18839.7</v>
      </c>
      <c r="K4" s="86">
        <v>19114.5</v>
      </c>
      <c r="L4" s="86">
        <v>19389.150000000001</v>
      </c>
      <c r="M4" s="86">
        <v>19663.849999999999</v>
      </c>
      <c r="N4" s="86">
        <v>19853.849999999999</v>
      </c>
      <c r="O4" s="86">
        <v>20043.900000000001</v>
      </c>
      <c r="P4" s="86">
        <v>20234</v>
      </c>
      <c r="Q4" s="86">
        <v>20424</v>
      </c>
      <c r="R4" s="86">
        <v>20613.8</v>
      </c>
      <c r="S4" s="86">
        <v>20803.95</v>
      </c>
      <c r="T4" s="86">
        <v>20994.1</v>
      </c>
      <c r="U4" s="86">
        <v>21184.1</v>
      </c>
      <c r="V4" s="86">
        <v>21184.1</v>
      </c>
      <c r="W4" s="86">
        <v>21286.15</v>
      </c>
      <c r="X4" s="86">
        <v>21286.15</v>
      </c>
      <c r="Y4" s="86">
        <v>21388.400000000001</v>
      </c>
      <c r="Z4" s="86">
        <v>21388.400000000001</v>
      </c>
      <c r="AA4" s="86">
        <v>21490.75</v>
      </c>
      <c r="AB4" s="86">
        <v>21490.75</v>
      </c>
      <c r="AC4" s="86">
        <v>21593</v>
      </c>
      <c r="AD4" s="86">
        <v>21593</v>
      </c>
      <c r="AE4" s="86">
        <v>21695.35</v>
      </c>
    </row>
    <row r="5" spans="1:31" x14ac:dyDescent="0.2">
      <c r="A5" s="84">
        <v>2</v>
      </c>
      <c r="B5" s="86">
        <v>13343.35</v>
      </c>
      <c r="C5" s="86">
        <v>13957.05</v>
      </c>
      <c r="D5" s="86">
        <v>14570.95</v>
      </c>
      <c r="E5" s="86">
        <v>15184.8</v>
      </c>
      <c r="F5" s="86">
        <v>15777.05</v>
      </c>
      <c r="G5" s="86">
        <v>16369.55</v>
      </c>
      <c r="H5" s="86">
        <v>16961.849999999999</v>
      </c>
      <c r="I5" s="86">
        <v>17554.2</v>
      </c>
      <c r="J5" s="86">
        <v>17813.5</v>
      </c>
      <c r="K5" s="86">
        <v>18072.95</v>
      </c>
      <c r="L5" s="86">
        <v>18332.3</v>
      </c>
      <c r="M5" s="86">
        <v>18591.55</v>
      </c>
      <c r="N5" s="86">
        <v>18778.650000000001</v>
      </c>
      <c r="O5" s="86">
        <v>18965.849999999999</v>
      </c>
      <c r="P5" s="86">
        <v>19153</v>
      </c>
      <c r="Q5" s="86">
        <v>19340</v>
      </c>
      <c r="R5" s="86">
        <v>19527.349999999999</v>
      </c>
      <c r="S5" s="86">
        <v>19714.25</v>
      </c>
      <c r="T5" s="86">
        <v>19901.7</v>
      </c>
      <c r="U5" s="86">
        <v>20088.599999999999</v>
      </c>
      <c r="V5" s="86">
        <v>20088.599999999999</v>
      </c>
      <c r="W5" s="86">
        <v>20184.95</v>
      </c>
      <c r="X5" s="86">
        <v>20184.95</v>
      </c>
      <c r="Y5" s="86">
        <v>20281.349999999999</v>
      </c>
      <c r="Z5" s="86">
        <v>20281.349999999999</v>
      </c>
      <c r="AA5" s="86">
        <v>20377.55</v>
      </c>
      <c r="AB5" s="86">
        <v>20377.55</v>
      </c>
      <c r="AC5" s="86">
        <v>20473.900000000001</v>
      </c>
      <c r="AD5" s="86">
        <v>20473.900000000001</v>
      </c>
      <c r="AE5" s="86">
        <v>20570.2</v>
      </c>
    </row>
    <row r="6" spans="1:31" x14ac:dyDescent="0.2">
      <c r="A6" s="84">
        <v>3</v>
      </c>
      <c r="B6" s="86">
        <v>12581.35</v>
      </c>
      <c r="C6" s="86">
        <v>13158.85</v>
      </c>
      <c r="D6" s="86">
        <v>13736.4</v>
      </c>
      <c r="E6" s="86">
        <v>14314.1</v>
      </c>
      <c r="F6" s="86">
        <v>14871.25</v>
      </c>
      <c r="G6" s="86">
        <v>15428.65</v>
      </c>
      <c r="H6" s="86">
        <v>15986</v>
      </c>
      <c r="I6" s="86">
        <v>16543.099999999999</v>
      </c>
      <c r="J6" s="86">
        <v>16787.099999999999</v>
      </c>
      <c r="K6" s="86">
        <v>17031.3</v>
      </c>
      <c r="L6" s="86">
        <v>17275.25</v>
      </c>
      <c r="M6" s="86">
        <v>17519.25</v>
      </c>
      <c r="N6" s="86">
        <v>17703.599999999999</v>
      </c>
      <c r="O6" s="86">
        <v>17887.900000000001</v>
      </c>
      <c r="P6" s="86">
        <v>18072.2</v>
      </c>
      <c r="Q6" s="86">
        <v>18256.55</v>
      </c>
      <c r="R6" s="86">
        <v>18440.8</v>
      </c>
      <c r="S6" s="86">
        <v>18625.099999999999</v>
      </c>
      <c r="T6" s="86">
        <v>18809.45</v>
      </c>
      <c r="U6" s="86">
        <v>18993.650000000001</v>
      </c>
      <c r="V6" s="86">
        <v>18993.650000000001</v>
      </c>
      <c r="W6" s="86">
        <v>19084.05</v>
      </c>
      <c r="X6" s="86">
        <v>19084.05</v>
      </c>
      <c r="Y6" s="86">
        <v>19174.349999999999</v>
      </c>
      <c r="Z6" s="86">
        <v>19174.349999999999</v>
      </c>
      <c r="AA6" s="86">
        <v>19264.8</v>
      </c>
      <c r="AB6" s="86">
        <v>19264.8</v>
      </c>
      <c r="AC6" s="86">
        <v>19355.150000000001</v>
      </c>
      <c r="AD6" s="86">
        <v>19355.150000000001</v>
      </c>
      <c r="AE6" s="86">
        <v>19445.400000000001</v>
      </c>
    </row>
    <row r="7" spans="1:31" x14ac:dyDescent="0.2">
      <c r="A7" s="84">
        <v>4</v>
      </c>
      <c r="B7" s="86">
        <v>11819.65</v>
      </c>
      <c r="C7" s="86">
        <v>12360.8</v>
      </c>
      <c r="D7" s="86">
        <v>12902.05</v>
      </c>
      <c r="E7" s="86">
        <v>13443.3</v>
      </c>
      <c r="F7" s="86">
        <v>13965.7</v>
      </c>
      <c r="G7" s="86">
        <v>14487.85</v>
      </c>
      <c r="H7" s="86">
        <v>15010.35</v>
      </c>
      <c r="I7" s="86">
        <v>15532.7</v>
      </c>
      <c r="J7" s="86">
        <v>15761.45</v>
      </c>
      <c r="K7" s="86">
        <v>15990.15</v>
      </c>
      <c r="L7" s="86">
        <v>16218.85</v>
      </c>
      <c r="M7" s="86">
        <v>16447.5</v>
      </c>
      <c r="N7" s="86">
        <v>16628.849999999999</v>
      </c>
      <c r="O7" s="86">
        <v>16810.3</v>
      </c>
      <c r="P7" s="86">
        <v>16991.75</v>
      </c>
      <c r="Q7" s="86">
        <v>17173.2</v>
      </c>
      <c r="R7" s="86">
        <v>17354.400000000001</v>
      </c>
      <c r="S7" s="86">
        <v>17535.900000000001</v>
      </c>
      <c r="T7" s="86">
        <v>17717.25</v>
      </c>
      <c r="U7" s="86">
        <v>17898.7</v>
      </c>
      <c r="V7" s="86">
        <v>17898.7</v>
      </c>
      <c r="W7" s="86">
        <v>17983.150000000001</v>
      </c>
      <c r="X7" s="86">
        <v>17983.150000000001</v>
      </c>
      <c r="Y7" s="86">
        <v>18067.45</v>
      </c>
      <c r="Z7" s="86">
        <v>18067.45</v>
      </c>
      <c r="AA7" s="86">
        <v>18151.95</v>
      </c>
      <c r="AB7" s="86">
        <v>18151.95</v>
      </c>
      <c r="AC7" s="86">
        <v>18236.2</v>
      </c>
      <c r="AD7" s="86">
        <v>18236.2</v>
      </c>
      <c r="AE7" s="86">
        <v>18320.8</v>
      </c>
    </row>
    <row r="8" spans="1:31" x14ac:dyDescent="0.2">
      <c r="A8" s="84">
        <v>5</v>
      </c>
      <c r="B8" s="86">
        <v>11057.3</v>
      </c>
      <c r="C8" s="86">
        <v>11562.25</v>
      </c>
      <c r="D8" s="86">
        <v>12067.3</v>
      </c>
      <c r="E8" s="86">
        <v>12572.4</v>
      </c>
      <c r="F8" s="86">
        <v>13059.7</v>
      </c>
      <c r="G8" s="86">
        <v>13547.1</v>
      </c>
      <c r="H8" s="86">
        <v>14034.45</v>
      </c>
      <c r="I8" s="86">
        <v>14521.9</v>
      </c>
      <c r="J8" s="86">
        <v>14735.25</v>
      </c>
      <c r="K8" s="86">
        <v>14948.6</v>
      </c>
      <c r="L8" s="86">
        <v>15162</v>
      </c>
      <c r="M8" s="86">
        <v>15375.4</v>
      </c>
      <c r="N8" s="86">
        <v>15552.55</v>
      </c>
      <c r="O8" s="86">
        <v>15729.7</v>
      </c>
      <c r="P8" s="86">
        <v>15906.65</v>
      </c>
      <c r="Q8" s="86">
        <v>16083.85</v>
      </c>
      <c r="R8" s="86">
        <v>16261</v>
      </c>
      <c r="S8" s="86">
        <v>16438.150000000001</v>
      </c>
      <c r="T8" s="86">
        <v>16615.349999999999</v>
      </c>
      <c r="U8" s="86">
        <v>16792.400000000001</v>
      </c>
      <c r="V8" s="86">
        <v>16792.400000000001</v>
      </c>
      <c r="W8" s="86">
        <v>16873.05</v>
      </c>
      <c r="X8" s="86">
        <v>16873.05</v>
      </c>
      <c r="Y8" s="86">
        <v>16953.849999999999</v>
      </c>
      <c r="Z8" s="86">
        <v>16953.849999999999</v>
      </c>
      <c r="AA8" s="86">
        <v>17034.55</v>
      </c>
      <c r="AB8" s="86">
        <v>17034.55</v>
      </c>
      <c r="AC8" s="86">
        <v>17115.2</v>
      </c>
      <c r="AD8" s="86">
        <v>17115.2</v>
      </c>
      <c r="AE8" s="86">
        <v>17196.05</v>
      </c>
    </row>
    <row r="9" spans="1:31" x14ac:dyDescent="0.2">
      <c r="A9" s="84">
        <v>6</v>
      </c>
      <c r="B9" s="86">
        <v>10295.5</v>
      </c>
      <c r="C9" s="86">
        <v>10764.15</v>
      </c>
      <c r="D9" s="86">
        <v>11233</v>
      </c>
      <c r="E9" s="86">
        <v>11701.6</v>
      </c>
      <c r="F9" s="86">
        <v>12154.05</v>
      </c>
      <c r="G9" s="86">
        <v>12606.4</v>
      </c>
      <c r="H9" s="86">
        <v>13058.7</v>
      </c>
      <c r="I9" s="86">
        <v>13511.05</v>
      </c>
      <c r="J9" s="86">
        <v>13709.05</v>
      </c>
      <c r="K9" s="86">
        <v>13907.1</v>
      </c>
      <c r="L9" s="86">
        <v>14105.15</v>
      </c>
      <c r="M9" s="86">
        <v>14303.15</v>
      </c>
      <c r="N9" s="86">
        <v>14476.35</v>
      </c>
      <c r="O9" s="86">
        <v>14649.3</v>
      </c>
      <c r="P9" s="86">
        <v>14822.4</v>
      </c>
      <c r="Q9" s="86">
        <v>14995.45</v>
      </c>
      <c r="R9" s="86">
        <v>15168.6</v>
      </c>
      <c r="S9" s="86">
        <v>15341.65</v>
      </c>
      <c r="T9" s="86">
        <v>15514.6</v>
      </c>
      <c r="U9" s="86">
        <v>15687.65</v>
      </c>
      <c r="V9" s="86">
        <v>15687.65</v>
      </c>
      <c r="W9" s="86">
        <v>15764.5</v>
      </c>
      <c r="X9" s="86">
        <v>15764.5</v>
      </c>
      <c r="Y9" s="86">
        <v>15841.35</v>
      </c>
      <c r="Z9" s="86">
        <v>15841.35</v>
      </c>
      <c r="AA9" s="86">
        <v>15918.05</v>
      </c>
      <c r="AB9" s="86">
        <v>15918.05</v>
      </c>
      <c r="AC9" s="86">
        <v>15994.8</v>
      </c>
      <c r="AD9" s="86">
        <v>15994.8</v>
      </c>
      <c r="AE9" s="86">
        <v>16071.65</v>
      </c>
    </row>
    <row r="10" spans="1:31" x14ac:dyDescent="0.2">
      <c r="A10" s="84">
        <v>7</v>
      </c>
      <c r="B10" s="86">
        <v>9525.4</v>
      </c>
      <c r="C10" s="86">
        <v>9960.6</v>
      </c>
      <c r="D10" s="86">
        <v>10395.75</v>
      </c>
      <c r="E10" s="86">
        <v>10831</v>
      </c>
      <c r="F10" s="86">
        <v>11248.25</v>
      </c>
      <c r="G10" s="86">
        <v>11665.5</v>
      </c>
      <c r="H10" s="86">
        <v>12082.95</v>
      </c>
      <c r="I10" s="86">
        <v>12500.15</v>
      </c>
      <c r="J10" s="86">
        <v>12682.9</v>
      </c>
      <c r="K10" s="86">
        <v>12865.65</v>
      </c>
      <c r="L10" s="86">
        <v>13048.15</v>
      </c>
      <c r="M10" s="86">
        <v>13230.9</v>
      </c>
      <c r="N10" s="86">
        <v>13399.3</v>
      </c>
      <c r="O10" s="86">
        <v>13567.9</v>
      </c>
      <c r="P10" s="86">
        <v>13736.3</v>
      </c>
      <c r="Q10" s="86">
        <v>13904.8</v>
      </c>
      <c r="R10" s="86">
        <v>14073.45</v>
      </c>
      <c r="S10" s="86">
        <v>14241.85</v>
      </c>
      <c r="T10" s="86">
        <v>14410.3</v>
      </c>
      <c r="U10" s="86">
        <v>14578.95</v>
      </c>
      <c r="V10" s="86">
        <v>14578.95</v>
      </c>
      <c r="W10" s="86">
        <v>14652.3</v>
      </c>
      <c r="X10" s="86">
        <v>14652.3</v>
      </c>
      <c r="Y10" s="86">
        <v>14725.85</v>
      </c>
      <c r="Z10" s="86">
        <v>14725.85</v>
      </c>
      <c r="AA10" s="86">
        <v>14799.5</v>
      </c>
      <c r="AB10" s="86">
        <v>14799.5</v>
      </c>
      <c r="AC10" s="86">
        <v>14872.9</v>
      </c>
      <c r="AD10" s="86">
        <v>14872.9</v>
      </c>
      <c r="AE10" s="86">
        <v>14946.4</v>
      </c>
    </row>
    <row r="11" spans="1:31" x14ac:dyDescent="0.2">
      <c r="A11" s="84">
        <v>8</v>
      </c>
      <c r="B11" s="86">
        <v>8823.4500000000007</v>
      </c>
      <c r="C11" s="86">
        <v>9230.85</v>
      </c>
      <c r="D11" s="86">
        <v>9638.25</v>
      </c>
      <c r="E11" s="86">
        <v>10045.6</v>
      </c>
      <c r="F11" s="86">
        <v>10431.15</v>
      </c>
      <c r="G11" s="86">
        <v>10816.55</v>
      </c>
      <c r="H11" s="86">
        <v>11202.3</v>
      </c>
      <c r="I11" s="86">
        <v>11587.8</v>
      </c>
      <c r="J11" s="86">
        <v>11756.3</v>
      </c>
      <c r="K11" s="86">
        <v>11925</v>
      </c>
      <c r="L11" s="86">
        <v>12093.7</v>
      </c>
      <c r="M11" s="86">
        <v>12262.4</v>
      </c>
      <c r="N11" s="86">
        <v>12415.85</v>
      </c>
      <c r="O11" s="86">
        <v>12569.35</v>
      </c>
      <c r="P11" s="86">
        <v>12722.8</v>
      </c>
      <c r="Q11" s="86">
        <v>12876.3</v>
      </c>
      <c r="R11" s="86">
        <v>13029.75</v>
      </c>
      <c r="S11" s="86">
        <v>13183.25</v>
      </c>
      <c r="T11" s="86">
        <v>13336.65</v>
      </c>
      <c r="U11" s="86">
        <v>13490.05</v>
      </c>
      <c r="V11" s="86">
        <v>13490.05</v>
      </c>
      <c r="W11" s="86">
        <v>13557.3</v>
      </c>
      <c r="X11" s="86">
        <v>13557.3</v>
      </c>
      <c r="Y11" s="86">
        <v>13624.2</v>
      </c>
      <c r="Z11" s="86">
        <v>13624.2</v>
      </c>
      <c r="AA11" s="86">
        <v>13691.35</v>
      </c>
      <c r="AB11" s="86">
        <v>13691.35</v>
      </c>
      <c r="AC11" s="86">
        <v>13758.35</v>
      </c>
      <c r="AD11" s="86">
        <v>13758.35</v>
      </c>
      <c r="AE11" s="86">
        <v>13825.5</v>
      </c>
    </row>
    <row r="12" spans="1:31" x14ac:dyDescent="0.2">
      <c r="A12" s="84">
        <v>9</v>
      </c>
      <c r="B12" s="86">
        <v>8197.5</v>
      </c>
      <c r="C12" s="86">
        <v>8576.0499999999993</v>
      </c>
      <c r="D12" s="86">
        <v>8954.6</v>
      </c>
      <c r="E12" s="86">
        <v>9333.35</v>
      </c>
      <c r="F12" s="86">
        <v>9692.5499999999993</v>
      </c>
      <c r="G12" s="86">
        <v>10051.85</v>
      </c>
      <c r="H12" s="86">
        <v>10411.299999999999</v>
      </c>
      <c r="I12" s="86">
        <v>10770.5</v>
      </c>
      <c r="J12" s="86">
        <v>10927.8</v>
      </c>
      <c r="K12" s="86">
        <v>11084.95</v>
      </c>
      <c r="L12" s="86">
        <v>11242.2</v>
      </c>
      <c r="M12" s="86">
        <v>11399.45</v>
      </c>
      <c r="N12" s="86">
        <v>11537.95</v>
      </c>
      <c r="O12" s="86">
        <v>11676.35</v>
      </c>
      <c r="P12" s="86">
        <v>11814.8</v>
      </c>
      <c r="Q12" s="86">
        <v>11953.3</v>
      </c>
      <c r="R12" s="86">
        <v>12091.7</v>
      </c>
      <c r="S12" s="86">
        <v>12230.15</v>
      </c>
      <c r="T12" s="86">
        <v>12368.45</v>
      </c>
      <c r="U12" s="86">
        <v>12507</v>
      </c>
      <c r="V12" s="86">
        <v>12507</v>
      </c>
      <c r="W12" s="86">
        <v>12568.35</v>
      </c>
      <c r="X12" s="86">
        <v>12568.35</v>
      </c>
      <c r="Y12" s="86">
        <v>12629.65</v>
      </c>
      <c r="Z12" s="86">
        <v>12629.65</v>
      </c>
      <c r="AA12" s="86">
        <v>12690.95</v>
      </c>
      <c r="AB12" s="86">
        <v>12690.95</v>
      </c>
      <c r="AC12" s="86">
        <v>12752.35</v>
      </c>
      <c r="AD12" s="86">
        <v>12752.35</v>
      </c>
      <c r="AE12" s="86">
        <v>12813.75</v>
      </c>
    </row>
    <row r="13" spans="1:31" x14ac:dyDescent="0.2">
      <c r="A13" s="84">
        <v>10</v>
      </c>
      <c r="B13" s="86">
        <v>7649.9</v>
      </c>
      <c r="C13" s="86">
        <v>8002.6</v>
      </c>
      <c r="D13" s="86">
        <v>8355.25</v>
      </c>
      <c r="E13" s="86">
        <v>8707.9</v>
      </c>
      <c r="F13" s="86">
        <v>9045</v>
      </c>
      <c r="G13" s="86">
        <v>9382.1</v>
      </c>
      <c r="H13" s="86">
        <v>9719.1</v>
      </c>
      <c r="I13" s="86">
        <v>10056.25</v>
      </c>
      <c r="J13" s="86">
        <v>10203.85</v>
      </c>
      <c r="K13" s="86">
        <v>10351.4</v>
      </c>
      <c r="L13" s="86">
        <v>10498.85</v>
      </c>
      <c r="M13" s="86">
        <v>10646.5</v>
      </c>
      <c r="N13" s="86">
        <v>10770.4</v>
      </c>
      <c r="O13" s="86">
        <v>10894.5</v>
      </c>
      <c r="P13" s="86">
        <v>11018.45</v>
      </c>
      <c r="Q13" s="86">
        <v>11142.55</v>
      </c>
      <c r="R13" s="86">
        <v>11266.6</v>
      </c>
      <c r="S13" s="86">
        <v>11390.55</v>
      </c>
      <c r="T13" s="86">
        <v>11514.6</v>
      </c>
      <c r="U13" s="86">
        <v>11638.55</v>
      </c>
      <c r="V13" s="86">
        <v>11638.55</v>
      </c>
      <c r="W13" s="86">
        <v>11693.6</v>
      </c>
      <c r="X13" s="86">
        <v>11693.6</v>
      </c>
      <c r="Y13" s="86">
        <v>11748.45</v>
      </c>
      <c r="Z13" s="86">
        <v>11748.45</v>
      </c>
      <c r="AA13" s="86">
        <v>11803.55</v>
      </c>
      <c r="AB13" s="86">
        <v>11803.55</v>
      </c>
      <c r="AC13" s="86">
        <v>11858.55</v>
      </c>
      <c r="AD13" s="86">
        <v>11858.55</v>
      </c>
      <c r="AE13" s="86">
        <v>11913.3</v>
      </c>
    </row>
    <row r="14" spans="1:31" x14ac:dyDescent="0.2">
      <c r="A14" s="84">
        <v>11</v>
      </c>
      <c r="B14" s="86">
        <v>7142.05</v>
      </c>
      <c r="C14" s="86">
        <v>7470.7</v>
      </c>
      <c r="D14" s="86">
        <v>7799.15</v>
      </c>
      <c r="E14" s="86">
        <v>8127.8</v>
      </c>
      <c r="F14" s="86">
        <v>8444.15</v>
      </c>
      <c r="G14" s="86">
        <v>8760.35</v>
      </c>
      <c r="H14" s="86">
        <v>9076.6</v>
      </c>
      <c r="I14" s="86">
        <v>9392.9</v>
      </c>
      <c r="J14" s="86">
        <v>9531.35</v>
      </c>
      <c r="K14" s="86">
        <v>9669.9</v>
      </c>
      <c r="L14" s="86">
        <v>9808.4</v>
      </c>
      <c r="M14" s="86">
        <v>9946.7000000000007</v>
      </c>
      <c r="N14" s="86">
        <v>10062.700000000001</v>
      </c>
      <c r="O14" s="86">
        <v>10178.450000000001</v>
      </c>
      <c r="P14" s="86">
        <v>10294.4</v>
      </c>
      <c r="Q14" s="86">
        <v>10410.15</v>
      </c>
      <c r="R14" s="86">
        <v>10525.9</v>
      </c>
      <c r="S14" s="86">
        <v>10641.8</v>
      </c>
      <c r="T14" s="86">
        <v>10757.6</v>
      </c>
      <c r="U14" s="86">
        <v>10873.45</v>
      </c>
      <c r="V14" s="86">
        <v>10873.45</v>
      </c>
      <c r="W14" s="86">
        <v>10923.75</v>
      </c>
      <c r="X14" s="86">
        <v>10923.75</v>
      </c>
      <c r="Y14" s="86">
        <v>10974.2</v>
      </c>
      <c r="Z14" s="86">
        <v>10974.2</v>
      </c>
      <c r="AA14" s="86">
        <v>11024.6</v>
      </c>
      <c r="AB14" s="86">
        <v>11024.6</v>
      </c>
      <c r="AC14" s="86">
        <v>11074.7</v>
      </c>
      <c r="AD14" s="86">
        <v>11074.7</v>
      </c>
      <c r="AE14" s="86">
        <v>11125.1</v>
      </c>
    </row>
    <row r="15" spans="1:31" x14ac:dyDescent="0.2">
      <c r="A15" s="84">
        <v>12</v>
      </c>
      <c r="B15" s="86">
        <v>6673.9</v>
      </c>
      <c r="C15" s="86">
        <v>6980.2</v>
      </c>
      <c r="D15" s="86">
        <v>7286.4</v>
      </c>
      <c r="E15" s="86">
        <v>7592.45</v>
      </c>
      <c r="F15" s="86">
        <v>7887.85</v>
      </c>
      <c r="G15" s="86">
        <v>8183.45</v>
      </c>
      <c r="H15" s="86">
        <v>8478.7999999999993</v>
      </c>
      <c r="I15" s="86">
        <v>8774.25</v>
      </c>
      <c r="J15" s="86">
        <v>8903.5499999999993</v>
      </c>
      <c r="K15" s="86">
        <v>9032.7999999999993</v>
      </c>
      <c r="L15" s="86">
        <v>9162.15</v>
      </c>
      <c r="M15" s="86">
        <v>9291.5</v>
      </c>
      <c r="N15" s="86">
        <v>9400.4500000000007</v>
      </c>
      <c r="O15" s="86">
        <v>9509.4</v>
      </c>
      <c r="P15" s="86">
        <v>9618.2000000000007</v>
      </c>
      <c r="Q15" s="86">
        <v>9727.25</v>
      </c>
      <c r="R15" s="86">
        <v>9836.25</v>
      </c>
      <c r="S15" s="86">
        <v>9945.0499999999993</v>
      </c>
      <c r="T15" s="86">
        <v>10054.049999999999</v>
      </c>
      <c r="U15" s="86">
        <v>10163</v>
      </c>
      <c r="V15" s="86">
        <v>10163</v>
      </c>
      <c r="W15" s="86">
        <v>10209.25</v>
      </c>
      <c r="X15" s="86">
        <v>10209.25</v>
      </c>
      <c r="Y15" s="86">
        <v>10255.4</v>
      </c>
      <c r="Z15" s="86">
        <v>10255.4</v>
      </c>
      <c r="AA15" s="86">
        <v>10301.65</v>
      </c>
      <c r="AB15" s="86">
        <v>10301.65</v>
      </c>
      <c r="AC15" s="86">
        <v>10347.9</v>
      </c>
      <c r="AD15" s="86">
        <v>10347.9</v>
      </c>
      <c r="AE15" s="86">
        <v>10394.200000000001</v>
      </c>
    </row>
    <row r="16" spans="1:31" x14ac:dyDescent="0.2">
      <c r="A16" s="84">
        <v>13</v>
      </c>
      <c r="B16" s="86">
        <v>6242.4</v>
      </c>
      <c r="C16" s="86">
        <v>6528.1</v>
      </c>
      <c r="D16" s="86">
        <v>6813.85</v>
      </c>
      <c r="E16" s="86">
        <v>7099.5</v>
      </c>
      <c r="F16" s="86">
        <v>7375.25</v>
      </c>
      <c r="G16" s="86">
        <v>7650.85</v>
      </c>
      <c r="H16" s="86">
        <v>7926.5</v>
      </c>
      <c r="I16" s="86">
        <v>8202.2999999999993</v>
      </c>
      <c r="J16" s="86">
        <v>8323.0499999999993</v>
      </c>
      <c r="K16" s="86">
        <v>8443.7999999999993</v>
      </c>
      <c r="L16" s="86">
        <v>8564.35</v>
      </c>
      <c r="M16" s="86">
        <v>8685.15</v>
      </c>
      <c r="N16" s="86">
        <v>8786.1</v>
      </c>
      <c r="O16" s="86">
        <v>8887.1</v>
      </c>
      <c r="P16" s="86">
        <v>8988.15</v>
      </c>
      <c r="Q16" s="86">
        <v>9089.15</v>
      </c>
      <c r="R16" s="86">
        <v>9190.25</v>
      </c>
      <c r="S16" s="86">
        <v>9291.15</v>
      </c>
      <c r="T16" s="86">
        <v>9392.25</v>
      </c>
      <c r="U16" s="86">
        <v>9493.0499999999993</v>
      </c>
      <c r="V16" s="86">
        <v>9493.0499999999993</v>
      </c>
      <c r="W16" s="86">
        <v>9537.5499999999993</v>
      </c>
      <c r="X16" s="86">
        <v>9537.5499999999993</v>
      </c>
      <c r="Y16" s="86">
        <v>9582</v>
      </c>
      <c r="Z16" s="86">
        <v>9582</v>
      </c>
      <c r="AA16" s="86">
        <v>9626.35</v>
      </c>
      <c r="AB16" s="86">
        <v>9626.35</v>
      </c>
      <c r="AC16" s="86">
        <v>9670.9</v>
      </c>
      <c r="AD16" s="86">
        <v>9670.9</v>
      </c>
      <c r="AE16" s="86">
        <v>9715.2999999999993</v>
      </c>
    </row>
    <row r="17" spans="1:31" x14ac:dyDescent="0.2">
      <c r="A17" s="84">
        <v>14</v>
      </c>
      <c r="B17" s="86">
        <v>5853.5</v>
      </c>
      <c r="C17" s="86">
        <v>6120.6</v>
      </c>
      <c r="D17" s="86">
        <v>6387.45</v>
      </c>
      <c r="E17" s="86">
        <v>6654.55</v>
      </c>
      <c r="F17" s="86">
        <v>6912.35</v>
      </c>
      <c r="G17" s="86">
        <v>7170</v>
      </c>
      <c r="H17" s="86">
        <v>7427.8</v>
      </c>
      <c r="I17" s="86">
        <v>7685.4</v>
      </c>
      <c r="J17" s="86">
        <v>7798.2</v>
      </c>
      <c r="K17" s="86">
        <v>7910.9</v>
      </c>
      <c r="L17" s="86">
        <v>8023.9</v>
      </c>
      <c r="M17" s="86">
        <v>8136.85</v>
      </c>
      <c r="N17" s="86">
        <v>8228.75</v>
      </c>
      <c r="O17" s="86">
        <v>8320.85</v>
      </c>
      <c r="P17" s="86">
        <v>8412.85</v>
      </c>
      <c r="Q17" s="86">
        <v>8504.85</v>
      </c>
      <c r="R17" s="86">
        <v>8597.0499999999993</v>
      </c>
      <c r="S17" s="86">
        <v>8689</v>
      </c>
      <c r="T17" s="86">
        <v>8781.0499999999993</v>
      </c>
      <c r="U17" s="86">
        <v>8872.9500000000007</v>
      </c>
      <c r="V17" s="86">
        <v>8872.9500000000007</v>
      </c>
      <c r="W17" s="86">
        <v>8914.6</v>
      </c>
      <c r="X17" s="86">
        <v>8914.6</v>
      </c>
      <c r="Y17" s="86">
        <v>8956.1</v>
      </c>
      <c r="Z17" s="86">
        <v>8956.1</v>
      </c>
      <c r="AA17" s="86">
        <v>8997.75</v>
      </c>
      <c r="AB17" s="86">
        <v>8997.75</v>
      </c>
      <c r="AC17" s="86">
        <v>9039.35</v>
      </c>
      <c r="AD17" s="86">
        <v>9039.35</v>
      </c>
      <c r="AE17" s="86">
        <v>9080.9500000000007</v>
      </c>
    </row>
    <row r="18" spans="1:31" x14ac:dyDescent="0.2">
      <c r="A18" s="84">
        <v>15</v>
      </c>
      <c r="B18" s="86">
        <v>5501</v>
      </c>
      <c r="C18" s="86">
        <v>5751.25</v>
      </c>
      <c r="D18" s="86">
        <v>6001.35</v>
      </c>
      <c r="E18" s="86">
        <v>6251.65</v>
      </c>
      <c r="F18" s="86">
        <v>6493.1</v>
      </c>
      <c r="G18" s="86">
        <v>6734.65</v>
      </c>
      <c r="H18" s="86">
        <v>6976.15</v>
      </c>
      <c r="I18" s="86">
        <v>7217.7</v>
      </c>
      <c r="J18" s="86">
        <v>7323.4</v>
      </c>
      <c r="K18" s="86">
        <v>7429.1</v>
      </c>
      <c r="L18" s="86">
        <v>7534.85</v>
      </c>
      <c r="M18" s="86">
        <v>7640.55</v>
      </c>
      <c r="N18" s="86">
        <v>7724.4</v>
      </c>
      <c r="O18" s="86">
        <v>7808.4</v>
      </c>
      <c r="P18" s="86">
        <v>7892.3</v>
      </c>
      <c r="Q18" s="86">
        <v>7976.2</v>
      </c>
      <c r="R18" s="86">
        <v>8060.05</v>
      </c>
      <c r="S18" s="86">
        <v>8143.95</v>
      </c>
      <c r="T18" s="86">
        <v>8227.9</v>
      </c>
      <c r="U18" s="86">
        <v>8311.9</v>
      </c>
      <c r="V18" s="86">
        <v>8311.9</v>
      </c>
      <c r="W18" s="86">
        <v>8350.9</v>
      </c>
      <c r="X18" s="86">
        <v>8350.9</v>
      </c>
      <c r="Y18" s="86">
        <v>8390</v>
      </c>
      <c r="Z18" s="86">
        <v>8390</v>
      </c>
      <c r="AA18" s="86">
        <v>8428.85</v>
      </c>
      <c r="AB18" s="86">
        <v>8428.85</v>
      </c>
      <c r="AC18" s="86">
        <v>8467.85</v>
      </c>
      <c r="AD18" s="86">
        <v>8467.85</v>
      </c>
      <c r="AE18" s="86">
        <v>8506.9500000000007</v>
      </c>
    </row>
    <row r="19" spans="1:31" x14ac:dyDescent="0.2">
      <c r="A19" s="84">
        <v>16</v>
      </c>
      <c r="B19" s="86">
        <v>5187.8999999999996</v>
      </c>
      <c r="C19" s="86">
        <v>5423.1</v>
      </c>
      <c r="D19" s="86">
        <v>5658.6</v>
      </c>
      <c r="E19" s="86">
        <v>5893.9</v>
      </c>
      <c r="F19" s="86">
        <v>6121.1</v>
      </c>
      <c r="G19" s="86">
        <v>6348.25</v>
      </c>
      <c r="H19" s="86">
        <v>6575.45</v>
      </c>
      <c r="I19" s="86">
        <v>6802.6</v>
      </c>
      <c r="J19" s="86">
        <v>6902.05</v>
      </c>
      <c r="K19" s="86">
        <v>7001.6</v>
      </c>
      <c r="L19" s="86">
        <v>7100.9</v>
      </c>
      <c r="M19" s="86">
        <v>7200.4</v>
      </c>
      <c r="N19" s="86">
        <v>7275.85</v>
      </c>
      <c r="O19" s="86">
        <v>7351.3</v>
      </c>
      <c r="P19" s="86">
        <v>7426.85</v>
      </c>
      <c r="Q19" s="86">
        <v>7502.3</v>
      </c>
      <c r="R19" s="86">
        <v>7577.75</v>
      </c>
      <c r="S19" s="86">
        <v>7653.35</v>
      </c>
      <c r="T19" s="86">
        <v>7728.8</v>
      </c>
      <c r="U19" s="86">
        <v>7804.2</v>
      </c>
      <c r="V19" s="86">
        <v>7804.2</v>
      </c>
      <c r="W19" s="86">
        <v>7841.1</v>
      </c>
      <c r="X19" s="86">
        <v>7841.1</v>
      </c>
      <c r="Y19" s="86">
        <v>7877.9</v>
      </c>
      <c r="Z19" s="86">
        <v>7877.9</v>
      </c>
      <c r="AA19" s="86">
        <v>7914.6</v>
      </c>
      <c r="AB19" s="86">
        <v>7914.6</v>
      </c>
      <c r="AC19" s="86">
        <v>7951.45</v>
      </c>
      <c r="AD19" s="86">
        <v>7951.45</v>
      </c>
      <c r="AE19" s="86">
        <v>7988.2</v>
      </c>
    </row>
    <row r="20" spans="1:31" x14ac:dyDescent="0.2">
      <c r="A20" s="84">
        <v>17</v>
      </c>
      <c r="B20" s="86">
        <v>4913.3999999999996</v>
      </c>
      <c r="C20" s="86">
        <v>5136.1000000000004</v>
      </c>
      <c r="D20" s="86">
        <v>5358.8</v>
      </c>
      <c r="E20" s="86">
        <v>5581.25</v>
      </c>
      <c r="F20" s="86">
        <v>5795.9</v>
      </c>
      <c r="G20" s="86">
        <v>6010.4</v>
      </c>
      <c r="H20" s="86">
        <v>6224.95</v>
      </c>
      <c r="I20" s="86">
        <v>6439.7</v>
      </c>
      <c r="J20" s="86">
        <v>6533.6</v>
      </c>
      <c r="K20" s="86">
        <v>6627.5</v>
      </c>
      <c r="L20" s="86">
        <v>6721.5</v>
      </c>
      <c r="M20" s="86">
        <v>6815.35</v>
      </c>
      <c r="N20" s="86">
        <v>6882.85</v>
      </c>
      <c r="O20" s="86">
        <v>6950.15</v>
      </c>
      <c r="P20" s="86">
        <v>7017.45</v>
      </c>
      <c r="Q20" s="86">
        <v>7084.65</v>
      </c>
      <c r="R20" s="86">
        <v>7152.25</v>
      </c>
      <c r="S20" s="86">
        <v>7219.45</v>
      </c>
      <c r="T20" s="86">
        <v>7286.85</v>
      </c>
      <c r="U20" s="86">
        <v>7354.25</v>
      </c>
      <c r="V20" s="86">
        <v>7354.25</v>
      </c>
      <c r="W20" s="86">
        <v>7389</v>
      </c>
      <c r="X20" s="86">
        <v>7389</v>
      </c>
      <c r="Y20" s="86">
        <v>7424</v>
      </c>
      <c r="Z20" s="86">
        <v>7424</v>
      </c>
      <c r="AA20" s="86">
        <v>7458.85</v>
      </c>
      <c r="AB20" s="86">
        <v>7458.85</v>
      </c>
      <c r="AC20" s="86">
        <v>7493.75</v>
      </c>
      <c r="AD20" s="86">
        <v>7493.75</v>
      </c>
      <c r="AE20" s="86">
        <v>7528.75</v>
      </c>
    </row>
    <row r="21" spans="1:31" x14ac:dyDescent="0.2">
      <c r="A21" s="84">
        <v>18</v>
      </c>
      <c r="B21" s="86">
        <v>4675.1499999999996</v>
      </c>
      <c r="C21" s="86">
        <v>4888.1000000000004</v>
      </c>
      <c r="D21" s="86">
        <v>5101</v>
      </c>
      <c r="E21" s="86">
        <v>5313.8</v>
      </c>
      <c r="F21" s="86">
        <v>5517.5</v>
      </c>
      <c r="G21" s="86">
        <v>5721.25</v>
      </c>
      <c r="H21" s="86">
        <v>5924.95</v>
      </c>
      <c r="I21" s="86">
        <v>6128.7</v>
      </c>
      <c r="J21" s="86">
        <v>6217.9</v>
      </c>
      <c r="K21" s="86">
        <v>6307.2</v>
      </c>
      <c r="L21" s="86">
        <v>6396.25</v>
      </c>
      <c r="M21" s="86">
        <v>6485.4</v>
      </c>
      <c r="N21" s="86">
        <v>6544.75</v>
      </c>
      <c r="O21" s="86">
        <v>6604.15</v>
      </c>
      <c r="P21" s="86">
        <v>6663.55</v>
      </c>
      <c r="Q21" s="86">
        <v>6722.75</v>
      </c>
      <c r="R21" s="86">
        <v>6782.1</v>
      </c>
      <c r="S21" s="86">
        <v>6841.35</v>
      </c>
      <c r="T21" s="86">
        <v>6900.7</v>
      </c>
      <c r="U21" s="86">
        <v>6960.2</v>
      </c>
      <c r="V21" s="86">
        <v>6960.2</v>
      </c>
      <c r="W21" s="86">
        <v>6993.35</v>
      </c>
      <c r="X21" s="86">
        <v>6993.35</v>
      </c>
      <c r="Y21" s="86">
        <v>7026.65</v>
      </c>
      <c r="Z21" s="86">
        <v>7026.65</v>
      </c>
      <c r="AA21" s="86">
        <v>7059.85</v>
      </c>
      <c r="AB21" s="86">
        <v>7059.85</v>
      </c>
      <c r="AC21" s="86">
        <v>7093.1</v>
      </c>
      <c r="AD21" s="86">
        <v>7093.1</v>
      </c>
      <c r="AE21" s="86">
        <v>7126.35</v>
      </c>
    </row>
    <row r="22" spans="1:31" x14ac:dyDescent="0.2">
      <c r="A22" s="84">
        <v>19</v>
      </c>
      <c r="B22" s="86">
        <v>4464.8500000000004</v>
      </c>
      <c r="C22" s="86">
        <v>4669.7</v>
      </c>
      <c r="D22" s="86">
        <v>4874.3500000000004</v>
      </c>
      <c r="E22" s="86">
        <v>5079.25</v>
      </c>
      <c r="F22" s="86">
        <v>5273.65</v>
      </c>
      <c r="G22" s="86">
        <v>5468</v>
      </c>
      <c r="H22" s="86">
        <v>5662.35</v>
      </c>
      <c r="I22" s="86">
        <v>5856.7</v>
      </c>
      <c r="J22" s="86">
        <v>5941.8</v>
      </c>
      <c r="K22" s="86">
        <v>6026.95</v>
      </c>
      <c r="L22" s="86">
        <v>6111.95</v>
      </c>
      <c r="M22" s="86">
        <v>6196.9</v>
      </c>
      <c r="N22" s="86">
        <v>6250.3</v>
      </c>
      <c r="O22" s="86">
        <v>6303.55</v>
      </c>
      <c r="P22" s="86">
        <v>6356.8</v>
      </c>
      <c r="Q22" s="86">
        <v>6410.05</v>
      </c>
      <c r="R22" s="86">
        <v>6463.45</v>
      </c>
      <c r="S22" s="86">
        <v>6516.65</v>
      </c>
      <c r="T22" s="86">
        <v>6569.95</v>
      </c>
      <c r="U22" s="86">
        <v>6623.3</v>
      </c>
      <c r="V22" s="86">
        <v>6623.3</v>
      </c>
      <c r="W22" s="86">
        <v>6655.15</v>
      </c>
      <c r="X22" s="86">
        <v>6655.15</v>
      </c>
      <c r="Y22" s="86">
        <v>6687.1</v>
      </c>
      <c r="Z22" s="86">
        <v>6687.1</v>
      </c>
      <c r="AA22" s="86">
        <v>6718.9</v>
      </c>
      <c r="AB22" s="86">
        <v>6718.9</v>
      </c>
      <c r="AC22" s="86">
        <v>6750.65</v>
      </c>
      <c r="AD22" s="86">
        <v>6750.65</v>
      </c>
      <c r="AE22" s="86">
        <v>6782.55</v>
      </c>
    </row>
    <row r="23" spans="1:31" x14ac:dyDescent="0.2">
      <c r="A23" s="84">
        <v>20</v>
      </c>
      <c r="B23" s="86">
        <v>4258.3999999999996</v>
      </c>
      <c r="C23" s="86">
        <v>4454.3</v>
      </c>
      <c r="D23" s="86">
        <v>4650.2</v>
      </c>
      <c r="E23" s="86">
        <v>4846.1000000000004</v>
      </c>
      <c r="F23" s="86">
        <v>5031.3999999999996</v>
      </c>
      <c r="G23" s="86">
        <v>5216.7</v>
      </c>
      <c r="H23" s="86">
        <v>5401.85</v>
      </c>
      <c r="I23" s="86">
        <v>5587.2</v>
      </c>
      <c r="J23" s="86">
        <v>5668.2</v>
      </c>
      <c r="K23" s="86">
        <v>5749.35</v>
      </c>
      <c r="L23" s="86">
        <v>5830.45</v>
      </c>
      <c r="M23" s="86">
        <v>5911.35</v>
      </c>
      <c r="N23" s="86">
        <v>5963.55</v>
      </c>
      <c r="O23" s="86">
        <v>6015.65</v>
      </c>
      <c r="P23" s="86">
        <v>6067.8</v>
      </c>
      <c r="Q23" s="86">
        <v>6120</v>
      </c>
      <c r="R23" s="86">
        <v>6172.05</v>
      </c>
      <c r="S23" s="86">
        <v>6224.1</v>
      </c>
      <c r="T23" s="86">
        <v>6276.4</v>
      </c>
      <c r="U23" s="86">
        <v>6328.45</v>
      </c>
      <c r="V23" s="86">
        <v>6328.45</v>
      </c>
      <c r="W23" s="86">
        <v>6358.6</v>
      </c>
      <c r="X23" s="86">
        <v>6358.6</v>
      </c>
      <c r="Y23" s="86">
        <v>6388.9</v>
      </c>
      <c r="Z23" s="86">
        <v>6388.9</v>
      </c>
      <c r="AA23" s="86">
        <v>6419.15</v>
      </c>
      <c r="AB23" s="86">
        <v>6419.15</v>
      </c>
      <c r="AC23" s="86">
        <v>6449.4</v>
      </c>
      <c r="AD23" s="86">
        <v>6449.4</v>
      </c>
      <c r="AE23" s="86">
        <v>6479.55</v>
      </c>
    </row>
    <row r="24" spans="1:31" x14ac:dyDescent="0.2">
      <c r="A24" s="84">
        <v>21</v>
      </c>
      <c r="B24" s="86">
        <v>4077.4</v>
      </c>
      <c r="C24" s="86">
        <v>4266.2</v>
      </c>
      <c r="D24" s="86">
        <v>4455.05</v>
      </c>
      <c r="E24" s="86">
        <v>4643.8999999999996</v>
      </c>
      <c r="F24" s="86">
        <v>4823.1000000000004</v>
      </c>
      <c r="G24" s="86">
        <v>5002.55</v>
      </c>
      <c r="H24" s="86">
        <v>5181.7</v>
      </c>
      <c r="I24" s="86">
        <v>5361</v>
      </c>
      <c r="J24" s="86">
        <v>5439.4</v>
      </c>
      <c r="K24" s="86">
        <v>5517.85</v>
      </c>
      <c r="L24" s="86">
        <v>5596.35</v>
      </c>
      <c r="M24" s="86">
        <v>5674.8</v>
      </c>
      <c r="N24" s="86">
        <v>5721.25</v>
      </c>
      <c r="O24" s="86">
        <v>5767.7</v>
      </c>
      <c r="P24" s="86">
        <v>5814.35</v>
      </c>
      <c r="Q24" s="86">
        <v>5860.75</v>
      </c>
      <c r="R24" s="86">
        <v>5907.15</v>
      </c>
      <c r="S24" s="86">
        <v>5953.7</v>
      </c>
      <c r="T24" s="86">
        <v>6000.15</v>
      </c>
      <c r="U24" s="86">
        <v>6046.6</v>
      </c>
      <c r="V24" s="86">
        <v>6046.6</v>
      </c>
      <c r="W24" s="86">
        <v>6074</v>
      </c>
      <c r="X24" s="86">
        <v>6074</v>
      </c>
      <c r="Y24" s="86">
        <v>6101.35</v>
      </c>
      <c r="Z24" s="86">
        <v>6101.35</v>
      </c>
      <c r="AA24" s="86">
        <v>6128.65</v>
      </c>
      <c r="AB24" s="86">
        <v>6128.65</v>
      </c>
      <c r="AC24" s="86">
        <v>6156.05</v>
      </c>
      <c r="AD24" s="86">
        <v>6156.05</v>
      </c>
      <c r="AE24" s="86">
        <v>6183.35</v>
      </c>
    </row>
    <row r="25" spans="1:31" x14ac:dyDescent="0.2">
      <c r="A25" s="84">
        <v>22</v>
      </c>
      <c r="B25" s="86">
        <v>3911.15</v>
      </c>
      <c r="C25" s="86">
        <v>4093.35</v>
      </c>
      <c r="D25" s="86">
        <v>4275.8</v>
      </c>
      <c r="E25" s="86">
        <v>4458.2</v>
      </c>
      <c r="F25" s="86">
        <v>4632</v>
      </c>
      <c r="G25" s="86">
        <v>4805.75</v>
      </c>
      <c r="H25" s="86">
        <v>4979.6000000000004</v>
      </c>
      <c r="I25" s="86">
        <v>5153.3500000000004</v>
      </c>
      <c r="J25" s="86">
        <v>5229.45</v>
      </c>
      <c r="K25" s="86">
        <v>5305.4</v>
      </c>
      <c r="L25" s="86">
        <v>5381.45</v>
      </c>
      <c r="M25" s="86">
        <v>5457.65</v>
      </c>
      <c r="N25" s="86">
        <v>5502.3</v>
      </c>
      <c r="O25" s="86">
        <v>5546.8</v>
      </c>
      <c r="P25" s="86">
        <v>5591.4</v>
      </c>
      <c r="Q25" s="86">
        <v>5636.05</v>
      </c>
      <c r="R25" s="86">
        <v>5680.55</v>
      </c>
      <c r="S25" s="86">
        <v>5725.25</v>
      </c>
      <c r="T25" s="86">
        <v>5769.9</v>
      </c>
      <c r="U25" s="86">
        <v>5814.65</v>
      </c>
      <c r="V25" s="86">
        <v>5814.65</v>
      </c>
      <c r="W25" s="86">
        <v>5839</v>
      </c>
      <c r="X25" s="86">
        <v>5839</v>
      </c>
      <c r="Y25" s="86">
        <v>5863.7</v>
      </c>
      <c r="Z25" s="86">
        <v>5863.7</v>
      </c>
      <c r="AA25" s="86">
        <v>5888.3</v>
      </c>
      <c r="AB25" s="86">
        <v>5888.3</v>
      </c>
      <c r="AC25" s="86">
        <v>5912.7</v>
      </c>
      <c r="AD25" s="86">
        <v>5912.7</v>
      </c>
      <c r="AE25" s="86">
        <v>5937.45</v>
      </c>
    </row>
    <row r="26" spans="1:31" x14ac:dyDescent="0.2">
      <c r="A26" s="84">
        <v>23</v>
      </c>
      <c r="B26" s="86">
        <v>3759.55</v>
      </c>
      <c r="C26" s="86">
        <v>3936.05</v>
      </c>
      <c r="D26" s="86">
        <v>4112.3999999999996</v>
      </c>
      <c r="E26" s="86">
        <v>4288.8500000000004</v>
      </c>
      <c r="F26" s="86">
        <v>4457.75</v>
      </c>
      <c r="G26" s="86">
        <v>4626.6499999999996</v>
      </c>
      <c r="H26" s="86">
        <v>4795.5</v>
      </c>
      <c r="I26" s="86">
        <v>4964.3</v>
      </c>
      <c r="J26" s="86">
        <v>5038.1499999999996</v>
      </c>
      <c r="K26" s="86">
        <v>5112.05</v>
      </c>
      <c r="L26" s="86">
        <v>5185.95</v>
      </c>
      <c r="M26" s="86">
        <v>5259.85</v>
      </c>
      <c r="N26" s="86">
        <v>5302.55</v>
      </c>
      <c r="O26" s="86">
        <v>5345.05</v>
      </c>
      <c r="P26" s="86">
        <v>5387.85</v>
      </c>
      <c r="Q26" s="86">
        <v>5430.5</v>
      </c>
      <c r="R26" s="86">
        <v>5473.25</v>
      </c>
      <c r="S26" s="86">
        <v>5515.85</v>
      </c>
      <c r="T26" s="86">
        <v>5558.55</v>
      </c>
      <c r="U26" s="86">
        <v>5592.75</v>
      </c>
      <c r="V26" s="86">
        <v>5592.75</v>
      </c>
      <c r="W26" s="86">
        <v>5616.45</v>
      </c>
      <c r="X26" s="86">
        <v>5616.45</v>
      </c>
      <c r="Y26" s="86">
        <v>5640.3</v>
      </c>
      <c r="Z26" s="86">
        <v>5640.3</v>
      </c>
      <c r="AA26" s="86">
        <v>5664</v>
      </c>
      <c r="AB26" s="86">
        <v>5664</v>
      </c>
      <c r="AC26" s="86">
        <v>5687.65</v>
      </c>
      <c r="AD26" s="86">
        <v>5687.65</v>
      </c>
      <c r="AE26" s="86">
        <v>5711.5</v>
      </c>
    </row>
    <row r="27" spans="1:31" x14ac:dyDescent="0.2">
      <c r="A27" s="84">
        <v>24</v>
      </c>
      <c r="B27" s="86">
        <v>3622</v>
      </c>
      <c r="C27" s="86">
        <v>3793.15</v>
      </c>
      <c r="D27" s="86">
        <v>3964.35</v>
      </c>
      <c r="E27" s="86">
        <v>4135.6499999999996</v>
      </c>
      <c r="F27" s="86">
        <v>4300.1499999999996</v>
      </c>
      <c r="G27" s="86">
        <v>4464.8</v>
      </c>
      <c r="H27" s="86">
        <v>4629.2</v>
      </c>
      <c r="I27" s="86">
        <v>4793.8</v>
      </c>
      <c r="J27" s="86">
        <v>4865.8</v>
      </c>
      <c r="K27" s="86">
        <v>4937.8</v>
      </c>
      <c r="L27" s="86">
        <v>5009.7</v>
      </c>
      <c r="M27" s="86">
        <v>5081.8</v>
      </c>
      <c r="N27" s="86">
        <v>5122.55</v>
      </c>
      <c r="O27" s="86">
        <v>5163.25</v>
      </c>
      <c r="P27" s="86">
        <v>5204.1000000000004</v>
      </c>
      <c r="Q27" s="86">
        <v>5244.85</v>
      </c>
      <c r="R27" s="86">
        <v>5285.45</v>
      </c>
      <c r="S27" s="86">
        <v>5326.15</v>
      </c>
      <c r="T27" s="86">
        <v>5364.2</v>
      </c>
      <c r="U27" s="86">
        <v>5387.9</v>
      </c>
      <c r="V27" s="86">
        <v>5387.9</v>
      </c>
      <c r="W27" s="86">
        <v>5411.7</v>
      </c>
      <c r="X27" s="86">
        <v>5411.7</v>
      </c>
      <c r="Y27" s="86">
        <v>5435.4</v>
      </c>
      <c r="Z27" s="86">
        <v>5435.4</v>
      </c>
      <c r="AA27" s="86">
        <v>5459.05</v>
      </c>
      <c r="AB27" s="86">
        <v>5459.05</v>
      </c>
      <c r="AC27" s="86">
        <v>5482.7</v>
      </c>
      <c r="AD27" s="86">
        <v>5482.7</v>
      </c>
      <c r="AE27" s="86">
        <v>5506.55</v>
      </c>
    </row>
    <row r="28" spans="1:31" x14ac:dyDescent="0.2">
      <c r="A28" s="84">
        <v>25</v>
      </c>
      <c r="B28" s="86">
        <v>3498.55</v>
      </c>
      <c r="C28" s="86">
        <v>3665.25</v>
      </c>
      <c r="D28" s="86">
        <v>3832.1</v>
      </c>
      <c r="E28" s="86">
        <v>3998.85</v>
      </c>
      <c r="F28" s="86">
        <v>4159.55</v>
      </c>
      <c r="G28" s="86">
        <v>4320.3</v>
      </c>
      <c r="H28" s="86">
        <v>4480.8999999999996</v>
      </c>
      <c r="I28" s="86">
        <v>4641.55</v>
      </c>
      <c r="J28" s="86">
        <v>4711.95</v>
      </c>
      <c r="K28" s="86">
        <v>4782.25</v>
      </c>
      <c r="L28" s="86">
        <v>4852.6499999999996</v>
      </c>
      <c r="M28" s="86">
        <v>4922.8999999999996</v>
      </c>
      <c r="N28" s="86">
        <v>4961.8500000000004</v>
      </c>
      <c r="O28" s="86">
        <v>5000.6000000000004</v>
      </c>
      <c r="P28" s="86">
        <v>5039.3500000000004</v>
      </c>
      <c r="Q28" s="86">
        <v>5078.25</v>
      </c>
      <c r="R28" s="86">
        <v>5117.1000000000004</v>
      </c>
      <c r="S28" s="86">
        <v>5155.6499999999996</v>
      </c>
      <c r="T28" s="86">
        <v>5179.5</v>
      </c>
      <c r="U28" s="86">
        <v>5203.2</v>
      </c>
      <c r="V28" s="86">
        <v>5203.2</v>
      </c>
      <c r="W28" s="86">
        <v>5226.8999999999996</v>
      </c>
      <c r="X28" s="86">
        <v>5226.8999999999996</v>
      </c>
      <c r="Y28" s="86">
        <v>5250.55</v>
      </c>
      <c r="Z28" s="86">
        <v>5250.55</v>
      </c>
      <c r="AA28" s="86">
        <v>5274.35</v>
      </c>
      <c r="AB28" s="86">
        <v>5274.35</v>
      </c>
      <c r="AC28" s="86">
        <v>5298.15</v>
      </c>
      <c r="AD28" s="86">
        <v>5298.15</v>
      </c>
      <c r="AE28" s="86">
        <v>5321.85</v>
      </c>
    </row>
    <row r="29" spans="1:31" x14ac:dyDescent="0.2">
      <c r="A29" s="84">
        <v>26</v>
      </c>
      <c r="B29" s="86">
        <v>3392.75</v>
      </c>
      <c r="C29" s="86">
        <v>3555.2</v>
      </c>
      <c r="D29" s="86">
        <v>3717.85</v>
      </c>
      <c r="E29" s="86">
        <v>3880.35</v>
      </c>
      <c r="F29" s="86">
        <v>4037.4</v>
      </c>
      <c r="G29" s="86">
        <v>4194.1499999999996</v>
      </c>
      <c r="H29" s="86">
        <v>4350.95</v>
      </c>
      <c r="I29" s="86">
        <v>4507.8500000000004</v>
      </c>
      <c r="J29" s="86">
        <v>4576.55</v>
      </c>
      <c r="K29" s="86">
        <v>4645.3</v>
      </c>
      <c r="L29" s="86">
        <v>4713.8500000000004</v>
      </c>
      <c r="M29" s="86">
        <v>4782.55</v>
      </c>
      <c r="N29" s="86">
        <v>4819.5</v>
      </c>
      <c r="O29" s="86">
        <v>4856.6000000000004</v>
      </c>
      <c r="P29" s="86">
        <v>4893.45</v>
      </c>
      <c r="Q29" s="86">
        <v>4930.5</v>
      </c>
      <c r="R29" s="86">
        <v>4967.55</v>
      </c>
      <c r="S29" s="86">
        <v>4991.3</v>
      </c>
      <c r="T29" s="86">
        <v>5014.95</v>
      </c>
      <c r="U29" s="86">
        <v>5038.6499999999996</v>
      </c>
      <c r="V29" s="86">
        <v>5038.6499999999996</v>
      </c>
      <c r="W29" s="86">
        <v>5062.3999999999996</v>
      </c>
      <c r="X29" s="86">
        <v>5062.3999999999996</v>
      </c>
      <c r="Y29" s="86">
        <v>5086</v>
      </c>
      <c r="Z29" s="86">
        <v>5086</v>
      </c>
      <c r="AA29" s="86">
        <v>5109.8999999999996</v>
      </c>
      <c r="AB29" s="86">
        <v>5109.8999999999996</v>
      </c>
      <c r="AC29" s="86">
        <v>5133.45</v>
      </c>
      <c r="AD29" s="86">
        <v>5133.45</v>
      </c>
      <c r="AE29" s="86">
        <v>5157.3</v>
      </c>
    </row>
    <row r="30" spans="1:31" x14ac:dyDescent="0.2">
      <c r="A30" s="84">
        <v>27</v>
      </c>
      <c r="B30" s="86">
        <v>3295.15</v>
      </c>
      <c r="C30" s="86">
        <v>3454.8</v>
      </c>
      <c r="D30" s="86">
        <v>3614.55</v>
      </c>
      <c r="E30" s="86">
        <v>3774.2</v>
      </c>
      <c r="F30" s="86">
        <v>3928.3</v>
      </c>
      <c r="G30" s="86">
        <v>4082.45</v>
      </c>
      <c r="H30" s="86">
        <v>4236.6000000000004</v>
      </c>
      <c r="I30" s="86">
        <v>4390.6000000000004</v>
      </c>
      <c r="J30" s="86">
        <v>4458.1499999999996</v>
      </c>
      <c r="K30" s="86">
        <v>4525.6499999999996</v>
      </c>
      <c r="L30" s="86">
        <v>4593.05</v>
      </c>
      <c r="M30" s="86">
        <v>4660.5</v>
      </c>
      <c r="N30" s="86">
        <v>4695.6000000000004</v>
      </c>
      <c r="O30" s="86">
        <v>4730.8</v>
      </c>
      <c r="P30" s="86">
        <v>4765.8999999999996</v>
      </c>
      <c r="Q30" s="86">
        <v>4799.8</v>
      </c>
      <c r="R30" s="86">
        <v>4823.5</v>
      </c>
      <c r="S30" s="86">
        <v>4847.3</v>
      </c>
      <c r="T30" s="86">
        <v>4871.05</v>
      </c>
      <c r="U30" s="86">
        <v>4894.8500000000004</v>
      </c>
      <c r="V30" s="86">
        <v>4894.8500000000004</v>
      </c>
      <c r="W30" s="86">
        <v>4918.3500000000004</v>
      </c>
      <c r="X30" s="86">
        <v>4918.3500000000004</v>
      </c>
      <c r="Y30" s="86">
        <v>4942.1000000000004</v>
      </c>
      <c r="Z30" s="86">
        <v>4942.1000000000004</v>
      </c>
      <c r="AA30" s="86">
        <v>4965.8999999999996</v>
      </c>
      <c r="AB30" s="86">
        <v>4965.8999999999996</v>
      </c>
      <c r="AC30" s="86">
        <v>4989.6000000000004</v>
      </c>
      <c r="AD30" s="86">
        <v>4989.6000000000004</v>
      </c>
      <c r="AE30" s="86">
        <v>5013.3</v>
      </c>
    </row>
    <row r="31" spans="1:31" x14ac:dyDescent="0.2">
      <c r="A31" s="84">
        <v>28</v>
      </c>
      <c r="B31" s="86">
        <v>3215.1</v>
      </c>
      <c r="C31" s="86">
        <v>3372.1</v>
      </c>
      <c r="D31" s="86">
        <v>3529.35</v>
      </c>
      <c r="E31" s="86">
        <v>3686.3</v>
      </c>
      <c r="F31" s="86">
        <v>3837.85</v>
      </c>
      <c r="G31" s="86">
        <v>3989.55</v>
      </c>
      <c r="H31" s="86">
        <v>4141.1499999999996</v>
      </c>
      <c r="I31" s="86">
        <v>4292.75</v>
      </c>
      <c r="J31" s="86">
        <v>4360.75</v>
      </c>
      <c r="K31" s="86">
        <v>4428.8500000000004</v>
      </c>
      <c r="L31" s="86">
        <v>4497.1499999999996</v>
      </c>
      <c r="M31" s="86">
        <v>4565.2</v>
      </c>
      <c r="N31" s="86">
        <v>4597.3999999999996</v>
      </c>
      <c r="O31" s="86">
        <v>4627.8500000000004</v>
      </c>
      <c r="P31" s="86">
        <v>4651.6499999999996</v>
      </c>
      <c r="Q31" s="86">
        <v>4675.3500000000004</v>
      </c>
      <c r="R31" s="86">
        <v>4699.05</v>
      </c>
      <c r="S31" s="86">
        <v>4722.8</v>
      </c>
      <c r="T31" s="86">
        <v>4746.55</v>
      </c>
      <c r="U31" s="86">
        <v>4770.25</v>
      </c>
      <c r="V31" s="86">
        <v>4770.25</v>
      </c>
      <c r="W31" s="86">
        <v>4793.95</v>
      </c>
      <c r="X31" s="86">
        <v>4793.95</v>
      </c>
      <c r="Y31" s="86">
        <v>4817.75</v>
      </c>
      <c r="Z31" s="86">
        <v>4817.75</v>
      </c>
      <c r="AA31" s="86">
        <v>4841.5</v>
      </c>
      <c r="AB31" s="86">
        <v>4841.5</v>
      </c>
      <c r="AC31" s="86">
        <v>4865.1499999999996</v>
      </c>
      <c r="AD31" s="86">
        <v>4865.1499999999996</v>
      </c>
      <c r="AE31" s="86">
        <v>4888.8999999999996</v>
      </c>
    </row>
    <row r="32" spans="1:31" x14ac:dyDescent="0.2">
      <c r="A32" s="84"/>
      <c r="B32" s="83"/>
      <c r="C32" s="83"/>
      <c r="D32" s="83"/>
      <c r="E32" s="83"/>
      <c r="F32" s="83"/>
      <c r="G32" s="83"/>
      <c r="H32" s="83"/>
      <c r="I32" s="83"/>
      <c r="J32" s="83"/>
      <c r="K32" s="83"/>
      <c r="L32" s="83"/>
      <c r="M32" s="83"/>
      <c r="N32" s="83"/>
      <c r="O32" s="83"/>
      <c r="P32" s="83"/>
      <c r="Q32" s="83"/>
      <c r="R32" s="83"/>
      <c r="S32" s="83"/>
      <c r="T32" s="83"/>
      <c r="U32" s="83"/>
      <c r="V32" s="83"/>
      <c r="W32" s="83"/>
      <c r="X32" s="83"/>
      <c r="Y32" s="83"/>
      <c r="Z32" s="83"/>
    </row>
    <row r="33" spans="1:26" x14ac:dyDescent="0.2">
      <c r="A33" s="84"/>
      <c r="B33" s="83"/>
      <c r="C33" s="83"/>
      <c r="D33" s="83"/>
      <c r="E33" s="83"/>
      <c r="F33" s="83"/>
      <c r="G33" s="83"/>
      <c r="H33" s="83"/>
      <c r="I33" s="83"/>
      <c r="J33" s="83"/>
      <c r="K33" s="83"/>
      <c r="L33" s="83"/>
      <c r="M33" s="83"/>
      <c r="N33" s="83"/>
      <c r="O33" s="83"/>
      <c r="P33" s="83"/>
      <c r="Q33" s="83"/>
      <c r="R33" s="83"/>
      <c r="S33" s="83"/>
      <c r="T33" s="83"/>
      <c r="U33" s="83"/>
      <c r="V33" s="83"/>
      <c r="W33" s="83"/>
      <c r="X33" s="83"/>
      <c r="Y33" s="83"/>
      <c r="Z33" s="83"/>
    </row>
    <row r="34" spans="1:26" x14ac:dyDescent="0.2">
      <c r="A34" s="84"/>
      <c r="B34" s="83"/>
      <c r="C34" s="83"/>
      <c r="D34" s="83"/>
      <c r="E34" s="83"/>
      <c r="F34" s="83"/>
      <c r="G34" s="83"/>
      <c r="H34" s="83"/>
      <c r="I34" s="83"/>
      <c r="J34" s="83"/>
      <c r="K34" s="83"/>
      <c r="L34" s="83"/>
      <c r="M34" s="83"/>
      <c r="N34" s="83"/>
      <c r="O34" s="83"/>
      <c r="P34" s="83"/>
      <c r="Q34" s="83"/>
      <c r="R34" s="83"/>
      <c r="S34" s="83"/>
      <c r="T34" s="83"/>
      <c r="U34" s="83"/>
      <c r="V34" s="83"/>
      <c r="W34" s="83"/>
      <c r="X34" s="83"/>
      <c r="Y34" s="83"/>
      <c r="Z34" s="83"/>
    </row>
    <row r="35" spans="1:26" x14ac:dyDescent="0.2">
      <c r="A35" s="81"/>
      <c r="B35" s="83"/>
      <c r="C35" s="83"/>
      <c r="D35" s="83"/>
      <c r="E35" s="83"/>
      <c r="F35" s="83"/>
      <c r="G35" s="83"/>
      <c r="H35" s="83"/>
      <c r="I35" s="83"/>
      <c r="J35" s="83"/>
      <c r="K35" s="83"/>
      <c r="L35" s="83"/>
      <c r="M35" s="83"/>
      <c r="N35" s="83"/>
      <c r="O35" s="83"/>
      <c r="P35" s="83"/>
      <c r="Q35" s="83"/>
      <c r="R35" s="83"/>
      <c r="S35" s="83"/>
      <c r="T35" s="83"/>
      <c r="U35" s="83"/>
      <c r="V35" s="83"/>
      <c r="W35" s="83"/>
      <c r="X35" s="83"/>
      <c r="Y35" s="83"/>
      <c r="Z35" s="83"/>
    </row>
    <row r="36" spans="1:26" x14ac:dyDescent="0.2">
      <c r="A36" s="81"/>
      <c r="B36" s="83"/>
      <c r="C36" s="83"/>
      <c r="D36" s="83"/>
      <c r="E36" s="83"/>
      <c r="F36" s="83"/>
      <c r="G36" s="83"/>
      <c r="H36" s="83"/>
      <c r="I36" s="83"/>
      <c r="J36" s="83"/>
      <c r="K36" s="83"/>
      <c r="L36" s="83"/>
      <c r="M36" s="83"/>
      <c r="N36" s="83"/>
      <c r="O36" s="83"/>
      <c r="P36" s="83"/>
      <c r="Q36" s="83"/>
      <c r="R36" s="83"/>
      <c r="S36" s="83"/>
      <c r="T36" s="83"/>
      <c r="U36" s="83"/>
      <c r="V36" s="83"/>
      <c r="W36" s="83"/>
      <c r="X36" s="83"/>
      <c r="Y36" s="83"/>
      <c r="Z36" s="83"/>
    </row>
    <row r="37" spans="1:26" x14ac:dyDescent="0.2">
      <c r="A37" s="81"/>
      <c r="B37" s="83"/>
      <c r="C37" s="83"/>
      <c r="D37" s="83"/>
      <c r="E37" s="83"/>
      <c r="F37" s="83"/>
      <c r="G37" s="83"/>
      <c r="H37" s="83"/>
      <c r="I37" s="83"/>
      <c r="J37" s="83"/>
      <c r="K37" s="83"/>
      <c r="L37" s="83"/>
      <c r="M37" s="83"/>
      <c r="N37" s="83"/>
      <c r="O37" s="83"/>
      <c r="P37" s="83"/>
      <c r="Q37" s="83"/>
      <c r="R37" s="83"/>
      <c r="S37" s="83"/>
      <c r="T37" s="83"/>
      <c r="U37" s="83"/>
      <c r="V37" s="83"/>
      <c r="W37" s="83"/>
      <c r="X37" s="83"/>
      <c r="Y37" s="83"/>
      <c r="Z37" s="83"/>
    </row>
    <row r="38" spans="1:26" x14ac:dyDescent="0.2">
      <c r="A38" s="81"/>
      <c r="B38" s="83"/>
      <c r="C38" s="83"/>
      <c r="D38" s="83"/>
      <c r="E38" s="83"/>
      <c r="F38" s="83"/>
      <c r="G38" s="83"/>
      <c r="H38" s="83"/>
      <c r="I38" s="83"/>
      <c r="J38" s="83"/>
      <c r="K38" s="83"/>
      <c r="L38" s="83"/>
      <c r="M38" s="83"/>
      <c r="N38" s="83"/>
      <c r="O38" s="83"/>
      <c r="P38" s="83"/>
      <c r="Q38" s="83"/>
      <c r="R38" s="83"/>
      <c r="S38" s="83"/>
      <c r="T38" s="83"/>
      <c r="U38" s="83"/>
      <c r="V38" s="83"/>
      <c r="W38" s="83"/>
      <c r="X38" s="83"/>
      <c r="Y38" s="83"/>
      <c r="Z38" s="83"/>
    </row>
    <row r="39" spans="1:26" x14ac:dyDescent="0.2">
      <c r="A39" s="81"/>
      <c r="B39" s="83"/>
      <c r="C39" s="83"/>
      <c r="D39" s="83"/>
      <c r="E39" s="83"/>
      <c r="F39" s="83"/>
      <c r="G39" s="83"/>
      <c r="H39" s="83"/>
      <c r="I39" s="83"/>
      <c r="J39" s="83"/>
      <c r="K39" s="83"/>
      <c r="L39" s="83"/>
      <c r="M39" s="83"/>
      <c r="N39" s="83"/>
      <c r="O39" s="83"/>
      <c r="P39" s="83"/>
      <c r="Q39" s="83"/>
      <c r="R39" s="83"/>
      <c r="S39" s="83"/>
      <c r="T39" s="83"/>
      <c r="U39" s="83"/>
      <c r="V39" s="83"/>
      <c r="W39" s="83"/>
      <c r="X39" s="83"/>
      <c r="Y39" s="83"/>
      <c r="Z39" s="83"/>
    </row>
    <row r="40" spans="1:26" x14ac:dyDescent="0.2">
      <c r="A40" s="81"/>
      <c r="B40" s="83"/>
      <c r="C40" s="83"/>
      <c r="D40" s="83"/>
      <c r="E40" s="83"/>
      <c r="F40" s="83"/>
      <c r="G40" s="83"/>
      <c r="H40" s="83"/>
      <c r="I40" s="83"/>
      <c r="J40" s="83"/>
      <c r="K40" s="83"/>
      <c r="L40" s="83"/>
      <c r="M40" s="83"/>
      <c r="N40" s="83"/>
      <c r="O40" s="83"/>
      <c r="P40" s="83"/>
      <c r="Q40" s="83"/>
      <c r="R40" s="83"/>
      <c r="S40" s="83"/>
      <c r="T40" s="83"/>
      <c r="U40" s="83"/>
      <c r="V40" s="83"/>
      <c r="W40" s="83"/>
      <c r="X40" s="83"/>
      <c r="Y40" s="83"/>
      <c r="Z40" s="83"/>
    </row>
    <row r="41" spans="1:26" x14ac:dyDescent="0.2">
      <c r="A41" s="81"/>
      <c r="B41" s="83"/>
      <c r="C41" s="83"/>
      <c r="D41" s="83"/>
      <c r="E41" s="83"/>
      <c r="F41" s="83"/>
      <c r="G41" s="83"/>
      <c r="H41" s="83"/>
      <c r="I41" s="83"/>
      <c r="J41" s="83"/>
      <c r="K41" s="83"/>
      <c r="L41" s="83"/>
      <c r="M41" s="83"/>
      <c r="N41" s="83"/>
      <c r="O41" s="83"/>
      <c r="P41" s="83"/>
      <c r="Q41" s="83"/>
      <c r="R41" s="83"/>
      <c r="S41" s="83"/>
      <c r="T41" s="83"/>
      <c r="U41" s="83"/>
      <c r="V41" s="83"/>
      <c r="W41" s="83"/>
      <c r="X41" s="83"/>
      <c r="Y41" s="83"/>
      <c r="Z41" s="83"/>
    </row>
    <row r="42" spans="1:26" x14ac:dyDescent="0.2">
      <c r="A42" s="81"/>
      <c r="B42" s="83"/>
      <c r="C42" s="83"/>
      <c r="D42" s="83"/>
      <c r="E42" s="83"/>
      <c r="F42" s="83"/>
      <c r="G42" s="83"/>
      <c r="H42" s="83"/>
      <c r="I42" s="83"/>
      <c r="J42" s="83"/>
      <c r="K42" s="83"/>
      <c r="L42" s="83"/>
      <c r="M42" s="83"/>
      <c r="N42" s="83"/>
      <c r="O42" s="83"/>
      <c r="P42" s="83"/>
      <c r="Q42" s="83"/>
      <c r="R42" s="83"/>
      <c r="S42" s="83"/>
      <c r="T42" s="83"/>
      <c r="U42" s="83"/>
      <c r="V42" s="83"/>
      <c r="W42" s="83"/>
      <c r="X42" s="83"/>
      <c r="Y42" s="83"/>
      <c r="Z42" s="83"/>
    </row>
    <row r="43" spans="1:26" x14ac:dyDescent="0.2">
      <c r="A43" s="81"/>
      <c r="B43" s="83"/>
      <c r="C43" s="83"/>
      <c r="D43" s="83"/>
      <c r="E43" s="83"/>
      <c r="F43" s="83"/>
      <c r="G43" s="83"/>
      <c r="H43" s="83"/>
      <c r="I43" s="83"/>
      <c r="J43" s="83"/>
      <c r="K43" s="83"/>
      <c r="L43" s="83"/>
      <c r="M43" s="83"/>
      <c r="N43" s="83"/>
      <c r="O43" s="83"/>
      <c r="P43" s="83"/>
      <c r="Q43" s="83"/>
      <c r="R43" s="83"/>
      <c r="S43" s="83"/>
      <c r="T43" s="83"/>
      <c r="U43" s="83"/>
      <c r="V43" s="83"/>
      <c r="W43" s="83"/>
      <c r="X43" s="83"/>
      <c r="Y43" s="83"/>
      <c r="Z43" s="83"/>
    </row>
    <row r="44" spans="1:26" x14ac:dyDescent="0.2">
      <c r="A44" s="81"/>
      <c r="B44" s="83"/>
      <c r="C44" s="83"/>
      <c r="D44" s="83"/>
      <c r="E44" s="83"/>
      <c r="F44" s="83"/>
      <c r="G44" s="83"/>
      <c r="H44" s="83"/>
      <c r="I44" s="83"/>
      <c r="J44" s="83"/>
      <c r="K44" s="83"/>
      <c r="L44" s="83"/>
      <c r="M44" s="83"/>
      <c r="N44" s="83"/>
      <c r="O44" s="83"/>
      <c r="P44" s="83"/>
      <c r="Q44" s="83"/>
      <c r="R44" s="83"/>
      <c r="S44" s="83"/>
      <c r="T44" s="83"/>
      <c r="U44" s="83"/>
      <c r="V44" s="83"/>
      <c r="W44" s="83"/>
      <c r="X44" s="83"/>
      <c r="Y44" s="83"/>
      <c r="Z44" s="83"/>
    </row>
    <row r="45" spans="1:26" x14ac:dyDescent="0.2">
      <c r="A45" s="81"/>
      <c r="B45" s="83"/>
      <c r="C45" s="83"/>
      <c r="D45" s="83"/>
      <c r="E45" s="83"/>
      <c r="F45" s="83"/>
      <c r="G45" s="83"/>
      <c r="H45" s="83"/>
      <c r="I45" s="83"/>
      <c r="J45" s="83"/>
      <c r="K45" s="83"/>
      <c r="L45" s="83"/>
      <c r="M45" s="83"/>
      <c r="N45" s="83"/>
      <c r="O45" s="83"/>
      <c r="P45" s="83"/>
      <c r="Q45" s="83"/>
      <c r="R45" s="83"/>
      <c r="S45" s="83"/>
      <c r="T45" s="83"/>
      <c r="U45" s="83"/>
      <c r="V45" s="83"/>
      <c r="W45" s="83"/>
      <c r="X45" s="83"/>
      <c r="Y45" s="83"/>
      <c r="Z45" s="83"/>
    </row>
    <row r="46" spans="1:26" x14ac:dyDescent="0.2">
      <c r="A46" s="81"/>
      <c r="B46" s="83"/>
      <c r="C46" s="83"/>
      <c r="D46" s="83"/>
      <c r="E46" s="83"/>
      <c r="F46" s="83"/>
      <c r="G46" s="83"/>
      <c r="H46" s="83"/>
      <c r="I46" s="83"/>
      <c r="J46" s="83"/>
      <c r="K46" s="83"/>
      <c r="L46" s="83"/>
      <c r="M46" s="83"/>
      <c r="N46" s="83"/>
      <c r="O46" s="83"/>
      <c r="P46" s="83"/>
      <c r="Q46" s="83"/>
      <c r="R46" s="83"/>
      <c r="S46" s="83"/>
      <c r="T46" s="83"/>
      <c r="U46" s="83"/>
      <c r="V46" s="83"/>
      <c r="W46" s="83"/>
      <c r="X46" s="83"/>
      <c r="Y46" s="83"/>
      <c r="Z46" s="83"/>
    </row>
    <row r="47" spans="1:26" x14ac:dyDescent="0.2">
      <c r="A47" s="81"/>
      <c r="B47" s="83"/>
      <c r="C47" s="83"/>
      <c r="D47" s="83"/>
      <c r="E47" s="83"/>
      <c r="F47" s="83"/>
      <c r="G47" s="83"/>
      <c r="H47" s="83"/>
      <c r="I47" s="83"/>
      <c r="J47" s="83"/>
      <c r="K47" s="83"/>
      <c r="L47" s="83"/>
      <c r="M47" s="83"/>
      <c r="N47" s="83"/>
      <c r="O47" s="83"/>
      <c r="P47" s="83"/>
      <c r="Q47" s="83"/>
      <c r="R47" s="83"/>
      <c r="S47" s="83"/>
      <c r="T47" s="83"/>
      <c r="U47" s="83"/>
      <c r="V47" s="83"/>
      <c r="W47" s="83"/>
      <c r="X47" s="83"/>
      <c r="Y47" s="83"/>
      <c r="Z47" s="83"/>
    </row>
    <row r="48" spans="1:26" x14ac:dyDescent="0.2">
      <c r="A48" s="81"/>
      <c r="B48" s="83"/>
      <c r="C48" s="83"/>
      <c r="D48" s="83"/>
      <c r="E48" s="83"/>
      <c r="F48" s="83"/>
      <c r="G48" s="83"/>
      <c r="H48" s="83"/>
      <c r="I48" s="83"/>
      <c r="J48" s="83"/>
      <c r="K48" s="83"/>
      <c r="L48" s="83"/>
      <c r="M48" s="83"/>
      <c r="N48" s="83"/>
      <c r="O48" s="83"/>
      <c r="P48" s="83"/>
      <c r="Q48" s="83"/>
      <c r="R48" s="83"/>
      <c r="S48" s="83"/>
      <c r="T48" s="83"/>
      <c r="U48" s="83"/>
      <c r="V48" s="83"/>
      <c r="W48" s="83"/>
      <c r="X48" s="83"/>
      <c r="Y48" s="83"/>
      <c r="Z48" s="83"/>
    </row>
    <row r="49" spans="1:26" x14ac:dyDescent="0.2">
      <c r="A49" s="81"/>
      <c r="B49" s="83"/>
      <c r="C49" s="83"/>
      <c r="D49" s="83"/>
      <c r="E49" s="83"/>
      <c r="F49" s="83"/>
      <c r="G49" s="83"/>
      <c r="H49" s="83"/>
      <c r="I49" s="83"/>
      <c r="J49" s="83"/>
      <c r="K49" s="83"/>
      <c r="L49" s="83"/>
      <c r="M49" s="83"/>
      <c r="N49" s="83"/>
      <c r="O49" s="83"/>
      <c r="P49" s="83"/>
      <c r="Q49" s="83"/>
      <c r="R49" s="83"/>
      <c r="S49" s="83"/>
      <c r="T49" s="83"/>
      <c r="U49" s="83"/>
      <c r="V49" s="83"/>
      <c r="W49" s="83"/>
      <c r="X49" s="83"/>
      <c r="Y49" s="83"/>
      <c r="Z49" s="83"/>
    </row>
    <row r="50" spans="1:26" x14ac:dyDescent="0.2">
      <c r="A50" s="81"/>
      <c r="B50" s="83"/>
      <c r="C50" s="83"/>
      <c r="D50" s="83"/>
      <c r="E50" s="83"/>
      <c r="F50" s="83"/>
      <c r="G50" s="83"/>
      <c r="H50" s="83"/>
      <c r="I50" s="83"/>
      <c r="J50" s="83"/>
      <c r="K50" s="83"/>
      <c r="L50" s="83"/>
      <c r="M50" s="83"/>
      <c r="N50" s="83"/>
      <c r="O50" s="83"/>
      <c r="P50" s="83"/>
      <c r="Q50" s="83"/>
      <c r="R50" s="83"/>
      <c r="S50" s="83"/>
      <c r="T50" s="83"/>
      <c r="U50" s="83"/>
      <c r="V50" s="83"/>
      <c r="W50" s="83"/>
      <c r="X50" s="83"/>
      <c r="Y50" s="83"/>
      <c r="Z50" s="83"/>
    </row>
    <row r="51" spans="1:26" x14ac:dyDescent="0.2">
      <c r="A51" s="81"/>
      <c r="B51" s="83"/>
      <c r="C51" s="83"/>
      <c r="D51" s="83"/>
      <c r="E51" s="83"/>
      <c r="F51" s="83"/>
      <c r="G51" s="83"/>
      <c r="H51" s="83"/>
      <c r="I51" s="83"/>
      <c r="J51" s="83"/>
      <c r="K51" s="83"/>
      <c r="L51" s="83"/>
      <c r="M51" s="83"/>
      <c r="N51" s="83"/>
      <c r="O51" s="83"/>
      <c r="P51" s="83"/>
      <c r="Q51" s="83"/>
      <c r="R51" s="83"/>
      <c r="S51" s="83"/>
      <c r="T51" s="83"/>
      <c r="U51" s="83"/>
      <c r="V51" s="83"/>
      <c r="W51" s="83"/>
      <c r="X51" s="83"/>
      <c r="Y51" s="83"/>
      <c r="Z51" s="83"/>
    </row>
    <row r="52" spans="1:26" x14ac:dyDescent="0.2">
      <c r="A52" s="81"/>
      <c r="B52" s="83"/>
      <c r="C52" s="83"/>
      <c r="D52" s="83"/>
      <c r="E52" s="83"/>
      <c r="F52" s="83"/>
      <c r="G52" s="83"/>
      <c r="H52" s="83"/>
      <c r="I52" s="83"/>
      <c r="J52" s="83"/>
      <c r="K52" s="83"/>
      <c r="L52" s="83"/>
      <c r="M52" s="83"/>
      <c r="N52" s="83"/>
      <c r="O52" s="83"/>
      <c r="P52" s="83"/>
      <c r="Q52" s="83"/>
      <c r="R52" s="83"/>
      <c r="S52" s="83"/>
      <c r="T52" s="83"/>
      <c r="U52" s="83"/>
      <c r="V52" s="83"/>
      <c r="W52" s="83"/>
      <c r="X52" s="83"/>
      <c r="Y52" s="83"/>
      <c r="Z52" s="83"/>
    </row>
    <row r="53" spans="1:26" x14ac:dyDescent="0.2">
      <c r="A53" s="81"/>
      <c r="B53" s="83"/>
      <c r="C53" s="83"/>
      <c r="D53" s="83"/>
      <c r="E53" s="83"/>
      <c r="F53" s="83"/>
      <c r="G53" s="83"/>
      <c r="H53" s="83"/>
      <c r="I53" s="83"/>
      <c r="J53" s="83"/>
      <c r="K53" s="83"/>
      <c r="L53" s="83"/>
      <c r="M53" s="83"/>
      <c r="N53" s="83"/>
      <c r="O53" s="83"/>
      <c r="P53" s="83"/>
      <c r="Q53" s="83"/>
      <c r="R53" s="83"/>
      <c r="S53" s="83"/>
      <c r="T53" s="83"/>
      <c r="U53" s="83"/>
      <c r="V53" s="83"/>
      <c r="W53" s="83"/>
      <c r="X53" s="83"/>
      <c r="Y53" s="83"/>
      <c r="Z53" s="83"/>
    </row>
    <row r="54" spans="1:26" x14ac:dyDescent="0.2">
      <c r="A54" s="81"/>
      <c r="B54" s="83"/>
      <c r="C54" s="83"/>
      <c r="D54" s="83"/>
      <c r="E54" s="83"/>
      <c r="F54" s="83"/>
      <c r="G54" s="83"/>
      <c r="H54" s="83"/>
      <c r="I54" s="83"/>
      <c r="J54" s="83"/>
      <c r="K54" s="83"/>
      <c r="L54" s="83"/>
      <c r="M54" s="83"/>
      <c r="N54" s="83"/>
      <c r="O54" s="83"/>
      <c r="P54" s="83"/>
      <c r="Q54" s="83"/>
      <c r="R54" s="83"/>
      <c r="S54" s="83"/>
      <c r="T54" s="83"/>
      <c r="U54" s="83"/>
      <c r="V54" s="83"/>
      <c r="W54" s="83"/>
      <c r="X54" s="83"/>
      <c r="Y54" s="83"/>
      <c r="Z54" s="83"/>
    </row>
    <row r="55" spans="1:26" x14ac:dyDescent="0.2">
      <c r="A55" s="81"/>
      <c r="B55" s="83"/>
      <c r="C55" s="83"/>
      <c r="D55" s="83"/>
      <c r="E55" s="83"/>
      <c r="F55" s="83"/>
      <c r="G55" s="83"/>
      <c r="H55" s="83"/>
      <c r="I55" s="83"/>
      <c r="J55" s="83"/>
      <c r="K55" s="83"/>
      <c r="L55" s="83"/>
      <c r="M55" s="83"/>
      <c r="N55" s="83"/>
      <c r="O55" s="83"/>
      <c r="P55" s="83"/>
      <c r="Q55" s="83"/>
      <c r="R55" s="83"/>
      <c r="S55" s="83"/>
      <c r="T55" s="83"/>
      <c r="U55" s="83"/>
      <c r="V55" s="83"/>
      <c r="W55" s="83"/>
      <c r="X55" s="83"/>
      <c r="Y55" s="83"/>
      <c r="Z55" s="83"/>
    </row>
    <row r="56" spans="1:26" x14ac:dyDescent="0.2">
      <c r="A56" s="81"/>
      <c r="B56" s="83"/>
      <c r="C56" s="83"/>
      <c r="D56" s="83"/>
      <c r="E56" s="83"/>
      <c r="F56" s="83"/>
      <c r="G56" s="83"/>
      <c r="H56" s="83"/>
      <c r="I56" s="83"/>
      <c r="J56" s="83"/>
      <c r="K56" s="83"/>
      <c r="L56" s="83"/>
      <c r="M56" s="83"/>
      <c r="N56" s="83"/>
      <c r="O56" s="83"/>
      <c r="P56" s="83"/>
      <c r="Q56" s="83"/>
      <c r="R56" s="83"/>
      <c r="S56" s="83"/>
      <c r="T56" s="83"/>
      <c r="U56" s="83"/>
      <c r="V56" s="83"/>
      <c r="W56" s="83"/>
      <c r="X56" s="83"/>
      <c r="Y56" s="83"/>
      <c r="Z56" s="83"/>
    </row>
    <row r="57" spans="1:26" x14ac:dyDescent="0.2">
      <c r="A57" s="81"/>
      <c r="B57" s="83"/>
      <c r="C57" s="83"/>
      <c r="D57" s="83"/>
      <c r="E57" s="83"/>
      <c r="F57" s="83"/>
      <c r="G57" s="83"/>
      <c r="H57" s="83"/>
      <c r="I57" s="83"/>
      <c r="J57" s="83"/>
      <c r="K57" s="83"/>
      <c r="L57" s="83"/>
      <c r="M57" s="83"/>
      <c r="N57" s="83"/>
      <c r="O57" s="83"/>
      <c r="P57" s="83"/>
      <c r="Q57" s="83"/>
      <c r="R57" s="83"/>
      <c r="S57" s="83"/>
      <c r="T57" s="83"/>
      <c r="U57" s="83"/>
      <c r="V57" s="83"/>
      <c r="W57" s="83"/>
      <c r="X57" s="83"/>
      <c r="Y57" s="83"/>
      <c r="Z57" s="83"/>
    </row>
    <row r="58" spans="1:26" x14ac:dyDescent="0.2">
      <c r="A58" s="81"/>
      <c r="B58" s="83"/>
      <c r="C58" s="83"/>
      <c r="D58" s="83"/>
      <c r="E58" s="83"/>
      <c r="F58" s="83"/>
      <c r="G58" s="83"/>
      <c r="H58" s="83"/>
      <c r="I58" s="83"/>
      <c r="J58" s="83"/>
      <c r="K58" s="83"/>
      <c r="L58" s="83"/>
      <c r="M58" s="83"/>
      <c r="N58" s="83"/>
      <c r="O58" s="83"/>
      <c r="P58" s="83"/>
      <c r="Q58" s="83"/>
      <c r="R58" s="83"/>
      <c r="S58" s="83"/>
      <c r="T58" s="83"/>
      <c r="U58" s="83"/>
      <c r="V58" s="83"/>
      <c r="W58" s="83"/>
      <c r="X58" s="83"/>
      <c r="Y58" s="83"/>
      <c r="Z58" s="83"/>
    </row>
    <row r="59" spans="1:26" x14ac:dyDescent="0.2">
      <c r="A59" s="81"/>
      <c r="B59" s="83"/>
      <c r="C59" s="83"/>
      <c r="D59" s="83"/>
      <c r="E59" s="83"/>
      <c r="F59" s="83"/>
      <c r="G59" s="83"/>
      <c r="H59" s="83"/>
      <c r="I59" s="83"/>
      <c r="J59" s="83"/>
      <c r="K59" s="83"/>
      <c r="L59" s="83"/>
      <c r="M59" s="83"/>
      <c r="N59" s="83"/>
      <c r="O59" s="83"/>
      <c r="P59" s="83"/>
      <c r="Q59" s="83"/>
      <c r="R59" s="83"/>
      <c r="S59" s="83"/>
      <c r="T59" s="83"/>
      <c r="U59" s="83"/>
      <c r="V59" s="83"/>
      <c r="W59" s="83"/>
      <c r="X59" s="83"/>
      <c r="Y59" s="83"/>
      <c r="Z59" s="83"/>
    </row>
    <row r="60" spans="1:26" x14ac:dyDescent="0.2">
      <c r="A60" s="81"/>
      <c r="B60" s="83"/>
      <c r="C60" s="83"/>
      <c r="D60" s="83"/>
      <c r="E60" s="83"/>
      <c r="F60" s="83"/>
      <c r="G60" s="83"/>
      <c r="H60" s="83"/>
      <c r="I60" s="83"/>
      <c r="J60" s="83"/>
      <c r="K60" s="83"/>
      <c r="L60" s="83"/>
      <c r="M60" s="83"/>
      <c r="N60" s="83"/>
      <c r="O60" s="83"/>
      <c r="P60" s="83"/>
      <c r="Q60" s="83"/>
      <c r="R60" s="83"/>
      <c r="S60" s="83"/>
      <c r="T60" s="83"/>
      <c r="U60" s="83"/>
      <c r="V60" s="83"/>
      <c r="W60" s="83"/>
      <c r="X60" s="83"/>
      <c r="Y60" s="83"/>
      <c r="Z60" s="83"/>
    </row>
    <row r="61" spans="1:26" x14ac:dyDescent="0.2">
      <c r="A61" s="81"/>
      <c r="B61" s="83"/>
      <c r="C61" s="83"/>
      <c r="D61" s="83"/>
      <c r="E61" s="83"/>
      <c r="F61" s="83"/>
      <c r="G61" s="83"/>
      <c r="H61" s="83"/>
      <c r="I61" s="83"/>
      <c r="J61" s="83"/>
      <c r="K61" s="83"/>
      <c r="L61" s="83"/>
      <c r="M61" s="83"/>
      <c r="N61" s="83"/>
      <c r="O61" s="83"/>
      <c r="P61" s="83"/>
      <c r="Q61" s="83"/>
      <c r="R61" s="83"/>
      <c r="S61" s="83"/>
      <c r="T61" s="83"/>
      <c r="U61" s="83"/>
      <c r="V61" s="83"/>
      <c r="W61" s="83"/>
      <c r="X61" s="83"/>
      <c r="Y61" s="83"/>
      <c r="Z61" s="83"/>
    </row>
    <row r="62" spans="1:26" x14ac:dyDescent="0.2">
      <c r="A62" s="81"/>
      <c r="B62" s="83"/>
      <c r="C62" s="83"/>
      <c r="D62" s="83"/>
      <c r="E62" s="83"/>
      <c r="F62" s="83"/>
      <c r="G62" s="83"/>
      <c r="H62" s="83"/>
      <c r="I62" s="83"/>
      <c r="J62" s="83"/>
      <c r="K62" s="83"/>
      <c r="L62" s="83"/>
      <c r="M62" s="83"/>
      <c r="N62" s="83"/>
      <c r="O62" s="83"/>
      <c r="P62" s="83"/>
      <c r="Q62" s="83"/>
      <c r="R62" s="83"/>
      <c r="S62" s="83"/>
      <c r="T62" s="83"/>
      <c r="U62" s="83"/>
      <c r="V62" s="83"/>
      <c r="W62" s="83"/>
      <c r="X62" s="83"/>
      <c r="Y62" s="83"/>
      <c r="Z62" s="83"/>
    </row>
  </sheetData>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Tabelle6">
    <tabColor theme="0" tint="-0.249977111117893"/>
  </sheetPr>
  <dimension ref="A1:AE34"/>
  <sheetViews>
    <sheetView workbookViewId="0">
      <selection activeCell="H41" sqref="H41"/>
    </sheetView>
  </sheetViews>
  <sheetFormatPr baseColWidth="10" defaultColWidth="11.42578125" defaultRowHeight="12.75" x14ac:dyDescent="0.2"/>
  <cols>
    <col min="1" max="1" width="11.42578125" style="81" customWidth="1"/>
    <col min="2" max="27" width="11.42578125" style="83" customWidth="1"/>
    <col min="28" max="16384" width="11.42578125" style="83"/>
  </cols>
  <sheetData>
    <row r="1" spans="1:31" x14ac:dyDescent="0.2">
      <c r="A1" s="677" t="str">
        <f>CONCATENATE("Lohnschlüssel neu ",LohntabelleM!I1,", Jahreslohn inkl. 13.")</f>
        <v>Lohnschlüssel neu 2026, Jahreslohn inkl. 13.</v>
      </c>
      <c r="B1" s="82"/>
      <c r="C1" s="82"/>
      <c r="E1" s="83">
        <v>13</v>
      </c>
    </row>
    <row r="2" spans="1:31" x14ac:dyDescent="0.2">
      <c r="B2" s="82" t="s">
        <v>808</v>
      </c>
    </row>
    <row r="3" spans="1:31" x14ac:dyDescent="0.2">
      <c r="A3" s="81" t="s">
        <v>764</v>
      </c>
      <c r="B3" s="84" t="s">
        <v>588</v>
      </c>
      <c r="C3" s="84" t="s">
        <v>589</v>
      </c>
      <c r="D3" s="87" t="s">
        <v>590</v>
      </c>
      <c r="E3" s="87">
        <v>1</v>
      </c>
      <c r="F3" s="87">
        <v>2</v>
      </c>
      <c r="G3" s="87">
        <v>3</v>
      </c>
      <c r="H3" s="84">
        <v>4</v>
      </c>
      <c r="I3" s="84">
        <v>5</v>
      </c>
      <c r="J3" s="84">
        <v>6</v>
      </c>
      <c r="K3" s="84">
        <v>7</v>
      </c>
      <c r="L3" s="84">
        <v>8</v>
      </c>
      <c r="M3" s="84">
        <v>9</v>
      </c>
      <c r="N3" s="84">
        <v>10</v>
      </c>
      <c r="O3" s="84">
        <v>11</v>
      </c>
      <c r="P3" s="84">
        <v>12</v>
      </c>
      <c r="Q3" s="84">
        <v>13</v>
      </c>
      <c r="R3" s="84">
        <v>14</v>
      </c>
      <c r="S3" s="84">
        <v>15</v>
      </c>
      <c r="T3" s="84">
        <v>16</v>
      </c>
      <c r="U3" s="84">
        <v>17</v>
      </c>
      <c r="V3" s="84">
        <v>18</v>
      </c>
      <c r="W3" s="84">
        <v>19</v>
      </c>
      <c r="X3" s="84">
        <v>20</v>
      </c>
      <c r="Y3" s="84">
        <v>21</v>
      </c>
      <c r="Z3" s="84">
        <v>22</v>
      </c>
      <c r="AA3" s="84">
        <v>23</v>
      </c>
      <c r="AB3" s="84">
        <v>24</v>
      </c>
      <c r="AC3" s="84">
        <v>25</v>
      </c>
      <c r="AD3" s="84">
        <v>26</v>
      </c>
      <c r="AE3" s="84">
        <v>27</v>
      </c>
    </row>
    <row r="4" spans="1:31" x14ac:dyDescent="0.2">
      <c r="A4" s="84">
        <v>1</v>
      </c>
      <c r="B4" s="88">
        <f>LohntabelleM!B4*13</f>
        <v>183364.35</v>
      </c>
      <c r="C4" s="88">
        <f>LohntabelleM!C4*13</f>
        <v>191815.65</v>
      </c>
      <c r="D4" s="88">
        <f>LohntabelleM!D4*13</f>
        <v>200269.55000000002</v>
      </c>
      <c r="E4" s="88">
        <f>LohntabelleM!E4*13</f>
        <v>208720.85</v>
      </c>
      <c r="F4" s="88">
        <f>LohntabelleM!F4*13</f>
        <v>216877.7</v>
      </c>
      <c r="G4" s="88">
        <f>LohntabelleM!G4*13</f>
        <v>225033.25</v>
      </c>
      <c r="H4" s="88">
        <f>LohntabelleM!H4*13</f>
        <v>233190.1</v>
      </c>
      <c r="I4" s="88">
        <f>LohntabelleM!I4*13</f>
        <v>241347.6</v>
      </c>
      <c r="J4" s="88">
        <f>LohntabelleM!J4*13</f>
        <v>244916.1</v>
      </c>
      <c r="K4" s="88">
        <f>LohntabelleM!K4*13</f>
        <v>248488.5</v>
      </c>
      <c r="L4" s="88">
        <f>LohntabelleM!L4*13</f>
        <v>252058.95</v>
      </c>
      <c r="M4" s="88">
        <f>LohntabelleM!M4*13</f>
        <v>255630.05</v>
      </c>
      <c r="N4" s="88">
        <f>LohntabelleM!N4*13</f>
        <v>258100.05</v>
      </c>
      <c r="O4" s="88">
        <f>LohntabelleM!O4*13</f>
        <v>260570.7</v>
      </c>
      <c r="P4" s="88">
        <f>LohntabelleM!P4*13</f>
        <v>263042</v>
      </c>
      <c r="Q4" s="88">
        <f>LohntabelleM!Q4*13</f>
        <v>265512</v>
      </c>
      <c r="R4" s="88">
        <f>LohntabelleM!R4*13</f>
        <v>267979.39999999997</v>
      </c>
      <c r="S4" s="88">
        <f>LohntabelleM!S4*13</f>
        <v>270451.35000000003</v>
      </c>
      <c r="T4" s="88">
        <f>LohntabelleM!T4*13</f>
        <v>272923.3</v>
      </c>
      <c r="U4" s="88">
        <f>LohntabelleM!U4*13</f>
        <v>275393.3</v>
      </c>
      <c r="V4" s="88">
        <f>LohntabelleM!V4*13</f>
        <v>275393.3</v>
      </c>
      <c r="W4" s="88">
        <f>LohntabelleM!W4*13</f>
        <v>276719.95</v>
      </c>
      <c r="X4" s="88">
        <f>LohntabelleM!X4*13</f>
        <v>276719.95</v>
      </c>
      <c r="Y4" s="88">
        <f>LohntabelleM!Y4*13</f>
        <v>278049.2</v>
      </c>
      <c r="Z4" s="88">
        <f>LohntabelleM!Z4*13</f>
        <v>278049.2</v>
      </c>
      <c r="AA4" s="88">
        <f>LohntabelleM!AA4*13</f>
        <v>279379.75</v>
      </c>
      <c r="AB4" s="88">
        <f>LohntabelleM!AB4*13</f>
        <v>279379.75</v>
      </c>
      <c r="AC4" s="88">
        <f>LohntabelleM!AC4*13</f>
        <v>280709</v>
      </c>
      <c r="AD4" s="88">
        <f>LohntabelleM!AD4*13</f>
        <v>280709</v>
      </c>
      <c r="AE4" s="88">
        <f>LohntabelleM!AE4*13</f>
        <v>282039.55</v>
      </c>
    </row>
    <row r="5" spans="1:31" x14ac:dyDescent="0.2">
      <c r="A5" s="84">
        <v>2</v>
      </c>
      <c r="B5" s="88">
        <f>LohntabelleM!B5*13</f>
        <v>173463.55000000002</v>
      </c>
      <c r="C5" s="88">
        <f>LohntabelleM!C5*13</f>
        <v>181441.65</v>
      </c>
      <c r="D5" s="88">
        <f>LohntabelleM!D5*13</f>
        <v>189422.35</v>
      </c>
      <c r="E5" s="88">
        <f>LohntabelleM!E5*13</f>
        <v>197402.4</v>
      </c>
      <c r="F5" s="88">
        <f>LohntabelleM!F5*13</f>
        <v>205101.65</v>
      </c>
      <c r="G5" s="88">
        <f>LohntabelleM!G5*13</f>
        <v>212804.15</v>
      </c>
      <c r="H5" s="88">
        <f>LohntabelleM!H5*13</f>
        <v>220504.05</v>
      </c>
      <c r="I5" s="88">
        <f>LohntabelleM!I5*13</f>
        <v>228204.6</v>
      </c>
      <c r="J5" s="88">
        <f>LohntabelleM!J5*13</f>
        <v>231575.5</v>
      </c>
      <c r="K5" s="88">
        <f>LohntabelleM!K5*13</f>
        <v>234948.35</v>
      </c>
      <c r="L5" s="88">
        <f>LohntabelleM!L5*13</f>
        <v>238319.9</v>
      </c>
      <c r="M5" s="88">
        <f>LohntabelleM!M5*13</f>
        <v>241690.15</v>
      </c>
      <c r="N5" s="88">
        <f>LohntabelleM!N5*13</f>
        <v>244122.45</v>
      </c>
      <c r="O5" s="88">
        <f>LohntabelleM!O5*13</f>
        <v>246556.05</v>
      </c>
      <c r="P5" s="88">
        <f>LohntabelleM!P5*13</f>
        <v>248989</v>
      </c>
      <c r="Q5" s="88">
        <f>LohntabelleM!Q5*13</f>
        <v>251420</v>
      </c>
      <c r="R5" s="88">
        <f>LohntabelleM!R5*13</f>
        <v>253855.55</v>
      </c>
      <c r="S5" s="88">
        <f>LohntabelleM!S5*13</f>
        <v>256285.25</v>
      </c>
      <c r="T5" s="88">
        <f>LohntabelleM!T5*13</f>
        <v>258722.1</v>
      </c>
      <c r="U5" s="88">
        <f>LohntabelleM!U5*13</f>
        <v>261151.8</v>
      </c>
      <c r="V5" s="88">
        <f>LohntabelleM!V5*13</f>
        <v>261151.8</v>
      </c>
      <c r="W5" s="88">
        <f>LohntabelleM!W5*13</f>
        <v>262404.35000000003</v>
      </c>
      <c r="X5" s="88">
        <f>LohntabelleM!X5*13</f>
        <v>262404.35000000003</v>
      </c>
      <c r="Y5" s="88">
        <f>LohntabelleM!Y5*13</f>
        <v>263657.55</v>
      </c>
      <c r="Z5" s="88">
        <f>LohntabelleM!Z5*13</f>
        <v>263657.55</v>
      </c>
      <c r="AA5" s="88">
        <f>LohntabelleM!AA5*13</f>
        <v>264908.14999999997</v>
      </c>
      <c r="AB5" s="88">
        <f>LohntabelleM!AB5*13</f>
        <v>264908.14999999997</v>
      </c>
      <c r="AC5" s="88">
        <f>LohntabelleM!AC5*13</f>
        <v>266160.7</v>
      </c>
      <c r="AD5" s="88">
        <f>LohntabelleM!AD5*13</f>
        <v>266160.7</v>
      </c>
      <c r="AE5" s="88">
        <f>LohntabelleM!AE5*13</f>
        <v>267412.60000000003</v>
      </c>
    </row>
    <row r="6" spans="1:31" x14ac:dyDescent="0.2">
      <c r="A6" s="84">
        <v>3</v>
      </c>
      <c r="B6" s="88">
        <f>LohntabelleM!B6*13</f>
        <v>163557.55000000002</v>
      </c>
      <c r="C6" s="88">
        <f>LohntabelleM!C6*13</f>
        <v>171065.05000000002</v>
      </c>
      <c r="D6" s="88">
        <f>LohntabelleM!D6*13</f>
        <v>178573.19999999998</v>
      </c>
      <c r="E6" s="88">
        <f>LohntabelleM!E6*13</f>
        <v>186083.30000000002</v>
      </c>
      <c r="F6" s="88">
        <f>LohntabelleM!F6*13</f>
        <v>193326.25</v>
      </c>
      <c r="G6" s="88">
        <f>LohntabelleM!G6*13</f>
        <v>200572.44999999998</v>
      </c>
      <c r="H6" s="88">
        <f>LohntabelleM!H6*13</f>
        <v>207818</v>
      </c>
      <c r="I6" s="88">
        <f>LohntabelleM!I6*13</f>
        <v>215060.3</v>
      </c>
      <c r="J6" s="88">
        <f>LohntabelleM!J6*13</f>
        <v>218232.3</v>
      </c>
      <c r="K6" s="88">
        <f>LohntabelleM!K6*13</f>
        <v>221406.9</v>
      </c>
      <c r="L6" s="88">
        <f>LohntabelleM!L6*13</f>
        <v>224578.25</v>
      </c>
      <c r="M6" s="88">
        <f>LohntabelleM!M6*13</f>
        <v>227750.25</v>
      </c>
      <c r="N6" s="88">
        <f>LohntabelleM!N6*13</f>
        <v>230146.8</v>
      </c>
      <c r="O6" s="88">
        <f>LohntabelleM!O6*13</f>
        <v>232542.7</v>
      </c>
      <c r="P6" s="88">
        <f>LohntabelleM!P6*13</f>
        <v>234938.6</v>
      </c>
      <c r="Q6" s="88">
        <f>LohntabelleM!Q6*13</f>
        <v>237335.15</v>
      </c>
      <c r="R6" s="88">
        <f>LohntabelleM!R6*13</f>
        <v>239730.4</v>
      </c>
      <c r="S6" s="88">
        <f>LohntabelleM!S6*13</f>
        <v>242126.3</v>
      </c>
      <c r="T6" s="88">
        <f>LohntabelleM!T6*13</f>
        <v>244522.85</v>
      </c>
      <c r="U6" s="88">
        <f>LohntabelleM!U6*13</f>
        <v>246917.45</v>
      </c>
      <c r="V6" s="88">
        <f>LohntabelleM!V6*13</f>
        <v>246917.45</v>
      </c>
      <c r="W6" s="88">
        <f>LohntabelleM!W6*13</f>
        <v>248092.65</v>
      </c>
      <c r="X6" s="88">
        <f>LohntabelleM!X6*13</f>
        <v>248092.65</v>
      </c>
      <c r="Y6" s="88">
        <f>LohntabelleM!Y6*13</f>
        <v>249266.55</v>
      </c>
      <c r="Z6" s="88">
        <f>LohntabelleM!Z6*13</f>
        <v>249266.55</v>
      </c>
      <c r="AA6" s="88">
        <f>LohntabelleM!AA6*13</f>
        <v>250442.4</v>
      </c>
      <c r="AB6" s="88">
        <f>LohntabelleM!AB6*13</f>
        <v>250442.4</v>
      </c>
      <c r="AC6" s="88">
        <f>LohntabelleM!AC6*13</f>
        <v>251616.95</v>
      </c>
      <c r="AD6" s="88">
        <f>LohntabelleM!AD6*13</f>
        <v>251616.95</v>
      </c>
      <c r="AE6" s="88">
        <f>LohntabelleM!AE6*13</f>
        <v>252790.2</v>
      </c>
    </row>
    <row r="7" spans="1:31" x14ac:dyDescent="0.2">
      <c r="A7" s="84">
        <v>4</v>
      </c>
      <c r="B7" s="88">
        <f>LohntabelleM!B7*13</f>
        <v>153655.44999999998</v>
      </c>
      <c r="C7" s="88">
        <f>LohntabelleM!C7*13</f>
        <v>160690.4</v>
      </c>
      <c r="D7" s="88">
        <f>LohntabelleM!D7*13</f>
        <v>167726.65</v>
      </c>
      <c r="E7" s="88">
        <f>LohntabelleM!E7*13</f>
        <v>174762.9</v>
      </c>
      <c r="F7" s="88">
        <f>LohntabelleM!F7*13</f>
        <v>181554.1</v>
      </c>
      <c r="G7" s="88">
        <f>LohntabelleM!G7*13</f>
        <v>188342.05000000002</v>
      </c>
      <c r="H7" s="88">
        <f>LohntabelleM!H7*13</f>
        <v>195134.55000000002</v>
      </c>
      <c r="I7" s="88">
        <f>LohntabelleM!I7*13</f>
        <v>201925.1</v>
      </c>
      <c r="J7" s="88">
        <f>LohntabelleM!J7*13</f>
        <v>204898.85</v>
      </c>
      <c r="K7" s="88">
        <f>LohntabelleM!K7*13</f>
        <v>207871.94999999998</v>
      </c>
      <c r="L7" s="88">
        <f>LohntabelleM!L7*13</f>
        <v>210845.05000000002</v>
      </c>
      <c r="M7" s="88">
        <f>LohntabelleM!M7*13</f>
        <v>213817.5</v>
      </c>
      <c r="N7" s="88">
        <f>LohntabelleM!N7*13</f>
        <v>216175.05</v>
      </c>
      <c r="O7" s="88">
        <f>LohntabelleM!O7*13</f>
        <v>218533.9</v>
      </c>
      <c r="P7" s="88">
        <f>LohntabelleM!P7*13</f>
        <v>220892.75</v>
      </c>
      <c r="Q7" s="88">
        <f>LohntabelleM!Q7*13</f>
        <v>223251.6</v>
      </c>
      <c r="R7" s="88">
        <f>LohntabelleM!R7*13</f>
        <v>225607.2</v>
      </c>
      <c r="S7" s="88">
        <f>LohntabelleM!S7*13</f>
        <v>227966.7</v>
      </c>
      <c r="T7" s="88">
        <f>LohntabelleM!T7*13</f>
        <v>230324.25</v>
      </c>
      <c r="U7" s="88">
        <f>LohntabelleM!U7*13</f>
        <v>232683.1</v>
      </c>
      <c r="V7" s="88">
        <f>LohntabelleM!V7*13</f>
        <v>232683.1</v>
      </c>
      <c r="W7" s="88">
        <f>LohntabelleM!W7*13</f>
        <v>233780.95</v>
      </c>
      <c r="X7" s="88">
        <f>LohntabelleM!X7*13</f>
        <v>233780.95</v>
      </c>
      <c r="Y7" s="88">
        <f>LohntabelleM!Y7*13</f>
        <v>234876.85</v>
      </c>
      <c r="Z7" s="88">
        <f>LohntabelleM!Z7*13</f>
        <v>234876.85</v>
      </c>
      <c r="AA7" s="88">
        <f>LohntabelleM!AA7*13</f>
        <v>235975.35</v>
      </c>
      <c r="AB7" s="88">
        <f>LohntabelleM!AB7*13</f>
        <v>235975.35</v>
      </c>
      <c r="AC7" s="88">
        <f>LohntabelleM!AC7*13</f>
        <v>237070.6</v>
      </c>
      <c r="AD7" s="88">
        <f>LohntabelleM!AD7*13</f>
        <v>237070.6</v>
      </c>
      <c r="AE7" s="88">
        <f>LohntabelleM!AE7*13</f>
        <v>238170.4</v>
      </c>
    </row>
    <row r="8" spans="1:31" x14ac:dyDescent="0.2">
      <c r="A8" s="84">
        <v>5</v>
      </c>
      <c r="B8" s="88">
        <f>LohntabelleM!B8*13</f>
        <v>143744.9</v>
      </c>
      <c r="C8" s="88">
        <f>LohntabelleM!C8*13</f>
        <v>150309.25</v>
      </c>
      <c r="D8" s="88">
        <f>LohntabelleM!D8*13</f>
        <v>156874.9</v>
      </c>
      <c r="E8" s="88">
        <f>LohntabelleM!E8*13</f>
        <v>163441.19999999998</v>
      </c>
      <c r="F8" s="88">
        <f>LohntabelleM!F8*13</f>
        <v>169776.1</v>
      </c>
      <c r="G8" s="88">
        <f>LohntabelleM!G8*13</f>
        <v>176112.30000000002</v>
      </c>
      <c r="H8" s="88">
        <f>LohntabelleM!H8*13</f>
        <v>182447.85</v>
      </c>
      <c r="I8" s="88">
        <f>LohntabelleM!I8*13</f>
        <v>188784.69999999998</v>
      </c>
      <c r="J8" s="88">
        <f>LohntabelleM!J8*13</f>
        <v>191558.25</v>
      </c>
      <c r="K8" s="88">
        <f>LohntabelleM!K8*13</f>
        <v>194331.80000000002</v>
      </c>
      <c r="L8" s="88">
        <f>LohntabelleM!L8*13</f>
        <v>197106</v>
      </c>
      <c r="M8" s="88">
        <f>LohntabelleM!M8*13</f>
        <v>199880.19999999998</v>
      </c>
      <c r="N8" s="88">
        <f>LohntabelleM!N8*13</f>
        <v>202183.15</v>
      </c>
      <c r="O8" s="88">
        <f>LohntabelleM!O8*13</f>
        <v>204486.1</v>
      </c>
      <c r="P8" s="88">
        <f>LohntabelleM!P8*13</f>
        <v>206786.44999999998</v>
      </c>
      <c r="Q8" s="88">
        <f>LohntabelleM!Q8*13</f>
        <v>209090.05000000002</v>
      </c>
      <c r="R8" s="88">
        <f>LohntabelleM!R8*13</f>
        <v>211393</v>
      </c>
      <c r="S8" s="88">
        <f>LohntabelleM!S8*13</f>
        <v>213695.95</v>
      </c>
      <c r="T8" s="88">
        <f>LohntabelleM!T8*13</f>
        <v>215999.55</v>
      </c>
      <c r="U8" s="88">
        <f>LohntabelleM!U8*13</f>
        <v>218301.2</v>
      </c>
      <c r="V8" s="88">
        <f>LohntabelleM!V8*13</f>
        <v>218301.2</v>
      </c>
      <c r="W8" s="88">
        <f>LohntabelleM!W8*13</f>
        <v>219349.65</v>
      </c>
      <c r="X8" s="88">
        <f>LohntabelleM!X8*13</f>
        <v>219349.65</v>
      </c>
      <c r="Y8" s="88">
        <f>LohntabelleM!Y8*13</f>
        <v>220400.05</v>
      </c>
      <c r="Z8" s="88">
        <f>LohntabelleM!Z8*13</f>
        <v>220400.05</v>
      </c>
      <c r="AA8" s="88">
        <f>LohntabelleM!AA8*13</f>
        <v>221449.15</v>
      </c>
      <c r="AB8" s="88">
        <f>LohntabelleM!AB8*13</f>
        <v>221449.15</v>
      </c>
      <c r="AC8" s="88">
        <f>LohntabelleM!AC8*13</f>
        <v>222497.6</v>
      </c>
      <c r="AD8" s="88">
        <f>LohntabelleM!AD8*13</f>
        <v>222497.6</v>
      </c>
      <c r="AE8" s="88">
        <f>LohntabelleM!AE8*13</f>
        <v>223548.65</v>
      </c>
    </row>
    <row r="9" spans="1:31" x14ac:dyDescent="0.2">
      <c r="A9" s="84">
        <v>6</v>
      </c>
      <c r="B9" s="88">
        <f>LohntabelleM!B9*13</f>
        <v>133841.5</v>
      </c>
      <c r="C9" s="88">
        <f>LohntabelleM!C9*13</f>
        <v>139933.94999999998</v>
      </c>
      <c r="D9" s="88">
        <f>LohntabelleM!D9*13</f>
        <v>146029</v>
      </c>
      <c r="E9" s="88">
        <f>LohntabelleM!E9*13</f>
        <v>152120.80000000002</v>
      </c>
      <c r="F9" s="88">
        <f>LohntabelleM!F9*13</f>
        <v>158002.65</v>
      </c>
      <c r="G9" s="88">
        <f>LohntabelleM!G9*13</f>
        <v>163883.19999999998</v>
      </c>
      <c r="H9" s="88">
        <f>LohntabelleM!H9*13</f>
        <v>169763.1</v>
      </c>
      <c r="I9" s="88">
        <f>LohntabelleM!I9*13</f>
        <v>175643.65</v>
      </c>
      <c r="J9" s="88">
        <f>LohntabelleM!J9*13</f>
        <v>178217.65</v>
      </c>
      <c r="K9" s="88">
        <f>LohntabelleM!K9*13</f>
        <v>180792.30000000002</v>
      </c>
      <c r="L9" s="88">
        <f>LohntabelleM!L9*13</f>
        <v>183366.94999999998</v>
      </c>
      <c r="M9" s="88">
        <f>LohntabelleM!M9*13</f>
        <v>185940.94999999998</v>
      </c>
      <c r="N9" s="88">
        <f>LohntabelleM!N9*13</f>
        <v>188192.55000000002</v>
      </c>
      <c r="O9" s="88">
        <f>LohntabelleM!O9*13</f>
        <v>190440.9</v>
      </c>
      <c r="P9" s="88">
        <f>LohntabelleM!P9*13</f>
        <v>192691.19999999998</v>
      </c>
      <c r="Q9" s="88">
        <f>LohntabelleM!Q9*13</f>
        <v>194940.85</v>
      </c>
      <c r="R9" s="88">
        <f>LohntabelleM!R9*13</f>
        <v>197191.80000000002</v>
      </c>
      <c r="S9" s="88">
        <f>LohntabelleM!S9*13</f>
        <v>199441.44999999998</v>
      </c>
      <c r="T9" s="88">
        <f>LohntabelleM!T9*13</f>
        <v>201689.80000000002</v>
      </c>
      <c r="U9" s="88">
        <f>LohntabelleM!U9*13</f>
        <v>203939.44999999998</v>
      </c>
      <c r="V9" s="88">
        <f>LohntabelleM!V9*13</f>
        <v>203939.44999999998</v>
      </c>
      <c r="W9" s="88">
        <f>LohntabelleM!W9*13</f>
        <v>204938.5</v>
      </c>
      <c r="X9" s="88">
        <f>LohntabelleM!X9*13</f>
        <v>204938.5</v>
      </c>
      <c r="Y9" s="88">
        <f>LohntabelleM!Y9*13</f>
        <v>205937.55000000002</v>
      </c>
      <c r="Z9" s="88">
        <f>LohntabelleM!Z9*13</f>
        <v>205937.55000000002</v>
      </c>
      <c r="AA9" s="88">
        <f>LohntabelleM!AA9*13</f>
        <v>206934.65</v>
      </c>
      <c r="AB9" s="88">
        <f>LohntabelleM!AB9*13</f>
        <v>206934.65</v>
      </c>
      <c r="AC9" s="88">
        <f>LohntabelleM!AC9*13</f>
        <v>207932.4</v>
      </c>
      <c r="AD9" s="88">
        <f>LohntabelleM!AD9*13</f>
        <v>207932.4</v>
      </c>
      <c r="AE9" s="88">
        <f>LohntabelleM!AE9*13</f>
        <v>208931.44999999998</v>
      </c>
    </row>
    <row r="10" spans="1:31" x14ac:dyDescent="0.2">
      <c r="A10" s="84">
        <v>7</v>
      </c>
      <c r="B10" s="88">
        <f>LohntabelleM!B10*13</f>
        <v>123830.2</v>
      </c>
      <c r="C10" s="88">
        <f>LohntabelleM!C10*13</f>
        <v>129487.8</v>
      </c>
      <c r="D10" s="88">
        <f>LohntabelleM!D10*13</f>
        <v>135144.75</v>
      </c>
      <c r="E10" s="88">
        <f>LohntabelleM!E10*13</f>
        <v>140803</v>
      </c>
      <c r="F10" s="88">
        <f>LohntabelleM!F10*13</f>
        <v>146227.25</v>
      </c>
      <c r="G10" s="88">
        <f>LohntabelleM!G10*13</f>
        <v>151651.5</v>
      </c>
      <c r="H10" s="88">
        <f>LohntabelleM!H10*13</f>
        <v>157078.35</v>
      </c>
      <c r="I10" s="88">
        <f>LohntabelleM!I10*13</f>
        <v>162501.94999999998</v>
      </c>
      <c r="J10" s="88">
        <f>LohntabelleM!J10*13</f>
        <v>164877.69999999998</v>
      </c>
      <c r="K10" s="88">
        <f>LohntabelleM!K10*13</f>
        <v>167253.44999999998</v>
      </c>
      <c r="L10" s="88">
        <f>LohntabelleM!L10*13</f>
        <v>169625.94999999998</v>
      </c>
      <c r="M10" s="88">
        <f>LohntabelleM!M10*13</f>
        <v>172001.69999999998</v>
      </c>
      <c r="N10" s="88">
        <f>LohntabelleM!N10*13</f>
        <v>174190.9</v>
      </c>
      <c r="O10" s="88">
        <f>LohntabelleM!O10*13</f>
        <v>176382.69999999998</v>
      </c>
      <c r="P10" s="88">
        <f>LohntabelleM!P10*13</f>
        <v>178571.9</v>
      </c>
      <c r="Q10" s="88">
        <f>LohntabelleM!Q10*13</f>
        <v>180762.4</v>
      </c>
      <c r="R10" s="88">
        <f>LohntabelleM!R10*13</f>
        <v>182954.85</v>
      </c>
      <c r="S10" s="88">
        <f>LohntabelleM!S10*13</f>
        <v>185144.05000000002</v>
      </c>
      <c r="T10" s="88">
        <f>LohntabelleM!T10*13</f>
        <v>187333.9</v>
      </c>
      <c r="U10" s="88">
        <f>LohntabelleM!U10*13</f>
        <v>189526.35</v>
      </c>
      <c r="V10" s="88">
        <f>LohntabelleM!V10*13</f>
        <v>189526.35</v>
      </c>
      <c r="W10" s="88">
        <f>LohntabelleM!W10*13</f>
        <v>190479.9</v>
      </c>
      <c r="X10" s="88">
        <f>LohntabelleM!X10*13</f>
        <v>190479.9</v>
      </c>
      <c r="Y10" s="88">
        <f>LohntabelleM!Y10*13</f>
        <v>191436.05000000002</v>
      </c>
      <c r="Z10" s="88">
        <f>LohntabelleM!Z10*13</f>
        <v>191436.05000000002</v>
      </c>
      <c r="AA10" s="88">
        <f>LohntabelleM!AA10*13</f>
        <v>192393.5</v>
      </c>
      <c r="AB10" s="88">
        <f>LohntabelleM!AB10*13</f>
        <v>192393.5</v>
      </c>
      <c r="AC10" s="88">
        <f>LohntabelleM!AC10*13</f>
        <v>193347.69999999998</v>
      </c>
      <c r="AD10" s="88">
        <f>LohntabelleM!AD10*13</f>
        <v>193347.69999999998</v>
      </c>
      <c r="AE10" s="88">
        <f>LohntabelleM!AE10*13</f>
        <v>194303.19999999998</v>
      </c>
    </row>
    <row r="11" spans="1:31" x14ac:dyDescent="0.2">
      <c r="A11" s="84">
        <v>8</v>
      </c>
      <c r="B11" s="88">
        <f>LohntabelleM!B11*13</f>
        <v>114704.85</v>
      </c>
      <c r="C11" s="88">
        <f>LohntabelleM!C11*13</f>
        <v>120001.05</v>
      </c>
      <c r="D11" s="88">
        <f>LohntabelleM!D11*13</f>
        <v>125297.25</v>
      </c>
      <c r="E11" s="88">
        <f>LohntabelleM!E11*13</f>
        <v>130592.8</v>
      </c>
      <c r="F11" s="88">
        <f>LohntabelleM!F11*13</f>
        <v>135604.94999999998</v>
      </c>
      <c r="G11" s="88">
        <f>LohntabelleM!G11*13</f>
        <v>140615.15</v>
      </c>
      <c r="H11" s="88">
        <f>LohntabelleM!H11*13</f>
        <v>145629.9</v>
      </c>
      <c r="I11" s="88">
        <f>LohntabelleM!I11*13</f>
        <v>150641.4</v>
      </c>
      <c r="J11" s="88">
        <f>LohntabelleM!J11*13</f>
        <v>152831.9</v>
      </c>
      <c r="K11" s="88">
        <f>LohntabelleM!K11*13</f>
        <v>155025</v>
      </c>
      <c r="L11" s="88">
        <f>LohntabelleM!L11*13</f>
        <v>157218.1</v>
      </c>
      <c r="M11" s="88">
        <f>LohntabelleM!M11*13</f>
        <v>159411.19999999998</v>
      </c>
      <c r="N11" s="88">
        <f>LohntabelleM!N11*13</f>
        <v>161406.05000000002</v>
      </c>
      <c r="O11" s="88">
        <f>LohntabelleM!O11*13</f>
        <v>163401.55000000002</v>
      </c>
      <c r="P11" s="88">
        <f>LohntabelleM!P11*13</f>
        <v>165396.4</v>
      </c>
      <c r="Q11" s="88">
        <f>LohntabelleM!Q11*13</f>
        <v>167391.9</v>
      </c>
      <c r="R11" s="88">
        <f>LohntabelleM!R11*13</f>
        <v>169386.75</v>
      </c>
      <c r="S11" s="88">
        <f>LohntabelleM!S11*13</f>
        <v>171382.25</v>
      </c>
      <c r="T11" s="88">
        <f>LohntabelleM!T11*13</f>
        <v>173376.44999999998</v>
      </c>
      <c r="U11" s="88">
        <f>LohntabelleM!U11*13</f>
        <v>175370.65</v>
      </c>
      <c r="V11" s="88">
        <f>LohntabelleM!V11*13</f>
        <v>175370.65</v>
      </c>
      <c r="W11" s="88">
        <f>LohntabelleM!W11*13</f>
        <v>176244.9</v>
      </c>
      <c r="X11" s="88">
        <f>LohntabelleM!X11*13</f>
        <v>176244.9</v>
      </c>
      <c r="Y11" s="88">
        <f>LohntabelleM!Y11*13</f>
        <v>177114.6</v>
      </c>
      <c r="Z11" s="88">
        <f>LohntabelleM!Z11*13</f>
        <v>177114.6</v>
      </c>
      <c r="AA11" s="88">
        <f>LohntabelleM!AA11*13</f>
        <v>177987.55000000002</v>
      </c>
      <c r="AB11" s="88">
        <f>LohntabelleM!AB11*13</f>
        <v>177987.55000000002</v>
      </c>
      <c r="AC11" s="88">
        <f>LohntabelleM!AC11*13</f>
        <v>178858.55000000002</v>
      </c>
      <c r="AD11" s="88">
        <f>LohntabelleM!AD11*13</f>
        <v>178858.55000000002</v>
      </c>
      <c r="AE11" s="88">
        <f>LohntabelleM!AE11*13</f>
        <v>179731.5</v>
      </c>
    </row>
    <row r="12" spans="1:31" x14ac:dyDescent="0.2">
      <c r="A12" s="84">
        <v>9</v>
      </c>
      <c r="B12" s="88">
        <f>LohntabelleM!B12*13</f>
        <v>106567.5</v>
      </c>
      <c r="C12" s="88">
        <f>LohntabelleM!C12*13</f>
        <v>111488.65</v>
      </c>
      <c r="D12" s="88">
        <f>LohntabelleM!D12*13</f>
        <v>116409.8</v>
      </c>
      <c r="E12" s="88">
        <f>LohntabelleM!E12*13</f>
        <v>121333.55</v>
      </c>
      <c r="F12" s="88">
        <f>LohntabelleM!F12*13</f>
        <v>126003.15</v>
      </c>
      <c r="G12" s="88">
        <f>LohntabelleM!G12*13</f>
        <v>130674.05</v>
      </c>
      <c r="H12" s="88">
        <f>LohntabelleM!H12*13</f>
        <v>135346.9</v>
      </c>
      <c r="I12" s="88">
        <f>LohntabelleM!I12*13</f>
        <v>140016.5</v>
      </c>
      <c r="J12" s="88">
        <f>LohntabelleM!J12*13</f>
        <v>142061.4</v>
      </c>
      <c r="K12" s="88">
        <f>LohntabelleM!K12*13</f>
        <v>144104.35</v>
      </c>
      <c r="L12" s="88">
        <f>LohntabelleM!L12*13</f>
        <v>146148.6</v>
      </c>
      <c r="M12" s="88">
        <f>LohntabelleM!M12*13</f>
        <v>148192.85</v>
      </c>
      <c r="N12" s="88">
        <f>LohntabelleM!N12*13</f>
        <v>149993.35</v>
      </c>
      <c r="O12" s="88">
        <f>LohntabelleM!O12*13</f>
        <v>151792.55000000002</v>
      </c>
      <c r="P12" s="88">
        <f>LohntabelleM!P12*13</f>
        <v>153592.4</v>
      </c>
      <c r="Q12" s="88">
        <f>LohntabelleM!Q12*13</f>
        <v>155392.9</v>
      </c>
      <c r="R12" s="88">
        <f>LohntabelleM!R12*13</f>
        <v>157192.1</v>
      </c>
      <c r="S12" s="88">
        <f>LohntabelleM!S12*13</f>
        <v>158991.94999999998</v>
      </c>
      <c r="T12" s="88">
        <f>LohntabelleM!T12*13</f>
        <v>160789.85</v>
      </c>
      <c r="U12" s="88">
        <f>LohntabelleM!U12*13</f>
        <v>162591</v>
      </c>
      <c r="V12" s="88">
        <f>LohntabelleM!V12*13</f>
        <v>162591</v>
      </c>
      <c r="W12" s="88">
        <f>LohntabelleM!W12*13</f>
        <v>163388.55000000002</v>
      </c>
      <c r="X12" s="88">
        <f>LohntabelleM!X12*13</f>
        <v>163388.55000000002</v>
      </c>
      <c r="Y12" s="88">
        <f>LohntabelleM!Y12*13</f>
        <v>164185.44999999998</v>
      </c>
      <c r="Z12" s="88">
        <f>LohntabelleM!Z12*13</f>
        <v>164185.44999999998</v>
      </c>
      <c r="AA12" s="88">
        <f>LohntabelleM!AA12*13</f>
        <v>164982.35</v>
      </c>
      <c r="AB12" s="88">
        <f>LohntabelleM!AB12*13</f>
        <v>164982.35</v>
      </c>
      <c r="AC12" s="88">
        <f>LohntabelleM!AC12*13</f>
        <v>165780.55000000002</v>
      </c>
      <c r="AD12" s="88">
        <f>LohntabelleM!AD12*13</f>
        <v>165780.55000000002</v>
      </c>
      <c r="AE12" s="88">
        <f>LohntabelleM!AE12*13</f>
        <v>166578.75</v>
      </c>
    </row>
    <row r="13" spans="1:31" x14ac:dyDescent="0.2">
      <c r="A13" s="84">
        <v>10</v>
      </c>
      <c r="B13" s="88">
        <f>LohntabelleM!B13*13</f>
        <v>99448.7</v>
      </c>
      <c r="C13" s="88">
        <f>LohntabelleM!C13*13</f>
        <v>104033.8</v>
      </c>
      <c r="D13" s="88">
        <f>LohntabelleM!D13*13</f>
        <v>108618.25</v>
      </c>
      <c r="E13" s="88">
        <f>LohntabelleM!E13*13</f>
        <v>113202.7</v>
      </c>
      <c r="F13" s="88">
        <f>LohntabelleM!F13*13</f>
        <v>117585</v>
      </c>
      <c r="G13" s="88">
        <f>LohntabelleM!G13*13</f>
        <v>121967.3</v>
      </c>
      <c r="H13" s="88">
        <f>LohntabelleM!H13*13</f>
        <v>126348.3</v>
      </c>
      <c r="I13" s="88">
        <f>LohntabelleM!I13*13</f>
        <v>130731.25</v>
      </c>
      <c r="J13" s="88">
        <f>LohntabelleM!J13*13</f>
        <v>132650.05000000002</v>
      </c>
      <c r="K13" s="88">
        <f>LohntabelleM!K13*13</f>
        <v>134568.19999999998</v>
      </c>
      <c r="L13" s="88">
        <f>LohntabelleM!L13*13</f>
        <v>136485.05000000002</v>
      </c>
      <c r="M13" s="88">
        <f>LohntabelleM!M13*13</f>
        <v>138404.5</v>
      </c>
      <c r="N13" s="88">
        <f>LohntabelleM!N13*13</f>
        <v>140015.19999999998</v>
      </c>
      <c r="O13" s="88">
        <f>LohntabelleM!O13*13</f>
        <v>141628.5</v>
      </c>
      <c r="P13" s="88">
        <f>LohntabelleM!P13*13</f>
        <v>143239.85</v>
      </c>
      <c r="Q13" s="88">
        <f>LohntabelleM!Q13*13</f>
        <v>144853.15</v>
      </c>
      <c r="R13" s="88">
        <f>LohntabelleM!R13*13</f>
        <v>146465.80000000002</v>
      </c>
      <c r="S13" s="88">
        <f>LohntabelleM!S13*13</f>
        <v>148077.15</v>
      </c>
      <c r="T13" s="88">
        <f>LohntabelleM!T13*13</f>
        <v>149689.80000000002</v>
      </c>
      <c r="U13" s="88">
        <f>LohntabelleM!U13*13</f>
        <v>151301.15</v>
      </c>
      <c r="V13" s="88">
        <f>LohntabelleM!V13*13</f>
        <v>151301.15</v>
      </c>
      <c r="W13" s="88">
        <f>LohntabelleM!W13*13</f>
        <v>152016.80000000002</v>
      </c>
      <c r="X13" s="88">
        <f>LohntabelleM!X13*13</f>
        <v>152016.80000000002</v>
      </c>
      <c r="Y13" s="88">
        <f>LohntabelleM!Y13*13</f>
        <v>152729.85</v>
      </c>
      <c r="Z13" s="88">
        <f>LohntabelleM!Z13*13</f>
        <v>152729.85</v>
      </c>
      <c r="AA13" s="88">
        <f>LohntabelleM!AA13*13</f>
        <v>153446.15</v>
      </c>
      <c r="AB13" s="88">
        <f>LohntabelleM!AB13*13</f>
        <v>153446.15</v>
      </c>
      <c r="AC13" s="88">
        <f>LohntabelleM!AC13*13</f>
        <v>154161.15</v>
      </c>
      <c r="AD13" s="88">
        <f>LohntabelleM!AD13*13</f>
        <v>154161.15</v>
      </c>
      <c r="AE13" s="88">
        <f>LohntabelleM!AE13*13</f>
        <v>154872.9</v>
      </c>
    </row>
    <row r="14" spans="1:31" x14ac:dyDescent="0.2">
      <c r="A14" s="84">
        <v>11</v>
      </c>
      <c r="B14" s="88">
        <f>LohntabelleM!B14*13</f>
        <v>92846.650000000009</v>
      </c>
      <c r="C14" s="88">
        <f>LohntabelleM!C14*13</f>
        <v>97119.099999999991</v>
      </c>
      <c r="D14" s="88">
        <f>LohntabelleM!D14*13</f>
        <v>101388.95</v>
      </c>
      <c r="E14" s="88">
        <f>LohntabelleM!E14*13</f>
        <v>105661.40000000001</v>
      </c>
      <c r="F14" s="88">
        <f>LohntabelleM!F14*13</f>
        <v>109773.95</v>
      </c>
      <c r="G14" s="88">
        <f>LohntabelleM!G14*13</f>
        <v>113884.55</v>
      </c>
      <c r="H14" s="88">
        <f>LohntabelleM!H14*13</f>
        <v>117995.8</v>
      </c>
      <c r="I14" s="88">
        <f>LohntabelleM!I14*13</f>
        <v>122107.7</v>
      </c>
      <c r="J14" s="88">
        <f>LohntabelleM!J14*13</f>
        <v>123907.55</v>
      </c>
      <c r="K14" s="88">
        <f>LohntabelleM!K14*13</f>
        <v>125708.7</v>
      </c>
      <c r="L14" s="88">
        <f>LohntabelleM!L14*13</f>
        <v>127509.2</v>
      </c>
      <c r="M14" s="88">
        <f>LohntabelleM!M14*13</f>
        <v>129307.1</v>
      </c>
      <c r="N14" s="88">
        <f>LohntabelleM!N14*13</f>
        <v>130815.1</v>
      </c>
      <c r="O14" s="88">
        <f>LohntabelleM!O14*13</f>
        <v>132319.85</v>
      </c>
      <c r="P14" s="88">
        <f>LohntabelleM!P14*13</f>
        <v>133827.19999999998</v>
      </c>
      <c r="Q14" s="88">
        <f>LohntabelleM!Q14*13</f>
        <v>135331.94999999998</v>
      </c>
      <c r="R14" s="88">
        <f>LohntabelleM!R14*13</f>
        <v>136836.69999999998</v>
      </c>
      <c r="S14" s="88">
        <f>LohntabelleM!S14*13</f>
        <v>138343.4</v>
      </c>
      <c r="T14" s="88">
        <f>LohntabelleM!T14*13</f>
        <v>139848.80000000002</v>
      </c>
      <c r="U14" s="88">
        <f>LohntabelleM!U14*13</f>
        <v>141354.85</v>
      </c>
      <c r="V14" s="88">
        <f>LohntabelleM!V14*13</f>
        <v>141354.85</v>
      </c>
      <c r="W14" s="88">
        <f>LohntabelleM!W14*13</f>
        <v>142008.75</v>
      </c>
      <c r="X14" s="88">
        <f>LohntabelleM!X14*13</f>
        <v>142008.75</v>
      </c>
      <c r="Y14" s="88">
        <f>LohntabelleM!Y14*13</f>
        <v>142664.6</v>
      </c>
      <c r="Z14" s="88">
        <f>LohntabelleM!Z14*13</f>
        <v>142664.6</v>
      </c>
      <c r="AA14" s="88">
        <f>LohntabelleM!AA14*13</f>
        <v>143319.80000000002</v>
      </c>
      <c r="AB14" s="88">
        <f>LohntabelleM!AB14*13</f>
        <v>143319.80000000002</v>
      </c>
      <c r="AC14" s="88">
        <f>LohntabelleM!AC14*13</f>
        <v>143971.1</v>
      </c>
      <c r="AD14" s="88">
        <f>LohntabelleM!AD14*13</f>
        <v>143971.1</v>
      </c>
      <c r="AE14" s="88">
        <f>LohntabelleM!AE14*13</f>
        <v>144626.30000000002</v>
      </c>
    </row>
    <row r="15" spans="1:31" x14ac:dyDescent="0.2">
      <c r="A15" s="84">
        <v>12</v>
      </c>
      <c r="B15" s="88">
        <f>LohntabelleM!B15*13</f>
        <v>86760.7</v>
      </c>
      <c r="C15" s="88">
        <f>LohntabelleM!C15*13</f>
        <v>90742.599999999991</v>
      </c>
      <c r="D15" s="88">
        <f>LohntabelleM!D15*13</f>
        <v>94723.199999999997</v>
      </c>
      <c r="E15" s="88">
        <f>LohntabelleM!E15*13</f>
        <v>98701.849999999991</v>
      </c>
      <c r="F15" s="88">
        <f>LohntabelleM!F15*13</f>
        <v>102542.05</v>
      </c>
      <c r="G15" s="88">
        <f>LohntabelleM!G15*13</f>
        <v>106384.84999999999</v>
      </c>
      <c r="H15" s="88">
        <f>LohntabelleM!H15*13</f>
        <v>110224.4</v>
      </c>
      <c r="I15" s="88">
        <f>LohntabelleM!I15*13</f>
        <v>114065.25</v>
      </c>
      <c r="J15" s="88">
        <f>LohntabelleM!J15*13</f>
        <v>115746.15</v>
      </c>
      <c r="K15" s="88">
        <f>LohntabelleM!K15*13</f>
        <v>117426.4</v>
      </c>
      <c r="L15" s="88">
        <f>LohntabelleM!L15*13</f>
        <v>119107.95</v>
      </c>
      <c r="M15" s="88">
        <f>LohntabelleM!M15*13</f>
        <v>120789.5</v>
      </c>
      <c r="N15" s="88">
        <f>LohntabelleM!N15*13</f>
        <v>122205.85</v>
      </c>
      <c r="O15" s="88">
        <f>LohntabelleM!O15*13</f>
        <v>123622.2</v>
      </c>
      <c r="P15" s="88">
        <f>LohntabelleM!P15*13</f>
        <v>125036.6</v>
      </c>
      <c r="Q15" s="88">
        <f>LohntabelleM!Q15*13</f>
        <v>126454.25</v>
      </c>
      <c r="R15" s="88">
        <f>LohntabelleM!R15*13</f>
        <v>127871.25</v>
      </c>
      <c r="S15" s="88">
        <f>LohntabelleM!S15*13</f>
        <v>129285.65</v>
      </c>
      <c r="T15" s="88">
        <f>LohntabelleM!T15*13</f>
        <v>130702.65</v>
      </c>
      <c r="U15" s="88">
        <f>LohntabelleM!U15*13</f>
        <v>132119</v>
      </c>
      <c r="V15" s="88">
        <f>LohntabelleM!V15*13</f>
        <v>132119</v>
      </c>
      <c r="W15" s="88">
        <f>LohntabelleM!W15*13</f>
        <v>132720.25</v>
      </c>
      <c r="X15" s="88">
        <f>LohntabelleM!X15*13</f>
        <v>132720.25</v>
      </c>
      <c r="Y15" s="88">
        <f>LohntabelleM!Y15*13</f>
        <v>133320.19999999998</v>
      </c>
      <c r="Z15" s="88">
        <f>LohntabelleM!Z15*13</f>
        <v>133320.19999999998</v>
      </c>
      <c r="AA15" s="88">
        <f>LohntabelleM!AA15*13</f>
        <v>133921.44999999998</v>
      </c>
      <c r="AB15" s="88">
        <f>LohntabelleM!AB15*13</f>
        <v>133921.44999999998</v>
      </c>
      <c r="AC15" s="88">
        <f>LohntabelleM!AC15*13</f>
        <v>134522.69999999998</v>
      </c>
      <c r="AD15" s="88">
        <f>LohntabelleM!AD15*13</f>
        <v>134522.69999999998</v>
      </c>
      <c r="AE15" s="88">
        <f>LohntabelleM!AE15*13</f>
        <v>135124.6</v>
      </c>
    </row>
    <row r="16" spans="1:31" x14ac:dyDescent="0.2">
      <c r="A16" s="84">
        <v>13</v>
      </c>
      <c r="B16" s="88">
        <f>LohntabelleM!B16*13</f>
        <v>81151.199999999997</v>
      </c>
      <c r="C16" s="88">
        <f>LohntabelleM!C16*13</f>
        <v>84865.3</v>
      </c>
      <c r="D16" s="88">
        <f>LohntabelleM!D16*13</f>
        <v>88580.05</v>
      </c>
      <c r="E16" s="88">
        <f>LohntabelleM!E16*13</f>
        <v>92293.5</v>
      </c>
      <c r="F16" s="88">
        <f>LohntabelleM!F16*13</f>
        <v>95878.25</v>
      </c>
      <c r="G16" s="88">
        <f>LohntabelleM!G16*13</f>
        <v>99461.05</v>
      </c>
      <c r="H16" s="88">
        <f>LohntabelleM!H16*13</f>
        <v>103044.5</v>
      </c>
      <c r="I16" s="88">
        <f>LohntabelleM!I16*13</f>
        <v>106629.9</v>
      </c>
      <c r="J16" s="88">
        <f>LohntabelleM!J16*13</f>
        <v>108199.65</v>
      </c>
      <c r="K16" s="88">
        <f>LohntabelleM!K16*13</f>
        <v>109769.4</v>
      </c>
      <c r="L16" s="88">
        <f>LohntabelleM!L16*13</f>
        <v>111336.55</v>
      </c>
      <c r="M16" s="88">
        <f>LohntabelleM!M16*13</f>
        <v>112906.95</v>
      </c>
      <c r="N16" s="88">
        <f>LohntabelleM!N16*13</f>
        <v>114219.3</v>
      </c>
      <c r="O16" s="88">
        <f>LohntabelleM!O16*13</f>
        <v>115532.3</v>
      </c>
      <c r="P16" s="88">
        <f>LohntabelleM!P16*13</f>
        <v>116845.95</v>
      </c>
      <c r="Q16" s="88">
        <f>LohntabelleM!Q16*13</f>
        <v>118158.95</v>
      </c>
      <c r="R16" s="88">
        <f>LohntabelleM!R16*13</f>
        <v>119473.25</v>
      </c>
      <c r="S16" s="88">
        <f>LohntabelleM!S16*13</f>
        <v>120784.95</v>
      </c>
      <c r="T16" s="88">
        <f>LohntabelleM!T16*13</f>
        <v>122099.25</v>
      </c>
      <c r="U16" s="88">
        <f>LohntabelleM!U16*13</f>
        <v>123409.65</v>
      </c>
      <c r="V16" s="88">
        <f>LohntabelleM!V16*13</f>
        <v>123409.65</v>
      </c>
      <c r="W16" s="88">
        <f>LohntabelleM!W16*13</f>
        <v>123988.15</v>
      </c>
      <c r="X16" s="88">
        <f>LohntabelleM!X16*13</f>
        <v>123988.15</v>
      </c>
      <c r="Y16" s="88">
        <f>LohntabelleM!Y16*13</f>
        <v>124566</v>
      </c>
      <c r="Z16" s="88">
        <f>LohntabelleM!Z16*13</f>
        <v>124566</v>
      </c>
      <c r="AA16" s="88">
        <f>LohntabelleM!AA16*13</f>
        <v>125142.55</v>
      </c>
      <c r="AB16" s="88">
        <f>LohntabelleM!AB16*13</f>
        <v>125142.55</v>
      </c>
      <c r="AC16" s="88">
        <f>LohntabelleM!AC16*13</f>
        <v>125721.7</v>
      </c>
      <c r="AD16" s="88">
        <f>LohntabelleM!AD16*13</f>
        <v>125721.7</v>
      </c>
      <c r="AE16" s="88">
        <f>LohntabelleM!AE16*13</f>
        <v>126298.9</v>
      </c>
    </row>
    <row r="17" spans="1:31" x14ac:dyDescent="0.2">
      <c r="A17" s="84">
        <v>14</v>
      </c>
      <c r="B17" s="88">
        <f>LohntabelleM!B17*13</f>
        <v>76095.5</v>
      </c>
      <c r="C17" s="88">
        <f>LohntabelleM!C17*13</f>
        <v>79567.8</v>
      </c>
      <c r="D17" s="88">
        <f>LohntabelleM!D17*13</f>
        <v>83036.849999999991</v>
      </c>
      <c r="E17" s="88">
        <f>LohntabelleM!E17*13</f>
        <v>86509.150000000009</v>
      </c>
      <c r="F17" s="88">
        <f>LohntabelleM!F17*13</f>
        <v>89860.55</v>
      </c>
      <c r="G17" s="88">
        <f>LohntabelleM!G17*13</f>
        <v>93210</v>
      </c>
      <c r="H17" s="88">
        <f>LohntabelleM!H17*13</f>
        <v>96561.400000000009</v>
      </c>
      <c r="I17" s="88">
        <f>LohntabelleM!I17*13</f>
        <v>99910.2</v>
      </c>
      <c r="J17" s="88">
        <f>LohntabelleM!J17*13</f>
        <v>101376.59999999999</v>
      </c>
      <c r="K17" s="88">
        <f>LohntabelleM!K17*13</f>
        <v>102841.7</v>
      </c>
      <c r="L17" s="88">
        <f>LohntabelleM!L17*13</f>
        <v>104310.7</v>
      </c>
      <c r="M17" s="88">
        <f>LohntabelleM!M17*13</f>
        <v>105779.05</v>
      </c>
      <c r="N17" s="88">
        <f>LohntabelleM!N17*13</f>
        <v>106973.75</v>
      </c>
      <c r="O17" s="88">
        <f>LohntabelleM!O17*13</f>
        <v>108171.05</v>
      </c>
      <c r="P17" s="88">
        <f>LohntabelleM!P17*13</f>
        <v>109367.05</v>
      </c>
      <c r="Q17" s="88">
        <f>LohntabelleM!Q17*13</f>
        <v>110563.05</v>
      </c>
      <c r="R17" s="88">
        <f>LohntabelleM!R17*13</f>
        <v>111761.65</v>
      </c>
      <c r="S17" s="88">
        <f>LohntabelleM!S17*13</f>
        <v>112957</v>
      </c>
      <c r="T17" s="88">
        <f>LohntabelleM!T17*13</f>
        <v>114153.65</v>
      </c>
      <c r="U17" s="88">
        <f>LohntabelleM!U17*13</f>
        <v>115348.35</v>
      </c>
      <c r="V17" s="88">
        <f>LohntabelleM!V17*13</f>
        <v>115348.35</v>
      </c>
      <c r="W17" s="88">
        <f>LohntabelleM!W17*13</f>
        <v>115889.8</v>
      </c>
      <c r="X17" s="88">
        <f>LohntabelleM!X17*13</f>
        <v>115889.8</v>
      </c>
      <c r="Y17" s="88">
        <f>LohntabelleM!Y17*13</f>
        <v>116429.3</v>
      </c>
      <c r="Z17" s="88">
        <f>LohntabelleM!Z17*13</f>
        <v>116429.3</v>
      </c>
      <c r="AA17" s="88">
        <f>LohntabelleM!AA17*13</f>
        <v>116970.75</v>
      </c>
      <c r="AB17" s="88">
        <f>LohntabelleM!AB17*13</f>
        <v>116970.75</v>
      </c>
      <c r="AC17" s="88">
        <f>LohntabelleM!AC17*13</f>
        <v>117511.55</v>
      </c>
      <c r="AD17" s="88">
        <f>LohntabelleM!AD17*13</f>
        <v>117511.55</v>
      </c>
      <c r="AE17" s="88">
        <f>LohntabelleM!AE17*13</f>
        <v>118052.35</v>
      </c>
    </row>
    <row r="18" spans="1:31" x14ac:dyDescent="0.2">
      <c r="A18" s="84">
        <v>15</v>
      </c>
      <c r="B18" s="88">
        <f>LohntabelleM!B18*13</f>
        <v>71513</v>
      </c>
      <c r="C18" s="88">
        <f>LohntabelleM!C18*13</f>
        <v>74766.25</v>
      </c>
      <c r="D18" s="88">
        <f>LohntabelleM!D18*13</f>
        <v>78017.55</v>
      </c>
      <c r="E18" s="88">
        <f>LohntabelleM!E18*13</f>
        <v>81271.45</v>
      </c>
      <c r="F18" s="88">
        <f>LohntabelleM!F18*13</f>
        <v>84410.3</v>
      </c>
      <c r="G18" s="88">
        <f>LohntabelleM!G18*13</f>
        <v>87550.45</v>
      </c>
      <c r="H18" s="88">
        <f>LohntabelleM!H18*13</f>
        <v>90689.95</v>
      </c>
      <c r="I18" s="88">
        <f>LohntabelleM!I18*13</f>
        <v>93830.099999999991</v>
      </c>
      <c r="J18" s="88">
        <f>LohntabelleM!J18*13</f>
        <v>95204.2</v>
      </c>
      <c r="K18" s="88">
        <f>LohntabelleM!K18*13</f>
        <v>96578.3</v>
      </c>
      <c r="L18" s="88">
        <f>LohntabelleM!L18*13</f>
        <v>97953.05</v>
      </c>
      <c r="M18" s="88">
        <f>LohntabelleM!M18*13</f>
        <v>99327.150000000009</v>
      </c>
      <c r="N18" s="88">
        <f>LohntabelleM!N18*13</f>
        <v>100417.2</v>
      </c>
      <c r="O18" s="88">
        <f>LohntabelleM!O18*13</f>
        <v>101509.2</v>
      </c>
      <c r="P18" s="88">
        <f>LohntabelleM!P18*13</f>
        <v>102599.90000000001</v>
      </c>
      <c r="Q18" s="88">
        <f>LohntabelleM!Q18*13</f>
        <v>103690.59999999999</v>
      </c>
      <c r="R18" s="88">
        <f>LohntabelleM!R18*13</f>
        <v>104780.65000000001</v>
      </c>
      <c r="S18" s="88">
        <f>LohntabelleM!S18*13</f>
        <v>105871.34999999999</v>
      </c>
      <c r="T18" s="88">
        <f>LohntabelleM!T18*13</f>
        <v>106962.7</v>
      </c>
      <c r="U18" s="88">
        <f>LohntabelleM!U18*13</f>
        <v>108054.7</v>
      </c>
      <c r="V18" s="88">
        <f>LohntabelleM!V18*13</f>
        <v>108054.7</v>
      </c>
      <c r="W18" s="88">
        <f>LohntabelleM!W18*13</f>
        <v>108561.7</v>
      </c>
      <c r="X18" s="88">
        <f>LohntabelleM!X18*13</f>
        <v>108561.7</v>
      </c>
      <c r="Y18" s="88">
        <f>LohntabelleM!Y18*13</f>
        <v>109070</v>
      </c>
      <c r="Z18" s="88">
        <f>LohntabelleM!Z18*13</f>
        <v>109070</v>
      </c>
      <c r="AA18" s="88">
        <f>LohntabelleM!AA18*13</f>
        <v>109575.05</v>
      </c>
      <c r="AB18" s="88">
        <f>LohntabelleM!AB18*13</f>
        <v>109575.05</v>
      </c>
      <c r="AC18" s="88">
        <f>LohntabelleM!AC18*13</f>
        <v>110082.05</v>
      </c>
      <c r="AD18" s="88">
        <f>LohntabelleM!AD18*13</f>
        <v>110082.05</v>
      </c>
      <c r="AE18" s="88">
        <f>LohntabelleM!AE18*13</f>
        <v>110590.35</v>
      </c>
    </row>
    <row r="19" spans="1:31" x14ac:dyDescent="0.2">
      <c r="A19" s="84">
        <v>16</v>
      </c>
      <c r="B19" s="88">
        <f>LohntabelleM!B19*13</f>
        <v>67442.7</v>
      </c>
      <c r="C19" s="88">
        <f>LohntabelleM!C19*13</f>
        <v>70500.3</v>
      </c>
      <c r="D19" s="88">
        <f>LohntabelleM!D19*13</f>
        <v>73561.8</v>
      </c>
      <c r="E19" s="88">
        <f>LohntabelleM!E19*13</f>
        <v>76620.7</v>
      </c>
      <c r="F19" s="88">
        <f>LohntabelleM!F19*13</f>
        <v>79574.3</v>
      </c>
      <c r="G19" s="88">
        <f>LohntabelleM!G19*13</f>
        <v>82527.25</v>
      </c>
      <c r="H19" s="88">
        <f>LohntabelleM!H19*13</f>
        <v>85480.849999999991</v>
      </c>
      <c r="I19" s="88">
        <f>LohntabelleM!I19*13</f>
        <v>88433.8</v>
      </c>
      <c r="J19" s="88">
        <f>LohntabelleM!J19*13</f>
        <v>89726.650000000009</v>
      </c>
      <c r="K19" s="88">
        <f>LohntabelleM!K19*13</f>
        <v>91020.800000000003</v>
      </c>
      <c r="L19" s="88">
        <f>LohntabelleM!L19*13</f>
        <v>92311.7</v>
      </c>
      <c r="M19" s="88">
        <f>LohntabelleM!M19*13</f>
        <v>93605.2</v>
      </c>
      <c r="N19" s="88">
        <f>LohntabelleM!N19*13</f>
        <v>94586.05</v>
      </c>
      <c r="O19" s="88">
        <f>LohntabelleM!O19*13</f>
        <v>95566.900000000009</v>
      </c>
      <c r="P19" s="88">
        <f>LohntabelleM!P19*13</f>
        <v>96549.05</v>
      </c>
      <c r="Q19" s="88">
        <f>LohntabelleM!Q19*13</f>
        <v>97529.900000000009</v>
      </c>
      <c r="R19" s="88">
        <f>LohntabelleM!R19*13</f>
        <v>98510.75</v>
      </c>
      <c r="S19" s="88">
        <f>LohntabelleM!S19*13</f>
        <v>99493.55</v>
      </c>
      <c r="T19" s="88">
        <f>LohntabelleM!T19*13</f>
        <v>100474.40000000001</v>
      </c>
      <c r="U19" s="88">
        <f>LohntabelleM!U19*13</f>
        <v>101454.59999999999</v>
      </c>
      <c r="V19" s="88">
        <f>LohntabelleM!V19*13</f>
        <v>101454.59999999999</v>
      </c>
      <c r="W19" s="88">
        <f>LohntabelleM!W19*13</f>
        <v>101934.3</v>
      </c>
      <c r="X19" s="88">
        <f>LohntabelleM!X19*13</f>
        <v>101934.3</v>
      </c>
      <c r="Y19" s="88">
        <f>LohntabelleM!Y19*13</f>
        <v>102412.7</v>
      </c>
      <c r="Z19" s="88">
        <f>LohntabelleM!Z19*13</f>
        <v>102412.7</v>
      </c>
      <c r="AA19" s="88">
        <f>LohntabelleM!AA19*13</f>
        <v>102889.8</v>
      </c>
      <c r="AB19" s="88">
        <f>LohntabelleM!AB19*13</f>
        <v>102889.8</v>
      </c>
      <c r="AC19" s="88">
        <f>LohntabelleM!AC19*13</f>
        <v>103368.84999999999</v>
      </c>
      <c r="AD19" s="88">
        <f>LohntabelleM!AD19*13</f>
        <v>103368.84999999999</v>
      </c>
      <c r="AE19" s="88">
        <f>LohntabelleM!AE19*13</f>
        <v>103846.59999999999</v>
      </c>
    </row>
    <row r="20" spans="1:31" x14ac:dyDescent="0.2">
      <c r="A20" s="84">
        <v>17</v>
      </c>
      <c r="B20" s="88">
        <f>LohntabelleM!B20*13</f>
        <v>63874.2</v>
      </c>
      <c r="C20" s="88">
        <f>LohntabelleM!C20*13</f>
        <v>66769.3</v>
      </c>
      <c r="D20" s="88">
        <f>LohntabelleM!D20*13</f>
        <v>69664.400000000009</v>
      </c>
      <c r="E20" s="88">
        <f>LohntabelleM!E20*13</f>
        <v>72556.25</v>
      </c>
      <c r="F20" s="88">
        <f>LohntabelleM!F20*13</f>
        <v>75346.7</v>
      </c>
      <c r="G20" s="88">
        <f>LohntabelleM!G20*13</f>
        <v>78135.199999999997</v>
      </c>
      <c r="H20" s="88">
        <f>LohntabelleM!H20*13</f>
        <v>80924.349999999991</v>
      </c>
      <c r="I20" s="88">
        <f>LohntabelleM!I20*13</f>
        <v>83716.099999999991</v>
      </c>
      <c r="J20" s="88">
        <f>LohntabelleM!J20*13</f>
        <v>84936.8</v>
      </c>
      <c r="K20" s="88">
        <f>LohntabelleM!K20*13</f>
        <v>86157.5</v>
      </c>
      <c r="L20" s="88">
        <f>LohntabelleM!L20*13</f>
        <v>87379.5</v>
      </c>
      <c r="M20" s="88">
        <f>LohntabelleM!M20*13</f>
        <v>88599.55</v>
      </c>
      <c r="N20" s="88">
        <f>LohntabelleM!N20*13</f>
        <v>89477.05</v>
      </c>
      <c r="O20" s="88">
        <f>LohntabelleM!O20*13</f>
        <v>90351.95</v>
      </c>
      <c r="P20" s="88">
        <f>LohntabelleM!P20*13</f>
        <v>91226.849999999991</v>
      </c>
      <c r="Q20" s="88">
        <f>LohntabelleM!Q20*13</f>
        <v>92100.45</v>
      </c>
      <c r="R20" s="88">
        <f>LohntabelleM!R20*13</f>
        <v>92979.25</v>
      </c>
      <c r="S20" s="88">
        <f>LohntabelleM!S20*13</f>
        <v>93852.849999999991</v>
      </c>
      <c r="T20" s="88">
        <f>LohntabelleM!T20*13</f>
        <v>94729.05</v>
      </c>
      <c r="U20" s="88">
        <f>LohntabelleM!U20*13</f>
        <v>95605.25</v>
      </c>
      <c r="V20" s="88">
        <f>LohntabelleM!V20*13</f>
        <v>95605.25</v>
      </c>
      <c r="W20" s="88">
        <f>LohntabelleM!W20*13</f>
        <v>96057</v>
      </c>
      <c r="X20" s="88">
        <f>LohntabelleM!X20*13</f>
        <v>96057</v>
      </c>
      <c r="Y20" s="88">
        <f>LohntabelleM!Y20*13</f>
        <v>96512</v>
      </c>
      <c r="Z20" s="88">
        <f>LohntabelleM!Z20*13</f>
        <v>96512</v>
      </c>
      <c r="AA20" s="88">
        <f>LohntabelleM!AA20*13</f>
        <v>96965.05</v>
      </c>
      <c r="AB20" s="88">
        <f>LohntabelleM!AB20*13</f>
        <v>96965.05</v>
      </c>
      <c r="AC20" s="88">
        <f>LohntabelleM!AC20*13</f>
        <v>97418.75</v>
      </c>
      <c r="AD20" s="88">
        <f>LohntabelleM!AD20*13</f>
        <v>97418.75</v>
      </c>
      <c r="AE20" s="88">
        <f>LohntabelleM!AE20*13</f>
        <v>97873.75</v>
      </c>
    </row>
    <row r="21" spans="1:31" x14ac:dyDescent="0.2">
      <c r="A21" s="84">
        <v>18</v>
      </c>
      <c r="B21" s="88">
        <f>LohntabelleM!B21*13</f>
        <v>60776.95</v>
      </c>
      <c r="C21" s="88">
        <f>LohntabelleM!C21*13</f>
        <v>63545.3</v>
      </c>
      <c r="D21" s="88">
        <f>LohntabelleM!D21*13</f>
        <v>66313</v>
      </c>
      <c r="E21" s="88">
        <f>LohntabelleM!E21*13</f>
        <v>69079.400000000009</v>
      </c>
      <c r="F21" s="88">
        <f>LohntabelleM!F21*13</f>
        <v>71727.5</v>
      </c>
      <c r="G21" s="88">
        <f>LohntabelleM!G21*13</f>
        <v>74376.25</v>
      </c>
      <c r="H21" s="88">
        <f>LohntabelleM!H21*13</f>
        <v>77024.349999999991</v>
      </c>
      <c r="I21" s="88">
        <f>LohntabelleM!I21*13</f>
        <v>79673.099999999991</v>
      </c>
      <c r="J21" s="88">
        <f>LohntabelleM!J21*13</f>
        <v>80832.7</v>
      </c>
      <c r="K21" s="88">
        <f>LohntabelleM!K21*13</f>
        <v>81993.599999999991</v>
      </c>
      <c r="L21" s="88">
        <f>LohntabelleM!L21*13</f>
        <v>83151.25</v>
      </c>
      <c r="M21" s="88">
        <f>LohntabelleM!M21*13</f>
        <v>84310.2</v>
      </c>
      <c r="N21" s="88">
        <f>LohntabelleM!N21*13</f>
        <v>85081.75</v>
      </c>
      <c r="O21" s="88">
        <f>LohntabelleM!O21*13</f>
        <v>85853.95</v>
      </c>
      <c r="P21" s="88">
        <f>LohntabelleM!P21*13</f>
        <v>86626.150000000009</v>
      </c>
      <c r="Q21" s="88">
        <f>LohntabelleM!Q21*13</f>
        <v>87395.75</v>
      </c>
      <c r="R21" s="88">
        <f>LohntabelleM!R21*13</f>
        <v>88167.3</v>
      </c>
      <c r="S21" s="88">
        <f>LohntabelleM!S21*13</f>
        <v>88937.55</v>
      </c>
      <c r="T21" s="88">
        <f>LohntabelleM!T21*13</f>
        <v>89709.099999999991</v>
      </c>
      <c r="U21" s="88">
        <f>LohntabelleM!U21*13</f>
        <v>90482.599999999991</v>
      </c>
      <c r="V21" s="88">
        <f>LohntabelleM!V21*13</f>
        <v>90482.599999999991</v>
      </c>
      <c r="W21" s="88">
        <f>LohntabelleM!W21*13</f>
        <v>90913.55</v>
      </c>
      <c r="X21" s="88">
        <f>LohntabelleM!X21*13</f>
        <v>90913.55</v>
      </c>
      <c r="Y21" s="88">
        <f>LohntabelleM!Y21*13</f>
        <v>91346.45</v>
      </c>
      <c r="Z21" s="88">
        <f>LohntabelleM!Z21*13</f>
        <v>91346.45</v>
      </c>
      <c r="AA21" s="88">
        <f>LohntabelleM!AA21*13</f>
        <v>91778.05</v>
      </c>
      <c r="AB21" s="88">
        <f>LohntabelleM!AB21*13</f>
        <v>91778.05</v>
      </c>
      <c r="AC21" s="88">
        <f>LohntabelleM!AC21*13</f>
        <v>92210.3</v>
      </c>
      <c r="AD21" s="88">
        <f>LohntabelleM!AD21*13</f>
        <v>92210.3</v>
      </c>
      <c r="AE21" s="88">
        <f>LohntabelleM!AE21*13</f>
        <v>92642.55</v>
      </c>
    </row>
    <row r="22" spans="1:31" x14ac:dyDescent="0.2">
      <c r="A22" s="84">
        <v>19</v>
      </c>
      <c r="B22" s="88">
        <f>LohntabelleM!B22*13</f>
        <v>58043.05</v>
      </c>
      <c r="C22" s="88">
        <f>LohntabelleM!C22*13</f>
        <v>60706.1</v>
      </c>
      <c r="D22" s="88">
        <f>LohntabelleM!D22*13</f>
        <v>63366.55</v>
      </c>
      <c r="E22" s="88">
        <f>LohntabelleM!E22*13</f>
        <v>66030.25</v>
      </c>
      <c r="F22" s="88">
        <f>LohntabelleM!F22*13</f>
        <v>68557.45</v>
      </c>
      <c r="G22" s="88">
        <f>LohntabelleM!G22*13</f>
        <v>71084</v>
      </c>
      <c r="H22" s="88">
        <f>LohntabelleM!H22*13</f>
        <v>73610.55</v>
      </c>
      <c r="I22" s="88">
        <f>LohntabelleM!I22*13</f>
        <v>76137.099999999991</v>
      </c>
      <c r="J22" s="88">
        <f>LohntabelleM!J22*13</f>
        <v>77243.400000000009</v>
      </c>
      <c r="K22" s="88">
        <f>LohntabelleM!K22*13</f>
        <v>78350.349999999991</v>
      </c>
      <c r="L22" s="88">
        <f>LohntabelleM!L22*13</f>
        <v>79455.349999999991</v>
      </c>
      <c r="M22" s="88">
        <f>LohntabelleM!M22*13</f>
        <v>80559.7</v>
      </c>
      <c r="N22" s="88">
        <f>LohntabelleM!N22*13</f>
        <v>81253.900000000009</v>
      </c>
      <c r="O22" s="88">
        <f>LohntabelleM!O22*13</f>
        <v>81946.150000000009</v>
      </c>
      <c r="P22" s="88">
        <f>LohntabelleM!P22*13</f>
        <v>82638.400000000009</v>
      </c>
      <c r="Q22" s="88">
        <f>LohntabelleM!Q22*13</f>
        <v>83330.650000000009</v>
      </c>
      <c r="R22" s="88">
        <f>LohntabelleM!R22*13</f>
        <v>84024.849999999991</v>
      </c>
      <c r="S22" s="88">
        <f>LohntabelleM!S22*13</f>
        <v>84716.45</v>
      </c>
      <c r="T22" s="88">
        <f>LohntabelleM!T22*13</f>
        <v>85409.349999999991</v>
      </c>
      <c r="U22" s="88">
        <f>LohntabelleM!U22*13</f>
        <v>86102.900000000009</v>
      </c>
      <c r="V22" s="88">
        <f>LohntabelleM!V22*13</f>
        <v>86102.900000000009</v>
      </c>
      <c r="W22" s="88">
        <f>LohntabelleM!W22*13</f>
        <v>86516.95</v>
      </c>
      <c r="X22" s="88">
        <f>LohntabelleM!X22*13</f>
        <v>86516.95</v>
      </c>
      <c r="Y22" s="88">
        <f>LohntabelleM!Y22*13</f>
        <v>86932.3</v>
      </c>
      <c r="Z22" s="88">
        <f>LohntabelleM!Z22*13</f>
        <v>86932.3</v>
      </c>
      <c r="AA22" s="88">
        <f>LohntabelleM!AA22*13</f>
        <v>87345.7</v>
      </c>
      <c r="AB22" s="88">
        <f>LohntabelleM!AB22*13</f>
        <v>87345.7</v>
      </c>
      <c r="AC22" s="88">
        <f>LohntabelleM!AC22*13</f>
        <v>87758.45</v>
      </c>
      <c r="AD22" s="88">
        <f>LohntabelleM!AD22*13</f>
        <v>87758.45</v>
      </c>
      <c r="AE22" s="88">
        <f>LohntabelleM!AE22*13</f>
        <v>88173.150000000009</v>
      </c>
    </row>
    <row r="23" spans="1:31" x14ac:dyDescent="0.2">
      <c r="A23" s="84">
        <v>20</v>
      </c>
      <c r="B23" s="88">
        <f>LohntabelleM!B23*13</f>
        <v>55359.199999999997</v>
      </c>
      <c r="C23" s="88">
        <f>LohntabelleM!C23*13</f>
        <v>57905.9</v>
      </c>
      <c r="D23" s="88">
        <f>LohntabelleM!D23*13</f>
        <v>60452.6</v>
      </c>
      <c r="E23" s="88">
        <f>LohntabelleM!E23*13</f>
        <v>62999.3</v>
      </c>
      <c r="F23" s="88">
        <f>LohntabelleM!F23*13</f>
        <v>65408.2</v>
      </c>
      <c r="G23" s="88">
        <f>LohntabelleM!G23*13</f>
        <v>67817.099999999991</v>
      </c>
      <c r="H23" s="88">
        <f>LohntabelleM!H23*13</f>
        <v>70224.05</v>
      </c>
      <c r="I23" s="88">
        <f>LohntabelleM!I23*13</f>
        <v>72633.599999999991</v>
      </c>
      <c r="J23" s="88">
        <f>LohntabelleM!J23*13</f>
        <v>73686.599999999991</v>
      </c>
      <c r="K23" s="88">
        <f>LohntabelleM!K23*13</f>
        <v>74741.55</v>
      </c>
      <c r="L23" s="88">
        <f>LohntabelleM!L23*13</f>
        <v>75795.849999999991</v>
      </c>
      <c r="M23" s="88">
        <f>LohntabelleM!M23*13</f>
        <v>76847.55</v>
      </c>
      <c r="N23" s="88">
        <f>LohntabelleM!N23*13</f>
        <v>77526.150000000009</v>
      </c>
      <c r="O23" s="88">
        <f>LohntabelleM!O23*13</f>
        <v>78203.45</v>
      </c>
      <c r="P23" s="88">
        <f>LohntabelleM!P23*13</f>
        <v>78881.400000000009</v>
      </c>
      <c r="Q23" s="88">
        <f>LohntabelleM!Q23*13</f>
        <v>79560</v>
      </c>
      <c r="R23" s="88">
        <f>LohntabelleM!R23*13</f>
        <v>80236.650000000009</v>
      </c>
      <c r="S23" s="88">
        <f>LohntabelleM!S23*13</f>
        <v>80913.3</v>
      </c>
      <c r="T23" s="88">
        <f>LohntabelleM!T23*13</f>
        <v>81593.2</v>
      </c>
      <c r="U23" s="88">
        <f>LohntabelleM!U23*13</f>
        <v>82269.849999999991</v>
      </c>
      <c r="V23" s="88">
        <f>LohntabelleM!V23*13</f>
        <v>82269.849999999991</v>
      </c>
      <c r="W23" s="88">
        <f>LohntabelleM!W23*13</f>
        <v>82661.8</v>
      </c>
      <c r="X23" s="88">
        <f>LohntabelleM!X23*13</f>
        <v>82661.8</v>
      </c>
      <c r="Y23" s="88">
        <f>LohntabelleM!Y23*13</f>
        <v>83055.7</v>
      </c>
      <c r="Z23" s="88">
        <f>LohntabelleM!Z23*13</f>
        <v>83055.7</v>
      </c>
      <c r="AA23" s="88">
        <f>LohntabelleM!AA23*13</f>
        <v>83448.95</v>
      </c>
      <c r="AB23" s="88">
        <f>LohntabelleM!AB23*13</f>
        <v>83448.95</v>
      </c>
      <c r="AC23" s="88">
        <f>LohntabelleM!AC23*13</f>
        <v>83842.2</v>
      </c>
      <c r="AD23" s="88">
        <f>LohntabelleM!AD23*13</f>
        <v>83842.2</v>
      </c>
      <c r="AE23" s="88">
        <f>LohntabelleM!AE23*13</f>
        <v>84234.150000000009</v>
      </c>
    </row>
    <row r="24" spans="1:31" x14ac:dyDescent="0.2">
      <c r="A24" s="84">
        <v>21</v>
      </c>
      <c r="B24" s="88">
        <f>LohntabelleM!B24*13</f>
        <v>53006.200000000004</v>
      </c>
      <c r="C24" s="88">
        <f>LohntabelleM!C24*13</f>
        <v>55460.6</v>
      </c>
      <c r="D24" s="88">
        <f>LohntabelleM!D24*13</f>
        <v>57915.65</v>
      </c>
      <c r="E24" s="88">
        <f>LohntabelleM!E24*13</f>
        <v>60370.7</v>
      </c>
      <c r="F24" s="88">
        <f>LohntabelleM!F24*13</f>
        <v>62700.3</v>
      </c>
      <c r="G24" s="88">
        <f>LohntabelleM!G24*13</f>
        <v>65033.15</v>
      </c>
      <c r="H24" s="88">
        <f>LohntabelleM!H24*13</f>
        <v>67362.099999999991</v>
      </c>
      <c r="I24" s="88">
        <f>LohntabelleM!I24*13</f>
        <v>69693</v>
      </c>
      <c r="J24" s="88">
        <f>LohntabelleM!J24*13</f>
        <v>70712.2</v>
      </c>
      <c r="K24" s="88">
        <f>LohntabelleM!K24*13</f>
        <v>71732.05</v>
      </c>
      <c r="L24" s="88">
        <f>LohntabelleM!L24*13</f>
        <v>72752.55</v>
      </c>
      <c r="M24" s="88">
        <f>LohntabelleM!M24*13</f>
        <v>73772.400000000009</v>
      </c>
      <c r="N24" s="88">
        <f>LohntabelleM!N24*13</f>
        <v>74376.25</v>
      </c>
      <c r="O24" s="88">
        <f>LohntabelleM!O24*13</f>
        <v>74980.099999999991</v>
      </c>
      <c r="P24" s="88">
        <f>LohntabelleM!P24*13</f>
        <v>75586.55</v>
      </c>
      <c r="Q24" s="88">
        <f>LohntabelleM!Q24*13</f>
        <v>76189.75</v>
      </c>
      <c r="R24" s="88">
        <f>LohntabelleM!R24*13</f>
        <v>76792.95</v>
      </c>
      <c r="S24" s="88">
        <f>LohntabelleM!S24*13</f>
        <v>77398.099999999991</v>
      </c>
      <c r="T24" s="88">
        <f>LohntabelleM!T24*13</f>
        <v>78001.95</v>
      </c>
      <c r="U24" s="88">
        <f>LohntabelleM!U24*13</f>
        <v>78605.8</v>
      </c>
      <c r="V24" s="88">
        <f>LohntabelleM!V24*13</f>
        <v>78605.8</v>
      </c>
      <c r="W24" s="88">
        <f>LohntabelleM!W24*13</f>
        <v>78962</v>
      </c>
      <c r="X24" s="88">
        <f>LohntabelleM!X24*13</f>
        <v>78962</v>
      </c>
      <c r="Y24" s="88">
        <f>LohntabelleM!Y24*13</f>
        <v>79317.55</v>
      </c>
      <c r="Z24" s="88">
        <f>LohntabelleM!Z24*13</f>
        <v>79317.55</v>
      </c>
      <c r="AA24" s="88">
        <f>LohntabelleM!AA24*13</f>
        <v>79672.45</v>
      </c>
      <c r="AB24" s="88">
        <f>LohntabelleM!AB24*13</f>
        <v>79672.45</v>
      </c>
      <c r="AC24" s="88">
        <f>LohntabelleM!AC24*13</f>
        <v>80028.650000000009</v>
      </c>
      <c r="AD24" s="88">
        <f>LohntabelleM!AD24*13</f>
        <v>80028.650000000009</v>
      </c>
      <c r="AE24" s="88">
        <f>LohntabelleM!AE24*13</f>
        <v>80383.55</v>
      </c>
    </row>
    <row r="25" spans="1:31" x14ac:dyDescent="0.2">
      <c r="A25" s="84">
        <v>22</v>
      </c>
      <c r="B25" s="88">
        <f>LohntabelleM!B25*13</f>
        <v>50844.950000000004</v>
      </c>
      <c r="C25" s="88">
        <f>LohntabelleM!C25*13</f>
        <v>53213.549999999996</v>
      </c>
      <c r="D25" s="88">
        <f>LohntabelleM!D25*13</f>
        <v>55585.4</v>
      </c>
      <c r="E25" s="88">
        <f>LohntabelleM!E25*13</f>
        <v>57956.6</v>
      </c>
      <c r="F25" s="88">
        <f>LohntabelleM!F25*13</f>
        <v>60216</v>
      </c>
      <c r="G25" s="88">
        <f>LohntabelleM!G25*13</f>
        <v>62474.75</v>
      </c>
      <c r="H25" s="88">
        <f>LohntabelleM!H25*13</f>
        <v>64734.8</v>
      </c>
      <c r="I25" s="88">
        <f>LohntabelleM!I25*13</f>
        <v>66993.55</v>
      </c>
      <c r="J25" s="88">
        <f>LohntabelleM!J25*13</f>
        <v>67982.849999999991</v>
      </c>
      <c r="K25" s="88">
        <f>LohntabelleM!K25*13</f>
        <v>68970.2</v>
      </c>
      <c r="L25" s="88">
        <f>LohntabelleM!L25*13</f>
        <v>69958.849999999991</v>
      </c>
      <c r="M25" s="88">
        <f>LohntabelleM!M25*13</f>
        <v>70949.45</v>
      </c>
      <c r="N25" s="88">
        <f>LohntabelleM!N25*13</f>
        <v>71529.900000000009</v>
      </c>
      <c r="O25" s="88">
        <f>LohntabelleM!O25*13</f>
        <v>72108.400000000009</v>
      </c>
      <c r="P25" s="88">
        <f>LohntabelleM!P25*13</f>
        <v>72688.2</v>
      </c>
      <c r="Q25" s="88">
        <f>LohntabelleM!Q25*13</f>
        <v>73268.650000000009</v>
      </c>
      <c r="R25" s="88">
        <f>LohntabelleM!R25*13</f>
        <v>73847.150000000009</v>
      </c>
      <c r="S25" s="88">
        <f>LohntabelleM!S25*13</f>
        <v>74428.25</v>
      </c>
      <c r="T25" s="88">
        <f>LohntabelleM!T25*13</f>
        <v>75008.7</v>
      </c>
      <c r="U25" s="88">
        <f>LohntabelleM!U25*13</f>
        <v>75590.45</v>
      </c>
      <c r="V25" s="88">
        <f>LohntabelleM!V25*13</f>
        <v>75590.45</v>
      </c>
      <c r="W25" s="88">
        <f>LohntabelleM!W25*13</f>
        <v>75907</v>
      </c>
      <c r="X25" s="88">
        <f>LohntabelleM!X25*13</f>
        <v>75907</v>
      </c>
      <c r="Y25" s="88">
        <f>LohntabelleM!Y25*13</f>
        <v>76228.099999999991</v>
      </c>
      <c r="Z25" s="88">
        <f>LohntabelleM!Z25*13</f>
        <v>76228.099999999991</v>
      </c>
      <c r="AA25" s="88">
        <f>LohntabelleM!AA25*13</f>
        <v>76547.900000000009</v>
      </c>
      <c r="AB25" s="88">
        <f>LohntabelleM!AB25*13</f>
        <v>76547.900000000009</v>
      </c>
      <c r="AC25" s="88">
        <f>LohntabelleM!AC25*13</f>
        <v>76865.099999999991</v>
      </c>
      <c r="AD25" s="88">
        <f>LohntabelleM!AD25*13</f>
        <v>76865.099999999991</v>
      </c>
      <c r="AE25" s="88">
        <f>LohntabelleM!AE25*13</f>
        <v>77186.849999999991</v>
      </c>
    </row>
    <row r="26" spans="1:31" x14ac:dyDescent="0.2">
      <c r="A26" s="84">
        <v>23</v>
      </c>
      <c r="B26" s="88">
        <f>LohntabelleM!B26*13</f>
        <v>48874.15</v>
      </c>
      <c r="C26" s="88">
        <f>LohntabelleM!C26*13</f>
        <v>51168.65</v>
      </c>
      <c r="D26" s="88">
        <f>LohntabelleM!D26*13</f>
        <v>53461.2</v>
      </c>
      <c r="E26" s="88">
        <f>LohntabelleM!E26*13</f>
        <v>55755.05</v>
      </c>
      <c r="F26" s="88">
        <f>LohntabelleM!F26*13</f>
        <v>57950.75</v>
      </c>
      <c r="G26" s="88">
        <f>LohntabelleM!G26*13</f>
        <v>60146.45</v>
      </c>
      <c r="H26" s="88">
        <f>LohntabelleM!H26*13</f>
        <v>62341.5</v>
      </c>
      <c r="I26" s="88">
        <f>LohntabelleM!I26*13</f>
        <v>64535.9</v>
      </c>
      <c r="J26" s="88">
        <f>LohntabelleM!J26*13</f>
        <v>65495.95</v>
      </c>
      <c r="K26" s="88">
        <f>LohntabelleM!K26*13</f>
        <v>66456.650000000009</v>
      </c>
      <c r="L26" s="88">
        <f>LohntabelleM!L26*13</f>
        <v>67417.349999999991</v>
      </c>
      <c r="M26" s="88">
        <f>LohntabelleM!M26*13</f>
        <v>68378.05</v>
      </c>
      <c r="N26" s="88">
        <f>LohntabelleM!N26*13</f>
        <v>68933.150000000009</v>
      </c>
      <c r="O26" s="88">
        <f>LohntabelleM!O26*13</f>
        <v>69485.650000000009</v>
      </c>
      <c r="P26" s="88">
        <f>LohntabelleM!P26*13</f>
        <v>70042.05</v>
      </c>
      <c r="Q26" s="88">
        <f>LohntabelleM!Q26*13</f>
        <v>70596.5</v>
      </c>
      <c r="R26" s="88">
        <f>LohntabelleM!R26*13</f>
        <v>71152.25</v>
      </c>
      <c r="S26" s="88">
        <f>LohntabelleM!S26*13</f>
        <v>71706.05</v>
      </c>
      <c r="T26" s="88">
        <f>LohntabelleM!T26*13</f>
        <v>72261.150000000009</v>
      </c>
      <c r="U26" s="88">
        <f>LohntabelleM!U26*13</f>
        <v>72705.75</v>
      </c>
      <c r="V26" s="88">
        <f>LohntabelleM!V26*13</f>
        <v>72705.75</v>
      </c>
      <c r="W26" s="88">
        <f>LohntabelleM!W26*13</f>
        <v>73013.849999999991</v>
      </c>
      <c r="X26" s="88">
        <f>LohntabelleM!X26*13</f>
        <v>73013.849999999991</v>
      </c>
      <c r="Y26" s="88">
        <f>LohntabelleM!Y26*13</f>
        <v>73323.900000000009</v>
      </c>
      <c r="Z26" s="88">
        <f>LohntabelleM!Z26*13</f>
        <v>73323.900000000009</v>
      </c>
      <c r="AA26" s="88">
        <f>LohntabelleM!AA26*13</f>
        <v>73632</v>
      </c>
      <c r="AB26" s="88">
        <f>LohntabelleM!AB26*13</f>
        <v>73632</v>
      </c>
      <c r="AC26" s="88">
        <f>LohntabelleM!AC26*13</f>
        <v>73939.45</v>
      </c>
      <c r="AD26" s="88">
        <f>LohntabelleM!AD26*13</f>
        <v>73939.45</v>
      </c>
      <c r="AE26" s="88">
        <f>LohntabelleM!AE26*13</f>
        <v>74249.5</v>
      </c>
    </row>
    <row r="27" spans="1:31" x14ac:dyDescent="0.2">
      <c r="A27" s="84">
        <v>24</v>
      </c>
      <c r="B27" s="88">
        <f>LohntabelleM!B27*13</f>
        <v>47086</v>
      </c>
      <c r="C27" s="88">
        <f>LohntabelleM!C27*13</f>
        <v>49310.950000000004</v>
      </c>
      <c r="D27" s="88">
        <f>LohntabelleM!D27*13</f>
        <v>51536.549999999996</v>
      </c>
      <c r="E27" s="88">
        <f>LohntabelleM!E27*13</f>
        <v>53763.45</v>
      </c>
      <c r="F27" s="88">
        <f>LohntabelleM!F27*13</f>
        <v>55901.95</v>
      </c>
      <c r="G27" s="88">
        <f>LohntabelleM!G27*13</f>
        <v>58042.400000000001</v>
      </c>
      <c r="H27" s="88">
        <f>LohntabelleM!H27*13</f>
        <v>60179.6</v>
      </c>
      <c r="I27" s="88">
        <f>LohntabelleM!I27*13</f>
        <v>62319.4</v>
      </c>
      <c r="J27" s="88">
        <f>LohntabelleM!J27*13</f>
        <v>63255.4</v>
      </c>
      <c r="K27" s="88">
        <f>LohntabelleM!K27*13</f>
        <v>64191.4</v>
      </c>
      <c r="L27" s="88">
        <f>LohntabelleM!L27*13</f>
        <v>65126.1</v>
      </c>
      <c r="M27" s="88">
        <f>LohntabelleM!M27*13</f>
        <v>66063.400000000009</v>
      </c>
      <c r="N27" s="88">
        <f>LohntabelleM!N27*13</f>
        <v>66593.150000000009</v>
      </c>
      <c r="O27" s="88">
        <f>LohntabelleM!O27*13</f>
        <v>67122.25</v>
      </c>
      <c r="P27" s="88">
        <f>LohntabelleM!P27*13</f>
        <v>67653.3</v>
      </c>
      <c r="Q27" s="88">
        <f>LohntabelleM!Q27*13</f>
        <v>68183.05</v>
      </c>
      <c r="R27" s="88">
        <f>LohntabelleM!R27*13</f>
        <v>68710.849999999991</v>
      </c>
      <c r="S27" s="88">
        <f>LohntabelleM!S27*13</f>
        <v>69239.95</v>
      </c>
      <c r="T27" s="88">
        <f>LohntabelleM!T27*13</f>
        <v>69734.599999999991</v>
      </c>
      <c r="U27" s="88">
        <f>LohntabelleM!U27*13</f>
        <v>70042.7</v>
      </c>
      <c r="V27" s="88">
        <f>LohntabelleM!V27*13</f>
        <v>70042.7</v>
      </c>
      <c r="W27" s="88">
        <f>LohntabelleM!W27*13</f>
        <v>70352.099999999991</v>
      </c>
      <c r="X27" s="88">
        <f>LohntabelleM!X27*13</f>
        <v>70352.099999999991</v>
      </c>
      <c r="Y27" s="88">
        <f>LohntabelleM!Y27*13</f>
        <v>70660.2</v>
      </c>
      <c r="Z27" s="88">
        <f>LohntabelleM!Z27*13</f>
        <v>70660.2</v>
      </c>
      <c r="AA27" s="88">
        <f>LohntabelleM!AA27*13</f>
        <v>70967.650000000009</v>
      </c>
      <c r="AB27" s="88">
        <f>LohntabelleM!AB27*13</f>
        <v>70967.650000000009</v>
      </c>
      <c r="AC27" s="88">
        <f>LohntabelleM!AC27*13</f>
        <v>71275.099999999991</v>
      </c>
      <c r="AD27" s="88">
        <f>LohntabelleM!AD27*13</f>
        <v>71275.099999999991</v>
      </c>
      <c r="AE27" s="88">
        <f>LohntabelleM!AE27*13</f>
        <v>71585.150000000009</v>
      </c>
    </row>
    <row r="28" spans="1:31" x14ac:dyDescent="0.2">
      <c r="A28" s="84">
        <v>25</v>
      </c>
      <c r="B28" s="88">
        <f>LohntabelleM!B28*13</f>
        <v>45481.15</v>
      </c>
      <c r="C28" s="88">
        <f>LohntabelleM!C28*13</f>
        <v>47648.25</v>
      </c>
      <c r="D28" s="88">
        <f>LohntabelleM!D28*13</f>
        <v>49817.299999999996</v>
      </c>
      <c r="E28" s="88">
        <f>LohntabelleM!E28*13</f>
        <v>51985.049999999996</v>
      </c>
      <c r="F28" s="88">
        <f>LohntabelleM!F28*13</f>
        <v>54074.15</v>
      </c>
      <c r="G28" s="88">
        <f>LohntabelleM!G28*13</f>
        <v>56163.9</v>
      </c>
      <c r="H28" s="88">
        <f>LohntabelleM!H28*13</f>
        <v>58251.7</v>
      </c>
      <c r="I28" s="88">
        <f>LohntabelleM!I28*13</f>
        <v>60340.15</v>
      </c>
      <c r="J28" s="88">
        <f>LohntabelleM!J28*13</f>
        <v>61255.35</v>
      </c>
      <c r="K28" s="88">
        <f>LohntabelleM!K28*13</f>
        <v>62169.25</v>
      </c>
      <c r="L28" s="88">
        <f>LohntabelleM!L28*13</f>
        <v>63084.45</v>
      </c>
      <c r="M28" s="88">
        <f>LohntabelleM!M28*13</f>
        <v>63997.7</v>
      </c>
      <c r="N28" s="88">
        <f>LohntabelleM!N28*13</f>
        <v>64504.05</v>
      </c>
      <c r="O28" s="88">
        <f>LohntabelleM!O28*13</f>
        <v>65007.8</v>
      </c>
      <c r="P28" s="88">
        <f>LohntabelleM!P28*13</f>
        <v>65511.55</v>
      </c>
      <c r="Q28" s="88">
        <f>LohntabelleM!Q28*13</f>
        <v>66017.25</v>
      </c>
      <c r="R28" s="88">
        <f>LohntabelleM!R28*13</f>
        <v>66522.3</v>
      </c>
      <c r="S28" s="88">
        <f>LohntabelleM!S28*13</f>
        <v>67023.45</v>
      </c>
      <c r="T28" s="88">
        <f>LohntabelleM!T28*13</f>
        <v>67333.5</v>
      </c>
      <c r="U28" s="88">
        <f>LohntabelleM!U28*13</f>
        <v>67641.599999999991</v>
      </c>
      <c r="V28" s="88">
        <f>LohntabelleM!V28*13</f>
        <v>67641.599999999991</v>
      </c>
      <c r="W28" s="88">
        <f>LohntabelleM!W28*13</f>
        <v>67949.7</v>
      </c>
      <c r="X28" s="88">
        <f>LohntabelleM!X28*13</f>
        <v>67949.7</v>
      </c>
      <c r="Y28" s="88">
        <f>LohntabelleM!Y28*13</f>
        <v>68257.150000000009</v>
      </c>
      <c r="Z28" s="88">
        <f>LohntabelleM!Z28*13</f>
        <v>68257.150000000009</v>
      </c>
      <c r="AA28" s="88">
        <f>LohntabelleM!AA28*13</f>
        <v>68566.55</v>
      </c>
      <c r="AB28" s="88">
        <f>LohntabelleM!AB28*13</f>
        <v>68566.55</v>
      </c>
      <c r="AC28" s="88">
        <f>LohntabelleM!AC28*13</f>
        <v>68875.95</v>
      </c>
      <c r="AD28" s="88">
        <f>LohntabelleM!AD28*13</f>
        <v>68875.95</v>
      </c>
      <c r="AE28" s="88">
        <f>LohntabelleM!AE28*13</f>
        <v>69184.05</v>
      </c>
    </row>
    <row r="29" spans="1:31" x14ac:dyDescent="0.2">
      <c r="A29" s="84">
        <v>26</v>
      </c>
      <c r="B29" s="88">
        <f>LohntabelleM!B29*13</f>
        <v>44105.75</v>
      </c>
      <c r="C29" s="88">
        <f>LohntabelleM!C29*13</f>
        <v>46217.599999999999</v>
      </c>
      <c r="D29" s="88">
        <f>LohntabelleM!D29*13</f>
        <v>48332.049999999996</v>
      </c>
      <c r="E29" s="88">
        <f>LohntabelleM!E29*13</f>
        <v>50444.549999999996</v>
      </c>
      <c r="F29" s="88">
        <f>LohntabelleM!F29*13</f>
        <v>52486.200000000004</v>
      </c>
      <c r="G29" s="88">
        <f>LohntabelleM!G29*13</f>
        <v>54523.95</v>
      </c>
      <c r="H29" s="88">
        <f>LohntabelleM!H29*13</f>
        <v>56562.35</v>
      </c>
      <c r="I29" s="88">
        <f>LohntabelleM!I29*13</f>
        <v>58602.05</v>
      </c>
      <c r="J29" s="88">
        <f>LohntabelleM!J29*13</f>
        <v>59495.15</v>
      </c>
      <c r="K29" s="88">
        <f>LohntabelleM!K29*13</f>
        <v>60388.9</v>
      </c>
      <c r="L29" s="88">
        <f>LohntabelleM!L29*13</f>
        <v>61280.05</v>
      </c>
      <c r="M29" s="88">
        <f>LohntabelleM!M29*13</f>
        <v>62173.15</v>
      </c>
      <c r="N29" s="88">
        <f>LohntabelleM!N29*13</f>
        <v>62653.5</v>
      </c>
      <c r="O29" s="88">
        <f>LohntabelleM!O29*13</f>
        <v>63135.8</v>
      </c>
      <c r="P29" s="88">
        <f>LohntabelleM!P29*13</f>
        <v>63614.85</v>
      </c>
      <c r="Q29" s="88">
        <f>LohntabelleM!Q29*13</f>
        <v>64096.5</v>
      </c>
      <c r="R29" s="88">
        <f>LohntabelleM!R29*13</f>
        <v>64578.15</v>
      </c>
      <c r="S29" s="88">
        <f>LohntabelleM!S29*13</f>
        <v>64886.9</v>
      </c>
      <c r="T29" s="88">
        <f>LohntabelleM!T29*13</f>
        <v>65194.35</v>
      </c>
      <c r="U29" s="88">
        <f>LohntabelleM!U29*13</f>
        <v>65502.45</v>
      </c>
      <c r="V29" s="88">
        <f>LohntabelleM!V29*13</f>
        <v>65502.45</v>
      </c>
      <c r="W29" s="88">
        <f>LohntabelleM!W29*13</f>
        <v>65811.199999999997</v>
      </c>
      <c r="X29" s="88">
        <f>LohntabelleM!X29*13</f>
        <v>65811.199999999997</v>
      </c>
      <c r="Y29" s="88">
        <f>LohntabelleM!Y29*13</f>
        <v>66118</v>
      </c>
      <c r="Z29" s="88">
        <f>LohntabelleM!Z29*13</f>
        <v>66118</v>
      </c>
      <c r="AA29" s="88">
        <f>LohntabelleM!AA29*13</f>
        <v>66428.7</v>
      </c>
      <c r="AB29" s="88">
        <f>LohntabelleM!AB29*13</f>
        <v>66428.7</v>
      </c>
      <c r="AC29" s="88">
        <f>LohntabelleM!AC29*13</f>
        <v>66734.849999999991</v>
      </c>
      <c r="AD29" s="88">
        <f>LohntabelleM!AD29*13</f>
        <v>66734.849999999991</v>
      </c>
      <c r="AE29" s="88">
        <f>LohntabelleM!AE29*13</f>
        <v>67044.900000000009</v>
      </c>
    </row>
    <row r="30" spans="1:31" x14ac:dyDescent="0.2">
      <c r="A30" s="84">
        <v>27</v>
      </c>
      <c r="B30" s="88">
        <f>LohntabelleM!B30*13</f>
        <v>42836.950000000004</v>
      </c>
      <c r="C30" s="88">
        <f>LohntabelleM!C30*13</f>
        <v>44912.4</v>
      </c>
      <c r="D30" s="88">
        <f>LohntabelleM!D30*13</f>
        <v>46989.15</v>
      </c>
      <c r="E30" s="88">
        <f>LohntabelleM!E30*13</f>
        <v>49064.6</v>
      </c>
      <c r="F30" s="88">
        <f>LohntabelleM!F30*13</f>
        <v>51067.9</v>
      </c>
      <c r="G30" s="88">
        <f>LohntabelleM!G30*13</f>
        <v>53071.85</v>
      </c>
      <c r="H30" s="88">
        <f>LohntabelleM!H30*13</f>
        <v>55075.8</v>
      </c>
      <c r="I30" s="88">
        <f>LohntabelleM!I30*13</f>
        <v>57077.8</v>
      </c>
      <c r="J30" s="88">
        <f>LohntabelleM!J30*13</f>
        <v>57955.95</v>
      </c>
      <c r="K30" s="88">
        <f>LohntabelleM!K30*13</f>
        <v>58833.45</v>
      </c>
      <c r="L30" s="88">
        <f>LohntabelleM!L30*13</f>
        <v>59709.65</v>
      </c>
      <c r="M30" s="88">
        <f>LohntabelleM!M30*13</f>
        <v>60586.5</v>
      </c>
      <c r="N30" s="88">
        <f>LohntabelleM!N30*13</f>
        <v>61042.8</v>
      </c>
      <c r="O30" s="88">
        <f>LohntabelleM!O30*13</f>
        <v>61500.4</v>
      </c>
      <c r="P30" s="88">
        <f>LohntabelleM!P30*13</f>
        <v>61956.7</v>
      </c>
      <c r="Q30" s="88">
        <f>LohntabelleM!Q30*13</f>
        <v>62397.4</v>
      </c>
      <c r="R30" s="88">
        <f>LohntabelleM!R30*13</f>
        <v>62705.5</v>
      </c>
      <c r="S30" s="88">
        <f>LohntabelleM!S30*13</f>
        <v>63014.9</v>
      </c>
      <c r="T30" s="88">
        <f>LohntabelleM!T30*13</f>
        <v>63323.65</v>
      </c>
      <c r="U30" s="88">
        <f>LohntabelleM!U30*13</f>
        <v>63633.05</v>
      </c>
      <c r="V30" s="88">
        <f>LohntabelleM!V30*13</f>
        <v>63633.05</v>
      </c>
      <c r="W30" s="88">
        <f>LohntabelleM!W30*13</f>
        <v>63938.55</v>
      </c>
      <c r="X30" s="88">
        <f>LohntabelleM!X30*13</f>
        <v>63938.55</v>
      </c>
      <c r="Y30" s="88">
        <f>LohntabelleM!Y30*13</f>
        <v>64247.3</v>
      </c>
      <c r="Z30" s="88">
        <f>LohntabelleM!Z30*13</f>
        <v>64247.3</v>
      </c>
      <c r="AA30" s="88">
        <f>LohntabelleM!AA30*13</f>
        <v>64556.7</v>
      </c>
      <c r="AB30" s="88">
        <f>LohntabelleM!AB30*13</f>
        <v>64556.7</v>
      </c>
      <c r="AC30" s="88">
        <f>LohntabelleM!AC30*13</f>
        <v>64864.800000000003</v>
      </c>
      <c r="AD30" s="88">
        <f>LohntabelleM!AD30*13</f>
        <v>64864.800000000003</v>
      </c>
      <c r="AE30" s="88">
        <f>LohntabelleM!AE30*13</f>
        <v>65172.9</v>
      </c>
    </row>
    <row r="31" spans="1:31" x14ac:dyDescent="0.2">
      <c r="A31" s="84">
        <v>28</v>
      </c>
      <c r="B31" s="88">
        <f>LohntabelleM!B31*13</f>
        <v>41796.299999999996</v>
      </c>
      <c r="C31" s="88">
        <f>LohntabelleM!C31*13</f>
        <v>43837.299999999996</v>
      </c>
      <c r="D31" s="88">
        <f>LohntabelleM!D31*13</f>
        <v>45881.549999999996</v>
      </c>
      <c r="E31" s="88">
        <f>LohntabelleM!E31*13</f>
        <v>47921.9</v>
      </c>
      <c r="F31" s="88">
        <f>LohntabelleM!F31*13</f>
        <v>49892.049999999996</v>
      </c>
      <c r="G31" s="88">
        <f>LohntabelleM!G31*13</f>
        <v>51864.15</v>
      </c>
      <c r="H31" s="88">
        <f>LohntabelleM!H31*13</f>
        <v>53834.95</v>
      </c>
      <c r="I31" s="88">
        <f>LohntabelleM!I31*13</f>
        <v>55805.75</v>
      </c>
      <c r="J31" s="88">
        <f>LohntabelleM!J31*13</f>
        <v>56689.75</v>
      </c>
      <c r="K31" s="88">
        <f>LohntabelleM!K31*13</f>
        <v>57575.05</v>
      </c>
      <c r="L31" s="88">
        <f>LohntabelleM!L31*13</f>
        <v>58462.95</v>
      </c>
      <c r="M31" s="88">
        <f>LohntabelleM!M31*13</f>
        <v>59347.6</v>
      </c>
      <c r="N31" s="88">
        <f>LohntabelleM!N31*13</f>
        <v>59766.2</v>
      </c>
      <c r="O31" s="88">
        <f>LohntabelleM!O31*13</f>
        <v>60162.05</v>
      </c>
      <c r="P31" s="88">
        <f>LohntabelleM!P31*13</f>
        <v>60471.45</v>
      </c>
      <c r="Q31" s="88">
        <f>LohntabelleM!Q31*13</f>
        <v>60779.55</v>
      </c>
      <c r="R31" s="88">
        <f>LohntabelleM!R31*13</f>
        <v>61087.65</v>
      </c>
      <c r="S31" s="88">
        <f>LohntabelleM!S31*13</f>
        <v>61396.4</v>
      </c>
      <c r="T31" s="88">
        <f>LohntabelleM!T31*13</f>
        <v>61705.15</v>
      </c>
      <c r="U31" s="88">
        <f>LohntabelleM!U31*13</f>
        <v>62013.25</v>
      </c>
      <c r="V31" s="88">
        <f>LohntabelleM!V31*13</f>
        <v>62013.25</v>
      </c>
      <c r="W31" s="88">
        <f>LohntabelleM!W31*13</f>
        <v>62321.35</v>
      </c>
      <c r="X31" s="88">
        <f>LohntabelleM!X31*13</f>
        <v>62321.35</v>
      </c>
      <c r="Y31" s="88">
        <f>LohntabelleM!Y31*13</f>
        <v>62630.75</v>
      </c>
      <c r="Z31" s="88">
        <f>LohntabelleM!Z31*13</f>
        <v>62630.75</v>
      </c>
      <c r="AA31" s="88">
        <f>LohntabelleM!AA31*13</f>
        <v>62939.5</v>
      </c>
      <c r="AB31" s="88">
        <f>LohntabelleM!AB31*13</f>
        <v>62939.5</v>
      </c>
      <c r="AC31" s="88">
        <f>LohntabelleM!AC31*13</f>
        <v>63246.95</v>
      </c>
      <c r="AD31" s="88">
        <f>LohntabelleM!AD31*13</f>
        <v>63246.95</v>
      </c>
      <c r="AE31" s="88">
        <f>LohntabelleM!AE31*13</f>
        <v>63555.7</v>
      </c>
    </row>
    <row r="32" spans="1:31" x14ac:dyDescent="0.2">
      <c r="A32" s="84"/>
    </row>
    <row r="33" spans="1:2" x14ac:dyDescent="0.2">
      <c r="A33" s="84"/>
      <c r="B33" s="83">
        <f>LohntabelleM!B4*13</f>
        <v>183364.35</v>
      </c>
    </row>
    <row r="34" spans="1:2" x14ac:dyDescent="0.2">
      <c r="A34" s="84"/>
    </row>
  </sheetData>
  <sheetProtection selectLockedCells="1" selectUnlockedCells="1"/>
  <phoneticPr fontId="27" type="noConversion"/>
  <pageMargins left="0.78740157499999996" right="0.78740157499999996" top="0.984251969" bottom="0.984251969" header="0.4921259845" footer="0.4921259845"/>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Tabelle41">
    <tabColor indexed="22"/>
  </sheetPr>
  <dimension ref="A1:R23"/>
  <sheetViews>
    <sheetView workbookViewId="0">
      <selection activeCell="I25" sqref="I25"/>
    </sheetView>
  </sheetViews>
  <sheetFormatPr baseColWidth="10" defaultColWidth="11.42578125" defaultRowHeight="12.75" x14ac:dyDescent="0.2"/>
  <cols>
    <col min="1" max="2" width="16.5703125" style="10" customWidth="1"/>
    <col min="3" max="3" width="14.5703125" style="10" customWidth="1"/>
    <col min="4" max="9" width="11.42578125" style="10" customWidth="1"/>
    <col min="10" max="18" width="11.42578125" style="10"/>
    <col min="19" max="16384" width="11.42578125" style="1"/>
  </cols>
  <sheetData>
    <row r="1" spans="1:2" x14ac:dyDescent="0.2">
      <c r="A1" s="9">
        <v>0</v>
      </c>
      <c r="B1" s="9" t="s">
        <v>88</v>
      </c>
    </row>
    <row r="2" spans="1:2" x14ac:dyDescent="0.2">
      <c r="A2" s="9">
        <v>0.5</v>
      </c>
      <c r="B2" s="9" t="s">
        <v>354</v>
      </c>
    </row>
    <row r="3" spans="1:2" x14ac:dyDescent="0.2">
      <c r="A3" s="9">
        <v>1</v>
      </c>
      <c r="B3" s="9" t="s">
        <v>85</v>
      </c>
    </row>
    <row r="4" spans="1:2" x14ac:dyDescent="0.2">
      <c r="A4" s="9">
        <v>1.5</v>
      </c>
      <c r="B4" s="9" t="s">
        <v>86</v>
      </c>
    </row>
    <row r="5" spans="1:2" x14ac:dyDescent="0.2">
      <c r="A5" s="9">
        <v>2</v>
      </c>
      <c r="B5" s="9" t="s">
        <v>344</v>
      </c>
    </row>
    <row r="6" spans="1:2" x14ac:dyDescent="0.2">
      <c r="A6" s="9">
        <v>3</v>
      </c>
      <c r="B6" s="9" t="s">
        <v>93</v>
      </c>
    </row>
    <row r="7" spans="1:2" x14ac:dyDescent="0.2">
      <c r="A7" s="9">
        <v>3.5</v>
      </c>
      <c r="B7" s="9" t="s">
        <v>345</v>
      </c>
    </row>
    <row r="8" spans="1:2" x14ac:dyDescent="0.2">
      <c r="A8" s="9">
        <v>4</v>
      </c>
      <c r="B8" s="9" t="s">
        <v>89</v>
      </c>
    </row>
    <row r="9" spans="1:2" x14ac:dyDescent="0.2">
      <c r="A9" s="9">
        <v>5</v>
      </c>
      <c r="B9" s="9" t="s">
        <v>87</v>
      </c>
    </row>
    <row r="10" spans="1:2" x14ac:dyDescent="0.2">
      <c r="A10" s="9">
        <v>5.5</v>
      </c>
      <c r="B10" s="9" t="s">
        <v>671</v>
      </c>
    </row>
    <row r="11" spans="1:2" x14ac:dyDescent="0.2">
      <c r="A11" s="9">
        <v>6</v>
      </c>
      <c r="B11" s="9" t="s">
        <v>672</v>
      </c>
    </row>
    <row r="12" spans="1:2" x14ac:dyDescent="0.2">
      <c r="A12" s="9">
        <v>6.5</v>
      </c>
      <c r="B12" s="9" t="s">
        <v>346</v>
      </c>
    </row>
    <row r="13" spans="1:2" x14ac:dyDescent="0.2">
      <c r="A13" s="9">
        <v>7</v>
      </c>
      <c r="B13" s="9" t="s">
        <v>673</v>
      </c>
    </row>
    <row r="14" spans="1:2" x14ac:dyDescent="0.2">
      <c r="A14" s="9">
        <v>7.5</v>
      </c>
      <c r="B14" s="9" t="s">
        <v>674</v>
      </c>
    </row>
    <row r="15" spans="1:2" x14ac:dyDescent="0.2">
      <c r="A15" s="9">
        <v>8</v>
      </c>
      <c r="B15" s="9" t="s">
        <v>352</v>
      </c>
    </row>
    <row r="16" spans="1:2" x14ac:dyDescent="0.2">
      <c r="A16" s="9">
        <v>8.5</v>
      </c>
      <c r="B16" s="9" t="s">
        <v>90</v>
      </c>
    </row>
    <row r="17" spans="1:2" x14ac:dyDescent="0.2">
      <c r="A17" s="9">
        <v>9</v>
      </c>
      <c r="B17" s="9" t="s">
        <v>351</v>
      </c>
    </row>
    <row r="18" spans="1:2" x14ac:dyDescent="0.2">
      <c r="A18" s="9">
        <v>9.5</v>
      </c>
      <c r="B18" s="9" t="s">
        <v>347</v>
      </c>
    </row>
    <row r="19" spans="1:2" x14ac:dyDescent="0.2">
      <c r="A19" s="9">
        <v>10</v>
      </c>
      <c r="B19" s="9" t="s">
        <v>348</v>
      </c>
    </row>
    <row r="20" spans="1:2" x14ac:dyDescent="0.2">
      <c r="A20" s="9">
        <v>10.5</v>
      </c>
      <c r="B20" s="9" t="s">
        <v>353</v>
      </c>
    </row>
    <row r="21" spans="1:2" x14ac:dyDescent="0.2">
      <c r="A21" s="9">
        <v>11</v>
      </c>
      <c r="B21" s="9" t="s">
        <v>349</v>
      </c>
    </row>
    <row r="22" spans="1:2" x14ac:dyDescent="0.2">
      <c r="A22" s="9">
        <v>12.5</v>
      </c>
      <c r="B22" s="9" t="s">
        <v>350</v>
      </c>
    </row>
    <row r="23" spans="1:2" x14ac:dyDescent="0.2">
      <c r="A23" s="9" t="s">
        <v>91</v>
      </c>
      <c r="B23" s="9" t="s">
        <v>92</v>
      </c>
    </row>
  </sheetData>
  <sheetProtection selectLockedCells="1" selectUnlockedCells="1"/>
  <phoneticPr fontId="12" type="noConversion"/>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Tabelle31">
    <tabColor indexed="22"/>
    <pageSetUpPr fitToPage="1"/>
  </sheetPr>
  <dimension ref="A1:W529"/>
  <sheetViews>
    <sheetView workbookViewId="0">
      <pane ySplit="1" topLeftCell="A299" activePane="bottomLeft" state="frozen"/>
      <selection activeCell="H1" sqref="H1"/>
      <selection pane="bottomLeft" activeCell="W333" sqref="W333:W334"/>
    </sheetView>
  </sheetViews>
  <sheetFormatPr baseColWidth="10" defaultColWidth="11.42578125" defaultRowHeight="13.5" x14ac:dyDescent="0.25"/>
  <cols>
    <col min="1" max="1" width="10.5703125" style="26" customWidth="1"/>
    <col min="2" max="2" width="12.42578125" style="24" customWidth="1"/>
    <col min="3" max="3" width="10.42578125" style="24" customWidth="1"/>
    <col min="4" max="4" width="10" style="24" customWidth="1"/>
    <col min="5" max="5" width="13.42578125" style="24" customWidth="1"/>
    <col min="6" max="6" width="39.5703125" style="26" customWidth="1"/>
    <col min="7" max="7" width="46.140625" style="24" customWidth="1"/>
    <col min="8" max="8" width="10.5703125" style="24" customWidth="1"/>
    <col min="9" max="10" width="9.42578125" style="24" customWidth="1"/>
    <col min="11" max="11" width="48.5703125" style="29" customWidth="1"/>
    <col min="12" max="12" width="49.5703125" style="31" bestFit="1" customWidth="1"/>
    <col min="13" max="14" width="10.5703125" style="32" customWidth="1"/>
    <col min="15" max="15" width="13.5703125" style="31" customWidth="1"/>
    <col min="16" max="16" width="12.42578125" style="32" customWidth="1"/>
    <col min="17" max="17" width="11.5703125" style="32" customWidth="1"/>
    <col min="18" max="18" width="48.42578125" style="8" customWidth="1"/>
    <col min="19" max="19" width="64.140625" style="8" customWidth="1"/>
    <col min="20" max="20" width="30.140625" style="7" customWidth="1"/>
    <col min="21" max="21" width="11.42578125" style="7" customWidth="1"/>
    <col min="22" max="16384" width="11.42578125" style="7"/>
  </cols>
  <sheetData>
    <row r="1" spans="1:23" s="21" customFormat="1" ht="12.75" x14ac:dyDescent="0.2">
      <c r="A1" s="70" t="s">
        <v>829</v>
      </c>
      <c r="B1" s="71" t="s">
        <v>74</v>
      </c>
      <c r="C1" s="72" t="s">
        <v>68</v>
      </c>
      <c r="D1" s="72" t="s">
        <v>69</v>
      </c>
      <c r="E1" s="72" t="s">
        <v>75</v>
      </c>
      <c r="F1" s="72" t="s">
        <v>70</v>
      </c>
      <c r="G1" s="71" t="s">
        <v>71</v>
      </c>
      <c r="H1" s="72" t="s">
        <v>1081</v>
      </c>
      <c r="I1" s="72" t="s">
        <v>72</v>
      </c>
      <c r="J1" s="72" t="s">
        <v>73</v>
      </c>
      <c r="K1" s="72" t="s">
        <v>10</v>
      </c>
      <c r="L1" s="779" t="s">
        <v>84</v>
      </c>
      <c r="M1" s="73" t="s">
        <v>80</v>
      </c>
      <c r="N1" s="30" t="s">
        <v>78</v>
      </c>
      <c r="O1" s="30" t="s">
        <v>79</v>
      </c>
      <c r="P1" s="73" t="s">
        <v>81</v>
      </c>
      <c r="Q1" s="30" t="s">
        <v>82</v>
      </c>
      <c r="R1" s="30" t="s">
        <v>83</v>
      </c>
      <c r="S1" s="780" t="s">
        <v>264</v>
      </c>
      <c r="T1" s="780" t="s">
        <v>265</v>
      </c>
      <c r="U1" s="781" t="s">
        <v>1245</v>
      </c>
      <c r="V1" s="782" t="s">
        <v>1081</v>
      </c>
      <c r="W1" s="782" t="s">
        <v>71</v>
      </c>
    </row>
    <row r="2" spans="1:23" s="21" customFormat="1" ht="12.75" x14ac:dyDescent="0.2">
      <c r="A2" s="74" t="str">
        <f t="shared" ref="A2:A65" si="0">RIGHT(B2,LEN(B2)-1)</f>
        <v>101.19</v>
      </c>
      <c r="B2" s="71" t="s">
        <v>94</v>
      </c>
      <c r="C2" s="72" t="s">
        <v>1246</v>
      </c>
      <c r="D2" s="72" t="s">
        <v>65</v>
      </c>
      <c r="E2" s="72"/>
      <c r="F2" s="72">
        <v>101</v>
      </c>
      <c r="G2" s="71" t="s">
        <v>45</v>
      </c>
      <c r="H2" s="72">
        <v>19</v>
      </c>
      <c r="I2" s="72">
        <v>312.39999999999998</v>
      </c>
      <c r="J2" s="72">
        <v>5</v>
      </c>
      <c r="K2" s="72">
        <v>3</v>
      </c>
      <c r="L2" s="779" t="s">
        <v>87</v>
      </c>
      <c r="M2" s="73"/>
      <c r="N2" s="30">
        <v>3.5</v>
      </c>
      <c r="O2" s="30">
        <v>6</v>
      </c>
      <c r="P2" s="73"/>
      <c r="Q2" s="30"/>
      <c r="R2" s="30"/>
      <c r="S2" s="780" t="s">
        <v>345</v>
      </c>
      <c r="T2" s="780" t="s">
        <v>65</v>
      </c>
      <c r="U2" s="781" t="s">
        <v>1812</v>
      </c>
      <c r="V2" s="782">
        <v>19</v>
      </c>
      <c r="W2" s="782" t="str">
        <f t="shared" ref="W2:W65" si="1">G2</f>
        <v>Administrative Angestellte</v>
      </c>
    </row>
    <row r="3" spans="1:23" s="21" customFormat="1" ht="12.75" x14ac:dyDescent="0.2">
      <c r="A3" s="74" t="str">
        <f t="shared" si="0"/>
        <v>101.20</v>
      </c>
      <c r="B3" s="783" t="s">
        <v>95</v>
      </c>
      <c r="C3" s="72" t="s">
        <v>1246</v>
      </c>
      <c r="D3" s="72" t="s">
        <v>65</v>
      </c>
      <c r="E3" s="72"/>
      <c r="F3" s="72">
        <v>101</v>
      </c>
      <c r="G3" s="71" t="s">
        <v>45</v>
      </c>
      <c r="H3" s="72">
        <v>20</v>
      </c>
      <c r="I3" s="72">
        <v>291.39999999999998</v>
      </c>
      <c r="J3" s="72">
        <v>5</v>
      </c>
      <c r="K3" s="72">
        <v>1</v>
      </c>
      <c r="L3" s="779" t="s">
        <v>87</v>
      </c>
      <c r="M3" s="73">
        <v>292.8</v>
      </c>
      <c r="N3" s="30">
        <v>3.5</v>
      </c>
      <c r="O3" s="30">
        <v>3</v>
      </c>
      <c r="P3" s="73"/>
      <c r="Q3" s="30"/>
      <c r="R3" s="30"/>
      <c r="S3" s="780" t="s">
        <v>345</v>
      </c>
      <c r="T3" s="780" t="s">
        <v>65</v>
      </c>
      <c r="U3" s="781" t="s">
        <v>1813</v>
      </c>
      <c r="V3" s="782">
        <v>20</v>
      </c>
      <c r="W3" s="782" t="str">
        <f t="shared" si="1"/>
        <v>Administrative Angestellte</v>
      </c>
    </row>
    <row r="4" spans="1:23" s="21" customFormat="1" ht="12.75" x14ac:dyDescent="0.2">
      <c r="A4" s="74" t="str">
        <f t="shared" si="0"/>
        <v>101.21</v>
      </c>
      <c r="B4" s="71" t="s">
        <v>96</v>
      </c>
      <c r="C4" s="72" t="s">
        <v>1246</v>
      </c>
      <c r="D4" s="72" t="s">
        <v>65</v>
      </c>
      <c r="E4" s="72"/>
      <c r="F4" s="72">
        <v>101</v>
      </c>
      <c r="G4" s="71" t="s">
        <v>45</v>
      </c>
      <c r="H4" s="72">
        <v>21</v>
      </c>
      <c r="I4" s="72"/>
      <c r="J4" s="72">
        <v>3.5</v>
      </c>
      <c r="K4" s="72">
        <v>1</v>
      </c>
      <c r="L4" s="779" t="s">
        <v>345</v>
      </c>
      <c r="M4" s="73"/>
      <c r="N4" s="30"/>
      <c r="O4" s="30"/>
      <c r="P4" s="73"/>
      <c r="Q4" s="30"/>
      <c r="R4" s="30"/>
      <c r="S4" s="780" t="s">
        <v>65</v>
      </c>
      <c r="T4" s="780" t="s">
        <v>65</v>
      </c>
      <c r="U4" s="781" t="s">
        <v>1814</v>
      </c>
      <c r="V4" s="782">
        <v>21</v>
      </c>
      <c r="W4" s="782" t="str">
        <f t="shared" si="1"/>
        <v>Administrative Angestellte</v>
      </c>
    </row>
    <row r="5" spans="1:23" s="21" customFormat="1" ht="12.75" x14ac:dyDescent="0.2">
      <c r="A5" s="74" t="str">
        <f t="shared" si="0"/>
        <v>101.22</v>
      </c>
      <c r="B5" s="783" t="s">
        <v>97</v>
      </c>
      <c r="C5" s="72" t="s">
        <v>1246</v>
      </c>
      <c r="D5" s="72" t="s">
        <v>65</v>
      </c>
      <c r="E5" s="72"/>
      <c r="F5" s="72">
        <v>101</v>
      </c>
      <c r="G5" s="71" t="s">
        <v>45</v>
      </c>
      <c r="H5" s="72">
        <v>22</v>
      </c>
      <c r="I5" s="72">
        <v>246.2</v>
      </c>
      <c r="J5" s="72">
        <v>3.5</v>
      </c>
      <c r="K5" s="72">
        <v>2</v>
      </c>
      <c r="L5" s="779" t="s">
        <v>345</v>
      </c>
      <c r="M5" s="73"/>
      <c r="N5" s="30"/>
      <c r="O5" s="30"/>
      <c r="P5" s="73"/>
      <c r="Q5" s="30"/>
      <c r="R5" s="30"/>
      <c r="S5" s="780" t="s">
        <v>65</v>
      </c>
      <c r="T5" s="780" t="s">
        <v>65</v>
      </c>
      <c r="U5" s="781" t="s">
        <v>1815</v>
      </c>
      <c r="V5" s="782">
        <v>22</v>
      </c>
      <c r="W5" s="782" t="str">
        <f t="shared" si="1"/>
        <v>Administrative Angestellte</v>
      </c>
    </row>
    <row r="6" spans="1:23" s="21" customFormat="1" ht="12.75" x14ac:dyDescent="0.2">
      <c r="A6" s="74" t="str">
        <f t="shared" si="0"/>
        <v>101.23</v>
      </c>
      <c r="B6" s="71" t="s">
        <v>98</v>
      </c>
      <c r="C6" s="72" t="s">
        <v>1246</v>
      </c>
      <c r="D6" s="72" t="s">
        <v>65</v>
      </c>
      <c r="E6" s="72"/>
      <c r="F6" s="72">
        <v>101</v>
      </c>
      <c r="G6" s="71" t="s">
        <v>45</v>
      </c>
      <c r="H6" s="72">
        <v>23</v>
      </c>
      <c r="I6" s="72"/>
      <c r="J6" s="72">
        <v>3.5</v>
      </c>
      <c r="K6" s="72">
        <v>0</v>
      </c>
      <c r="L6" s="779" t="s">
        <v>345</v>
      </c>
      <c r="M6" s="73"/>
      <c r="N6" s="30">
        <v>2</v>
      </c>
      <c r="O6" s="30">
        <v>4</v>
      </c>
      <c r="P6" s="73"/>
      <c r="Q6" s="30"/>
      <c r="R6" s="30"/>
      <c r="S6" s="780" t="s">
        <v>344</v>
      </c>
      <c r="T6" s="780" t="s">
        <v>65</v>
      </c>
      <c r="U6" s="781" t="s">
        <v>1816</v>
      </c>
      <c r="V6" s="782">
        <v>23</v>
      </c>
      <c r="W6" s="782" t="str">
        <f t="shared" si="1"/>
        <v>Administrative Angestellte</v>
      </c>
    </row>
    <row r="7" spans="1:23" s="21" customFormat="1" ht="12.75" x14ac:dyDescent="0.2">
      <c r="A7" s="74" t="str">
        <f t="shared" si="0"/>
        <v>101.24</v>
      </c>
      <c r="B7" s="783" t="s">
        <v>99</v>
      </c>
      <c r="C7" s="72" t="s">
        <v>1246</v>
      </c>
      <c r="D7" s="72" t="s">
        <v>65</v>
      </c>
      <c r="E7" s="72"/>
      <c r="F7" s="72">
        <v>101</v>
      </c>
      <c r="G7" s="71" t="s">
        <v>45</v>
      </c>
      <c r="H7" s="72">
        <v>24</v>
      </c>
      <c r="I7" s="72">
        <v>192.7</v>
      </c>
      <c r="J7" s="72">
        <v>2</v>
      </c>
      <c r="K7" s="72">
        <v>2</v>
      </c>
      <c r="L7" s="779" t="s">
        <v>344</v>
      </c>
      <c r="M7" s="73"/>
      <c r="N7" s="30"/>
      <c r="O7" s="30"/>
      <c r="P7" s="73"/>
      <c r="Q7" s="30"/>
      <c r="R7" s="30"/>
      <c r="S7" s="780" t="s">
        <v>65</v>
      </c>
      <c r="T7" s="780" t="s">
        <v>65</v>
      </c>
      <c r="U7" s="781" t="s">
        <v>1817</v>
      </c>
      <c r="V7" s="782">
        <v>24</v>
      </c>
      <c r="W7" s="782" t="str">
        <f t="shared" si="1"/>
        <v>Administrative Angestellte</v>
      </c>
    </row>
    <row r="8" spans="1:23" s="21" customFormat="1" ht="12.75" x14ac:dyDescent="0.2">
      <c r="A8" s="74" t="str">
        <f t="shared" si="0"/>
        <v>101.25</v>
      </c>
      <c r="B8" s="71" t="s">
        <v>100</v>
      </c>
      <c r="C8" s="72" t="s">
        <v>1246</v>
      </c>
      <c r="D8" s="72" t="s">
        <v>65</v>
      </c>
      <c r="E8" s="72"/>
      <c r="F8" s="72">
        <v>101</v>
      </c>
      <c r="G8" s="71" t="s">
        <v>45</v>
      </c>
      <c r="H8" s="72">
        <v>25</v>
      </c>
      <c r="I8" s="72"/>
      <c r="J8" s="72">
        <v>2</v>
      </c>
      <c r="K8" s="72">
        <v>0</v>
      </c>
      <c r="L8" s="779" t="s">
        <v>344</v>
      </c>
      <c r="M8" s="73"/>
      <c r="N8" s="30">
        <v>1.5</v>
      </c>
      <c r="O8" s="30">
        <v>2</v>
      </c>
      <c r="P8" s="73"/>
      <c r="Q8" s="30"/>
      <c r="R8" s="30"/>
      <c r="S8" s="780" t="s">
        <v>86</v>
      </c>
      <c r="T8" s="780" t="s">
        <v>65</v>
      </c>
      <c r="U8" s="781" t="s">
        <v>1818</v>
      </c>
      <c r="V8" s="782">
        <v>25</v>
      </c>
      <c r="W8" s="782" t="str">
        <f t="shared" si="1"/>
        <v>Administrative Angestellte</v>
      </c>
    </row>
    <row r="9" spans="1:23" s="21" customFormat="1" ht="12.75" x14ac:dyDescent="0.2">
      <c r="A9" s="74" t="str">
        <f t="shared" si="0"/>
        <v>101.26</v>
      </c>
      <c r="B9" s="783" t="s">
        <v>101</v>
      </c>
      <c r="C9" s="72" t="s">
        <v>1246</v>
      </c>
      <c r="D9" s="72" t="s">
        <v>65</v>
      </c>
      <c r="E9" s="72"/>
      <c r="F9" s="72">
        <v>101</v>
      </c>
      <c r="G9" s="71" t="s">
        <v>45</v>
      </c>
      <c r="H9" s="72">
        <v>26</v>
      </c>
      <c r="I9" s="72">
        <v>146.9</v>
      </c>
      <c r="J9" s="72">
        <v>1.5</v>
      </c>
      <c r="K9" s="72">
        <v>1</v>
      </c>
      <c r="L9" s="779" t="s">
        <v>86</v>
      </c>
      <c r="M9" s="73"/>
      <c r="N9" s="30"/>
      <c r="O9" s="30"/>
      <c r="P9" s="73"/>
      <c r="Q9" s="30"/>
      <c r="R9" s="30"/>
      <c r="S9" s="780" t="s">
        <v>65</v>
      </c>
      <c r="T9" s="780" t="s">
        <v>65</v>
      </c>
      <c r="U9" s="781" t="s">
        <v>1819</v>
      </c>
      <c r="V9" s="782">
        <v>26</v>
      </c>
      <c r="W9" s="782" t="str">
        <f t="shared" si="1"/>
        <v>Administrative Angestellte</v>
      </c>
    </row>
    <row r="10" spans="1:23" s="21" customFormat="1" ht="12.75" x14ac:dyDescent="0.2">
      <c r="A10" s="784" t="str">
        <f t="shared" si="0"/>
        <v>102.13</v>
      </c>
      <c r="B10" s="785" t="s">
        <v>102</v>
      </c>
      <c r="C10" s="786" t="s">
        <v>1247</v>
      </c>
      <c r="D10" s="786"/>
      <c r="E10" s="786"/>
      <c r="F10" s="786" t="s">
        <v>46</v>
      </c>
      <c r="G10" s="785" t="s">
        <v>47</v>
      </c>
      <c r="H10" s="786">
        <v>13</v>
      </c>
      <c r="I10" s="786"/>
      <c r="J10" s="786">
        <v>7</v>
      </c>
      <c r="K10" s="786">
        <v>6</v>
      </c>
      <c r="L10" s="787" t="s">
        <v>673</v>
      </c>
      <c r="M10" s="788"/>
      <c r="N10" s="789"/>
      <c r="O10" s="789"/>
      <c r="P10" s="788"/>
      <c r="Q10" s="789"/>
      <c r="R10" s="789"/>
      <c r="S10" s="790" t="s">
        <v>65</v>
      </c>
      <c r="T10" s="790" t="s">
        <v>65</v>
      </c>
      <c r="U10" s="781" t="s">
        <v>1820</v>
      </c>
      <c r="V10" s="782">
        <v>13</v>
      </c>
      <c r="W10" s="782" t="str">
        <f t="shared" si="1"/>
        <v>Sachbearbeitung 2 (mbA)</v>
      </c>
    </row>
    <row r="11" spans="1:23" s="21" customFormat="1" ht="12.75" x14ac:dyDescent="0.2">
      <c r="A11" s="74" t="str">
        <f t="shared" si="0"/>
        <v>102.14a</v>
      </c>
      <c r="B11" s="783" t="s">
        <v>192</v>
      </c>
      <c r="C11" s="72" t="s">
        <v>1247</v>
      </c>
      <c r="D11" s="72" t="s">
        <v>66</v>
      </c>
      <c r="E11" s="72"/>
      <c r="F11" s="72" t="s">
        <v>46</v>
      </c>
      <c r="G11" s="71" t="s">
        <v>47</v>
      </c>
      <c r="H11" s="72">
        <v>14</v>
      </c>
      <c r="I11" s="72">
        <v>435.9</v>
      </c>
      <c r="J11" s="72">
        <v>7</v>
      </c>
      <c r="K11" s="72">
        <v>4</v>
      </c>
      <c r="L11" s="779" t="s">
        <v>673</v>
      </c>
      <c r="M11" s="73"/>
      <c r="N11" s="30"/>
      <c r="O11" s="30"/>
      <c r="P11" s="73"/>
      <c r="Q11" s="30"/>
      <c r="R11" s="30"/>
      <c r="S11" s="780" t="s">
        <v>65</v>
      </c>
      <c r="T11" s="780" t="s">
        <v>65</v>
      </c>
      <c r="U11" s="781" t="s">
        <v>1250</v>
      </c>
      <c r="V11" s="782">
        <v>14</v>
      </c>
      <c r="W11" s="782" t="str">
        <f t="shared" si="1"/>
        <v>Sachbearbeitung 2 (mbA)</v>
      </c>
    </row>
    <row r="12" spans="1:23" s="21" customFormat="1" ht="12.75" x14ac:dyDescent="0.2">
      <c r="A12" s="74" t="str">
        <f t="shared" si="0"/>
        <v>102.14b</v>
      </c>
      <c r="B12" s="783" t="s">
        <v>193</v>
      </c>
      <c r="C12" s="72" t="s">
        <v>1247</v>
      </c>
      <c r="D12" s="72" t="s">
        <v>67</v>
      </c>
      <c r="E12" s="72"/>
      <c r="F12" s="72" t="s">
        <v>46</v>
      </c>
      <c r="G12" s="71" t="s">
        <v>47</v>
      </c>
      <c r="H12" s="72">
        <v>14</v>
      </c>
      <c r="I12" s="72">
        <v>435.9</v>
      </c>
      <c r="J12" s="72">
        <v>7</v>
      </c>
      <c r="K12" s="72">
        <v>4</v>
      </c>
      <c r="L12" s="779" t="s">
        <v>673</v>
      </c>
      <c r="M12" s="73"/>
      <c r="N12" s="30"/>
      <c r="O12" s="30"/>
      <c r="P12" s="73"/>
      <c r="Q12" s="30"/>
      <c r="R12" s="30"/>
      <c r="S12" s="780" t="s">
        <v>65</v>
      </c>
      <c r="T12" s="780" t="s">
        <v>65</v>
      </c>
      <c r="U12" s="781" t="s">
        <v>1251</v>
      </c>
      <c r="V12" s="782">
        <v>14</v>
      </c>
      <c r="W12" s="782" t="str">
        <f t="shared" si="1"/>
        <v>Sachbearbeitung 2 (mbA)</v>
      </c>
    </row>
    <row r="13" spans="1:23" s="21" customFormat="1" ht="12.75" x14ac:dyDescent="0.2">
      <c r="A13" s="784" t="str">
        <f t="shared" si="0"/>
        <v>102.15</v>
      </c>
      <c r="B13" s="785" t="s">
        <v>103</v>
      </c>
      <c r="C13" s="786" t="s">
        <v>1247</v>
      </c>
      <c r="D13" s="786"/>
      <c r="E13" s="786"/>
      <c r="F13" s="786" t="s">
        <v>46</v>
      </c>
      <c r="G13" s="785" t="s">
        <v>47</v>
      </c>
      <c r="H13" s="786">
        <v>15</v>
      </c>
      <c r="I13" s="786"/>
      <c r="J13" s="786">
        <v>7</v>
      </c>
      <c r="K13" s="786">
        <v>2</v>
      </c>
      <c r="L13" s="787" t="s">
        <v>673</v>
      </c>
      <c r="M13" s="788"/>
      <c r="N13" s="789">
        <v>5.5</v>
      </c>
      <c r="O13" s="789">
        <v>6</v>
      </c>
      <c r="P13" s="788"/>
      <c r="Q13" s="789"/>
      <c r="R13" s="789"/>
      <c r="S13" s="790" t="s">
        <v>671</v>
      </c>
      <c r="T13" s="790" t="s">
        <v>65</v>
      </c>
      <c r="U13" s="781" t="s">
        <v>1821</v>
      </c>
      <c r="V13" s="782">
        <v>15</v>
      </c>
      <c r="W13" s="782" t="str">
        <f t="shared" si="1"/>
        <v>Sachbearbeitung 2 (mbA)</v>
      </c>
    </row>
    <row r="14" spans="1:23" s="21" customFormat="1" ht="12.75" x14ac:dyDescent="0.2">
      <c r="A14" s="74" t="str">
        <f t="shared" si="0"/>
        <v>102.16a</v>
      </c>
      <c r="B14" s="783" t="s">
        <v>194</v>
      </c>
      <c r="C14" s="72" t="s">
        <v>1247</v>
      </c>
      <c r="D14" s="72" t="s">
        <v>66</v>
      </c>
      <c r="E14" s="72"/>
      <c r="F14" s="72" t="s">
        <v>46</v>
      </c>
      <c r="G14" s="71" t="s">
        <v>47</v>
      </c>
      <c r="H14" s="72">
        <v>16</v>
      </c>
      <c r="I14" s="72">
        <v>393.1</v>
      </c>
      <c r="J14" s="72">
        <v>5.5</v>
      </c>
      <c r="K14" s="72">
        <v>4</v>
      </c>
      <c r="L14" s="779" t="s">
        <v>671</v>
      </c>
      <c r="M14" s="73"/>
      <c r="N14" s="30"/>
      <c r="O14" s="30"/>
      <c r="P14" s="73"/>
      <c r="Q14" s="30"/>
      <c r="R14" s="30"/>
      <c r="S14" s="780" t="s">
        <v>65</v>
      </c>
      <c r="T14" s="780" t="s">
        <v>65</v>
      </c>
      <c r="U14" s="781" t="s">
        <v>1254</v>
      </c>
      <c r="V14" s="782">
        <v>16</v>
      </c>
      <c r="W14" s="782" t="str">
        <f t="shared" si="1"/>
        <v>Sachbearbeitung 2 (mbA)</v>
      </c>
    </row>
    <row r="15" spans="1:23" s="21" customFormat="1" ht="12.75" x14ac:dyDescent="0.2">
      <c r="A15" s="74" t="str">
        <f t="shared" si="0"/>
        <v>102.16b</v>
      </c>
      <c r="B15" s="783" t="s">
        <v>195</v>
      </c>
      <c r="C15" s="72" t="s">
        <v>1247</v>
      </c>
      <c r="D15" s="72" t="s">
        <v>67</v>
      </c>
      <c r="E15" s="72"/>
      <c r="F15" s="72" t="s">
        <v>46</v>
      </c>
      <c r="G15" s="71" t="s">
        <v>47</v>
      </c>
      <c r="H15" s="72">
        <v>16</v>
      </c>
      <c r="I15" s="72">
        <v>393.1</v>
      </c>
      <c r="J15" s="72">
        <v>5.5</v>
      </c>
      <c r="K15" s="72">
        <v>4</v>
      </c>
      <c r="L15" s="779" t="s">
        <v>671</v>
      </c>
      <c r="M15" s="73"/>
      <c r="N15" s="30"/>
      <c r="O15" s="30"/>
      <c r="P15" s="73"/>
      <c r="Q15" s="30"/>
      <c r="R15" s="30"/>
      <c r="S15" s="780" t="s">
        <v>65</v>
      </c>
      <c r="T15" s="780" t="s">
        <v>65</v>
      </c>
      <c r="U15" s="781" t="s">
        <v>1255</v>
      </c>
      <c r="V15" s="782">
        <v>16</v>
      </c>
      <c r="W15" s="782" t="str">
        <f t="shared" si="1"/>
        <v>Sachbearbeitung 2 (mbA)</v>
      </c>
    </row>
    <row r="16" spans="1:23" s="21" customFormat="1" ht="12.75" x14ac:dyDescent="0.2">
      <c r="A16" s="784" t="str">
        <f t="shared" si="0"/>
        <v>102.17</v>
      </c>
      <c r="B16" s="785" t="s">
        <v>104</v>
      </c>
      <c r="C16" s="786" t="s">
        <v>1247</v>
      </c>
      <c r="D16" s="786"/>
      <c r="E16" s="786"/>
      <c r="F16" s="786" t="s">
        <v>46</v>
      </c>
      <c r="G16" s="785" t="s">
        <v>47</v>
      </c>
      <c r="H16" s="786">
        <v>17</v>
      </c>
      <c r="I16" s="786"/>
      <c r="J16" s="786">
        <v>5</v>
      </c>
      <c r="K16" s="786">
        <v>5</v>
      </c>
      <c r="L16" s="787" t="s">
        <v>87</v>
      </c>
      <c r="M16" s="788"/>
      <c r="N16" s="789">
        <v>5.5</v>
      </c>
      <c r="O16" s="789">
        <v>2</v>
      </c>
      <c r="P16" s="788"/>
      <c r="Q16" s="789"/>
      <c r="R16" s="789"/>
      <c r="S16" s="790" t="s">
        <v>671</v>
      </c>
      <c r="T16" s="790" t="s">
        <v>65</v>
      </c>
      <c r="U16" s="781" t="s">
        <v>1822</v>
      </c>
      <c r="V16" s="782">
        <v>17</v>
      </c>
      <c r="W16" s="782" t="str">
        <f t="shared" si="1"/>
        <v>Sachbearbeitung 2 (mbA)</v>
      </c>
    </row>
    <row r="17" spans="1:23" s="21" customFormat="1" ht="12.75" x14ac:dyDescent="0.2">
      <c r="A17" s="74" t="str">
        <f t="shared" si="0"/>
        <v>102.18a</v>
      </c>
      <c r="B17" s="783" t="s">
        <v>196</v>
      </c>
      <c r="C17" s="72" t="s">
        <v>1247</v>
      </c>
      <c r="D17" s="72" t="s">
        <v>66</v>
      </c>
      <c r="E17" s="72"/>
      <c r="F17" s="72" t="s">
        <v>46</v>
      </c>
      <c r="G17" s="71" t="s">
        <v>47</v>
      </c>
      <c r="H17" s="72">
        <v>18</v>
      </c>
      <c r="I17" s="72">
        <v>343</v>
      </c>
      <c r="J17" s="72">
        <v>5</v>
      </c>
      <c r="K17" s="72">
        <v>3</v>
      </c>
      <c r="L17" s="779" t="s">
        <v>87</v>
      </c>
      <c r="M17" s="73">
        <v>340.6</v>
      </c>
      <c r="N17" s="30">
        <v>5.5</v>
      </c>
      <c r="O17" s="30">
        <v>2</v>
      </c>
      <c r="P17" s="73"/>
      <c r="Q17" s="30"/>
      <c r="R17" s="30"/>
      <c r="S17" s="780" t="s">
        <v>671</v>
      </c>
      <c r="T17" s="780" t="s">
        <v>65</v>
      </c>
      <c r="U17" s="781" t="s">
        <v>1258</v>
      </c>
      <c r="V17" s="782">
        <v>18</v>
      </c>
      <c r="W17" s="782" t="str">
        <f t="shared" si="1"/>
        <v>Sachbearbeitung 2 (mbA)</v>
      </c>
    </row>
    <row r="18" spans="1:23" s="21" customFormat="1" ht="12.75" x14ac:dyDescent="0.2">
      <c r="A18" s="74" t="str">
        <f t="shared" si="0"/>
        <v>102.18b</v>
      </c>
      <c r="B18" s="783" t="s">
        <v>197</v>
      </c>
      <c r="C18" s="72" t="s">
        <v>1247</v>
      </c>
      <c r="D18" s="72" t="s">
        <v>67</v>
      </c>
      <c r="E18" s="72"/>
      <c r="F18" s="72" t="s">
        <v>46</v>
      </c>
      <c r="G18" s="71" t="s">
        <v>47</v>
      </c>
      <c r="H18" s="72">
        <v>18</v>
      </c>
      <c r="I18" s="72">
        <v>343</v>
      </c>
      <c r="J18" s="72">
        <v>5</v>
      </c>
      <c r="K18" s="72">
        <v>3</v>
      </c>
      <c r="L18" s="779" t="s">
        <v>87</v>
      </c>
      <c r="M18" s="73">
        <v>340.6</v>
      </c>
      <c r="N18" s="30">
        <v>5.5</v>
      </c>
      <c r="O18" s="30">
        <v>2</v>
      </c>
      <c r="P18" s="73"/>
      <c r="Q18" s="30"/>
      <c r="R18" s="30"/>
      <c r="S18" s="780" t="s">
        <v>671</v>
      </c>
      <c r="T18" s="780" t="s">
        <v>65</v>
      </c>
      <c r="U18" s="781" t="s">
        <v>1259</v>
      </c>
      <c r="V18" s="782">
        <v>18</v>
      </c>
      <c r="W18" s="782" t="str">
        <f t="shared" si="1"/>
        <v>Sachbearbeitung 2 (mbA)</v>
      </c>
    </row>
    <row r="19" spans="1:23" s="21" customFormat="1" ht="12.75" x14ac:dyDescent="0.2">
      <c r="A19" s="784" t="str">
        <f t="shared" si="0"/>
        <v>102.19</v>
      </c>
      <c r="B19" s="785" t="s">
        <v>105</v>
      </c>
      <c r="C19" s="786" t="s">
        <v>1247</v>
      </c>
      <c r="D19" s="786"/>
      <c r="E19" s="786"/>
      <c r="F19" s="786" t="s">
        <v>46</v>
      </c>
      <c r="G19" s="785" t="s">
        <v>47</v>
      </c>
      <c r="H19" s="786">
        <v>19</v>
      </c>
      <c r="I19" s="786"/>
      <c r="J19" s="786">
        <v>5</v>
      </c>
      <c r="K19" s="786">
        <v>1</v>
      </c>
      <c r="L19" s="787" t="s">
        <v>87</v>
      </c>
      <c r="M19" s="788"/>
      <c r="N19" s="789"/>
      <c r="O19" s="789"/>
      <c r="P19" s="788"/>
      <c r="Q19" s="789"/>
      <c r="R19" s="789"/>
      <c r="S19" s="790" t="s">
        <v>65</v>
      </c>
      <c r="T19" s="790" t="s">
        <v>65</v>
      </c>
      <c r="U19" s="781" t="s">
        <v>1823</v>
      </c>
      <c r="V19" s="782">
        <v>19</v>
      </c>
      <c r="W19" s="782" t="str">
        <f t="shared" si="1"/>
        <v>Sachbearbeitung 2 (mbA)</v>
      </c>
    </row>
    <row r="20" spans="1:23" s="21" customFormat="1" ht="12.75" x14ac:dyDescent="0.2">
      <c r="A20" s="784" t="str">
        <f t="shared" si="0"/>
        <v>103.07</v>
      </c>
      <c r="B20" s="785" t="s">
        <v>321</v>
      </c>
      <c r="C20" s="786" t="s">
        <v>1262</v>
      </c>
      <c r="D20" s="786"/>
      <c r="E20" s="786"/>
      <c r="F20" s="786" t="s">
        <v>48</v>
      </c>
      <c r="G20" s="785" t="s">
        <v>49</v>
      </c>
      <c r="H20" s="786">
        <v>7</v>
      </c>
      <c r="I20" s="786"/>
      <c r="J20" s="786">
        <v>9.5</v>
      </c>
      <c r="K20" s="786">
        <v>6</v>
      </c>
      <c r="L20" s="787" t="s">
        <v>347</v>
      </c>
      <c r="M20" s="788"/>
      <c r="N20" s="789"/>
      <c r="O20" s="789"/>
      <c r="P20" s="788"/>
      <c r="Q20" s="789"/>
      <c r="R20" s="789"/>
      <c r="S20" s="790" t="s">
        <v>65</v>
      </c>
      <c r="T20" s="790" t="s">
        <v>65</v>
      </c>
      <c r="U20" s="781" t="s">
        <v>1824</v>
      </c>
      <c r="V20" s="782">
        <v>7</v>
      </c>
      <c r="W20" s="782" t="str">
        <f t="shared" si="1"/>
        <v>Sachbearbeitung 1 (wiss.)</v>
      </c>
    </row>
    <row r="21" spans="1:23" s="21" customFormat="1" ht="12.75" x14ac:dyDescent="0.2">
      <c r="A21" s="74" t="str">
        <f t="shared" si="0"/>
        <v>103.08a</v>
      </c>
      <c r="B21" s="783" t="s">
        <v>678</v>
      </c>
      <c r="C21" s="72" t="s">
        <v>1262</v>
      </c>
      <c r="D21" s="72" t="s">
        <v>66</v>
      </c>
      <c r="E21" s="72"/>
      <c r="F21" s="72" t="s">
        <v>48</v>
      </c>
      <c r="G21" s="71" t="s">
        <v>49</v>
      </c>
      <c r="H21" s="72">
        <v>8</v>
      </c>
      <c r="I21" s="72">
        <v>593.4</v>
      </c>
      <c r="J21" s="72">
        <v>9.5</v>
      </c>
      <c r="K21" s="72">
        <v>4</v>
      </c>
      <c r="L21" s="779" t="s">
        <v>347</v>
      </c>
      <c r="M21" s="73"/>
      <c r="N21" s="30"/>
      <c r="O21" s="30"/>
      <c r="P21" s="73"/>
      <c r="Q21" s="30"/>
      <c r="R21" s="30"/>
      <c r="S21" s="780" t="s">
        <v>65</v>
      </c>
      <c r="T21" s="780" t="s">
        <v>65</v>
      </c>
      <c r="U21" s="781" t="s">
        <v>1265</v>
      </c>
      <c r="V21" s="782">
        <v>8</v>
      </c>
      <c r="W21" s="782" t="str">
        <f t="shared" si="1"/>
        <v>Sachbearbeitung 1 (wiss.)</v>
      </c>
    </row>
    <row r="22" spans="1:23" s="21" customFormat="1" ht="12.75" x14ac:dyDescent="0.2">
      <c r="A22" s="74" t="str">
        <f t="shared" si="0"/>
        <v>103.08c</v>
      </c>
      <c r="B22" s="783" t="s">
        <v>622</v>
      </c>
      <c r="C22" s="72" t="s">
        <v>1262</v>
      </c>
      <c r="D22" s="72" t="s">
        <v>76</v>
      </c>
      <c r="E22" s="72"/>
      <c r="F22" s="72" t="s">
        <v>623</v>
      </c>
      <c r="G22" s="71" t="s">
        <v>624</v>
      </c>
      <c r="H22" s="72">
        <v>8</v>
      </c>
      <c r="I22" s="72">
        <v>606.4</v>
      </c>
      <c r="J22" s="72">
        <v>9.5</v>
      </c>
      <c r="K22" s="72">
        <v>5</v>
      </c>
      <c r="L22" s="779" t="s">
        <v>706</v>
      </c>
      <c r="M22" s="73"/>
      <c r="N22" s="30"/>
      <c r="O22" s="30"/>
      <c r="P22" s="73"/>
      <c r="Q22" s="30"/>
      <c r="R22" s="30"/>
      <c r="S22" s="780" t="s">
        <v>65</v>
      </c>
      <c r="T22" s="780" t="s">
        <v>65</v>
      </c>
      <c r="U22" s="781" t="s">
        <v>1267</v>
      </c>
      <c r="V22" s="782">
        <v>8</v>
      </c>
      <c r="W22" s="782" t="str">
        <f t="shared" si="1"/>
        <v>Revisionsbereichsleitung</v>
      </c>
    </row>
    <row r="23" spans="1:23" s="21" customFormat="1" ht="12.75" x14ac:dyDescent="0.2">
      <c r="A23" s="784" t="str">
        <f t="shared" si="0"/>
        <v>103.09</v>
      </c>
      <c r="B23" s="785" t="s">
        <v>331</v>
      </c>
      <c r="C23" s="786" t="s">
        <v>1262</v>
      </c>
      <c r="D23" s="786"/>
      <c r="E23" s="786"/>
      <c r="F23" s="786" t="s">
        <v>48</v>
      </c>
      <c r="G23" s="785" t="s">
        <v>49</v>
      </c>
      <c r="H23" s="786">
        <v>9</v>
      </c>
      <c r="I23" s="786"/>
      <c r="J23" s="786">
        <v>9.5</v>
      </c>
      <c r="K23" s="786">
        <v>3</v>
      </c>
      <c r="L23" s="787" t="s">
        <v>347</v>
      </c>
      <c r="M23" s="788"/>
      <c r="N23" s="789"/>
      <c r="O23" s="789"/>
      <c r="P23" s="788"/>
      <c r="Q23" s="789"/>
      <c r="R23" s="789"/>
      <c r="S23" s="790" t="s">
        <v>65</v>
      </c>
      <c r="T23" s="790" t="s">
        <v>65</v>
      </c>
      <c r="U23" s="781" t="s">
        <v>1825</v>
      </c>
      <c r="V23" s="782">
        <v>9</v>
      </c>
      <c r="W23" s="782" t="str">
        <f t="shared" si="1"/>
        <v>Sachbearbeitung 1 (wiss.)</v>
      </c>
    </row>
    <row r="24" spans="1:23" s="21" customFormat="1" ht="12.75" x14ac:dyDescent="0.2">
      <c r="A24" s="74" t="str">
        <f t="shared" si="0"/>
        <v>103.09c</v>
      </c>
      <c r="B24" s="783" t="s">
        <v>620</v>
      </c>
      <c r="C24" s="72" t="s">
        <v>1262</v>
      </c>
      <c r="D24" s="72" t="s">
        <v>76</v>
      </c>
      <c r="E24" s="72"/>
      <c r="F24" s="72" t="s">
        <v>623</v>
      </c>
      <c r="G24" s="71" t="s">
        <v>621</v>
      </c>
      <c r="H24" s="72">
        <v>9</v>
      </c>
      <c r="I24" s="72">
        <v>565.6</v>
      </c>
      <c r="J24" s="72">
        <v>9.5</v>
      </c>
      <c r="K24" s="72">
        <v>4</v>
      </c>
      <c r="L24" s="779" t="s">
        <v>706</v>
      </c>
      <c r="M24" s="73"/>
      <c r="N24" s="30"/>
      <c r="O24" s="30"/>
      <c r="P24" s="73"/>
      <c r="Q24" s="30"/>
      <c r="R24" s="30"/>
      <c r="S24" s="780" t="s">
        <v>65</v>
      </c>
      <c r="T24" s="780" t="s">
        <v>65</v>
      </c>
      <c r="U24" s="781" t="s">
        <v>1270</v>
      </c>
      <c r="V24" s="782">
        <v>9</v>
      </c>
      <c r="W24" s="782" t="str">
        <f t="shared" si="1"/>
        <v>Revisionsleitung 2</v>
      </c>
    </row>
    <row r="25" spans="1:23" s="21" customFormat="1" ht="12.75" x14ac:dyDescent="0.2">
      <c r="A25" s="74" t="str">
        <f t="shared" si="0"/>
        <v>103.10a</v>
      </c>
      <c r="B25" s="783" t="s">
        <v>198</v>
      </c>
      <c r="C25" s="72" t="s">
        <v>1262</v>
      </c>
      <c r="D25" s="72" t="s">
        <v>66</v>
      </c>
      <c r="E25" s="72"/>
      <c r="F25" s="72" t="s">
        <v>48</v>
      </c>
      <c r="G25" s="71" t="s">
        <v>49</v>
      </c>
      <c r="H25" s="72">
        <v>10</v>
      </c>
      <c r="I25" s="72">
        <v>552.4</v>
      </c>
      <c r="J25" s="72">
        <v>9.5</v>
      </c>
      <c r="K25" s="72">
        <v>2</v>
      </c>
      <c r="L25" s="779" t="s">
        <v>347</v>
      </c>
      <c r="M25" s="73"/>
      <c r="N25" s="30"/>
      <c r="O25" s="30"/>
      <c r="P25" s="73"/>
      <c r="Q25" s="30"/>
      <c r="R25" s="30"/>
      <c r="S25" s="780" t="s">
        <v>65</v>
      </c>
      <c r="T25" s="780" t="s">
        <v>65</v>
      </c>
      <c r="U25" s="781" t="s">
        <v>1271</v>
      </c>
      <c r="V25" s="782">
        <v>10</v>
      </c>
      <c r="W25" s="782" t="str">
        <f t="shared" si="1"/>
        <v>Sachbearbeitung 1 (wiss.)</v>
      </c>
    </row>
    <row r="26" spans="1:23" s="21" customFormat="1" ht="12.75" x14ac:dyDescent="0.2">
      <c r="A26" s="74" t="str">
        <f t="shared" si="0"/>
        <v>103.10b</v>
      </c>
      <c r="B26" s="783" t="s">
        <v>199</v>
      </c>
      <c r="C26" s="72" t="s">
        <v>1262</v>
      </c>
      <c r="D26" s="72" t="s">
        <v>67</v>
      </c>
      <c r="E26" s="72"/>
      <c r="F26" s="72" t="s">
        <v>48</v>
      </c>
      <c r="G26" s="71" t="s">
        <v>49</v>
      </c>
      <c r="H26" s="72">
        <v>10</v>
      </c>
      <c r="I26" s="72">
        <v>552.4</v>
      </c>
      <c r="J26" s="72">
        <v>9.5</v>
      </c>
      <c r="K26" s="72">
        <v>2</v>
      </c>
      <c r="L26" s="779" t="s">
        <v>347</v>
      </c>
      <c r="M26" s="73"/>
      <c r="N26" s="30"/>
      <c r="O26" s="30"/>
      <c r="P26" s="73"/>
      <c r="Q26" s="30"/>
      <c r="R26" s="30"/>
      <c r="S26" s="780" t="s">
        <v>65</v>
      </c>
      <c r="T26" s="780" t="s">
        <v>65</v>
      </c>
      <c r="U26" s="781" t="s">
        <v>1272</v>
      </c>
      <c r="V26" s="782">
        <v>10</v>
      </c>
      <c r="W26" s="782" t="str">
        <f t="shared" si="1"/>
        <v>Sachbearbeitung 1 (wiss.)</v>
      </c>
    </row>
    <row r="27" spans="1:23" s="21" customFormat="1" ht="12.75" x14ac:dyDescent="0.2">
      <c r="A27" s="74" t="str">
        <f t="shared" si="0"/>
        <v>103.10c</v>
      </c>
      <c r="B27" s="71" t="s">
        <v>661</v>
      </c>
      <c r="C27" s="72" t="s">
        <v>1262</v>
      </c>
      <c r="D27" s="72" t="s">
        <v>76</v>
      </c>
      <c r="E27" s="72"/>
      <c r="F27" s="72" t="s">
        <v>623</v>
      </c>
      <c r="G27" s="71" t="s">
        <v>619</v>
      </c>
      <c r="H27" s="72">
        <v>10</v>
      </c>
      <c r="I27" s="72">
        <v>523.4</v>
      </c>
      <c r="J27" s="72">
        <v>8.5</v>
      </c>
      <c r="K27" s="72">
        <v>5</v>
      </c>
      <c r="L27" s="779" t="s">
        <v>90</v>
      </c>
      <c r="M27" s="73"/>
      <c r="N27" s="30">
        <v>9.5</v>
      </c>
      <c r="O27" s="30">
        <v>4</v>
      </c>
      <c r="P27" s="73"/>
      <c r="Q27" s="30"/>
      <c r="R27" s="30"/>
      <c r="S27" s="780" t="s">
        <v>347</v>
      </c>
      <c r="T27" s="780" t="s">
        <v>65</v>
      </c>
      <c r="U27" s="781" t="s">
        <v>1273</v>
      </c>
      <c r="V27" s="782">
        <v>10</v>
      </c>
      <c r="W27" s="782" t="str">
        <f t="shared" si="1"/>
        <v>Revisionsleitung 1</v>
      </c>
    </row>
    <row r="28" spans="1:23" s="21" customFormat="1" ht="12.75" x14ac:dyDescent="0.2">
      <c r="A28" s="784" t="str">
        <f t="shared" si="0"/>
        <v>103.11</v>
      </c>
      <c r="B28" s="785" t="s">
        <v>106</v>
      </c>
      <c r="C28" s="786" t="s">
        <v>1262</v>
      </c>
      <c r="D28" s="786" t="s">
        <v>66</v>
      </c>
      <c r="E28" s="786"/>
      <c r="F28" s="786" t="s">
        <v>48</v>
      </c>
      <c r="G28" s="785" t="s">
        <v>49</v>
      </c>
      <c r="H28" s="786">
        <v>11</v>
      </c>
      <c r="I28" s="786"/>
      <c r="J28" s="786">
        <v>9.5</v>
      </c>
      <c r="K28" s="786">
        <v>1</v>
      </c>
      <c r="L28" s="787" t="s">
        <v>347</v>
      </c>
      <c r="M28" s="788"/>
      <c r="N28" s="789"/>
      <c r="O28" s="789"/>
      <c r="P28" s="788"/>
      <c r="Q28" s="789"/>
      <c r="R28" s="789"/>
      <c r="S28" s="790" t="s">
        <v>65</v>
      </c>
      <c r="T28" s="790" t="s">
        <v>65</v>
      </c>
      <c r="U28" s="781" t="s">
        <v>1826</v>
      </c>
      <c r="V28" s="782">
        <v>11</v>
      </c>
      <c r="W28" s="782" t="str">
        <f t="shared" si="1"/>
        <v>Sachbearbeitung 1 (wiss.)</v>
      </c>
    </row>
    <row r="29" spans="1:23" s="21" customFormat="1" ht="12.75" x14ac:dyDescent="0.2">
      <c r="A29" s="74" t="str">
        <f t="shared" si="0"/>
        <v>103.11c</v>
      </c>
      <c r="B29" s="783" t="s">
        <v>618</v>
      </c>
      <c r="C29" s="72" t="s">
        <v>1262</v>
      </c>
      <c r="D29" s="72" t="s">
        <v>76</v>
      </c>
      <c r="E29" s="72"/>
      <c r="F29" s="72" t="s">
        <v>623</v>
      </c>
      <c r="G29" s="71" t="s">
        <v>619</v>
      </c>
      <c r="H29" s="72">
        <v>11</v>
      </c>
      <c r="I29" s="72">
        <v>523.4</v>
      </c>
      <c r="J29" s="72">
        <v>8.5</v>
      </c>
      <c r="K29" s="72">
        <v>3</v>
      </c>
      <c r="L29" s="779" t="s">
        <v>90</v>
      </c>
      <c r="M29" s="73"/>
      <c r="N29" s="30"/>
      <c r="O29" s="30"/>
      <c r="P29" s="73"/>
      <c r="Q29" s="30"/>
      <c r="R29" s="30"/>
      <c r="S29" s="780" t="s">
        <v>65</v>
      </c>
      <c r="T29" s="780" t="s">
        <v>65</v>
      </c>
      <c r="U29" s="781" t="s">
        <v>1276</v>
      </c>
      <c r="V29" s="782">
        <v>11</v>
      </c>
      <c r="W29" s="782" t="str">
        <f t="shared" si="1"/>
        <v>Revisionsleitung 1</v>
      </c>
    </row>
    <row r="30" spans="1:23" s="21" customFormat="1" ht="12.75" x14ac:dyDescent="0.2">
      <c r="A30" s="74" t="str">
        <f t="shared" si="0"/>
        <v>103.12a</v>
      </c>
      <c r="B30" s="783" t="s">
        <v>200</v>
      </c>
      <c r="C30" s="72" t="s">
        <v>1262</v>
      </c>
      <c r="D30" s="72" t="s">
        <v>66</v>
      </c>
      <c r="E30" s="72"/>
      <c r="F30" s="72" t="s">
        <v>48</v>
      </c>
      <c r="G30" s="71" t="s">
        <v>49</v>
      </c>
      <c r="H30" s="72">
        <v>12</v>
      </c>
      <c r="I30" s="72">
        <v>499.1</v>
      </c>
      <c r="J30" s="72">
        <v>9.5</v>
      </c>
      <c r="K30" s="72">
        <v>1</v>
      </c>
      <c r="L30" s="779" t="s">
        <v>347</v>
      </c>
      <c r="M30" s="73"/>
      <c r="N30" s="30"/>
      <c r="O30" s="30"/>
      <c r="P30" s="73"/>
      <c r="Q30" s="30"/>
      <c r="R30" s="30"/>
      <c r="S30" s="780" t="s">
        <v>65</v>
      </c>
      <c r="T30" s="780" t="s">
        <v>65</v>
      </c>
      <c r="U30" s="781" t="s">
        <v>1277</v>
      </c>
      <c r="V30" s="782">
        <v>12</v>
      </c>
      <c r="W30" s="782" t="str">
        <f t="shared" si="1"/>
        <v>Sachbearbeitung 1 (wiss.)</v>
      </c>
    </row>
    <row r="31" spans="1:23" s="21" customFormat="1" ht="12.75" x14ac:dyDescent="0.2">
      <c r="A31" s="74" t="str">
        <f t="shared" si="0"/>
        <v>103.12b</v>
      </c>
      <c r="B31" s="783" t="s">
        <v>201</v>
      </c>
      <c r="C31" s="72" t="s">
        <v>1262</v>
      </c>
      <c r="D31" s="72" t="s">
        <v>67</v>
      </c>
      <c r="E31" s="72"/>
      <c r="F31" s="72" t="s">
        <v>48</v>
      </c>
      <c r="G31" s="71" t="s">
        <v>49</v>
      </c>
      <c r="H31" s="72">
        <v>12</v>
      </c>
      <c r="I31" s="72">
        <v>499.1</v>
      </c>
      <c r="J31" s="72">
        <v>9.5</v>
      </c>
      <c r="K31" s="72">
        <v>1</v>
      </c>
      <c r="L31" s="779" t="s">
        <v>347</v>
      </c>
      <c r="M31" s="73"/>
      <c r="N31" s="30"/>
      <c r="O31" s="30"/>
      <c r="P31" s="73"/>
      <c r="Q31" s="30"/>
      <c r="R31" s="30"/>
      <c r="S31" s="780" t="s">
        <v>65</v>
      </c>
      <c r="T31" s="780" t="s">
        <v>65</v>
      </c>
      <c r="U31" s="781" t="s">
        <v>1278</v>
      </c>
      <c r="V31" s="782">
        <v>12</v>
      </c>
      <c r="W31" s="782" t="str">
        <f t="shared" si="1"/>
        <v>Sachbearbeitung 1 (wiss.)</v>
      </c>
    </row>
    <row r="32" spans="1:23" s="21" customFormat="1" ht="12.75" x14ac:dyDescent="0.2">
      <c r="A32" s="74" t="str">
        <f t="shared" si="0"/>
        <v>103.12c</v>
      </c>
      <c r="B32" s="71" t="s">
        <v>750</v>
      </c>
      <c r="C32" s="72" t="s">
        <v>1262</v>
      </c>
      <c r="D32" s="72" t="s">
        <v>76</v>
      </c>
      <c r="E32" s="72"/>
      <c r="F32" s="72" t="s">
        <v>623</v>
      </c>
      <c r="G32" s="71" t="s">
        <v>751</v>
      </c>
      <c r="H32" s="72">
        <v>12</v>
      </c>
      <c r="I32" s="72"/>
      <c r="J32" s="72">
        <v>8</v>
      </c>
      <c r="K32" s="72">
        <v>2</v>
      </c>
      <c r="L32" s="779" t="s">
        <v>352</v>
      </c>
      <c r="M32" s="73"/>
      <c r="N32" s="30"/>
      <c r="O32" s="30"/>
      <c r="P32" s="73"/>
      <c r="Q32" s="30"/>
      <c r="R32" s="30"/>
      <c r="S32" s="780"/>
      <c r="T32" s="780"/>
      <c r="U32" s="781" t="s">
        <v>1279</v>
      </c>
      <c r="V32" s="782">
        <v>12</v>
      </c>
      <c r="W32" s="782" t="str">
        <f t="shared" si="1"/>
        <v>Revisionsleitung</v>
      </c>
    </row>
    <row r="33" spans="1:23" s="21" customFormat="1" ht="12.75" x14ac:dyDescent="0.2">
      <c r="A33" s="784" t="str">
        <f t="shared" si="0"/>
        <v>103.13</v>
      </c>
      <c r="B33" s="785" t="s">
        <v>107</v>
      </c>
      <c r="C33" s="786" t="s">
        <v>1262</v>
      </c>
      <c r="D33" s="786" t="s">
        <v>66</v>
      </c>
      <c r="E33" s="786"/>
      <c r="F33" s="786" t="s">
        <v>48</v>
      </c>
      <c r="G33" s="785" t="s">
        <v>49</v>
      </c>
      <c r="H33" s="786">
        <v>13</v>
      </c>
      <c r="I33" s="786"/>
      <c r="J33" s="786">
        <v>8</v>
      </c>
      <c r="K33" s="786">
        <v>4</v>
      </c>
      <c r="L33" s="787" t="s">
        <v>352</v>
      </c>
      <c r="M33" s="788"/>
      <c r="N33" s="789">
        <v>9.5</v>
      </c>
      <c r="O33" s="789">
        <v>0</v>
      </c>
      <c r="P33" s="788"/>
      <c r="Q33" s="789"/>
      <c r="R33" s="789"/>
      <c r="S33" s="790" t="s">
        <v>347</v>
      </c>
      <c r="T33" s="790" t="s">
        <v>65</v>
      </c>
      <c r="U33" s="781" t="s">
        <v>1827</v>
      </c>
      <c r="V33" s="782">
        <v>13</v>
      </c>
      <c r="W33" s="782" t="str">
        <f t="shared" si="1"/>
        <v>Sachbearbeitung 1 (wiss.)</v>
      </c>
    </row>
    <row r="34" spans="1:23" s="21" customFormat="1" ht="12.75" x14ac:dyDescent="0.2">
      <c r="A34" s="74" t="str">
        <f t="shared" si="0"/>
        <v>103.14a</v>
      </c>
      <c r="B34" s="783" t="s">
        <v>202</v>
      </c>
      <c r="C34" s="72" t="s">
        <v>1262</v>
      </c>
      <c r="D34" s="72" t="s">
        <v>66</v>
      </c>
      <c r="E34" s="72"/>
      <c r="F34" s="72" t="s">
        <v>48</v>
      </c>
      <c r="G34" s="71" t="s">
        <v>49</v>
      </c>
      <c r="H34" s="72">
        <v>14</v>
      </c>
      <c r="I34" s="72">
        <v>441.7</v>
      </c>
      <c r="J34" s="72">
        <v>8</v>
      </c>
      <c r="K34" s="72">
        <v>2</v>
      </c>
      <c r="L34" s="779" t="s">
        <v>352</v>
      </c>
      <c r="M34" s="73"/>
      <c r="N34" s="30"/>
      <c r="O34" s="30"/>
      <c r="P34" s="73"/>
      <c r="Q34" s="30"/>
      <c r="R34" s="30"/>
      <c r="S34" s="780" t="s">
        <v>65</v>
      </c>
      <c r="T34" s="780" t="s">
        <v>65</v>
      </c>
      <c r="U34" s="781" t="s">
        <v>1282</v>
      </c>
      <c r="V34" s="782">
        <v>14</v>
      </c>
      <c r="W34" s="782" t="str">
        <f t="shared" si="1"/>
        <v>Sachbearbeitung 1 (wiss.)</v>
      </c>
    </row>
    <row r="35" spans="1:23" s="21" customFormat="1" ht="12.75" x14ac:dyDescent="0.2">
      <c r="A35" s="74" t="str">
        <f t="shared" si="0"/>
        <v>103.14b</v>
      </c>
      <c r="B35" s="783" t="s">
        <v>203</v>
      </c>
      <c r="C35" s="72" t="s">
        <v>1262</v>
      </c>
      <c r="D35" s="72" t="s">
        <v>67</v>
      </c>
      <c r="E35" s="72"/>
      <c r="F35" s="72" t="s">
        <v>48</v>
      </c>
      <c r="G35" s="71" t="s">
        <v>49</v>
      </c>
      <c r="H35" s="72">
        <v>14</v>
      </c>
      <c r="I35" s="72">
        <v>441.7</v>
      </c>
      <c r="J35" s="72">
        <v>8</v>
      </c>
      <c r="K35" s="72">
        <v>2</v>
      </c>
      <c r="L35" s="779" t="s">
        <v>352</v>
      </c>
      <c r="M35" s="73"/>
      <c r="N35" s="30"/>
      <c r="O35" s="30"/>
      <c r="P35" s="73"/>
      <c r="Q35" s="30"/>
      <c r="R35" s="30"/>
      <c r="S35" s="780" t="s">
        <v>65</v>
      </c>
      <c r="T35" s="780" t="s">
        <v>65</v>
      </c>
      <c r="U35" s="781" t="s">
        <v>1283</v>
      </c>
      <c r="V35" s="782">
        <v>14</v>
      </c>
      <c r="W35" s="782" t="str">
        <f t="shared" si="1"/>
        <v>Sachbearbeitung 1 (wiss.)</v>
      </c>
    </row>
    <row r="36" spans="1:23" s="21" customFormat="1" ht="12.75" x14ac:dyDescent="0.2">
      <c r="A36" s="74" t="str">
        <f t="shared" si="0"/>
        <v>11.09b</v>
      </c>
      <c r="B36" s="28" t="s">
        <v>1284</v>
      </c>
      <c r="C36" s="79">
        <v>711</v>
      </c>
      <c r="D36" s="79" t="s">
        <v>67</v>
      </c>
      <c r="E36" s="79"/>
      <c r="F36" s="79" t="s">
        <v>1285</v>
      </c>
      <c r="G36" s="28" t="s">
        <v>1286</v>
      </c>
      <c r="H36" s="79">
        <v>9</v>
      </c>
      <c r="I36" s="79"/>
      <c r="J36" s="79">
        <v>8.5</v>
      </c>
      <c r="K36" s="79">
        <v>5</v>
      </c>
      <c r="L36" s="791" t="s">
        <v>90</v>
      </c>
      <c r="M36" s="35"/>
      <c r="N36" s="36"/>
      <c r="O36" s="36"/>
      <c r="P36" s="35"/>
      <c r="Q36" s="36"/>
      <c r="R36" s="36"/>
      <c r="S36" s="792"/>
      <c r="T36" s="792"/>
      <c r="U36" s="781" t="s">
        <v>1287</v>
      </c>
      <c r="V36" s="782">
        <v>9</v>
      </c>
      <c r="W36" s="782" t="str">
        <f t="shared" si="1"/>
        <v>Konrektorat Sekundarstufe I</v>
      </c>
    </row>
    <row r="37" spans="1:23" s="21" customFormat="1" ht="12.75" x14ac:dyDescent="0.2">
      <c r="A37" s="74" t="str">
        <f t="shared" si="0"/>
        <v>111.10</v>
      </c>
      <c r="B37" s="71" t="s">
        <v>108</v>
      </c>
      <c r="C37" s="72" t="s">
        <v>1288</v>
      </c>
      <c r="D37" s="72" t="s">
        <v>65</v>
      </c>
      <c r="E37" s="72"/>
      <c r="F37" s="72">
        <v>111</v>
      </c>
      <c r="G37" s="71" t="s">
        <v>24</v>
      </c>
      <c r="H37" s="72">
        <v>10</v>
      </c>
      <c r="I37" s="72"/>
      <c r="J37" s="72">
        <v>8</v>
      </c>
      <c r="K37" s="72">
        <v>7</v>
      </c>
      <c r="L37" s="779" t="s">
        <v>352</v>
      </c>
      <c r="M37" s="73"/>
      <c r="N37" s="30"/>
      <c r="O37" s="30"/>
      <c r="P37" s="73"/>
      <c r="Q37" s="30"/>
      <c r="R37" s="30"/>
      <c r="S37" s="780" t="s">
        <v>65</v>
      </c>
      <c r="T37" s="780" t="s">
        <v>65</v>
      </c>
      <c r="U37" s="781" t="s">
        <v>1828</v>
      </c>
      <c r="V37" s="782">
        <v>10</v>
      </c>
      <c r="W37" s="782" t="str">
        <f t="shared" si="1"/>
        <v xml:space="preserve">Spezifische Führungsfunktion </v>
      </c>
    </row>
    <row r="38" spans="1:23" s="21" customFormat="1" ht="12.75" x14ac:dyDescent="0.2">
      <c r="A38" s="74" t="str">
        <f t="shared" si="0"/>
        <v>111.11</v>
      </c>
      <c r="B38" s="783" t="s">
        <v>109</v>
      </c>
      <c r="C38" s="72" t="s">
        <v>1288</v>
      </c>
      <c r="D38" s="72" t="s">
        <v>65</v>
      </c>
      <c r="E38" s="72"/>
      <c r="F38" s="72">
        <v>111</v>
      </c>
      <c r="G38" s="71" t="s">
        <v>24</v>
      </c>
      <c r="H38" s="72">
        <v>11</v>
      </c>
      <c r="I38" s="72">
        <v>525</v>
      </c>
      <c r="J38" s="72">
        <v>8</v>
      </c>
      <c r="K38" s="72">
        <v>5</v>
      </c>
      <c r="L38" s="779" t="s">
        <v>352</v>
      </c>
      <c r="M38" s="73"/>
      <c r="N38" s="30"/>
      <c r="O38" s="30"/>
      <c r="P38" s="73"/>
      <c r="Q38" s="30"/>
      <c r="R38" s="30"/>
      <c r="S38" s="780" t="s">
        <v>65</v>
      </c>
      <c r="T38" s="780" t="s">
        <v>65</v>
      </c>
      <c r="U38" s="781" t="s">
        <v>1829</v>
      </c>
      <c r="V38" s="782">
        <v>11</v>
      </c>
      <c r="W38" s="782" t="str">
        <f t="shared" si="1"/>
        <v xml:space="preserve">Spezifische Führungsfunktion </v>
      </c>
    </row>
    <row r="39" spans="1:23" s="21" customFormat="1" ht="12.75" x14ac:dyDescent="0.2">
      <c r="A39" s="74" t="str">
        <f t="shared" si="0"/>
        <v>111.12</v>
      </c>
      <c r="B39" s="71" t="s">
        <v>110</v>
      </c>
      <c r="C39" s="72" t="s">
        <v>1288</v>
      </c>
      <c r="D39" s="72" t="s">
        <v>65</v>
      </c>
      <c r="E39" s="72"/>
      <c r="F39" s="72">
        <v>111</v>
      </c>
      <c r="G39" s="71" t="s">
        <v>24</v>
      </c>
      <c r="H39" s="72">
        <v>12</v>
      </c>
      <c r="I39" s="72"/>
      <c r="J39" s="72">
        <v>8</v>
      </c>
      <c r="K39" s="72">
        <v>4.5</v>
      </c>
      <c r="L39" s="779" t="s">
        <v>352</v>
      </c>
      <c r="M39" s="73"/>
      <c r="N39" s="30"/>
      <c r="O39" s="30"/>
      <c r="P39" s="73"/>
      <c r="Q39" s="30"/>
      <c r="R39" s="30"/>
      <c r="S39" s="780" t="s">
        <v>65</v>
      </c>
      <c r="T39" s="780" t="s">
        <v>65</v>
      </c>
      <c r="U39" s="781" t="s">
        <v>1830</v>
      </c>
      <c r="V39" s="782">
        <v>12</v>
      </c>
      <c r="W39" s="782" t="str">
        <f t="shared" si="1"/>
        <v xml:space="preserve">Spezifische Führungsfunktion </v>
      </c>
    </row>
    <row r="40" spans="1:23" s="21" customFormat="1" ht="12.75" x14ac:dyDescent="0.2">
      <c r="A40" s="74" t="str">
        <f t="shared" si="0"/>
        <v>111.13</v>
      </c>
      <c r="B40" s="783" t="s">
        <v>111</v>
      </c>
      <c r="C40" s="72" t="s">
        <v>1288</v>
      </c>
      <c r="D40" s="72" t="s">
        <v>65</v>
      </c>
      <c r="E40" s="72"/>
      <c r="F40" s="72">
        <v>111</v>
      </c>
      <c r="G40" s="71" t="s">
        <v>24</v>
      </c>
      <c r="H40" s="72">
        <v>13</v>
      </c>
      <c r="I40" s="72">
        <v>481</v>
      </c>
      <c r="J40" s="72">
        <v>8</v>
      </c>
      <c r="K40" s="72">
        <v>4</v>
      </c>
      <c r="L40" s="779" t="s">
        <v>352</v>
      </c>
      <c r="M40" s="73"/>
      <c r="N40" s="30"/>
      <c r="O40" s="30"/>
      <c r="P40" s="73"/>
      <c r="Q40" s="30"/>
      <c r="R40" s="30"/>
      <c r="S40" s="780" t="s">
        <v>65</v>
      </c>
      <c r="T40" s="780" t="s">
        <v>65</v>
      </c>
      <c r="U40" s="781" t="s">
        <v>1831</v>
      </c>
      <c r="V40" s="782">
        <v>13</v>
      </c>
      <c r="W40" s="782" t="str">
        <f t="shared" si="1"/>
        <v xml:space="preserve">Spezifische Führungsfunktion </v>
      </c>
    </row>
    <row r="41" spans="1:23" s="21" customFormat="1" ht="12.75" x14ac:dyDescent="0.2">
      <c r="A41" s="74" t="str">
        <f t="shared" si="0"/>
        <v>111.14</v>
      </c>
      <c r="B41" s="71" t="s">
        <v>112</v>
      </c>
      <c r="C41" s="72" t="s">
        <v>1288</v>
      </c>
      <c r="D41" s="72" t="s">
        <v>65</v>
      </c>
      <c r="E41" s="72"/>
      <c r="F41" s="72">
        <v>111</v>
      </c>
      <c r="G41" s="71" t="s">
        <v>24</v>
      </c>
      <c r="H41" s="72">
        <v>14</v>
      </c>
      <c r="I41" s="72"/>
      <c r="J41" s="72">
        <v>6</v>
      </c>
      <c r="K41" s="72">
        <v>7</v>
      </c>
      <c r="L41" s="779" t="s">
        <v>672</v>
      </c>
      <c r="M41" s="73"/>
      <c r="N41" s="30">
        <v>8</v>
      </c>
      <c r="O41" s="30">
        <v>2</v>
      </c>
      <c r="P41" s="73"/>
      <c r="Q41" s="30"/>
      <c r="R41" s="30"/>
      <c r="S41" s="780" t="s">
        <v>352</v>
      </c>
      <c r="T41" s="780" t="s">
        <v>65</v>
      </c>
      <c r="U41" s="781" t="s">
        <v>1832</v>
      </c>
      <c r="V41" s="782">
        <v>14</v>
      </c>
      <c r="W41" s="782" t="str">
        <f t="shared" si="1"/>
        <v xml:space="preserve">Spezifische Führungsfunktion </v>
      </c>
    </row>
    <row r="42" spans="1:23" s="21" customFormat="1" ht="12.75" x14ac:dyDescent="0.2">
      <c r="A42" s="74" t="str">
        <f t="shared" si="0"/>
        <v>111.15</v>
      </c>
      <c r="B42" s="783" t="s">
        <v>113</v>
      </c>
      <c r="C42" s="72" t="s">
        <v>1288</v>
      </c>
      <c r="D42" s="72" t="s">
        <v>65</v>
      </c>
      <c r="E42" s="72"/>
      <c r="F42" s="72">
        <v>111</v>
      </c>
      <c r="G42" s="71" t="s">
        <v>24</v>
      </c>
      <c r="H42" s="72">
        <v>15</v>
      </c>
      <c r="I42" s="72">
        <v>412.5</v>
      </c>
      <c r="J42" s="72">
        <v>6</v>
      </c>
      <c r="K42" s="72">
        <v>5</v>
      </c>
      <c r="L42" s="779" t="s">
        <v>672</v>
      </c>
      <c r="M42" s="73"/>
      <c r="N42" s="30"/>
      <c r="O42" s="30"/>
      <c r="P42" s="73"/>
      <c r="Q42" s="30"/>
      <c r="R42" s="30"/>
      <c r="S42" s="780" t="s">
        <v>65</v>
      </c>
      <c r="T42" s="780" t="s">
        <v>65</v>
      </c>
      <c r="U42" s="781" t="s">
        <v>1833</v>
      </c>
      <c r="V42" s="782">
        <v>15</v>
      </c>
      <c r="W42" s="782" t="str">
        <f t="shared" si="1"/>
        <v xml:space="preserve">Spezifische Führungsfunktion </v>
      </c>
    </row>
    <row r="43" spans="1:23" s="21" customFormat="1" ht="12.75" x14ac:dyDescent="0.2">
      <c r="A43" s="74" t="str">
        <f t="shared" si="0"/>
        <v>111.16</v>
      </c>
      <c r="B43" s="71" t="s">
        <v>114</v>
      </c>
      <c r="C43" s="72" t="s">
        <v>1288</v>
      </c>
      <c r="D43" s="72" t="s">
        <v>65</v>
      </c>
      <c r="E43" s="72"/>
      <c r="F43" s="72">
        <v>111</v>
      </c>
      <c r="G43" s="71" t="s">
        <v>24</v>
      </c>
      <c r="H43" s="72">
        <v>16</v>
      </c>
      <c r="I43" s="72"/>
      <c r="J43" s="72">
        <v>6</v>
      </c>
      <c r="K43" s="72">
        <v>4.5</v>
      </c>
      <c r="L43" s="779" t="s">
        <v>672</v>
      </c>
      <c r="M43" s="73"/>
      <c r="N43" s="30"/>
      <c r="O43" s="30"/>
      <c r="P43" s="73"/>
      <c r="Q43" s="30"/>
      <c r="R43" s="30"/>
      <c r="S43" s="780" t="s">
        <v>65</v>
      </c>
      <c r="T43" s="780" t="s">
        <v>65</v>
      </c>
      <c r="U43" s="781" t="s">
        <v>1834</v>
      </c>
      <c r="V43" s="782">
        <v>16</v>
      </c>
      <c r="W43" s="782" t="str">
        <f t="shared" si="1"/>
        <v xml:space="preserve">Spezifische Führungsfunktion </v>
      </c>
    </row>
    <row r="44" spans="1:23" s="21" customFormat="1" ht="12.75" x14ac:dyDescent="0.2">
      <c r="A44" s="74" t="str">
        <f t="shared" si="0"/>
        <v>111.17</v>
      </c>
      <c r="B44" s="783" t="s">
        <v>115</v>
      </c>
      <c r="C44" s="72" t="s">
        <v>1288</v>
      </c>
      <c r="D44" s="72" t="s">
        <v>65</v>
      </c>
      <c r="E44" s="72"/>
      <c r="F44" s="72">
        <v>111</v>
      </c>
      <c r="G44" s="71" t="s">
        <v>23</v>
      </c>
      <c r="H44" s="72">
        <v>17</v>
      </c>
      <c r="I44" s="72">
        <v>383.4</v>
      </c>
      <c r="J44" s="72">
        <v>6</v>
      </c>
      <c r="K44" s="72">
        <v>4</v>
      </c>
      <c r="L44" s="779" t="s">
        <v>672</v>
      </c>
      <c r="M44" s="73"/>
      <c r="N44" s="30"/>
      <c r="O44" s="30"/>
      <c r="P44" s="73"/>
      <c r="Q44" s="30"/>
      <c r="R44" s="30"/>
      <c r="S44" s="780" t="s">
        <v>65</v>
      </c>
      <c r="T44" s="780" t="s">
        <v>65</v>
      </c>
      <c r="U44" s="781" t="s">
        <v>1835</v>
      </c>
      <c r="V44" s="782">
        <v>17</v>
      </c>
      <c r="W44" s="782" t="str">
        <f t="shared" si="1"/>
        <v>Spezifische Führungsfunktion</v>
      </c>
    </row>
    <row r="45" spans="1:23" s="21" customFormat="1" ht="12.75" x14ac:dyDescent="0.2">
      <c r="A45" s="74" t="str">
        <f t="shared" si="0"/>
        <v>111.18</v>
      </c>
      <c r="B45" s="783" t="s">
        <v>116</v>
      </c>
      <c r="C45" s="72" t="s">
        <v>1288</v>
      </c>
      <c r="D45" s="72" t="s">
        <v>65</v>
      </c>
      <c r="E45" s="72"/>
      <c r="F45" s="72">
        <v>111</v>
      </c>
      <c r="G45" s="71" t="s">
        <v>24</v>
      </c>
      <c r="H45" s="72">
        <v>18</v>
      </c>
      <c r="I45" s="72">
        <v>341.5</v>
      </c>
      <c r="J45" s="72">
        <v>5</v>
      </c>
      <c r="K45" s="72">
        <v>3</v>
      </c>
      <c r="L45" s="779" t="s">
        <v>87</v>
      </c>
      <c r="M45" s="73"/>
      <c r="N45" s="30"/>
      <c r="O45" s="30"/>
      <c r="P45" s="73"/>
      <c r="Q45" s="30"/>
      <c r="R45" s="30"/>
      <c r="S45" s="780" t="s">
        <v>65</v>
      </c>
      <c r="T45" s="780" t="s">
        <v>65</v>
      </c>
      <c r="U45" s="781" t="s">
        <v>1836</v>
      </c>
      <c r="V45" s="782">
        <v>18</v>
      </c>
      <c r="W45" s="782" t="str">
        <f t="shared" si="1"/>
        <v xml:space="preserve">Spezifische Führungsfunktion </v>
      </c>
    </row>
    <row r="46" spans="1:23" s="21" customFormat="1" ht="12.75" x14ac:dyDescent="0.2">
      <c r="A46" s="74" t="str">
        <f t="shared" si="0"/>
        <v>201.20</v>
      </c>
      <c r="B46" s="71" t="s">
        <v>117</v>
      </c>
      <c r="C46" s="72" t="s">
        <v>1289</v>
      </c>
      <c r="D46" s="72" t="s">
        <v>65</v>
      </c>
      <c r="E46" s="72"/>
      <c r="F46" s="72">
        <v>201</v>
      </c>
      <c r="G46" s="71" t="s">
        <v>50</v>
      </c>
      <c r="H46" s="72">
        <v>20</v>
      </c>
      <c r="I46" s="72"/>
      <c r="J46" s="72">
        <v>2</v>
      </c>
      <c r="K46" s="72">
        <v>4</v>
      </c>
      <c r="L46" s="779" t="s">
        <v>344</v>
      </c>
      <c r="M46" s="73"/>
      <c r="N46" s="30"/>
      <c r="O46" s="30"/>
      <c r="P46" s="73"/>
      <c r="Q46" s="30"/>
      <c r="R46" s="30"/>
      <c r="S46" s="780" t="s">
        <v>65</v>
      </c>
      <c r="T46" s="780" t="s">
        <v>65</v>
      </c>
      <c r="U46" s="781" t="s">
        <v>1837</v>
      </c>
      <c r="V46" s="782">
        <v>20</v>
      </c>
      <c r="W46" s="782" t="str">
        <f t="shared" si="1"/>
        <v>Betriebsangestellte</v>
      </c>
    </row>
    <row r="47" spans="1:23" s="21" customFormat="1" ht="12.75" x14ac:dyDescent="0.2">
      <c r="A47" s="74" t="str">
        <f t="shared" si="0"/>
        <v>201.21</v>
      </c>
      <c r="B47" s="783" t="s">
        <v>118</v>
      </c>
      <c r="C47" s="72" t="s">
        <v>1289</v>
      </c>
      <c r="D47" s="72" t="s">
        <v>65</v>
      </c>
      <c r="E47" s="72"/>
      <c r="F47" s="72">
        <v>201</v>
      </c>
      <c r="G47" s="71" t="s">
        <v>50</v>
      </c>
      <c r="H47" s="72">
        <v>21</v>
      </c>
      <c r="I47" s="72">
        <v>265.89999999999998</v>
      </c>
      <c r="J47" s="72">
        <v>2</v>
      </c>
      <c r="K47" s="72">
        <v>2</v>
      </c>
      <c r="L47" s="779" t="s">
        <v>344</v>
      </c>
      <c r="M47" s="73"/>
      <c r="N47" s="30"/>
      <c r="O47" s="30"/>
      <c r="P47" s="73"/>
      <c r="Q47" s="30"/>
      <c r="R47" s="30"/>
      <c r="S47" s="780" t="s">
        <v>65</v>
      </c>
      <c r="T47" s="780" t="s">
        <v>65</v>
      </c>
      <c r="U47" s="781" t="s">
        <v>1838</v>
      </c>
      <c r="V47" s="782">
        <v>21</v>
      </c>
      <c r="W47" s="782" t="str">
        <f t="shared" si="1"/>
        <v>Betriebsangestellte</v>
      </c>
    </row>
    <row r="48" spans="1:23" s="21" customFormat="1" ht="12.75" x14ac:dyDescent="0.2">
      <c r="A48" s="74" t="str">
        <f t="shared" si="0"/>
        <v>201.22</v>
      </c>
      <c r="B48" s="71" t="s">
        <v>119</v>
      </c>
      <c r="C48" s="72" t="s">
        <v>1289</v>
      </c>
      <c r="D48" s="72" t="s">
        <v>65</v>
      </c>
      <c r="E48" s="72"/>
      <c r="F48" s="72">
        <v>201</v>
      </c>
      <c r="G48" s="71" t="s">
        <v>50</v>
      </c>
      <c r="H48" s="72">
        <v>22</v>
      </c>
      <c r="I48" s="72"/>
      <c r="J48" s="72">
        <v>1.5</v>
      </c>
      <c r="K48" s="72">
        <v>3</v>
      </c>
      <c r="L48" s="779" t="s">
        <v>86</v>
      </c>
      <c r="M48" s="73"/>
      <c r="N48" s="30">
        <v>2</v>
      </c>
      <c r="O48" s="30">
        <v>1</v>
      </c>
      <c r="P48" s="73"/>
      <c r="Q48" s="30"/>
      <c r="R48" s="30"/>
      <c r="S48" s="780" t="s">
        <v>344</v>
      </c>
      <c r="T48" s="780" t="s">
        <v>65</v>
      </c>
      <c r="U48" s="781" t="s">
        <v>1839</v>
      </c>
      <c r="V48" s="782">
        <v>22</v>
      </c>
      <c r="W48" s="782" t="str">
        <f t="shared" si="1"/>
        <v>Betriebsangestellte</v>
      </c>
    </row>
    <row r="49" spans="1:23" s="21" customFormat="1" ht="12.75" x14ac:dyDescent="0.2">
      <c r="A49" s="74" t="str">
        <f t="shared" si="0"/>
        <v>201.23</v>
      </c>
      <c r="B49" s="783" t="s">
        <v>120</v>
      </c>
      <c r="C49" s="72" t="s">
        <v>1289</v>
      </c>
      <c r="D49" s="72" t="s">
        <v>65</v>
      </c>
      <c r="E49" s="72"/>
      <c r="F49" s="72">
        <v>201</v>
      </c>
      <c r="G49" s="71" t="s">
        <v>50</v>
      </c>
      <c r="H49" s="72">
        <v>23</v>
      </c>
      <c r="I49" s="72">
        <v>211.1</v>
      </c>
      <c r="J49" s="72">
        <v>1.5</v>
      </c>
      <c r="K49" s="72">
        <v>2</v>
      </c>
      <c r="L49" s="779" t="s">
        <v>86</v>
      </c>
      <c r="M49" s="73"/>
      <c r="N49" s="30">
        <v>0.5</v>
      </c>
      <c r="O49" s="30">
        <v>4</v>
      </c>
      <c r="P49" s="73"/>
      <c r="Q49" s="30"/>
      <c r="R49" s="30"/>
      <c r="S49" s="780" t="s">
        <v>354</v>
      </c>
      <c r="T49" s="780" t="s">
        <v>65</v>
      </c>
      <c r="U49" s="781" t="s">
        <v>1840</v>
      </c>
      <c r="V49" s="782">
        <v>23</v>
      </c>
      <c r="W49" s="782" t="str">
        <f t="shared" si="1"/>
        <v>Betriebsangestellte</v>
      </c>
    </row>
    <row r="50" spans="1:23" s="21" customFormat="1" ht="12.75" x14ac:dyDescent="0.2">
      <c r="A50" s="74" t="str">
        <f t="shared" si="0"/>
        <v>201.24</v>
      </c>
      <c r="B50" s="71" t="s">
        <v>121</v>
      </c>
      <c r="C50" s="72" t="s">
        <v>1289</v>
      </c>
      <c r="D50" s="72" t="s">
        <v>65</v>
      </c>
      <c r="E50" s="72"/>
      <c r="F50" s="72">
        <v>201</v>
      </c>
      <c r="G50" s="71" t="s">
        <v>50</v>
      </c>
      <c r="H50" s="72">
        <v>24</v>
      </c>
      <c r="I50" s="72"/>
      <c r="J50" s="72">
        <v>1.5</v>
      </c>
      <c r="K50" s="72">
        <v>1</v>
      </c>
      <c r="L50" s="779" t="s">
        <v>86</v>
      </c>
      <c r="M50" s="73"/>
      <c r="N50" s="30">
        <v>0.5</v>
      </c>
      <c r="O50" s="30">
        <v>2</v>
      </c>
      <c r="P50" s="73"/>
      <c r="Q50" s="30"/>
      <c r="R50" s="30"/>
      <c r="S50" s="780" t="s">
        <v>354</v>
      </c>
      <c r="T50" s="780" t="s">
        <v>65</v>
      </c>
      <c r="U50" s="781" t="s">
        <v>1841</v>
      </c>
      <c r="V50" s="782">
        <v>24</v>
      </c>
      <c r="W50" s="782" t="str">
        <f t="shared" si="1"/>
        <v>Betriebsangestellte</v>
      </c>
    </row>
    <row r="51" spans="1:23" s="21" customFormat="1" ht="12.75" x14ac:dyDescent="0.2">
      <c r="A51" s="74" t="str">
        <f t="shared" si="0"/>
        <v>201.25</v>
      </c>
      <c r="B51" s="783" t="s">
        <v>122</v>
      </c>
      <c r="C51" s="72" t="s">
        <v>1289</v>
      </c>
      <c r="D51" s="72" t="s">
        <v>65</v>
      </c>
      <c r="E51" s="72"/>
      <c r="F51" s="72">
        <v>201</v>
      </c>
      <c r="G51" s="71" t="s">
        <v>50</v>
      </c>
      <c r="H51" s="72">
        <v>25</v>
      </c>
      <c r="I51" s="72">
        <v>180.4</v>
      </c>
      <c r="J51" s="72">
        <v>0.5</v>
      </c>
      <c r="K51" s="72">
        <v>2</v>
      </c>
      <c r="L51" s="779" t="s">
        <v>354</v>
      </c>
      <c r="M51" s="73"/>
      <c r="N51" s="30"/>
      <c r="O51" s="30"/>
      <c r="P51" s="73"/>
      <c r="Q51" s="30"/>
      <c r="R51" s="30"/>
      <c r="S51" s="780" t="s">
        <v>65</v>
      </c>
      <c r="T51" s="780" t="s">
        <v>65</v>
      </c>
      <c r="U51" s="781" t="s">
        <v>1842</v>
      </c>
      <c r="V51" s="782">
        <v>25</v>
      </c>
      <c r="W51" s="782" t="str">
        <f t="shared" si="1"/>
        <v>Betriebsangestellte</v>
      </c>
    </row>
    <row r="52" spans="1:23" s="21" customFormat="1" ht="12.75" x14ac:dyDescent="0.2">
      <c r="A52" s="74" t="str">
        <f t="shared" si="0"/>
        <v>201.26</v>
      </c>
      <c r="B52" s="71" t="s">
        <v>123</v>
      </c>
      <c r="C52" s="72" t="s">
        <v>1289</v>
      </c>
      <c r="D52" s="72" t="s">
        <v>65</v>
      </c>
      <c r="E52" s="72"/>
      <c r="F52" s="72">
        <v>201</v>
      </c>
      <c r="G52" s="71" t="s">
        <v>50</v>
      </c>
      <c r="H52" s="72">
        <v>26</v>
      </c>
      <c r="I52" s="72"/>
      <c r="J52" s="72">
        <v>0.5</v>
      </c>
      <c r="K52" s="72">
        <v>1</v>
      </c>
      <c r="L52" s="779" t="s">
        <v>354</v>
      </c>
      <c r="M52" s="73"/>
      <c r="N52" s="30"/>
      <c r="O52" s="30"/>
      <c r="P52" s="73"/>
      <c r="Q52" s="30"/>
      <c r="R52" s="30"/>
      <c r="S52" s="780" t="s">
        <v>65</v>
      </c>
      <c r="T52" s="780" t="s">
        <v>65</v>
      </c>
      <c r="U52" s="781" t="s">
        <v>1843</v>
      </c>
      <c r="V52" s="782">
        <v>26</v>
      </c>
      <c r="W52" s="782" t="str">
        <f t="shared" si="1"/>
        <v>Betriebsangestellte</v>
      </c>
    </row>
    <row r="53" spans="1:23" s="21" customFormat="1" ht="12.75" x14ac:dyDescent="0.2">
      <c r="A53" s="74" t="str">
        <f t="shared" si="0"/>
        <v>201.27</v>
      </c>
      <c r="B53" s="783" t="s">
        <v>124</v>
      </c>
      <c r="C53" s="72" t="s">
        <v>1289</v>
      </c>
      <c r="D53" s="72" t="s">
        <v>65</v>
      </c>
      <c r="E53" s="72"/>
      <c r="F53" s="72">
        <v>201</v>
      </c>
      <c r="G53" s="71" t="s">
        <v>50</v>
      </c>
      <c r="H53" s="72">
        <v>27</v>
      </c>
      <c r="I53" s="72">
        <v>139</v>
      </c>
      <c r="J53" s="72">
        <v>0.5</v>
      </c>
      <c r="K53" s="72">
        <v>0.5</v>
      </c>
      <c r="L53" s="779" t="s">
        <v>354</v>
      </c>
      <c r="M53" s="73"/>
      <c r="N53" s="30"/>
      <c r="O53" s="30"/>
      <c r="P53" s="73"/>
      <c r="Q53" s="30"/>
      <c r="R53" s="30"/>
      <c r="S53" s="780" t="s">
        <v>65</v>
      </c>
      <c r="T53" s="780" t="s">
        <v>65</v>
      </c>
      <c r="U53" s="781" t="s">
        <v>1844</v>
      </c>
      <c r="V53" s="782">
        <v>27</v>
      </c>
      <c r="W53" s="782" t="str">
        <f t="shared" si="1"/>
        <v>Betriebsangestellte</v>
      </c>
    </row>
    <row r="54" spans="1:23" s="21" customFormat="1" ht="12.75" x14ac:dyDescent="0.2">
      <c r="A54" s="74" t="str">
        <f t="shared" si="0"/>
        <v>201.28</v>
      </c>
      <c r="B54" s="71" t="s">
        <v>125</v>
      </c>
      <c r="C54" s="72" t="s">
        <v>1289</v>
      </c>
      <c r="D54" s="72" t="s">
        <v>65</v>
      </c>
      <c r="E54" s="72"/>
      <c r="F54" s="72">
        <v>201</v>
      </c>
      <c r="G54" s="71" t="s">
        <v>50</v>
      </c>
      <c r="H54" s="72">
        <v>28</v>
      </c>
      <c r="I54" s="72"/>
      <c r="J54" s="72">
        <v>0.5</v>
      </c>
      <c r="K54" s="72">
        <v>0</v>
      </c>
      <c r="L54" s="779" t="s">
        <v>354</v>
      </c>
      <c r="M54" s="73"/>
      <c r="N54" s="30"/>
      <c r="O54" s="30"/>
      <c r="P54" s="73"/>
      <c r="Q54" s="30"/>
      <c r="R54" s="30"/>
      <c r="S54" s="780" t="s">
        <v>65</v>
      </c>
      <c r="T54" s="780" t="s">
        <v>65</v>
      </c>
      <c r="U54" s="781" t="s">
        <v>1845</v>
      </c>
      <c r="V54" s="782">
        <v>28</v>
      </c>
      <c r="W54" s="782" t="str">
        <f t="shared" si="1"/>
        <v>Betriebsangestellte</v>
      </c>
    </row>
    <row r="55" spans="1:23" s="21" customFormat="1" ht="12.75" x14ac:dyDescent="0.2">
      <c r="A55" s="784" t="str">
        <f t="shared" si="0"/>
        <v>202.13</v>
      </c>
      <c r="B55" s="785" t="s">
        <v>286</v>
      </c>
      <c r="C55" s="786" t="s">
        <v>1290</v>
      </c>
      <c r="D55" s="786" t="s">
        <v>76</v>
      </c>
      <c r="E55" s="786"/>
      <c r="F55" s="786" t="s">
        <v>1291</v>
      </c>
      <c r="G55" s="785" t="s">
        <v>54</v>
      </c>
      <c r="H55" s="786">
        <v>13</v>
      </c>
      <c r="I55" s="786">
        <v>465.3</v>
      </c>
      <c r="J55" s="786">
        <v>7</v>
      </c>
      <c r="K55" s="786">
        <v>6</v>
      </c>
      <c r="L55" s="787" t="s">
        <v>673</v>
      </c>
      <c r="M55" s="788"/>
      <c r="N55" s="789"/>
      <c r="O55" s="789"/>
      <c r="P55" s="788"/>
      <c r="Q55" s="789"/>
      <c r="R55" s="789"/>
      <c r="S55" s="790"/>
      <c r="T55" s="790"/>
      <c r="U55" s="781" t="s">
        <v>1846</v>
      </c>
      <c r="V55" s="782">
        <v>13</v>
      </c>
      <c r="W55" s="782" t="str">
        <f t="shared" si="1"/>
        <v>Handwerklich-Technische Angestellte</v>
      </c>
    </row>
    <row r="56" spans="1:23" s="21" customFormat="1" ht="12.75" x14ac:dyDescent="0.2">
      <c r="A56" s="74" t="str">
        <f t="shared" si="0"/>
        <v>202.14a</v>
      </c>
      <c r="B56" s="783" t="s">
        <v>204</v>
      </c>
      <c r="C56" s="72" t="s">
        <v>1290</v>
      </c>
      <c r="D56" s="72" t="s">
        <v>66</v>
      </c>
      <c r="E56" s="72"/>
      <c r="F56" s="72" t="s">
        <v>1291</v>
      </c>
      <c r="G56" s="71" t="s">
        <v>54</v>
      </c>
      <c r="H56" s="72">
        <v>14</v>
      </c>
      <c r="I56" s="72">
        <v>457.5</v>
      </c>
      <c r="J56" s="72">
        <v>7</v>
      </c>
      <c r="K56" s="72">
        <v>7</v>
      </c>
      <c r="L56" s="779" t="s">
        <v>673</v>
      </c>
      <c r="M56" s="73"/>
      <c r="N56" s="30"/>
      <c r="O56" s="30"/>
      <c r="P56" s="73"/>
      <c r="Q56" s="30"/>
      <c r="R56" s="30"/>
      <c r="S56" s="780" t="s">
        <v>65</v>
      </c>
      <c r="T56" s="780" t="s">
        <v>65</v>
      </c>
      <c r="U56" s="781" t="s">
        <v>1295</v>
      </c>
      <c r="V56" s="782">
        <v>14</v>
      </c>
      <c r="W56" s="782" t="str">
        <f t="shared" si="1"/>
        <v>Handwerklich-Technische Angestellte</v>
      </c>
    </row>
    <row r="57" spans="1:23" s="21" customFormat="1" ht="12.75" x14ac:dyDescent="0.2">
      <c r="A57" s="74" t="str">
        <f t="shared" si="0"/>
        <v>202.14b</v>
      </c>
      <c r="B57" s="783" t="s">
        <v>205</v>
      </c>
      <c r="C57" s="72" t="s">
        <v>1290</v>
      </c>
      <c r="D57" s="72" t="s">
        <v>67</v>
      </c>
      <c r="E57" s="72"/>
      <c r="F57" s="72" t="s">
        <v>1291</v>
      </c>
      <c r="G57" s="71" t="s">
        <v>54</v>
      </c>
      <c r="H57" s="72">
        <v>14</v>
      </c>
      <c r="I57" s="72">
        <v>457.5</v>
      </c>
      <c r="J57" s="72">
        <v>7</v>
      </c>
      <c r="K57" s="72">
        <v>7</v>
      </c>
      <c r="L57" s="779" t="s">
        <v>673</v>
      </c>
      <c r="M57" s="73"/>
      <c r="N57" s="30"/>
      <c r="O57" s="30"/>
      <c r="P57" s="73"/>
      <c r="Q57" s="30"/>
      <c r="R57" s="30"/>
      <c r="S57" s="780" t="s">
        <v>65</v>
      </c>
      <c r="T57" s="780" t="s">
        <v>65</v>
      </c>
      <c r="U57" s="781" t="s">
        <v>1296</v>
      </c>
      <c r="V57" s="782">
        <v>14</v>
      </c>
      <c r="W57" s="782" t="str">
        <f t="shared" si="1"/>
        <v>Handwerklich-Technische Angestellte</v>
      </c>
    </row>
    <row r="58" spans="1:23" s="21" customFormat="1" ht="12.75" x14ac:dyDescent="0.2">
      <c r="A58" s="74" t="str">
        <f t="shared" si="0"/>
        <v>202.14c</v>
      </c>
      <c r="B58" s="783" t="s">
        <v>206</v>
      </c>
      <c r="C58" s="72" t="s">
        <v>1290</v>
      </c>
      <c r="D58" s="72" t="s">
        <v>76</v>
      </c>
      <c r="E58" s="72"/>
      <c r="F58" s="72" t="s">
        <v>1291</v>
      </c>
      <c r="G58" s="71" t="s">
        <v>54</v>
      </c>
      <c r="H58" s="72">
        <v>14</v>
      </c>
      <c r="I58" s="72">
        <v>451.2</v>
      </c>
      <c r="J58" s="72">
        <v>7</v>
      </c>
      <c r="K58" s="72">
        <v>5</v>
      </c>
      <c r="L58" s="779" t="s">
        <v>673</v>
      </c>
      <c r="M58" s="73"/>
      <c r="N58" s="30"/>
      <c r="O58" s="30"/>
      <c r="P58" s="73"/>
      <c r="Q58" s="30"/>
      <c r="R58" s="30"/>
      <c r="S58" s="780" t="s">
        <v>65</v>
      </c>
      <c r="T58" s="780" t="s">
        <v>65</v>
      </c>
      <c r="U58" s="781" t="s">
        <v>1297</v>
      </c>
      <c r="V58" s="782">
        <v>14</v>
      </c>
      <c r="W58" s="782" t="str">
        <f t="shared" si="1"/>
        <v>Handwerklich-Technische Angestellte</v>
      </c>
    </row>
    <row r="59" spans="1:23" s="21" customFormat="1" ht="12.75" x14ac:dyDescent="0.2">
      <c r="A59" s="74" t="str">
        <f t="shared" si="0"/>
        <v>202.14d</v>
      </c>
      <c r="B59" s="783" t="s">
        <v>207</v>
      </c>
      <c r="C59" s="72" t="s">
        <v>1290</v>
      </c>
      <c r="D59" s="72" t="s">
        <v>77</v>
      </c>
      <c r="E59" s="72"/>
      <c r="F59" s="72" t="s">
        <v>56</v>
      </c>
      <c r="G59" s="71" t="s">
        <v>54</v>
      </c>
      <c r="H59" s="72">
        <v>14</v>
      </c>
      <c r="I59" s="72">
        <v>450.5</v>
      </c>
      <c r="J59" s="72">
        <v>7</v>
      </c>
      <c r="K59" s="72">
        <v>4</v>
      </c>
      <c r="L59" s="779" t="s">
        <v>673</v>
      </c>
      <c r="M59" s="73"/>
      <c r="N59" s="30"/>
      <c r="O59" s="30"/>
      <c r="P59" s="73"/>
      <c r="Q59" s="30"/>
      <c r="R59" s="30"/>
      <c r="S59" s="780" t="s">
        <v>65</v>
      </c>
      <c r="T59" s="780" t="s">
        <v>65</v>
      </c>
      <c r="U59" s="781" t="s">
        <v>1298</v>
      </c>
      <c r="V59" s="782">
        <v>14</v>
      </c>
      <c r="W59" s="782" t="str">
        <f t="shared" si="1"/>
        <v>Handwerklich-Technische Angestellte</v>
      </c>
    </row>
    <row r="60" spans="1:23" s="21" customFormat="1" ht="12.75" x14ac:dyDescent="0.2">
      <c r="A60" s="784" t="str">
        <f t="shared" si="0"/>
        <v>202.15</v>
      </c>
      <c r="B60" s="785" t="s">
        <v>126</v>
      </c>
      <c r="C60" s="786" t="s">
        <v>1290</v>
      </c>
      <c r="D60" s="786"/>
      <c r="E60" s="786"/>
      <c r="F60" s="786">
        <v>202</v>
      </c>
      <c r="G60" s="785" t="s">
        <v>52</v>
      </c>
      <c r="H60" s="786">
        <v>15</v>
      </c>
      <c r="I60" s="786"/>
      <c r="J60" s="786">
        <v>5.5</v>
      </c>
      <c r="K60" s="786">
        <v>6</v>
      </c>
      <c r="L60" s="787" t="s">
        <v>671</v>
      </c>
      <c r="M60" s="788"/>
      <c r="N60" s="789">
        <v>7</v>
      </c>
      <c r="O60" s="789">
        <v>2</v>
      </c>
      <c r="P60" s="788"/>
      <c r="Q60" s="789"/>
      <c r="R60" s="789"/>
      <c r="S60" s="790" t="s">
        <v>673</v>
      </c>
      <c r="T60" s="790" t="s">
        <v>65</v>
      </c>
      <c r="U60" s="781" t="s">
        <v>1847</v>
      </c>
      <c r="V60" s="782">
        <v>15</v>
      </c>
      <c r="W60" s="782" t="str">
        <f t="shared" si="1"/>
        <v>Hw.-Tech. und Hauswirtschaftliche Ang.</v>
      </c>
    </row>
    <row r="61" spans="1:23" s="21" customFormat="1" ht="12.75" x14ac:dyDescent="0.2">
      <c r="A61" s="74" t="str">
        <f t="shared" si="0"/>
        <v>202.16a</v>
      </c>
      <c r="B61" s="783" t="s">
        <v>208</v>
      </c>
      <c r="C61" s="72" t="s">
        <v>1290</v>
      </c>
      <c r="D61" s="72" t="s">
        <v>66</v>
      </c>
      <c r="E61" s="72"/>
      <c r="F61" s="72" t="s">
        <v>55</v>
      </c>
      <c r="G61" s="71" t="s">
        <v>52</v>
      </c>
      <c r="H61" s="72">
        <v>16</v>
      </c>
      <c r="I61" s="72">
        <v>408.6</v>
      </c>
      <c r="J61" s="72">
        <v>5.5</v>
      </c>
      <c r="K61" s="72">
        <v>4</v>
      </c>
      <c r="L61" s="779" t="s">
        <v>671</v>
      </c>
      <c r="M61" s="73"/>
      <c r="N61" s="30"/>
      <c r="O61" s="30"/>
      <c r="P61" s="73"/>
      <c r="Q61" s="30"/>
      <c r="R61" s="30"/>
      <c r="S61" s="780" t="s">
        <v>65</v>
      </c>
      <c r="T61" s="780" t="s">
        <v>65</v>
      </c>
      <c r="U61" s="781" t="s">
        <v>1303</v>
      </c>
      <c r="V61" s="782">
        <v>16</v>
      </c>
      <c r="W61" s="782" t="str">
        <f t="shared" si="1"/>
        <v>Hw.-Tech. und Hauswirtschaftliche Ang.</v>
      </c>
    </row>
    <row r="62" spans="1:23" s="21" customFormat="1" ht="12.75" x14ac:dyDescent="0.2">
      <c r="A62" s="74" t="str">
        <f t="shared" si="0"/>
        <v>202.16b</v>
      </c>
      <c r="B62" s="783" t="s">
        <v>209</v>
      </c>
      <c r="C62" s="72" t="s">
        <v>1290</v>
      </c>
      <c r="D62" s="72" t="s">
        <v>67</v>
      </c>
      <c r="E62" s="72"/>
      <c r="F62" s="72" t="s">
        <v>55</v>
      </c>
      <c r="G62" s="71" t="s">
        <v>54</v>
      </c>
      <c r="H62" s="72">
        <v>16</v>
      </c>
      <c r="I62" s="72">
        <v>408.6</v>
      </c>
      <c r="J62" s="72">
        <v>5.5</v>
      </c>
      <c r="K62" s="72">
        <v>4</v>
      </c>
      <c r="L62" s="779" t="s">
        <v>671</v>
      </c>
      <c r="M62" s="73"/>
      <c r="N62" s="30"/>
      <c r="O62" s="30"/>
      <c r="P62" s="73"/>
      <c r="Q62" s="30"/>
      <c r="R62" s="30"/>
      <c r="S62" s="780" t="s">
        <v>65</v>
      </c>
      <c r="T62" s="780" t="s">
        <v>65</v>
      </c>
      <c r="U62" s="781" t="s">
        <v>1304</v>
      </c>
      <c r="V62" s="782">
        <v>16</v>
      </c>
      <c r="W62" s="782" t="str">
        <f t="shared" si="1"/>
        <v>Handwerklich-Technische Angestellte</v>
      </c>
    </row>
    <row r="63" spans="1:23" s="21" customFormat="1" ht="12.75" x14ac:dyDescent="0.2">
      <c r="A63" s="74" t="str">
        <f t="shared" si="0"/>
        <v>202.16c</v>
      </c>
      <c r="B63" s="783" t="s">
        <v>210</v>
      </c>
      <c r="C63" s="72" t="s">
        <v>1290</v>
      </c>
      <c r="D63" s="72" t="s">
        <v>76</v>
      </c>
      <c r="E63" s="72"/>
      <c r="F63" s="72" t="s">
        <v>53</v>
      </c>
      <c r="G63" s="71" t="s">
        <v>54</v>
      </c>
      <c r="H63" s="72">
        <v>16</v>
      </c>
      <c r="I63" s="72">
        <v>387.2</v>
      </c>
      <c r="J63" s="72">
        <v>5.5</v>
      </c>
      <c r="K63" s="72">
        <v>5</v>
      </c>
      <c r="L63" s="779" t="s">
        <v>671</v>
      </c>
      <c r="M63" s="73">
        <v>391.5</v>
      </c>
      <c r="N63" s="30">
        <v>7</v>
      </c>
      <c r="O63" s="30">
        <v>3</v>
      </c>
      <c r="P63" s="73"/>
      <c r="Q63" s="30"/>
      <c r="R63" s="30"/>
      <c r="S63" s="780" t="s">
        <v>673</v>
      </c>
      <c r="T63" s="780" t="s">
        <v>65</v>
      </c>
      <c r="U63" s="781" t="s">
        <v>1305</v>
      </c>
      <c r="V63" s="782">
        <v>16</v>
      </c>
      <c r="W63" s="782" t="str">
        <f t="shared" si="1"/>
        <v>Handwerklich-Technische Angestellte</v>
      </c>
    </row>
    <row r="64" spans="1:23" s="21" customFormat="1" ht="12.75" x14ac:dyDescent="0.2">
      <c r="A64" s="74" t="str">
        <f t="shared" si="0"/>
        <v>202.16d</v>
      </c>
      <c r="B64" s="783" t="s">
        <v>211</v>
      </c>
      <c r="C64" s="72" t="s">
        <v>1290</v>
      </c>
      <c r="D64" s="72" t="s">
        <v>77</v>
      </c>
      <c r="E64" s="72"/>
      <c r="F64" s="72" t="s">
        <v>56</v>
      </c>
      <c r="G64" s="71" t="s">
        <v>54</v>
      </c>
      <c r="H64" s="72">
        <v>16</v>
      </c>
      <c r="I64" s="72">
        <v>409.1</v>
      </c>
      <c r="J64" s="72">
        <v>5.5</v>
      </c>
      <c r="K64" s="72">
        <v>4</v>
      </c>
      <c r="L64" s="779" t="s">
        <v>671</v>
      </c>
      <c r="M64" s="73">
        <v>402.7</v>
      </c>
      <c r="N64" s="30">
        <v>7</v>
      </c>
      <c r="O64" s="30">
        <v>1</v>
      </c>
      <c r="P64" s="73"/>
      <c r="Q64" s="30"/>
      <c r="R64" s="30"/>
      <c r="S64" s="780" t="s">
        <v>673</v>
      </c>
      <c r="T64" s="780" t="s">
        <v>65</v>
      </c>
      <c r="U64" s="781" t="s">
        <v>1306</v>
      </c>
      <c r="V64" s="782">
        <v>16</v>
      </c>
      <c r="W64" s="782" t="str">
        <f t="shared" si="1"/>
        <v>Handwerklich-Technische Angestellte</v>
      </c>
    </row>
    <row r="65" spans="1:23" s="21" customFormat="1" ht="12.75" x14ac:dyDescent="0.2">
      <c r="A65" s="784" t="str">
        <f t="shared" si="0"/>
        <v>202.17</v>
      </c>
      <c r="B65" s="785" t="s">
        <v>127</v>
      </c>
      <c r="C65" s="786" t="s">
        <v>1290</v>
      </c>
      <c r="D65" s="786"/>
      <c r="E65" s="786"/>
      <c r="F65" s="786">
        <v>202</v>
      </c>
      <c r="G65" s="785" t="s">
        <v>52</v>
      </c>
      <c r="H65" s="786">
        <v>17</v>
      </c>
      <c r="I65" s="786"/>
      <c r="J65" s="786">
        <v>5</v>
      </c>
      <c r="K65" s="786">
        <v>5</v>
      </c>
      <c r="L65" s="787" t="s">
        <v>87</v>
      </c>
      <c r="M65" s="788"/>
      <c r="N65" s="789">
        <v>7</v>
      </c>
      <c r="O65" s="789">
        <v>0</v>
      </c>
      <c r="P65" s="788"/>
      <c r="Q65" s="789"/>
      <c r="R65" s="789"/>
      <c r="S65" s="790" t="s">
        <v>673</v>
      </c>
      <c r="T65" s="790" t="s">
        <v>65</v>
      </c>
      <c r="U65" s="781" t="s">
        <v>1848</v>
      </c>
      <c r="V65" s="782">
        <v>17</v>
      </c>
      <c r="W65" s="782" t="str">
        <f t="shared" si="1"/>
        <v>Hw.-Tech. und Hauswirtschaftliche Ang.</v>
      </c>
    </row>
    <row r="66" spans="1:23" s="21" customFormat="1" ht="12.75" x14ac:dyDescent="0.2">
      <c r="A66" s="74" t="str">
        <f t="shared" ref="A66:A129" si="2">RIGHT(B66,LEN(B66)-1)</f>
        <v>202.18a</v>
      </c>
      <c r="B66" s="783" t="s">
        <v>212</v>
      </c>
      <c r="C66" s="72" t="s">
        <v>1290</v>
      </c>
      <c r="D66" s="72" t="s">
        <v>66</v>
      </c>
      <c r="E66" s="72"/>
      <c r="F66" s="72" t="s">
        <v>55</v>
      </c>
      <c r="G66" s="71" t="s">
        <v>52</v>
      </c>
      <c r="H66" s="72">
        <v>18</v>
      </c>
      <c r="I66" s="72">
        <v>352.8</v>
      </c>
      <c r="J66" s="72">
        <v>5</v>
      </c>
      <c r="K66" s="72">
        <v>3</v>
      </c>
      <c r="L66" s="779" t="s">
        <v>87</v>
      </c>
      <c r="M66" s="73"/>
      <c r="N66" s="30"/>
      <c r="O66" s="30"/>
      <c r="P66" s="73"/>
      <c r="Q66" s="30"/>
      <c r="R66" s="30"/>
      <c r="S66" s="780" t="s">
        <v>65</v>
      </c>
      <c r="T66" s="780" t="s">
        <v>65</v>
      </c>
      <c r="U66" s="781" t="s">
        <v>1310</v>
      </c>
      <c r="V66" s="782">
        <v>18</v>
      </c>
      <c r="W66" s="782" t="str">
        <f t="shared" ref="W66:W129" si="3">G66</f>
        <v>Hw.-Tech. und Hauswirtschaftliche Ang.</v>
      </c>
    </row>
    <row r="67" spans="1:23" s="21" customFormat="1" ht="12.75" x14ac:dyDescent="0.2">
      <c r="A67" s="74" t="str">
        <f t="shared" si="2"/>
        <v>202.18b</v>
      </c>
      <c r="B67" s="783" t="s">
        <v>213</v>
      </c>
      <c r="C67" s="72" t="s">
        <v>1290</v>
      </c>
      <c r="D67" s="72" t="s">
        <v>67</v>
      </c>
      <c r="E67" s="72"/>
      <c r="F67" s="72" t="s">
        <v>55</v>
      </c>
      <c r="G67" s="71" t="s">
        <v>54</v>
      </c>
      <c r="H67" s="72">
        <v>18</v>
      </c>
      <c r="I67" s="72">
        <v>352.8</v>
      </c>
      <c r="J67" s="72">
        <v>5</v>
      </c>
      <c r="K67" s="72">
        <v>3</v>
      </c>
      <c r="L67" s="779" t="s">
        <v>87</v>
      </c>
      <c r="M67" s="73"/>
      <c r="N67" s="30"/>
      <c r="O67" s="30"/>
      <c r="P67" s="73"/>
      <c r="Q67" s="30"/>
      <c r="R67" s="30"/>
      <c r="S67" s="780" t="s">
        <v>65</v>
      </c>
      <c r="T67" s="780" t="s">
        <v>65</v>
      </c>
      <c r="U67" s="781" t="s">
        <v>1311</v>
      </c>
      <c r="V67" s="782">
        <v>18</v>
      </c>
      <c r="W67" s="782" t="str">
        <f t="shared" si="3"/>
        <v>Handwerklich-Technische Angestellte</v>
      </c>
    </row>
    <row r="68" spans="1:23" s="21" customFormat="1" ht="12.75" x14ac:dyDescent="0.2">
      <c r="A68" s="74" t="str">
        <f t="shared" si="2"/>
        <v>202.18c</v>
      </c>
      <c r="B68" s="783" t="s">
        <v>214</v>
      </c>
      <c r="C68" s="72" t="s">
        <v>1290</v>
      </c>
      <c r="D68" s="72" t="s">
        <v>76</v>
      </c>
      <c r="E68" s="72"/>
      <c r="F68" s="72" t="s">
        <v>53</v>
      </c>
      <c r="G68" s="71" t="s">
        <v>54</v>
      </c>
      <c r="H68" s="72">
        <v>18</v>
      </c>
      <c r="I68" s="72">
        <v>343.5</v>
      </c>
      <c r="J68" s="72">
        <v>5</v>
      </c>
      <c r="K68" s="72">
        <v>3</v>
      </c>
      <c r="L68" s="779" t="s">
        <v>87</v>
      </c>
      <c r="M68" s="73"/>
      <c r="N68" s="30"/>
      <c r="O68" s="30"/>
      <c r="P68" s="73"/>
      <c r="Q68" s="30"/>
      <c r="R68" s="30"/>
      <c r="S68" s="780" t="s">
        <v>65</v>
      </c>
      <c r="T68" s="780" t="s">
        <v>65</v>
      </c>
      <c r="U68" s="781" t="s">
        <v>1312</v>
      </c>
      <c r="V68" s="782">
        <v>18</v>
      </c>
      <c r="W68" s="782" t="str">
        <f t="shared" si="3"/>
        <v>Handwerklich-Technische Angestellte</v>
      </c>
    </row>
    <row r="69" spans="1:23" s="21" customFormat="1" ht="12.75" x14ac:dyDescent="0.2">
      <c r="A69" s="784" t="str">
        <f t="shared" si="2"/>
        <v>202.19</v>
      </c>
      <c r="B69" s="785" t="s">
        <v>128</v>
      </c>
      <c r="C69" s="786" t="s">
        <v>1290</v>
      </c>
      <c r="D69" s="786"/>
      <c r="E69" s="786"/>
      <c r="F69" s="786">
        <v>202</v>
      </c>
      <c r="G69" s="785" t="s">
        <v>54</v>
      </c>
      <c r="H69" s="786">
        <v>19</v>
      </c>
      <c r="I69" s="786"/>
      <c r="J69" s="786">
        <v>5</v>
      </c>
      <c r="K69" s="786">
        <v>3</v>
      </c>
      <c r="L69" s="787" t="s">
        <v>87</v>
      </c>
      <c r="M69" s="788"/>
      <c r="N69" s="789"/>
      <c r="O69" s="789"/>
      <c r="P69" s="788"/>
      <c r="Q69" s="789"/>
      <c r="R69" s="789"/>
      <c r="S69" s="790" t="s">
        <v>65</v>
      </c>
      <c r="T69" s="790" t="s">
        <v>65</v>
      </c>
      <c r="U69" s="781" t="s">
        <v>1849</v>
      </c>
      <c r="V69" s="782">
        <v>19</v>
      </c>
      <c r="W69" s="782" t="str">
        <f t="shared" si="3"/>
        <v>Handwerklich-Technische Angestellte</v>
      </c>
    </row>
    <row r="70" spans="1:23" s="21" customFormat="1" ht="12.75" x14ac:dyDescent="0.2">
      <c r="A70" s="74" t="str">
        <f t="shared" si="2"/>
        <v>202.20a</v>
      </c>
      <c r="B70" s="783" t="s">
        <v>215</v>
      </c>
      <c r="C70" s="72" t="s">
        <v>1290</v>
      </c>
      <c r="D70" s="72" t="s">
        <v>66</v>
      </c>
      <c r="E70" s="72"/>
      <c r="F70" s="72" t="s">
        <v>51</v>
      </c>
      <c r="G70" s="71" t="s">
        <v>52</v>
      </c>
      <c r="H70" s="72">
        <v>20</v>
      </c>
      <c r="I70" s="72">
        <v>292.5</v>
      </c>
      <c r="J70" s="72">
        <v>5</v>
      </c>
      <c r="K70" s="72">
        <v>2</v>
      </c>
      <c r="L70" s="779" t="s">
        <v>87</v>
      </c>
      <c r="M70" s="73"/>
      <c r="N70" s="30"/>
      <c r="O70" s="30"/>
      <c r="P70" s="73"/>
      <c r="Q70" s="30"/>
      <c r="R70" s="30"/>
      <c r="S70" s="780" t="s">
        <v>65</v>
      </c>
      <c r="T70" s="780" t="s">
        <v>65</v>
      </c>
      <c r="U70" s="781" t="s">
        <v>1316</v>
      </c>
      <c r="V70" s="782">
        <v>20</v>
      </c>
      <c r="W70" s="782" t="str">
        <f t="shared" si="3"/>
        <v>Hw.-Tech. und Hauswirtschaftliche Ang.</v>
      </c>
    </row>
    <row r="71" spans="1:23" s="21" customFormat="1" ht="12.75" x14ac:dyDescent="0.2">
      <c r="A71" s="74" t="str">
        <f t="shared" si="2"/>
        <v>202.20c</v>
      </c>
      <c r="B71" s="783" t="s">
        <v>216</v>
      </c>
      <c r="C71" s="72" t="s">
        <v>1290</v>
      </c>
      <c r="D71" s="72" t="s">
        <v>76</v>
      </c>
      <c r="E71" s="72"/>
      <c r="F71" s="72" t="s">
        <v>53</v>
      </c>
      <c r="G71" s="71" t="s">
        <v>54</v>
      </c>
      <c r="H71" s="72">
        <v>20</v>
      </c>
      <c r="I71" s="72">
        <v>293.60000000000002</v>
      </c>
      <c r="J71" s="72">
        <v>5</v>
      </c>
      <c r="K71" s="72">
        <v>2</v>
      </c>
      <c r="L71" s="779" t="s">
        <v>87</v>
      </c>
      <c r="M71" s="73"/>
      <c r="N71" s="30"/>
      <c r="O71" s="30"/>
      <c r="P71" s="73"/>
      <c r="Q71" s="30"/>
      <c r="R71" s="30"/>
      <c r="S71" s="780" t="s">
        <v>65</v>
      </c>
      <c r="T71" s="780" t="s">
        <v>65</v>
      </c>
      <c r="U71" s="781" t="s">
        <v>1317</v>
      </c>
      <c r="V71" s="782">
        <v>20</v>
      </c>
      <c r="W71" s="782" t="str">
        <f t="shared" si="3"/>
        <v>Handwerklich-Technische Angestellte</v>
      </c>
    </row>
    <row r="72" spans="1:23" s="21" customFormat="1" ht="12.75" x14ac:dyDescent="0.2">
      <c r="A72" s="784" t="str">
        <f t="shared" si="2"/>
        <v>203.07</v>
      </c>
      <c r="B72" s="785" t="s">
        <v>322</v>
      </c>
      <c r="C72" s="786" t="s">
        <v>1318</v>
      </c>
      <c r="D72" s="786" t="s">
        <v>65</v>
      </c>
      <c r="E72" s="786"/>
      <c r="F72" s="786">
        <v>203</v>
      </c>
      <c r="G72" s="785" t="s">
        <v>57</v>
      </c>
      <c r="H72" s="786">
        <v>7</v>
      </c>
      <c r="I72" s="786">
        <v>614.20000000000005</v>
      </c>
      <c r="J72" s="786">
        <v>10.5</v>
      </c>
      <c r="K72" s="786">
        <v>5</v>
      </c>
      <c r="L72" s="787" t="s">
        <v>353</v>
      </c>
      <c r="M72" s="788">
        <v>589.9</v>
      </c>
      <c r="N72" s="789">
        <v>9</v>
      </c>
      <c r="O72" s="789">
        <v>8</v>
      </c>
      <c r="P72" s="788"/>
      <c r="Q72" s="789"/>
      <c r="R72" s="789"/>
      <c r="S72" s="790" t="s">
        <v>351</v>
      </c>
      <c r="T72" s="790"/>
      <c r="U72" s="781" t="s">
        <v>1850</v>
      </c>
      <c r="V72" s="782">
        <v>7</v>
      </c>
      <c r="W72" s="782" t="str">
        <f t="shared" si="3"/>
        <v>Technisch-Wissenschaftliche Angestellte</v>
      </c>
    </row>
    <row r="73" spans="1:23" s="21" customFormat="1" ht="12.75" x14ac:dyDescent="0.2">
      <c r="A73" s="784" t="str">
        <f t="shared" si="2"/>
        <v>203.08</v>
      </c>
      <c r="B73" s="783" t="s">
        <v>326</v>
      </c>
      <c r="C73" s="786" t="s">
        <v>1318</v>
      </c>
      <c r="D73" s="786" t="s">
        <v>65</v>
      </c>
      <c r="E73" s="786"/>
      <c r="F73" s="786">
        <v>203</v>
      </c>
      <c r="G73" s="785" t="s">
        <v>57</v>
      </c>
      <c r="H73" s="786">
        <v>8</v>
      </c>
      <c r="I73" s="786">
        <v>605.29999999999995</v>
      </c>
      <c r="J73" s="786">
        <v>10.5</v>
      </c>
      <c r="K73" s="786">
        <v>4</v>
      </c>
      <c r="L73" s="787" t="s">
        <v>353</v>
      </c>
      <c r="M73" s="788">
        <v>589.9</v>
      </c>
      <c r="N73" s="789">
        <v>9</v>
      </c>
      <c r="O73" s="789">
        <v>5</v>
      </c>
      <c r="P73" s="788"/>
      <c r="Q73" s="789"/>
      <c r="R73" s="789"/>
      <c r="S73" s="790" t="s">
        <v>351</v>
      </c>
      <c r="T73" s="790" t="s">
        <v>65</v>
      </c>
      <c r="U73" s="781" t="s">
        <v>1851</v>
      </c>
      <c r="V73" s="782">
        <v>8</v>
      </c>
      <c r="W73" s="782" t="str">
        <f t="shared" si="3"/>
        <v>Technisch-Wissenschaftliche Angestellte</v>
      </c>
    </row>
    <row r="74" spans="1:23" s="21" customFormat="1" ht="12.75" x14ac:dyDescent="0.2">
      <c r="A74" s="784" t="str">
        <f t="shared" si="2"/>
        <v>203.09</v>
      </c>
      <c r="B74" s="785" t="s">
        <v>332</v>
      </c>
      <c r="C74" s="786" t="s">
        <v>1318</v>
      </c>
      <c r="D74" s="786" t="s">
        <v>65</v>
      </c>
      <c r="E74" s="786"/>
      <c r="F74" s="786">
        <v>203</v>
      </c>
      <c r="G74" s="785" t="s">
        <v>57</v>
      </c>
      <c r="H74" s="786">
        <v>9</v>
      </c>
      <c r="I74" s="786">
        <v>553.29999999999995</v>
      </c>
      <c r="J74" s="786">
        <v>9.5</v>
      </c>
      <c r="K74" s="786">
        <v>4</v>
      </c>
      <c r="L74" s="787" t="s">
        <v>347</v>
      </c>
      <c r="M74" s="788"/>
      <c r="N74" s="789"/>
      <c r="O74" s="789"/>
      <c r="P74" s="788"/>
      <c r="Q74" s="789"/>
      <c r="R74" s="789"/>
      <c r="S74" s="790" t="s">
        <v>65</v>
      </c>
      <c r="T74" s="790" t="s">
        <v>65</v>
      </c>
      <c r="U74" s="781" t="s">
        <v>1852</v>
      </c>
      <c r="V74" s="782">
        <v>9</v>
      </c>
      <c r="W74" s="782" t="str">
        <f t="shared" si="3"/>
        <v>Technisch-Wissenschaftliche Angestellte</v>
      </c>
    </row>
    <row r="75" spans="1:23" s="21" customFormat="1" ht="12.75" x14ac:dyDescent="0.2">
      <c r="A75" s="784" t="str">
        <f t="shared" si="2"/>
        <v>203.10</v>
      </c>
      <c r="B75" s="783" t="s">
        <v>129</v>
      </c>
      <c r="C75" s="786" t="s">
        <v>1318</v>
      </c>
      <c r="D75" s="786" t="s">
        <v>65</v>
      </c>
      <c r="E75" s="786"/>
      <c r="F75" s="786">
        <v>203</v>
      </c>
      <c r="G75" s="785" t="s">
        <v>57</v>
      </c>
      <c r="H75" s="786">
        <v>10</v>
      </c>
      <c r="I75" s="786">
        <v>553.29999999999995</v>
      </c>
      <c r="J75" s="786">
        <v>9.5</v>
      </c>
      <c r="K75" s="786">
        <v>2</v>
      </c>
      <c r="L75" s="787" t="s">
        <v>347</v>
      </c>
      <c r="M75" s="788">
        <v>557.20000000000005</v>
      </c>
      <c r="N75" s="789">
        <v>9</v>
      </c>
      <c r="O75" s="789">
        <v>5</v>
      </c>
      <c r="P75" s="788"/>
      <c r="Q75" s="789"/>
      <c r="R75" s="789"/>
      <c r="S75" s="790" t="s">
        <v>351</v>
      </c>
      <c r="T75" s="790" t="s">
        <v>65</v>
      </c>
      <c r="U75" s="781" t="s">
        <v>1853</v>
      </c>
      <c r="V75" s="782">
        <v>10</v>
      </c>
      <c r="W75" s="782" t="str">
        <f t="shared" si="3"/>
        <v>Technisch-Wissenschaftliche Angestellte</v>
      </c>
    </row>
    <row r="76" spans="1:23" s="21" customFormat="1" ht="12.75" x14ac:dyDescent="0.2">
      <c r="A76" s="784" t="str">
        <f t="shared" si="2"/>
        <v>203.11</v>
      </c>
      <c r="B76" s="785" t="s">
        <v>130</v>
      </c>
      <c r="C76" s="786" t="s">
        <v>1318</v>
      </c>
      <c r="D76" s="786" t="s">
        <v>65</v>
      </c>
      <c r="E76" s="786"/>
      <c r="F76" s="786">
        <v>203</v>
      </c>
      <c r="G76" s="785" t="s">
        <v>57</v>
      </c>
      <c r="H76" s="786">
        <v>11</v>
      </c>
      <c r="I76" s="786"/>
      <c r="J76" s="786">
        <v>8</v>
      </c>
      <c r="K76" s="786">
        <v>5</v>
      </c>
      <c r="L76" s="787" t="s">
        <v>352</v>
      </c>
      <c r="M76" s="788"/>
      <c r="N76" s="789">
        <v>9.5</v>
      </c>
      <c r="O76" s="789">
        <v>0</v>
      </c>
      <c r="P76" s="788"/>
      <c r="Q76" s="789"/>
      <c r="R76" s="789"/>
      <c r="S76" s="790" t="s">
        <v>347</v>
      </c>
      <c r="T76" s="790" t="s">
        <v>65</v>
      </c>
      <c r="U76" s="781" t="s">
        <v>1854</v>
      </c>
      <c r="V76" s="782">
        <v>11</v>
      </c>
      <c r="W76" s="782" t="str">
        <f t="shared" si="3"/>
        <v>Technisch-Wissenschaftliche Angestellte</v>
      </c>
    </row>
    <row r="77" spans="1:23" s="21" customFormat="1" ht="12.75" x14ac:dyDescent="0.2">
      <c r="A77" s="784" t="str">
        <f t="shared" si="2"/>
        <v>203.12</v>
      </c>
      <c r="B77" s="783" t="s">
        <v>131</v>
      </c>
      <c r="C77" s="786" t="s">
        <v>1318</v>
      </c>
      <c r="D77" s="786" t="s">
        <v>65</v>
      </c>
      <c r="E77" s="786"/>
      <c r="F77" s="786">
        <v>203</v>
      </c>
      <c r="G77" s="785" t="s">
        <v>57</v>
      </c>
      <c r="H77" s="786">
        <v>12</v>
      </c>
      <c r="I77" s="786">
        <v>497.9</v>
      </c>
      <c r="J77" s="786">
        <v>8</v>
      </c>
      <c r="K77" s="786">
        <v>3</v>
      </c>
      <c r="L77" s="787" t="s">
        <v>352</v>
      </c>
      <c r="M77" s="788">
        <v>504.2</v>
      </c>
      <c r="N77" s="789">
        <v>9</v>
      </c>
      <c r="O77" s="789">
        <v>2</v>
      </c>
      <c r="P77" s="788">
        <v>502.2</v>
      </c>
      <c r="Q77" s="789">
        <v>9.5</v>
      </c>
      <c r="R77" s="789">
        <v>1</v>
      </c>
      <c r="S77" s="790" t="s">
        <v>351</v>
      </c>
      <c r="T77" s="790" t="s">
        <v>347</v>
      </c>
      <c r="U77" s="781" t="s">
        <v>1855</v>
      </c>
      <c r="V77" s="782">
        <v>12</v>
      </c>
      <c r="W77" s="782" t="str">
        <f t="shared" si="3"/>
        <v>Technisch-Wissenschaftliche Angestellte</v>
      </c>
    </row>
    <row r="78" spans="1:23" s="21" customFormat="1" ht="12.75" x14ac:dyDescent="0.2">
      <c r="A78" s="784" t="str">
        <f t="shared" si="2"/>
        <v>203.13</v>
      </c>
      <c r="B78" s="785" t="s">
        <v>132</v>
      </c>
      <c r="C78" s="786" t="s">
        <v>1318</v>
      </c>
      <c r="D78" s="786" t="s">
        <v>65</v>
      </c>
      <c r="E78" s="786"/>
      <c r="F78" s="786">
        <v>203</v>
      </c>
      <c r="G78" s="785" t="s">
        <v>57</v>
      </c>
      <c r="H78" s="786">
        <v>13</v>
      </c>
      <c r="I78" s="786"/>
      <c r="J78" s="786">
        <v>8</v>
      </c>
      <c r="K78" s="786">
        <v>3</v>
      </c>
      <c r="L78" s="787" t="s">
        <v>352</v>
      </c>
      <c r="M78" s="788"/>
      <c r="N78" s="789"/>
      <c r="O78" s="789"/>
      <c r="P78" s="788"/>
      <c r="Q78" s="789"/>
      <c r="R78" s="789"/>
      <c r="S78" s="790" t="s">
        <v>65</v>
      </c>
      <c r="T78" s="790" t="s">
        <v>65</v>
      </c>
      <c r="U78" s="781" t="s">
        <v>1856</v>
      </c>
      <c r="V78" s="782">
        <v>13</v>
      </c>
      <c r="W78" s="782" t="str">
        <f t="shared" si="3"/>
        <v>Technisch-Wissenschaftliche Angestellte</v>
      </c>
    </row>
    <row r="79" spans="1:23" s="21" customFormat="1" ht="12.75" x14ac:dyDescent="0.2">
      <c r="A79" s="74" t="str">
        <f t="shared" si="2"/>
        <v>203.14a</v>
      </c>
      <c r="B79" s="783" t="s">
        <v>217</v>
      </c>
      <c r="C79" s="72" t="s">
        <v>1318</v>
      </c>
      <c r="D79" s="72" t="s">
        <v>66</v>
      </c>
      <c r="E79" s="72"/>
      <c r="F79" s="72" t="s">
        <v>687</v>
      </c>
      <c r="G79" s="71" t="s">
        <v>57</v>
      </c>
      <c r="H79" s="72">
        <v>14</v>
      </c>
      <c r="I79" s="72">
        <v>458.6</v>
      </c>
      <c r="J79" s="72">
        <v>8</v>
      </c>
      <c r="K79" s="72">
        <v>2</v>
      </c>
      <c r="L79" s="779" t="s">
        <v>352</v>
      </c>
      <c r="M79" s="73"/>
      <c r="N79" s="30"/>
      <c r="O79" s="30"/>
      <c r="P79" s="73"/>
      <c r="Q79" s="30"/>
      <c r="R79" s="30"/>
      <c r="S79" s="780" t="s">
        <v>65</v>
      </c>
      <c r="T79" s="780" t="s">
        <v>65</v>
      </c>
      <c r="U79" s="781" t="s">
        <v>1331</v>
      </c>
      <c r="V79" s="782">
        <v>14</v>
      </c>
      <c r="W79" s="782" t="str">
        <f t="shared" si="3"/>
        <v>Technisch-Wissenschaftliche Angestellte</v>
      </c>
    </row>
    <row r="80" spans="1:23" s="21" customFormat="1" ht="12.75" x14ac:dyDescent="0.2">
      <c r="A80" s="74" t="str">
        <f t="shared" si="2"/>
        <v>203.14b</v>
      </c>
      <c r="B80" s="783" t="s">
        <v>218</v>
      </c>
      <c r="C80" s="72" t="s">
        <v>1318</v>
      </c>
      <c r="D80" s="72" t="s">
        <v>67</v>
      </c>
      <c r="E80" s="72"/>
      <c r="F80" s="72" t="s">
        <v>687</v>
      </c>
      <c r="G80" s="71" t="s">
        <v>57</v>
      </c>
      <c r="H80" s="72">
        <v>14</v>
      </c>
      <c r="I80" s="72">
        <v>458.6</v>
      </c>
      <c r="J80" s="72">
        <v>8</v>
      </c>
      <c r="K80" s="72">
        <v>2</v>
      </c>
      <c r="L80" s="779" t="s">
        <v>352</v>
      </c>
      <c r="M80" s="73"/>
      <c r="N80" s="30"/>
      <c r="O80" s="30"/>
      <c r="P80" s="73"/>
      <c r="Q80" s="30"/>
      <c r="R80" s="30"/>
      <c r="S80" s="780" t="s">
        <v>65</v>
      </c>
      <c r="T80" s="780" t="s">
        <v>65</v>
      </c>
      <c r="U80" s="781" t="s">
        <v>1332</v>
      </c>
      <c r="V80" s="782">
        <v>14</v>
      </c>
      <c r="W80" s="782" t="str">
        <f t="shared" si="3"/>
        <v>Technisch-Wissenschaftliche Angestellte</v>
      </c>
    </row>
    <row r="81" spans="1:23" s="21" customFormat="1" ht="12.75" x14ac:dyDescent="0.2">
      <c r="A81" s="74" t="str">
        <f t="shared" si="2"/>
        <v>211.11</v>
      </c>
      <c r="B81" s="71" t="s">
        <v>287</v>
      </c>
      <c r="C81" s="72" t="s">
        <v>1333</v>
      </c>
      <c r="D81" s="72" t="s">
        <v>65</v>
      </c>
      <c r="E81" s="72"/>
      <c r="F81" s="72">
        <v>211</v>
      </c>
      <c r="G81" s="71" t="s">
        <v>23</v>
      </c>
      <c r="H81" s="72">
        <v>11</v>
      </c>
      <c r="I81" s="72">
        <v>513.79999999999995</v>
      </c>
      <c r="J81" s="72">
        <v>7</v>
      </c>
      <c r="K81" s="72">
        <v>8</v>
      </c>
      <c r="L81" s="779" t="s">
        <v>673</v>
      </c>
      <c r="M81" s="73"/>
      <c r="N81" s="30"/>
      <c r="O81" s="30"/>
      <c r="P81" s="73"/>
      <c r="Q81" s="30"/>
      <c r="R81" s="30"/>
      <c r="S81" s="780"/>
      <c r="T81" s="780"/>
      <c r="U81" s="781" t="s">
        <v>1857</v>
      </c>
      <c r="V81" s="782">
        <v>11</v>
      </c>
      <c r="W81" s="782" t="str">
        <f t="shared" si="3"/>
        <v>Spezifische Führungsfunktion</v>
      </c>
    </row>
    <row r="82" spans="1:23" s="21" customFormat="1" ht="12.75" x14ac:dyDescent="0.2">
      <c r="A82" s="74" t="str">
        <f t="shared" si="2"/>
        <v>211.12</v>
      </c>
      <c r="B82" s="783" t="s">
        <v>133</v>
      </c>
      <c r="C82" s="794" t="s">
        <v>1333</v>
      </c>
      <c r="D82" s="794" t="s">
        <v>65</v>
      </c>
      <c r="E82" s="794"/>
      <c r="F82" s="794">
        <v>211</v>
      </c>
      <c r="G82" s="793" t="s">
        <v>23</v>
      </c>
      <c r="H82" s="794">
        <v>12</v>
      </c>
      <c r="I82" s="794">
        <v>489.2</v>
      </c>
      <c r="J82" s="794">
        <v>7</v>
      </c>
      <c r="K82" s="794">
        <v>5</v>
      </c>
      <c r="L82" s="795" t="s">
        <v>673</v>
      </c>
      <c r="M82" s="796"/>
      <c r="N82" s="30"/>
      <c r="O82" s="30"/>
      <c r="P82" s="796"/>
      <c r="Q82" s="30"/>
      <c r="R82" s="30"/>
      <c r="S82" s="797" t="s">
        <v>65</v>
      </c>
      <c r="T82" s="797" t="s">
        <v>65</v>
      </c>
      <c r="U82" s="781" t="s">
        <v>1858</v>
      </c>
      <c r="V82" s="782">
        <v>12</v>
      </c>
      <c r="W82" s="782" t="str">
        <f t="shared" si="3"/>
        <v>Spezifische Führungsfunktion</v>
      </c>
    </row>
    <row r="83" spans="1:23" s="21" customFormat="1" ht="12.75" x14ac:dyDescent="0.2">
      <c r="A83" s="74" t="str">
        <f t="shared" si="2"/>
        <v>211.13</v>
      </c>
      <c r="B83" s="71" t="s">
        <v>134</v>
      </c>
      <c r="C83" s="72" t="s">
        <v>1333</v>
      </c>
      <c r="D83" s="72" t="s">
        <v>65</v>
      </c>
      <c r="E83" s="72"/>
      <c r="F83" s="72">
        <v>211</v>
      </c>
      <c r="G83" s="71" t="s">
        <v>23</v>
      </c>
      <c r="H83" s="72">
        <v>13</v>
      </c>
      <c r="I83" s="72"/>
      <c r="J83" s="72">
        <v>7</v>
      </c>
      <c r="K83" s="72">
        <v>5</v>
      </c>
      <c r="L83" s="779" t="s">
        <v>673</v>
      </c>
      <c r="M83" s="73"/>
      <c r="N83" s="30"/>
      <c r="O83" s="30"/>
      <c r="P83" s="73"/>
      <c r="Q83" s="30"/>
      <c r="R83" s="30"/>
      <c r="S83" s="780" t="s">
        <v>65</v>
      </c>
      <c r="T83" s="780" t="s">
        <v>65</v>
      </c>
      <c r="U83" s="781" t="s">
        <v>1859</v>
      </c>
      <c r="V83" s="782">
        <v>13</v>
      </c>
      <c r="W83" s="782" t="str">
        <f t="shared" si="3"/>
        <v>Spezifische Führungsfunktion</v>
      </c>
    </row>
    <row r="84" spans="1:23" s="21" customFormat="1" ht="12.75" x14ac:dyDescent="0.2">
      <c r="A84" s="74" t="str">
        <f t="shared" si="2"/>
        <v>211.14</v>
      </c>
      <c r="B84" s="783" t="s">
        <v>135</v>
      </c>
      <c r="C84" s="72" t="s">
        <v>1333</v>
      </c>
      <c r="D84" s="72" t="s">
        <v>65</v>
      </c>
      <c r="E84" s="72"/>
      <c r="F84" s="72">
        <v>211</v>
      </c>
      <c r="G84" s="71" t="s">
        <v>24</v>
      </c>
      <c r="H84" s="72">
        <v>14</v>
      </c>
      <c r="I84" s="72">
        <v>450.2</v>
      </c>
      <c r="J84" s="72">
        <v>7</v>
      </c>
      <c r="K84" s="72">
        <v>4</v>
      </c>
      <c r="L84" s="779" t="s">
        <v>673</v>
      </c>
      <c r="M84" s="73">
        <v>436.6</v>
      </c>
      <c r="N84" s="30">
        <v>5.5</v>
      </c>
      <c r="O84" s="30">
        <v>5</v>
      </c>
      <c r="P84" s="73"/>
      <c r="Q84" s="30"/>
      <c r="R84" s="30"/>
      <c r="S84" s="780" t="s">
        <v>671</v>
      </c>
      <c r="T84" s="780" t="s">
        <v>65</v>
      </c>
      <c r="U84" s="781" t="s">
        <v>1860</v>
      </c>
      <c r="V84" s="782">
        <v>14</v>
      </c>
      <c r="W84" s="782" t="str">
        <f t="shared" si="3"/>
        <v xml:space="preserve">Spezifische Führungsfunktion </v>
      </c>
    </row>
    <row r="85" spans="1:23" s="21" customFormat="1" ht="12.75" x14ac:dyDescent="0.2">
      <c r="A85" s="74" t="str">
        <f t="shared" si="2"/>
        <v>211.15</v>
      </c>
      <c r="B85" s="71" t="s">
        <v>266</v>
      </c>
      <c r="C85" s="72" t="s">
        <v>1333</v>
      </c>
      <c r="D85" s="72" t="s">
        <v>65</v>
      </c>
      <c r="E85" s="72"/>
      <c r="F85" s="72">
        <v>211</v>
      </c>
      <c r="G85" s="71" t="s">
        <v>24</v>
      </c>
      <c r="H85" s="72">
        <v>15</v>
      </c>
      <c r="I85" s="72"/>
      <c r="J85" s="72">
        <v>6</v>
      </c>
      <c r="K85" s="72">
        <v>5</v>
      </c>
      <c r="L85" s="779" t="s">
        <v>672</v>
      </c>
      <c r="M85" s="73"/>
      <c r="N85" s="30">
        <v>5.5</v>
      </c>
      <c r="O85" s="30">
        <v>7</v>
      </c>
      <c r="P85" s="73"/>
      <c r="Q85" s="30">
        <v>7</v>
      </c>
      <c r="R85" s="30">
        <v>2</v>
      </c>
      <c r="S85" s="780" t="s">
        <v>671</v>
      </c>
      <c r="T85" s="780" t="s">
        <v>673</v>
      </c>
      <c r="U85" s="781" t="s">
        <v>1861</v>
      </c>
      <c r="V85" s="782">
        <v>15</v>
      </c>
      <c r="W85" s="782" t="str">
        <f t="shared" si="3"/>
        <v xml:space="preserve">Spezifische Führungsfunktion </v>
      </c>
    </row>
    <row r="86" spans="1:23" s="21" customFormat="1" ht="12.75" x14ac:dyDescent="0.2">
      <c r="A86" s="74" t="str">
        <f t="shared" si="2"/>
        <v>211.16</v>
      </c>
      <c r="B86" s="783" t="s">
        <v>136</v>
      </c>
      <c r="C86" s="72" t="s">
        <v>1333</v>
      </c>
      <c r="D86" s="72" t="s">
        <v>65</v>
      </c>
      <c r="E86" s="72"/>
      <c r="F86" s="72">
        <v>211</v>
      </c>
      <c r="G86" s="71" t="s">
        <v>24</v>
      </c>
      <c r="H86" s="72">
        <v>16</v>
      </c>
      <c r="I86" s="72">
        <v>395.4</v>
      </c>
      <c r="J86" s="72">
        <v>6</v>
      </c>
      <c r="K86" s="72">
        <v>3</v>
      </c>
      <c r="L86" s="779" t="s">
        <v>672</v>
      </c>
      <c r="M86" s="73"/>
      <c r="N86" s="30"/>
      <c r="O86" s="30"/>
      <c r="P86" s="73"/>
      <c r="Q86" s="30"/>
      <c r="R86" s="30"/>
      <c r="S86" s="780" t="s">
        <v>65</v>
      </c>
      <c r="T86" s="780" t="s">
        <v>65</v>
      </c>
      <c r="U86" s="781" t="s">
        <v>1862</v>
      </c>
      <c r="V86" s="782">
        <v>16</v>
      </c>
      <c r="W86" s="782" t="str">
        <f t="shared" si="3"/>
        <v xml:space="preserve">Spezifische Führungsfunktion </v>
      </c>
    </row>
    <row r="87" spans="1:23" s="21" customFormat="1" ht="12.75" x14ac:dyDescent="0.2">
      <c r="A87" s="74" t="str">
        <f t="shared" si="2"/>
        <v>211.17</v>
      </c>
      <c r="B87" s="783" t="s">
        <v>137</v>
      </c>
      <c r="C87" s="72" t="s">
        <v>1333</v>
      </c>
      <c r="D87" s="72" t="s">
        <v>65</v>
      </c>
      <c r="E87" s="72"/>
      <c r="F87" s="72">
        <v>211</v>
      </c>
      <c r="G87" s="71" t="s">
        <v>24</v>
      </c>
      <c r="H87" s="72">
        <v>17</v>
      </c>
      <c r="I87" s="72">
        <v>379.9</v>
      </c>
      <c r="J87" s="72">
        <v>5</v>
      </c>
      <c r="K87" s="72">
        <v>5</v>
      </c>
      <c r="L87" s="779" t="s">
        <v>87</v>
      </c>
      <c r="M87" s="73"/>
      <c r="N87" s="30"/>
      <c r="O87" s="30"/>
      <c r="P87" s="73"/>
      <c r="Q87" s="30"/>
      <c r="R87" s="30"/>
      <c r="S87" s="780" t="s">
        <v>65</v>
      </c>
      <c r="T87" s="780" t="s">
        <v>65</v>
      </c>
      <c r="U87" s="781" t="s">
        <v>1863</v>
      </c>
      <c r="V87" s="782">
        <v>17</v>
      </c>
      <c r="W87" s="782" t="str">
        <f t="shared" si="3"/>
        <v xml:space="preserve">Spezifische Führungsfunktion </v>
      </c>
    </row>
    <row r="88" spans="1:23" s="21" customFormat="1" ht="12.75" x14ac:dyDescent="0.2">
      <c r="A88" s="74" t="str">
        <f t="shared" si="2"/>
        <v>211.18</v>
      </c>
      <c r="B88" s="783" t="s">
        <v>138</v>
      </c>
      <c r="C88" s="72" t="s">
        <v>1333</v>
      </c>
      <c r="D88" s="72" t="s">
        <v>65</v>
      </c>
      <c r="E88" s="72"/>
      <c r="F88" s="72">
        <v>211</v>
      </c>
      <c r="G88" s="71" t="s">
        <v>24</v>
      </c>
      <c r="H88" s="72">
        <v>18</v>
      </c>
      <c r="I88" s="72">
        <v>344.8</v>
      </c>
      <c r="J88" s="72">
        <v>5</v>
      </c>
      <c r="K88" s="72">
        <v>3</v>
      </c>
      <c r="L88" s="779" t="s">
        <v>87</v>
      </c>
      <c r="M88" s="73"/>
      <c r="N88" s="30"/>
      <c r="O88" s="30"/>
      <c r="P88" s="73"/>
      <c r="Q88" s="30"/>
      <c r="R88" s="30"/>
      <c r="S88" s="780" t="s">
        <v>65</v>
      </c>
      <c r="T88" s="780" t="s">
        <v>65</v>
      </c>
      <c r="U88" s="781" t="s">
        <v>1864</v>
      </c>
      <c r="V88" s="782">
        <v>18</v>
      </c>
      <c r="W88" s="782" t="str">
        <f t="shared" si="3"/>
        <v xml:space="preserve">Spezifische Führungsfunktion </v>
      </c>
    </row>
    <row r="89" spans="1:23" s="21" customFormat="1" ht="12.75" x14ac:dyDescent="0.2">
      <c r="A89" s="74" t="str">
        <f t="shared" si="2"/>
        <v>301.21</v>
      </c>
      <c r="B89" s="71" t="s">
        <v>288</v>
      </c>
      <c r="C89" s="72" t="s">
        <v>1334</v>
      </c>
      <c r="D89" s="72" t="s">
        <v>65</v>
      </c>
      <c r="E89" s="72"/>
      <c r="F89" s="72">
        <v>301</v>
      </c>
      <c r="G89" s="71" t="s">
        <v>15</v>
      </c>
      <c r="H89" s="72">
        <v>21</v>
      </c>
      <c r="I89" s="72">
        <v>266.8</v>
      </c>
      <c r="J89" s="72">
        <v>2</v>
      </c>
      <c r="K89" s="72">
        <v>6</v>
      </c>
      <c r="L89" s="779" t="s">
        <v>344</v>
      </c>
      <c r="M89" s="73"/>
      <c r="N89" s="30"/>
      <c r="O89" s="30"/>
      <c r="P89" s="73"/>
      <c r="Q89" s="30"/>
      <c r="R89" s="30"/>
      <c r="S89" s="780"/>
      <c r="T89" s="780"/>
      <c r="U89" s="781" t="s">
        <v>1865</v>
      </c>
      <c r="V89" s="782">
        <v>21</v>
      </c>
      <c r="W89" s="782" t="str">
        <f t="shared" si="3"/>
        <v>Pflege- und Betreuungsmitarbeit</v>
      </c>
    </row>
    <row r="90" spans="1:23" s="21" customFormat="1" ht="12.75" x14ac:dyDescent="0.2">
      <c r="A90" s="74" t="str">
        <f t="shared" si="2"/>
        <v>301.22</v>
      </c>
      <c r="B90" s="783" t="s">
        <v>139</v>
      </c>
      <c r="C90" s="72" t="s">
        <v>1334</v>
      </c>
      <c r="D90" s="72" t="s">
        <v>65</v>
      </c>
      <c r="E90" s="72"/>
      <c r="F90" s="72">
        <v>301</v>
      </c>
      <c r="G90" s="71" t="s">
        <v>15</v>
      </c>
      <c r="H90" s="72">
        <v>22</v>
      </c>
      <c r="I90" s="72">
        <v>249.3</v>
      </c>
      <c r="J90" s="72">
        <v>2</v>
      </c>
      <c r="K90" s="72">
        <v>4</v>
      </c>
      <c r="L90" s="779" t="s">
        <v>344</v>
      </c>
      <c r="M90" s="73"/>
      <c r="N90" s="30"/>
      <c r="O90" s="30"/>
      <c r="P90" s="73"/>
      <c r="Q90" s="30"/>
      <c r="R90" s="30"/>
      <c r="S90" s="780" t="s">
        <v>65</v>
      </c>
      <c r="T90" s="780" t="s">
        <v>65</v>
      </c>
      <c r="U90" s="781" t="s">
        <v>1866</v>
      </c>
      <c r="V90" s="782">
        <v>22</v>
      </c>
      <c r="W90" s="782" t="str">
        <f t="shared" si="3"/>
        <v>Pflege- und Betreuungsmitarbeit</v>
      </c>
    </row>
    <row r="91" spans="1:23" s="21" customFormat="1" ht="12.75" x14ac:dyDescent="0.2">
      <c r="A91" s="74" t="str">
        <f t="shared" si="2"/>
        <v>301.23</v>
      </c>
      <c r="B91" s="783" t="s">
        <v>140</v>
      </c>
      <c r="C91" s="72" t="s">
        <v>1334</v>
      </c>
      <c r="D91" s="72" t="s">
        <v>65</v>
      </c>
      <c r="E91" s="72"/>
      <c r="F91" s="72">
        <v>301</v>
      </c>
      <c r="G91" s="71" t="s">
        <v>15</v>
      </c>
      <c r="H91" s="72">
        <v>23</v>
      </c>
      <c r="I91" s="72">
        <v>223.3</v>
      </c>
      <c r="J91" s="72">
        <v>2</v>
      </c>
      <c r="K91" s="72">
        <v>2</v>
      </c>
      <c r="L91" s="779" t="s">
        <v>344</v>
      </c>
      <c r="M91" s="73"/>
      <c r="N91" s="30"/>
      <c r="O91" s="30"/>
      <c r="P91" s="73"/>
      <c r="Q91" s="30"/>
      <c r="R91" s="30"/>
      <c r="S91" s="780" t="s">
        <v>65</v>
      </c>
      <c r="T91" s="780" t="s">
        <v>65</v>
      </c>
      <c r="U91" s="781" t="s">
        <v>1867</v>
      </c>
      <c r="V91" s="782">
        <v>23</v>
      </c>
      <c r="W91" s="782" t="str">
        <f t="shared" si="3"/>
        <v>Pflege- und Betreuungsmitarbeit</v>
      </c>
    </row>
    <row r="92" spans="1:23" s="21" customFormat="1" ht="12.75" x14ac:dyDescent="0.2">
      <c r="A92" s="74" t="str">
        <f t="shared" si="2"/>
        <v>301.24</v>
      </c>
      <c r="B92" s="783" t="s">
        <v>141</v>
      </c>
      <c r="C92" s="72" t="s">
        <v>1334</v>
      </c>
      <c r="D92" s="72" t="s">
        <v>65</v>
      </c>
      <c r="E92" s="72"/>
      <c r="F92" s="72">
        <v>301</v>
      </c>
      <c r="G92" s="71" t="s">
        <v>15</v>
      </c>
      <c r="H92" s="72">
        <v>24</v>
      </c>
      <c r="I92" s="72">
        <v>208.3</v>
      </c>
      <c r="J92" s="72">
        <v>2</v>
      </c>
      <c r="K92" s="72">
        <v>0.5</v>
      </c>
      <c r="L92" s="779" t="s">
        <v>344</v>
      </c>
      <c r="M92" s="73"/>
      <c r="N92" s="30"/>
      <c r="O92" s="30"/>
      <c r="P92" s="73"/>
      <c r="Q92" s="30"/>
      <c r="R92" s="30"/>
      <c r="S92" s="780" t="s">
        <v>65</v>
      </c>
      <c r="T92" s="780" t="s">
        <v>65</v>
      </c>
      <c r="U92" s="781" t="s">
        <v>1868</v>
      </c>
      <c r="V92" s="782">
        <v>24</v>
      </c>
      <c r="W92" s="782" t="str">
        <f t="shared" si="3"/>
        <v>Pflege- und Betreuungsmitarbeit</v>
      </c>
    </row>
    <row r="93" spans="1:23" s="21" customFormat="1" ht="12.75" x14ac:dyDescent="0.2">
      <c r="A93" s="74" t="str">
        <f t="shared" si="2"/>
        <v>301.25</v>
      </c>
      <c r="B93" s="783" t="s">
        <v>142</v>
      </c>
      <c r="C93" s="72" t="s">
        <v>1334</v>
      </c>
      <c r="D93" s="72" t="s">
        <v>65</v>
      </c>
      <c r="E93" s="72"/>
      <c r="F93" s="72">
        <v>301</v>
      </c>
      <c r="G93" s="71" t="s">
        <v>15</v>
      </c>
      <c r="H93" s="72">
        <v>25</v>
      </c>
      <c r="I93" s="72">
        <v>185.8</v>
      </c>
      <c r="J93" s="72">
        <v>1.5</v>
      </c>
      <c r="K93" s="72">
        <v>0.5</v>
      </c>
      <c r="L93" s="779" t="s">
        <v>86</v>
      </c>
      <c r="M93" s="73"/>
      <c r="N93" s="30"/>
      <c r="O93" s="30"/>
      <c r="P93" s="73"/>
      <c r="Q93" s="30"/>
      <c r="R93" s="30"/>
      <c r="S93" s="780" t="s">
        <v>65</v>
      </c>
      <c r="T93" s="780" t="s">
        <v>65</v>
      </c>
      <c r="U93" s="781" t="s">
        <v>1869</v>
      </c>
      <c r="V93" s="782">
        <v>25</v>
      </c>
      <c r="W93" s="782" t="str">
        <f t="shared" si="3"/>
        <v>Pflege- und Betreuungsmitarbeit</v>
      </c>
    </row>
    <row r="94" spans="1:23" s="21" customFormat="1" ht="12.75" x14ac:dyDescent="0.2">
      <c r="A94" s="74" t="str">
        <f t="shared" si="2"/>
        <v>301.26</v>
      </c>
      <c r="B94" s="71" t="s">
        <v>289</v>
      </c>
      <c r="C94" s="72" t="s">
        <v>1334</v>
      </c>
      <c r="D94" s="72" t="s">
        <v>65</v>
      </c>
      <c r="E94" s="72"/>
      <c r="F94" s="72">
        <v>301</v>
      </c>
      <c r="G94" s="71" t="s">
        <v>15</v>
      </c>
      <c r="H94" s="72">
        <v>26</v>
      </c>
      <c r="I94" s="72"/>
      <c r="J94" s="72">
        <v>1.5</v>
      </c>
      <c r="K94" s="72">
        <v>0</v>
      </c>
      <c r="L94" s="779" t="s">
        <v>86</v>
      </c>
      <c r="M94" s="73"/>
      <c r="N94" s="30"/>
      <c r="O94" s="30"/>
      <c r="P94" s="73"/>
      <c r="Q94" s="30"/>
      <c r="R94" s="30"/>
      <c r="S94" s="780"/>
      <c r="T94" s="780"/>
      <c r="U94" s="781" t="s">
        <v>1870</v>
      </c>
      <c r="V94" s="782">
        <v>26</v>
      </c>
      <c r="W94" s="782" t="str">
        <f t="shared" si="3"/>
        <v>Pflege- und Betreuungsmitarbeit</v>
      </c>
    </row>
    <row r="95" spans="1:23" s="21" customFormat="1" ht="12.75" x14ac:dyDescent="0.2">
      <c r="A95" s="74" t="str">
        <f t="shared" si="2"/>
        <v>302.19</v>
      </c>
      <c r="B95" s="783" t="s">
        <v>143</v>
      </c>
      <c r="C95" s="72" t="s">
        <v>1335</v>
      </c>
      <c r="D95" s="72" t="s">
        <v>65</v>
      </c>
      <c r="E95" s="72"/>
      <c r="F95" s="72">
        <v>302</v>
      </c>
      <c r="G95" s="71" t="s">
        <v>581</v>
      </c>
      <c r="H95" s="72">
        <v>19</v>
      </c>
      <c r="I95" s="72">
        <v>328.7</v>
      </c>
      <c r="J95" s="72">
        <v>5</v>
      </c>
      <c r="K95" s="72">
        <v>1</v>
      </c>
      <c r="L95" s="779" t="s">
        <v>87</v>
      </c>
      <c r="M95" s="73"/>
      <c r="N95" s="30">
        <v>4</v>
      </c>
      <c r="O95" s="30">
        <v>2</v>
      </c>
      <c r="P95" s="73"/>
      <c r="Q95" s="30"/>
      <c r="R95" s="30"/>
      <c r="S95" s="780" t="s">
        <v>89</v>
      </c>
      <c r="T95" s="780" t="s">
        <v>65</v>
      </c>
      <c r="U95" s="781" t="s">
        <v>1871</v>
      </c>
      <c r="V95" s="782">
        <v>19</v>
      </c>
      <c r="W95" s="782" t="str">
        <f t="shared" si="3"/>
        <v>Krankenpflege FAGE / FA SRK</v>
      </c>
    </row>
    <row r="96" spans="1:23" s="21" customFormat="1" ht="12.75" x14ac:dyDescent="0.2">
      <c r="A96" s="74" t="str">
        <f t="shared" si="2"/>
        <v>302.20</v>
      </c>
      <c r="B96" s="783" t="s">
        <v>144</v>
      </c>
      <c r="C96" s="72" t="s">
        <v>1335</v>
      </c>
      <c r="D96" s="72" t="s">
        <v>65</v>
      </c>
      <c r="E96" s="72"/>
      <c r="F96" s="72">
        <v>302</v>
      </c>
      <c r="G96" s="71" t="s">
        <v>582</v>
      </c>
      <c r="H96" s="72">
        <v>20</v>
      </c>
      <c r="I96" s="72">
        <v>307.89999999999998</v>
      </c>
      <c r="J96" s="72">
        <v>5</v>
      </c>
      <c r="K96" s="72">
        <v>1</v>
      </c>
      <c r="L96" s="779" t="s">
        <v>87</v>
      </c>
      <c r="M96" s="73"/>
      <c r="N96" s="30">
        <v>4</v>
      </c>
      <c r="O96" s="30">
        <v>1</v>
      </c>
      <c r="P96" s="73"/>
      <c r="Q96" s="30">
        <v>3.5</v>
      </c>
      <c r="R96" s="30">
        <v>2</v>
      </c>
      <c r="S96" s="780" t="s">
        <v>89</v>
      </c>
      <c r="T96" s="780" t="s">
        <v>345</v>
      </c>
      <c r="U96" s="781" t="s">
        <v>1872</v>
      </c>
      <c r="V96" s="782">
        <v>20</v>
      </c>
      <c r="W96" s="782" t="str">
        <f t="shared" si="3"/>
        <v xml:space="preserve">Krankenpflege FAGE / FA SRK </v>
      </c>
    </row>
    <row r="97" spans="1:23" s="21" customFormat="1" ht="12.75" x14ac:dyDescent="0.2">
      <c r="A97" s="74" t="str">
        <f t="shared" si="2"/>
        <v>303.13</v>
      </c>
      <c r="B97" s="783" t="s">
        <v>145</v>
      </c>
      <c r="C97" s="72" t="s">
        <v>1336</v>
      </c>
      <c r="D97" s="72" t="s">
        <v>65</v>
      </c>
      <c r="E97" s="72"/>
      <c r="F97" s="72">
        <v>303</v>
      </c>
      <c r="G97" s="71" t="s">
        <v>17</v>
      </c>
      <c r="H97" s="72">
        <v>13</v>
      </c>
      <c r="I97" s="72">
        <v>483.2</v>
      </c>
      <c r="J97" s="72">
        <v>8</v>
      </c>
      <c r="K97" s="72">
        <v>5</v>
      </c>
      <c r="L97" s="779" t="s">
        <v>352</v>
      </c>
      <c r="M97" s="73"/>
      <c r="N97" s="30"/>
      <c r="O97" s="30"/>
      <c r="P97" s="73"/>
      <c r="Q97" s="30"/>
      <c r="R97" s="30"/>
      <c r="S97" s="780" t="s">
        <v>65</v>
      </c>
      <c r="T97" s="780" t="s">
        <v>65</v>
      </c>
      <c r="U97" s="781" t="s">
        <v>1873</v>
      </c>
      <c r="V97" s="782">
        <v>13</v>
      </c>
      <c r="W97" s="782" t="str">
        <f t="shared" si="3"/>
        <v>Diplomierte Krankenpflege</v>
      </c>
    </row>
    <row r="98" spans="1:23" s="21" customFormat="1" ht="12.75" x14ac:dyDescent="0.2">
      <c r="A98" s="74" t="str">
        <f t="shared" si="2"/>
        <v>303.14</v>
      </c>
      <c r="B98" s="783" t="s">
        <v>146</v>
      </c>
      <c r="C98" s="72" t="s">
        <v>1336</v>
      </c>
      <c r="D98" s="72" t="s">
        <v>65</v>
      </c>
      <c r="E98" s="72"/>
      <c r="F98" s="72">
        <v>303</v>
      </c>
      <c r="G98" s="71" t="s">
        <v>17</v>
      </c>
      <c r="H98" s="72">
        <v>14</v>
      </c>
      <c r="I98" s="72">
        <v>442.4</v>
      </c>
      <c r="J98" s="72">
        <v>7</v>
      </c>
      <c r="K98" s="72">
        <v>4</v>
      </c>
      <c r="L98" s="779" t="s">
        <v>673</v>
      </c>
      <c r="M98" s="73"/>
      <c r="N98" s="30"/>
      <c r="O98" s="30"/>
      <c r="P98" s="73"/>
      <c r="Q98" s="30"/>
      <c r="R98" s="30"/>
      <c r="S98" s="780" t="s">
        <v>65</v>
      </c>
      <c r="T98" s="780" t="s">
        <v>65</v>
      </c>
      <c r="U98" s="781" t="s">
        <v>1874</v>
      </c>
      <c r="V98" s="782">
        <v>14</v>
      </c>
      <c r="W98" s="782" t="str">
        <f t="shared" si="3"/>
        <v>Diplomierte Krankenpflege</v>
      </c>
    </row>
    <row r="99" spans="1:23" s="21" customFormat="1" ht="12.75" x14ac:dyDescent="0.2">
      <c r="A99" s="74" t="str">
        <f t="shared" si="2"/>
        <v>303.15a</v>
      </c>
      <c r="B99" s="783" t="s">
        <v>219</v>
      </c>
      <c r="C99" s="72" t="s">
        <v>1336</v>
      </c>
      <c r="D99" s="72" t="s">
        <v>66</v>
      </c>
      <c r="E99" s="72"/>
      <c r="F99" s="72" t="s">
        <v>22</v>
      </c>
      <c r="G99" s="71" t="s">
        <v>17</v>
      </c>
      <c r="H99" s="72">
        <v>15</v>
      </c>
      <c r="I99" s="72">
        <v>424.5</v>
      </c>
      <c r="J99" s="72">
        <v>6.5</v>
      </c>
      <c r="K99" s="72">
        <v>4</v>
      </c>
      <c r="L99" s="779" t="s">
        <v>346</v>
      </c>
      <c r="M99" s="73"/>
      <c r="N99" s="30"/>
      <c r="O99" s="30"/>
      <c r="P99" s="73"/>
      <c r="Q99" s="30"/>
      <c r="R99" s="30"/>
      <c r="S99" s="780" t="s">
        <v>65</v>
      </c>
      <c r="T99" s="780" t="s">
        <v>65</v>
      </c>
      <c r="U99" s="781" t="s">
        <v>1337</v>
      </c>
      <c r="V99" s="782">
        <v>15</v>
      </c>
      <c r="W99" s="782" t="str">
        <f t="shared" si="3"/>
        <v>Diplomierte Krankenpflege</v>
      </c>
    </row>
    <row r="100" spans="1:23" s="21" customFormat="1" ht="12.75" x14ac:dyDescent="0.2">
      <c r="A100" s="74" t="str">
        <f t="shared" si="2"/>
        <v>303.15b</v>
      </c>
      <c r="B100" s="783" t="s">
        <v>220</v>
      </c>
      <c r="C100" s="72" t="s">
        <v>1336</v>
      </c>
      <c r="D100" s="72" t="s">
        <v>67</v>
      </c>
      <c r="E100" s="72"/>
      <c r="F100" s="72" t="s">
        <v>18</v>
      </c>
      <c r="G100" s="71" t="s">
        <v>17</v>
      </c>
      <c r="H100" s="72">
        <v>15</v>
      </c>
      <c r="I100" s="72">
        <v>418.4</v>
      </c>
      <c r="J100" s="72">
        <v>7</v>
      </c>
      <c r="K100" s="72">
        <v>3</v>
      </c>
      <c r="L100" s="779" t="s">
        <v>673</v>
      </c>
      <c r="M100" s="73"/>
      <c r="N100" s="30"/>
      <c r="O100" s="30"/>
      <c r="P100" s="73"/>
      <c r="Q100" s="30"/>
      <c r="R100" s="30"/>
      <c r="S100" s="780" t="s">
        <v>65</v>
      </c>
      <c r="T100" s="780" t="s">
        <v>65</v>
      </c>
      <c r="U100" s="781" t="s">
        <v>1338</v>
      </c>
      <c r="V100" s="782">
        <v>15</v>
      </c>
      <c r="W100" s="782" t="str">
        <f t="shared" si="3"/>
        <v>Diplomierte Krankenpflege</v>
      </c>
    </row>
    <row r="101" spans="1:23" s="21" customFormat="1" ht="12.75" x14ac:dyDescent="0.2">
      <c r="A101" s="74" t="str">
        <f t="shared" si="2"/>
        <v>303.16a</v>
      </c>
      <c r="B101" s="783" t="s">
        <v>221</v>
      </c>
      <c r="C101" s="72" t="s">
        <v>1336</v>
      </c>
      <c r="D101" s="72" t="s">
        <v>66</v>
      </c>
      <c r="E101" s="72"/>
      <c r="F101" s="72" t="s">
        <v>22</v>
      </c>
      <c r="G101" s="71" t="s">
        <v>17</v>
      </c>
      <c r="H101" s="72">
        <v>16</v>
      </c>
      <c r="I101" s="72">
        <v>391.7</v>
      </c>
      <c r="J101" s="72">
        <v>6.5</v>
      </c>
      <c r="K101" s="72">
        <v>2</v>
      </c>
      <c r="L101" s="779" t="s">
        <v>346</v>
      </c>
      <c r="M101" s="73"/>
      <c r="N101" s="30"/>
      <c r="O101" s="30"/>
      <c r="P101" s="73"/>
      <c r="Q101" s="30"/>
      <c r="R101" s="30"/>
      <c r="S101" s="780" t="s">
        <v>65</v>
      </c>
      <c r="T101" s="780" t="s">
        <v>65</v>
      </c>
      <c r="U101" s="781" t="s">
        <v>1339</v>
      </c>
      <c r="V101" s="782">
        <v>16</v>
      </c>
      <c r="W101" s="782" t="str">
        <f t="shared" si="3"/>
        <v>Diplomierte Krankenpflege</v>
      </c>
    </row>
    <row r="102" spans="1:23" s="21" customFormat="1" ht="12.75" x14ac:dyDescent="0.2">
      <c r="A102" s="74" t="str">
        <f t="shared" si="2"/>
        <v>303.16b</v>
      </c>
      <c r="B102" s="783" t="s">
        <v>222</v>
      </c>
      <c r="C102" s="72" t="s">
        <v>1336</v>
      </c>
      <c r="D102" s="72" t="s">
        <v>67</v>
      </c>
      <c r="E102" s="72"/>
      <c r="F102" s="72" t="s">
        <v>18</v>
      </c>
      <c r="G102" s="71" t="s">
        <v>19</v>
      </c>
      <c r="H102" s="72">
        <v>16</v>
      </c>
      <c r="I102" s="72">
        <v>389.7</v>
      </c>
      <c r="J102" s="72">
        <v>6.5</v>
      </c>
      <c r="K102" s="72">
        <v>3</v>
      </c>
      <c r="L102" s="779" t="s">
        <v>346</v>
      </c>
      <c r="M102" s="73"/>
      <c r="N102" s="30"/>
      <c r="O102" s="30"/>
      <c r="P102" s="73"/>
      <c r="Q102" s="30"/>
      <c r="R102" s="30"/>
      <c r="S102" s="780" t="s">
        <v>65</v>
      </c>
      <c r="T102" s="780" t="s">
        <v>65</v>
      </c>
      <c r="U102" s="781" t="s">
        <v>1340</v>
      </c>
      <c r="V102" s="782">
        <v>16</v>
      </c>
      <c r="W102" s="782" t="str">
        <f t="shared" si="3"/>
        <v xml:space="preserve">Operationsfachmann/-frau </v>
      </c>
    </row>
    <row r="103" spans="1:23" s="21" customFormat="1" ht="12.75" x14ac:dyDescent="0.2">
      <c r="A103" s="74" t="str">
        <f t="shared" si="2"/>
        <v>303.16c</v>
      </c>
      <c r="B103" s="783" t="s">
        <v>223</v>
      </c>
      <c r="C103" s="72" t="s">
        <v>1336</v>
      </c>
      <c r="D103" s="72" t="s">
        <v>76</v>
      </c>
      <c r="E103" s="72"/>
      <c r="F103" s="72" t="s">
        <v>20</v>
      </c>
      <c r="G103" s="71" t="s">
        <v>21</v>
      </c>
      <c r="H103" s="72">
        <v>16</v>
      </c>
      <c r="I103" s="72">
        <v>389.7</v>
      </c>
      <c r="J103" s="72">
        <v>6.5</v>
      </c>
      <c r="K103" s="72">
        <v>3</v>
      </c>
      <c r="L103" s="779" t="s">
        <v>346</v>
      </c>
      <c r="M103" s="73"/>
      <c r="N103" s="30"/>
      <c r="O103" s="30"/>
      <c r="P103" s="73"/>
      <c r="Q103" s="30"/>
      <c r="R103" s="30"/>
      <c r="S103" s="780" t="s">
        <v>65</v>
      </c>
      <c r="T103" s="780" t="s">
        <v>65</v>
      </c>
      <c r="U103" s="781" t="s">
        <v>1341</v>
      </c>
      <c r="V103" s="782">
        <v>16</v>
      </c>
      <c r="W103" s="782" t="str">
        <f t="shared" si="3"/>
        <v>Rettungssanitäter/in</v>
      </c>
    </row>
    <row r="104" spans="1:23" s="21" customFormat="1" ht="12.75" x14ac:dyDescent="0.2">
      <c r="A104" s="74" t="str">
        <f t="shared" si="2"/>
        <v>303.17a</v>
      </c>
      <c r="B104" s="783" t="s">
        <v>224</v>
      </c>
      <c r="C104" s="72" t="s">
        <v>1336</v>
      </c>
      <c r="D104" s="72" t="s">
        <v>66</v>
      </c>
      <c r="E104" s="72"/>
      <c r="F104" s="72" t="s">
        <v>22</v>
      </c>
      <c r="G104" s="71" t="s">
        <v>16</v>
      </c>
      <c r="H104" s="72">
        <v>17</v>
      </c>
      <c r="I104" s="72">
        <v>376.8</v>
      </c>
      <c r="J104" s="72">
        <v>5.5</v>
      </c>
      <c r="K104" s="72">
        <v>2</v>
      </c>
      <c r="L104" s="779" t="s">
        <v>671</v>
      </c>
      <c r="M104" s="73"/>
      <c r="N104" s="30"/>
      <c r="O104" s="30"/>
      <c r="P104" s="73"/>
      <c r="Q104" s="30"/>
      <c r="R104" s="30"/>
      <c r="S104" s="780" t="s">
        <v>65</v>
      </c>
      <c r="T104" s="780" t="s">
        <v>65</v>
      </c>
      <c r="U104" s="781" t="s">
        <v>1342</v>
      </c>
      <c r="V104" s="782">
        <v>17</v>
      </c>
      <c r="W104" s="782" t="str">
        <f t="shared" si="3"/>
        <v>Diplomierte Krankenpflege DN I</v>
      </c>
    </row>
    <row r="105" spans="1:23" s="21" customFormat="1" ht="12.75" x14ac:dyDescent="0.2">
      <c r="A105" s="74" t="str">
        <f t="shared" si="2"/>
        <v>303.18</v>
      </c>
      <c r="B105" s="783" t="s">
        <v>147</v>
      </c>
      <c r="C105" s="72" t="s">
        <v>1336</v>
      </c>
      <c r="D105" s="72" t="s">
        <v>65</v>
      </c>
      <c r="E105" s="72"/>
      <c r="F105" s="72">
        <v>303</v>
      </c>
      <c r="G105" s="71" t="s">
        <v>16</v>
      </c>
      <c r="H105" s="72">
        <v>18</v>
      </c>
      <c r="I105" s="72">
        <v>338.4</v>
      </c>
      <c r="J105" s="72">
        <v>5</v>
      </c>
      <c r="K105" s="72">
        <v>1</v>
      </c>
      <c r="L105" s="779" t="s">
        <v>87</v>
      </c>
      <c r="M105" s="73"/>
      <c r="N105" s="30"/>
      <c r="O105" s="30"/>
      <c r="P105" s="73"/>
      <c r="Q105" s="30"/>
      <c r="R105" s="30"/>
      <c r="S105" s="780" t="s">
        <v>65</v>
      </c>
      <c r="T105" s="780" t="s">
        <v>65</v>
      </c>
      <c r="U105" s="781" t="s">
        <v>1875</v>
      </c>
      <c r="V105" s="782">
        <v>18</v>
      </c>
      <c r="W105" s="782" t="str">
        <f t="shared" si="3"/>
        <v>Diplomierte Krankenpflege DN I</v>
      </c>
    </row>
    <row r="106" spans="1:23" s="21" customFormat="1" ht="12.75" x14ac:dyDescent="0.2">
      <c r="A106" s="777" t="str">
        <f t="shared" si="2"/>
        <v>304.12</v>
      </c>
      <c r="B106" s="798" t="s">
        <v>270</v>
      </c>
      <c r="C106" s="799" t="s">
        <v>1343</v>
      </c>
      <c r="D106" s="799" t="s">
        <v>65</v>
      </c>
      <c r="E106" s="799"/>
      <c r="F106" s="799">
        <v>304</v>
      </c>
      <c r="G106" s="798" t="s">
        <v>23</v>
      </c>
      <c r="H106" s="799">
        <v>12</v>
      </c>
      <c r="I106" s="799">
        <v>496.3</v>
      </c>
      <c r="J106" s="799">
        <v>7</v>
      </c>
      <c r="K106" s="799">
        <v>6</v>
      </c>
      <c r="L106" s="800" t="s">
        <v>673</v>
      </c>
      <c r="M106" s="801"/>
      <c r="N106" s="802">
        <v>8</v>
      </c>
      <c r="O106" s="802">
        <v>4</v>
      </c>
      <c r="P106" s="801"/>
      <c r="Q106" s="802"/>
      <c r="R106" s="802"/>
      <c r="S106" s="803" t="s">
        <v>352</v>
      </c>
      <c r="T106" s="803" t="s">
        <v>65</v>
      </c>
      <c r="U106" s="781" t="s">
        <v>1876</v>
      </c>
      <c r="V106" s="782">
        <v>12</v>
      </c>
      <c r="W106" s="782" t="str">
        <f t="shared" si="3"/>
        <v>Spezifische Führungsfunktion</v>
      </c>
    </row>
    <row r="107" spans="1:23" s="21" customFormat="1" ht="12.75" x14ac:dyDescent="0.2">
      <c r="A107" s="74" t="str">
        <f t="shared" si="2"/>
        <v>304.13</v>
      </c>
      <c r="B107" s="783" t="s">
        <v>148</v>
      </c>
      <c r="C107" s="72" t="s">
        <v>1343</v>
      </c>
      <c r="D107" s="72" t="s">
        <v>65</v>
      </c>
      <c r="E107" s="72"/>
      <c r="F107" s="72">
        <v>304</v>
      </c>
      <c r="G107" s="71" t="s">
        <v>23</v>
      </c>
      <c r="H107" s="72">
        <v>13</v>
      </c>
      <c r="I107" s="72">
        <v>481.2</v>
      </c>
      <c r="J107" s="72">
        <v>7</v>
      </c>
      <c r="K107" s="72">
        <v>4</v>
      </c>
      <c r="L107" s="779" t="s">
        <v>673</v>
      </c>
      <c r="M107" s="73"/>
      <c r="N107" s="30">
        <v>8</v>
      </c>
      <c r="O107" s="30">
        <v>2</v>
      </c>
      <c r="P107" s="73"/>
      <c r="Q107" s="30"/>
      <c r="R107" s="30"/>
      <c r="S107" s="780" t="s">
        <v>352</v>
      </c>
      <c r="T107" s="780" t="s">
        <v>65</v>
      </c>
      <c r="U107" s="781" t="s">
        <v>1877</v>
      </c>
      <c r="V107" s="782">
        <v>13</v>
      </c>
      <c r="W107" s="782" t="str">
        <f t="shared" si="3"/>
        <v>Spezifische Führungsfunktion</v>
      </c>
    </row>
    <row r="108" spans="1:23" s="21" customFormat="1" ht="12.75" x14ac:dyDescent="0.2">
      <c r="A108" s="74" t="str">
        <f t="shared" si="2"/>
        <v>304.14</v>
      </c>
      <c r="B108" s="783" t="s">
        <v>149</v>
      </c>
      <c r="C108" s="72" t="s">
        <v>1343</v>
      </c>
      <c r="D108" s="72" t="s">
        <v>65</v>
      </c>
      <c r="E108" s="72"/>
      <c r="F108" s="72">
        <v>304</v>
      </c>
      <c r="G108" s="71" t="s">
        <v>24</v>
      </c>
      <c r="H108" s="72">
        <v>14</v>
      </c>
      <c r="I108" s="72">
        <v>451.6</v>
      </c>
      <c r="J108" s="72">
        <v>7</v>
      </c>
      <c r="K108" s="72">
        <v>3</v>
      </c>
      <c r="L108" s="779" t="s">
        <v>673</v>
      </c>
      <c r="M108" s="73"/>
      <c r="N108" s="30">
        <v>8</v>
      </c>
      <c r="O108" s="30">
        <v>1</v>
      </c>
      <c r="P108" s="73"/>
      <c r="Q108" s="30"/>
      <c r="R108" s="30"/>
      <c r="S108" s="780" t="s">
        <v>352</v>
      </c>
      <c r="T108" s="780" t="s">
        <v>65</v>
      </c>
      <c r="U108" s="781" t="s">
        <v>1878</v>
      </c>
      <c r="V108" s="782">
        <v>14</v>
      </c>
      <c r="W108" s="782" t="str">
        <f t="shared" si="3"/>
        <v xml:space="preserve">Spezifische Führungsfunktion </v>
      </c>
    </row>
    <row r="109" spans="1:23" s="21" customFormat="1" ht="12.75" x14ac:dyDescent="0.2">
      <c r="A109" s="74" t="str">
        <f t="shared" si="2"/>
        <v>304.15</v>
      </c>
      <c r="B109" s="71" t="s">
        <v>150</v>
      </c>
      <c r="C109" s="72" t="s">
        <v>1343</v>
      </c>
      <c r="D109" s="72" t="s">
        <v>65</v>
      </c>
      <c r="E109" s="72"/>
      <c r="F109" s="72">
        <v>304</v>
      </c>
      <c r="G109" s="71" t="s">
        <v>23</v>
      </c>
      <c r="H109" s="72">
        <v>15</v>
      </c>
      <c r="I109" s="72">
        <v>430.5</v>
      </c>
      <c r="J109" s="72">
        <v>7</v>
      </c>
      <c r="K109" s="72">
        <v>1</v>
      </c>
      <c r="L109" s="779" t="s">
        <v>673</v>
      </c>
      <c r="M109" s="73"/>
      <c r="N109" s="30"/>
      <c r="O109" s="30"/>
      <c r="P109" s="73"/>
      <c r="Q109" s="30"/>
      <c r="R109" s="30"/>
      <c r="S109" s="780" t="s">
        <v>65</v>
      </c>
      <c r="T109" s="780" t="s">
        <v>65</v>
      </c>
      <c r="U109" s="781" t="s">
        <v>1879</v>
      </c>
      <c r="V109" s="782">
        <v>15</v>
      </c>
      <c r="W109" s="782" t="str">
        <f t="shared" si="3"/>
        <v>Spezifische Führungsfunktion</v>
      </c>
    </row>
    <row r="110" spans="1:23" s="21" customFormat="1" ht="12.75" x14ac:dyDescent="0.2">
      <c r="A110" s="74" t="str">
        <f t="shared" si="2"/>
        <v>305.11</v>
      </c>
      <c r="B110" s="783" t="s">
        <v>151</v>
      </c>
      <c r="C110" s="72" t="s">
        <v>1344</v>
      </c>
      <c r="D110" s="72" t="s">
        <v>65</v>
      </c>
      <c r="E110" s="72"/>
      <c r="F110" s="72">
        <v>305</v>
      </c>
      <c r="G110" s="71" t="s">
        <v>24</v>
      </c>
      <c r="H110" s="72">
        <v>11</v>
      </c>
      <c r="I110" s="72">
        <v>514.9</v>
      </c>
      <c r="J110" s="72">
        <v>7</v>
      </c>
      <c r="K110" s="72">
        <v>8</v>
      </c>
      <c r="L110" s="779" t="s">
        <v>673</v>
      </c>
      <c r="M110" s="73"/>
      <c r="N110" s="30">
        <v>8</v>
      </c>
      <c r="O110" s="30">
        <v>6</v>
      </c>
      <c r="P110" s="73"/>
      <c r="Q110" s="30"/>
      <c r="R110" s="30"/>
      <c r="S110" s="780" t="s">
        <v>352</v>
      </c>
      <c r="T110" s="780" t="s">
        <v>65</v>
      </c>
      <c r="U110" s="781" t="s">
        <v>1880</v>
      </c>
      <c r="V110" s="782">
        <v>11</v>
      </c>
      <c r="W110" s="782" t="str">
        <f t="shared" si="3"/>
        <v xml:space="preserve">Spezifische Führungsfunktion </v>
      </c>
    </row>
    <row r="111" spans="1:23" s="21" customFormat="1" ht="12.75" x14ac:dyDescent="0.2">
      <c r="A111" s="74" t="str">
        <f t="shared" si="2"/>
        <v>305.12</v>
      </c>
      <c r="B111" s="783" t="s">
        <v>152</v>
      </c>
      <c r="C111" s="72" t="s">
        <v>1344</v>
      </c>
      <c r="D111" s="72" t="s">
        <v>65</v>
      </c>
      <c r="E111" s="72"/>
      <c r="F111" s="72">
        <v>305</v>
      </c>
      <c r="G111" s="71" t="s">
        <v>24</v>
      </c>
      <c r="H111" s="72">
        <v>12</v>
      </c>
      <c r="I111" s="72">
        <v>498.9</v>
      </c>
      <c r="J111" s="72">
        <v>7</v>
      </c>
      <c r="K111" s="72">
        <v>6</v>
      </c>
      <c r="L111" s="779" t="s">
        <v>673</v>
      </c>
      <c r="M111" s="73"/>
      <c r="N111" s="30">
        <v>8</v>
      </c>
      <c r="O111" s="789">
        <v>4</v>
      </c>
      <c r="P111" s="73"/>
      <c r="Q111" s="30"/>
      <c r="R111" s="30"/>
      <c r="S111" s="780" t="s">
        <v>352</v>
      </c>
      <c r="T111" s="780" t="s">
        <v>65</v>
      </c>
      <c r="U111" s="781" t="s">
        <v>1881</v>
      </c>
      <c r="V111" s="782">
        <v>12</v>
      </c>
      <c r="W111" s="782" t="str">
        <f t="shared" si="3"/>
        <v xml:space="preserve">Spezifische Führungsfunktion </v>
      </c>
    </row>
    <row r="112" spans="1:23" s="21" customFormat="1" ht="12.75" x14ac:dyDescent="0.2">
      <c r="A112" s="74" t="str">
        <f t="shared" si="2"/>
        <v>305.13</v>
      </c>
      <c r="B112" s="71" t="s">
        <v>290</v>
      </c>
      <c r="C112" s="72" t="s">
        <v>1344</v>
      </c>
      <c r="D112" s="72" t="s">
        <v>65</v>
      </c>
      <c r="E112" s="72"/>
      <c r="F112" s="72">
        <v>305</v>
      </c>
      <c r="G112" s="71" t="s">
        <v>24</v>
      </c>
      <c r="H112" s="72">
        <v>13</v>
      </c>
      <c r="I112" s="72">
        <v>478.8</v>
      </c>
      <c r="J112" s="72">
        <v>7</v>
      </c>
      <c r="K112" s="72">
        <v>4</v>
      </c>
      <c r="L112" s="779" t="s">
        <v>673</v>
      </c>
      <c r="M112" s="73"/>
      <c r="N112" s="30"/>
      <c r="O112" s="30"/>
      <c r="P112" s="73"/>
      <c r="Q112" s="30"/>
      <c r="R112" s="30"/>
      <c r="S112" s="780"/>
      <c r="T112" s="780"/>
      <c r="U112" s="781" t="s">
        <v>1882</v>
      </c>
      <c r="V112" s="782">
        <v>13</v>
      </c>
      <c r="W112" s="782" t="str">
        <f t="shared" si="3"/>
        <v xml:space="preserve">Spezifische Führungsfunktion </v>
      </c>
    </row>
    <row r="113" spans="1:23" s="21" customFormat="1" ht="12.75" x14ac:dyDescent="0.2">
      <c r="A113" s="74" t="str">
        <f t="shared" si="2"/>
        <v>311.22</v>
      </c>
      <c r="B113" s="71" t="s">
        <v>291</v>
      </c>
      <c r="C113" s="72" t="s">
        <v>1345</v>
      </c>
      <c r="D113" s="72" t="s">
        <v>65</v>
      </c>
      <c r="E113" s="72"/>
      <c r="F113" s="72">
        <v>311</v>
      </c>
      <c r="G113" s="71" t="s">
        <v>25</v>
      </c>
      <c r="H113" s="72">
        <v>22</v>
      </c>
      <c r="I113" s="72">
        <v>240.8</v>
      </c>
      <c r="J113" s="72">
        <v>1</v>
      </c>
      <c r="K113" s="72">
        <v>7</v>
      </c>
      <c r="L113" s="779" t="s">
        <v>85</v>
      </c>
      <c r="M113" s="73"/>
      <c r="N113" s="30"/>
      <c r="O113" s="30"/>
      <c r="P113" s="73"/>
      <c r="Q113" s="30"/>
      <c r="R113" s="30"/>
      <c r="S113" s="780"/>
      <c r="T113" s="780"/>
      <c r="U113" s="781" t="s">
        <v>1883</v>
      </c>
      <c r="V113" s="782">
        <v>22</v>
      </c>
      <c r="W113" s="782" t="str">
        <f t="shared" si="3"/>
        <v>Medizinisch-Technische Mithilfe</v>
      </c>
    </row>
    <row r="114" spans="1:23" s="21" customFormat="1" ht="12.75" x14ac:dyDescent="0.2">
      <c r="A114" s="74" t="str">
        <f t="shared" si="2"/>
        <v>311.23</v>
      </c>
      <c r="B114" s="783" t="s">
        <v>153</v>
      </c>
      <c r="C114" s="72" t="s">
        <v>1345</v>
      </c>
      <c r="D114" s="72" t="s">
        <v>65</v>
      </c>
      <c r="E114" s="72"/>
      <c r="F114" s="72">
        <v>311</v>
      </c>
      <c r="G114" s="71" t="s">
        <v>25</v>
      </c>
      <c r="H114" s="72">
        <v>23</v>
      </c>
      <c r="I114" s="72">
        <v>215.1</v>
      </c>
      <c r="J114" s="72">
        <v>1</v>
      </c>
      <c r="K114" s="72">
        <v>4</v>
      </c>
      <c r="L114" s="779" t="s">
        <v>85</v>
      </c>
      <c r="M114" s="73"/>
      <c r="N114" s="30"/>
      <c r="O114" s="30"/>
      <c r="P114" s="73"/>
      <c r="Q114" s="30"/>
      <c r="R114" s="30"/>
      <c r="S114" s="780" t="s">
        <v>65</v>
      </c>
      <c r="T114" s="780" t="s">
        <v>65</v>
      </c>
      <c r="U114" s="781" t="s">
        <v>1884</v>
      </c>
      <c r="V114" s="782">
        <v>23</v>
      </c>
      <c r="W114" s="782" t="str">
        <f t="shared" si="3"/>
        <v>Medizinisch-Technische Mithilfe</v>
      </c>
    </row>
    <row r="115" spans="1:23" s="21" customFormat="1" ht="12.75" x14ac:dyDescent="0.2">
      <c r="A115" s="74" t="str">
        <f t="shared" si="2"/>
        <v>311.24</v>
      </c>
      <c r="B115" s="71" t="s">
        <v>154</v>
      </c>
      <c r="C115" s="72" t="s">
        <v>1345</v>
      </c>
      <c r="D115" s="72" t="s">
        <v>65</v>
      </c>
      <c r="E115" s="72"/>
      <c r="F115" s="72">
        <v>311</v>
      </c>
      <c r="G115" s="71" t="s">
        <v>25</v>
      </c>
      <c r="H115" s="72">
        <v>24</v>
      </c>
      <c r="I115" s="72"/>
      <c r="J115" s="72">
        <v>1</v>
      </c>
      <c r="K115" s="72">
        <v>3</v>
      </c>
      <c r="L115" s="779" t="s">
        <v>85</v>
      </c>
      <c r="M115" s="73"/>
      <c r="N115" s="30"/>
      <c r="O115" s="30"/>
      <c r="P115" s="73"/>
      <c r="Q115" s="30"/>
      <c r="R115" s="30"/>
      <c r="S115" s="780" t="s">
        <v>65</v>
      </c>
      <c r="T115" s="780" t="s">
        <v>65</v>
      </c>
      <c r="U115" s="781" t="s">
        <v>1885</v>
      </c>
      <c r="V115" s="782">
        <v>24</v>
      </c>
      <c r="W115" s="782" t="str">
        <f t="shared" si="3"/>
        <v>Medizinisch-Technische Mithilfe</v>
      </c>
    </row>
    <row r="116" spans="1:23" s="21" customFormat="1" ht="12.75" x14ac:dyDescent="0.2">
      <c r="A116" s="74" t="str">
        <f t="shared" si="2"/>
        <v>311.25</v>
      </c>
      <c r="B116" s="783" t="s">
        <v>155</v>
      </c>
      <c r="C116" s="72" t="s">
        <v>1345</v>
      </c>
      <c r="D116" s="72" t="s">
        <v>65</v>
      </c>
      <c r="E116" s="72"/>
      <c r="F116" s="72">
        <v>311</v>
      </c>
      <c r="G116" s="71" t="s">
        <v>25</v>
      </c>
      <c r="H116" s="72">
        <v>25</v>
      </c>
      <c r="I116" s="72">
        <v>170.1</v>
      </c>
      <c r="J116" s="72">
        <v>1</v>
      </c>
      <c r="K116" s="72">
        <v>2</v>
      </c>
      <c r="L116" s="779" t="s">
        <v>85</v>
      </c>
      <c r="M116" s="73"/>
      <c r="N116" s="30"/>
      <c r="O116" s="30"/>
      <c r="P116" s="73"/>
      <c r="Q116" s="30"/>
      <c r="R116" s="30"/>
      <c r="S116" s="780" t="s">
        <v>65</v>
      </c>
      <c r="T116" s="780" t="s">
        <v>65</v>
      </c>
      <c r="U116" s="781" t="s">
        <v>1886</v>
      </c>
      <c r="V116" s="782">
        <v>25</v>
      </c>
      <c r="W116" s="782" t="str">
        <f t="shared" si="3"/>
        <v>Medizinisch-Technische Mithilfe</v>
      </c>
    </row>
    <row r="117" spans="1:23" s="21" customFormat="1" ht="12.75" x14ac:dyDescent="0.2">
      <c r="A117" s="74" t="str">
        <f t="shared" si="2"/>
        <v>311.26</v>
      </c>
      <c r="B117" s="71" t="s">
        <v>292</v>
      </c>
      <c r="C117" s="72" t="s">
        <v>1345</v>
      </c>
      <c r="D117" s="72" t="s">
        <v>65</v>
      </c>
      <c r="E117" s="72"/>
      <c r="F117" s="72">
        <v>311</v>
      </c>
      <c r="G117" s="71" t="s">
        <v>25</v>
      </c>
      <c r="H117" s="72">
        <v>26</v>
      </c>
      <c r="I117" s="72">
        <v>160.1</v>
      </c>
      <c r="J117" s="72">
        <v>1</v>
      </c>
      <c r="K117" s="72">
        <v>1</v>
      </c>
      <c r="L117" s="779" t="s">
        <v>85</v>
      </c>
      <c r="M117" s="73"/>
      <c r="N117" s="30"/>
      <c r="O117" s="30"/>
      <c r="P117" s="73"/>
      <c r="Q117" s="30"/>
      <c r="R117" s="30"/>
      <c r="S117" s="780"/>
      <c r="T117" s="780"/>
      <c r="U117" s="781" t="s">
        <v>1887</v>
      </c>
      <c r="V117" s="782">
        <v>26</v>
      </c>
      <c r="W117" s="782" t="str">
        <f t="shared" si="3"/>
        <v>Medizinisch-Technische Mithilfe</v>
      </c>
    </row>
    <row r="118" spans="1:23" s="21" customFormat="1" ht="12.75" x14ac:dyDescent="0.2">
      <c r="A118" s="74" t="str">
        <f t="shared" si="2"/>
        <v>311.27</v>
      </c>
      <c r="B118" s="71" t="s">
        <v>293</v>
      </c>
      <c r="C118" s="72" t="s">
        <v>1345</v>
      </c>
      <c r="D118" s="72" t="s">
        <v>65</v>
      </c>
      <c r="E118" s="72"/>
      <c r="F118" s="72">
        <v>311</v>
      </c>
      <c r="G118" s="71" t="s">
        <v>25</v>
      </c>
      <c r="H118" s="72">
        <v>27</v>
      </c>
      <c r="I118" s="72"/>
      <c r="J118" s="72">
        <v>1</v>
      </c>
      <c r="K118" s="72">
        <v>0</v>
      </c>
      <c r="L118" s="779" t="s">
        <v>85</v>
      </c>
      <c r="M118" s="73"/>
      <c r="N118" s="30"/>
      <c r="O118" s="30"/>
      <c r="P118" s="73"/>
      <c r="Q118" s="30"/>
      <c r="R118" s="30"/>
      <c r="S118" s="780"/>
      <c r="T118" s="780"/>
      <c r="U118" s="781" t="s">
        <v>1888</v>
      </c>
      <c r="V118" s="782">
        <v>27</v>
      </c>
      <c r="W118" s="782" t="str">
        <f t="shared" si="3"/>
        <v>Medizinisch-Technische Mithilfe</v>
      </c>
    </row>
    <row r="119" spans="1:23" s="21" customFormat="1" ht="12.75" x14ac:dyDescent="0.2">
      <c r="A119" s="74" t="str">
        <f t="shared" si="2"/>
        <v>312.18</v>
      </c>
      <c r="B119" s="71" t="s">
        <v>294</v>
      </c>
      <c r="C119" s="72" t="s">
        <v>1346</v>
      </c>
      <c r="D119" s="72" t="s">
        <v>65</v>
      </c>
      <c r="E119" s="72"/>
      <c r="F119" s="72">
        <v>312</v>
      </c>
      <c r="G119" s="71" t="s">
        <v>26</v>
      </c>
      <c r="H119" s="72">
        <v>18</v>
      </c>
      <c r="I119" s="72">
        <v>343</v>
      </c>
      <c r="J119" s="72">
        <v>5</v>
      </c>
      <c r="K119" s="72">
        <v>4</v>
      </c>
      <c r="L119" s="779" t="s">
        <v>87</v>
      </c>
      <c r="M119" s="73"/>
      <c r="N119" s="30"/>
      <c r="O119" s="30"/>
      <c r="P119" s="73"/>
      <c r="Q119" s="30"/>
      <c r="R119" s="30"/>
      <c r="S119" s="780"/>
      <c r="T119" s="780"/>
      <c r="U119" s="781" t="s">
        <v>1889</v>
      </c>
      <c r="V119" s="782">
        <v>18</v>
      </c>
      <c r="W119" s="782" t="str">
        <f t="shared" si="3"/>
        <v>Medizinisch-Technische Angestellte</v>
      </c>
    </row>
    <row r="120" spans="1:23" s="21" customFormat="1" ht="12.75" x14ac:dyDescent="0.2">
      <c r="A120" s="74" t="str">
        <f t="shared" si="2"/>
        <v>312.19</v>
      </c>
      <c r="B120" s="783" t="s">
        <v>156</v>
      </c>
      <c r="C120" s="72" t="s">
        <v>1346</v>
      </c>
      <c r="D120" s="72" t="s">
        <v>65</v>
      </c>
      <c r="E120" s="72"/>
      <c r="F120" s="72">
        <v>312</v>
      </c>
      <c r="G120" s="71" t="s">
        <v>26</v>
      </c>
      <c r="H120" s="72">
        <v>19</v>
      </c>
      <c r="I120" s="72">
        <v>333.7</v>
      </c>
      <c r="J120" s="72">
        <v>5</v>
      </c>
      <c r="K120" s="72">
        <v>3</v>
      </c>
      <c r="L120" s="779" t="s">
        <v>87</v>
      </c>
      <c r="M120" s="73"/>
      <c r="N120" s="30"/>
      <c r="O120" s="30"/>
      <c r="P120" s="73"/>
      <c r="Q120" s="30"/>
      <c r="R120" s="30"/>
      <c r="S120" s="780" t="s">
        <v>65</v>
      </c>
      <c r="T120" s="780" t="s">
        <v>65</v>
      </c>
      <c r="U120" s="781" t="s">
        <v>1890</v>
      </c>
      <c r="V120" s="782">
        <v>19</v>
      </c>
      <c r="W120" s="782" t="str">
        <f t="shared" si="3"/>
        <v>Medizinisch-Technische Angestellte</v>
      </c>
    </row>
    <row r="121" spans="1:23" s="21" customFormat="1" ht="12.75" x14ac:dyDescent="0.2">
      <c r="A121" s="74" t="str">
        <f t="shared" si="2"/>
        <v>312.20</v>
      </c>
      <c r="B121" s="783" t="s">
        <v>157</v>
      </c>
      <c r="C121" s="72" t="s">
        <v>1346</v>
      </c>
      <c r="D121" s="72" t="s">
        <v>65</v>
      </c>
      <c r="E121" s="72"/>
      <c r="F121" s="72">
        <v>312</v>
      </c>
      <c r="G121" s="71" t="s">
        <v>26</v>
      </c>
      <c r="H121" s="72">
        <v>20</v>
      </c>
      <c r="I121" s="72">
        <v>291.60000000000002</v>
      </c>
      <c r="J121" s="72">
        <v>5</v>
      </c>
      <c r="K121" s="72">
        <v>2</v>
      </c>
      <c r="L121" s="779" t="s">
        <v>87</v>
      </c>
      <c r="M121" s="73"/>
      <c r="N121" s="30"/>
      <c r="O121" s="30"/>
      <c r="P121" s="73"/>
      <c r="Q121" s="30"/>
      <c r="R121" s="30"/>
      <c r="S121" s="780" t="s">
        <v>65</v>
      </c>
      <c r="T121" s="780" t="s">
        <v>65</v>
      </c>
      <c r="U121" s="781" t="s">
        <v>1891</v>
      </c>
      <c r="V121" s="782">
        <v>20</v>
      </c>
      <c r="W121" s="782" t="str">
        <f t="shared" si="3"/>
        <v>Medizinisch-Technische Angestellte</v>
      </c>
    </row>
    <row r="122" spans="1:23" s="21" customFormat="1" ht="12.75" x14ac:dyDescent="0.2">
      <c r="A122" s="74" t="str">
        <f t="shared" si="2"/>
        <v>312.21</v>
      </c>
      <c r="B122" s="783" t="s">
        <v>158</v>
      </c>
      <c r="C122" s="72" t="s">
        <v>1346</v>
      </c>
      <c r="D122" s="72" t="s">
        <v>65</v>
      </c>
      <c r="E122" s="72"/>
      <c r="F122" s="72">
        <v>312</v>
      </c>
      <c r="G122" s="71" t="s">
        <v>26</v>
      </c>
      <c r="H122" s="72">
        <v>21</v>
      </c>
      <c r="I122" s="72">
        <v>267.2</v>
      </c>
      <c r="J122" s="72">
        <v>3.5</v>
      </c>
      <c r="K122" s="72">
        <v>2</v>
      </c>
      <c r="L122" s="779" t="s">
        <v>345</v>
      </c>
      <c r="M122" s="73"/>
      <c r="N122" s="30"/>
      <c r="O122" s="30"/>
      <c r="P122" s="73"/>
      <c r="Q122" s="30"/>
      <c r="R122" s="30"/>
      <c r="S122" s="780" t="s">
        <v>65</v>
      </c>
      <c r="T122" s="780" t="s">
        <v>65</v>
      </c>
      <c r="U122" s="781" t="s">
        <v>1892</v>
      </c>
      <c r="V122" s="782">
        <v>21</v>
      </c>
      <c r="W122" s="782" t="str">
        <f t="shared" si="3"/>
        <v>Medizinisch-Technische Angestellte</v>
      </c>
    </row>
    <row r="123" spans="1:23" s="21" customFormat="1" ht="12.75" x14ac:dyDescent="0.2">
      <c r="A123" s="74" t="str">
        <f t="shared" si="2"/>
        <v>313.15</v>
      </c>
      <c r="B123" s="71" t="s">
        <v>279</v>
      </c>
      <c r="C123" s="72" t="s">
        <v>1347</v>
      </c>
      <c r="D123" s="72" t="s">
        <v>65</v>
      </c>
      <c r="E123" s="72"/>
      <c r="F123" s="72">
        <v>313</v>
      </c>
      <c r="G123" s="71" t="s">
        <v>27</v>
      </c>
      <c r="H123" s="72">
        <v>15</v>
      </c>
      <c r="I123" s="72">
        <v>396</v>
      </c>
      <c r="J123" s="72">
        <v>5.5</v>
      </c>
      <c r="K123" s="72">
        <v>3</v>
      </c>
      <c r="L123" s="779" t="s">
        <v>671</v>
      </c>
      <c r="M123" s="73"/>
      <c r="N123" s="30"/>
      <c r="O123" s="30"/>
      <c r="P123" s="73"/>
      <c r="Q123" s="30"/>
      <c r="R123" s="30"/>
      <c r="S123" s="780" t="s">
        <v>65</v>
      </c>
      <c r="T123" s="780" t="s">
        <v>65</v>
      </c>
      <c r="U123" s="781" t="s">
        <v>1893</v>
      </c>
      <c r="V123" s="782">
        <v>15</v>
      </c>
      <c r="W123" s="782" t="str">
        <f t="shared" si="3"/>
        <v>Medizinisch-Technische Assistenz</v>
      </c>
    </row>
    <row r="124" spans="1:23" s="21" customFormat="1" ht="12.75" x14ac:dyDescent="0.2">
      <c r="A124" s="74" t="str">
        <f t="shared" si="2"/>
        <v>313.16</v>
      </c>
      <c r="B124" s="783" t="s">
        <v>159</v>
      </c>
      <c r="C124" s="72" t="s">
        <v>1347</v>
      </c>
      <c r="D124" s="72" t="s">
        <v>65</v>
      </c>
      <c r="E124" s="72"/>
      <c r="F124" s="72">
        <v>313</v>
      </c>
      <c r="G124" s="71" t="s">
        <v>27</v>
      </c>
      <c r="H124" s="72">
        <v>16</v>
      </c>
      <c r="I124" s="72">
        <v>396</v>
      </c>
      <c r="J124" s="72">
        <v>5.5</v>
      </c>
      <c r="K124" s="72">
        <v>3</v>
      </c>
      <c r="L124" s="779" t="s">
        <v>671</v>
      </c>
      <c r="M124" s="73"/>
      <c r="N124" s="30"/>
      <c r="O124" s="30"/>
      <c r="P124" s="73"/>
      <c r="Q124" s="30"/>
      <c r="R124" s="30"/>
      <c r="S124" s="780" t="s">
        <v>65</v>
      </c>
      <c r="T124" s="780" t="s">
        <v>65</v>
      </c>
      <c r="U124" s="781" t="s">
        <v>1894</v>
      </c>
      <c r="V124" s="782">
        <v>16</v>
      </c>
      <c r="W124" s="782" t="str">
        <f t="shared" si="3"/>
        <v>Medizinisch-Technische Assistenz</v>
      </c>
    </row>
    <row r="125" spans="1:23" s="21" customFormat="1" ht="12.75" x14ac:dyDescent="0.2">
      <c r="A125" s="74" t="str">
        <f t="shared" si="2"/>
        <v>313.17a</v>
      </c>
      <c r="B125" s="783" t="s">
        <v>225</v>
      </c>
      <c r="C125" s="72" t="s">
        <v>1347</v>
      </c>
      <c r="D125" s="72" t="s">
        <v>66</v>
      </c>
      <c r="E125" s="72"/>
      <c r="F125" s="72" t="s">
        <v>685</v>
      </c>
      <c r="G125" s="71" t="s">
        <v>27</v>
      </c>
      <c r="H125" s="72">
        <v>17</v>
      </c>
      <c r="I125" s="72">
        <v>367.3</v>
      </c>
      <c r="J125" s="72">
        <v>5.5</v>
      </c>
      <c r="K125" s="72">
        <v>2</v>
      </c>
      <c r="L125" s="779" t="s">
        <v>671</v>
      </c>
      <c r="M125" s="73"/>
      <c r="N125" s="30"/>
      <c r="O125" s="30"/>
      <c r="P125" s="73"/>
      <c r="Q125" s="30"/>
      <c r="R125" s="30"/>
      <c r="S125" s="780" t="s">
        <v>65</v>
      </c>
      <c r="T125" s="780" t="s">
        <v>65</v>
      </c>
      <c r="U125" s="781" t="s">
        <v>1348</v>
      </c>
      <c r="V125" s="782">
        <v>17</v>
      </c>
      <c r="W125" s="782" t="str">
        <f t="shared" si="3"/>
        <v>Medizinisch-Technische Assistenz</v>
      </c>
    </row>
    <row r="126" spans="1:23" s="21" customFormat="1" ht="12.75" x14ac:dyDescent="0.2">
      <c r="A126" s="74" t="str">
        <f t="shared" si="2"/>
        <v>313.17b</v>
      </c>
      <c r="B126" s="783" t="s">
        <v>226</v>
      </c>
      <c r="C126" s="72" t="s">
        <v>1347</v>
      </c>
      <c r="D126" s="72" t="s">
        <v>67</v>
      </c>
      <c r="E126" s="72"/>
      <c r="F126" s="72" t="s">
        <v>686</v>
      </c>
      <c r="G126" s="71" t="s">
        <v>27</v>
      </c>
      <c r="H126" s="72">
        <v>17</v>
      </c>
      <c r="I126" s="72">
        <v>371.3</v>
      </c>
      <c r="J126" s="72">
        <v>5.5</v>
      </c>
      <c r="K126" s="72">
        <v>2</v>
      </c>
      <c r="L126" s="779" t="s">
        <v>671</v>
      </c>
      <c r="M126" s="73"/>
      <c r="N126" s="30"/>
      <c r="O126" s="30"/>
      <c r="P126" s="73"/>
      <c r="Q126" s="30"/>
      <c r="R126" s="30"/>
      <c r="S126" s="780" t="s">
        <v>65</v>
      </c>
      <c r="T126" s="780" t="s">
        <v>65</v>
      </c>
      <c r="U126" s="781" t="s">
        <v>1349</v>
      </c>
      <c r="V126" s="782">
        <v>17</v>
      </c>
      <c r="W126" s="782" t="str">
        <f t="shared" si="3"/>
        <v>Medizinisch-Technische Assistenz</v>
      </c>
    </row>
    <row r="127" spans="1:23" s="21" customFormat="1" ht="12.75" x14ac:dyDescent="0.2">
      <c r="A127" s="74" t="str">
        <f t="shared" si="2"/>
        <v>313.18</v>
      </c>
      <c r="B127" s="71" t="s">
        <v>295</v>
      </c>
      <c r="C127" s="72" t="s">
        <v>1347</v>
      </c>
      <c r="D127" s="72"/>
      <c r="E127" s="72"/>
      <c r="F127" s="72">
        <v>313</v>
      </c>
      <c r="G127" s="71" t="s">
        <v>27</v>
      </c>
      <c r="H127" s="72">
        <v>18</v>
      </c>
      <c r="I127" s="72">
        <v>357.3</v>
      </c>
      <c r="J127" s="72">
        <v>5.5</v>
      </c>
      <c r="K127" s="72">
        <v>1</v>
      </c>
      <c r="L127" s="779" t="s">
        <v>671</v>
      </c>
      <c r="M127" s="73"/>
      <c r="N127" s="30"/>
      <c r="O127" s="30"/>
      <c r="P127" s="73"/>
      <c r="Q127" s="30"/>
      <c r="R127" s="30"/>
      <c r="S127" s="780"/>
      <c r="T127" s="780"/>
      <c r="U127" s="781" t="s">
        <v>1895</v>
      </c>
      <c r="V127" s="782">
        <v>18</v>
      </c>
      <c r="W127" s="782" t="str">
        <f t="shared" si="3"/>
        <v>Medizinisch-Technische Assistenz</v>
      </c>
    </row>
    <row r="128" spans="1:23" s="21" customFormat="1" ht="12.75" x14ac:dyDescent="0.2">
      <c r="A128" s="74" t="str">
        <f t="shared" si="2"/>
        <v>314.12</v>
      </c>
      <c r="B128" s="71" t="s">
        <v>298</v>
      </c>
      <c r="C128" s="72" t="s">
        <v>1350</v>
      </c>
      <c r="D128" s="72" t="s">
        <v>65</v>
      </c>
      <c r="E128" s="72"/>
      <c r="F128" s="72">
        <v>314</v>
      </c>
      <c r="G128" s="71" t="s">
        <v>24</v>
      </c>
      <c r="H128" s="72">
        <v>12</v>
      </c>
      <c r="I128" s="72">
        <v>487.6</v>
      </c>
      <c r="J128" s="72">
        <v>6</v>
      </c>
      <c r="K128" s="72">
        <v>12</v>
      </c>
      <c r="L128" s="779" t="s">
        <v>672</v>
      </c>
      <c r="M128" s="73"/>
      <c r="N128" s="30"/>
      <c r="O128" s="30"/>
      <c r="P128" s="73"/>
      <c r="Q128" s="30"/>
      <c r="R128" s="30"/>
      <c r="S128" s="780"/>
      <c r="T128" s="780"/>
      <c r="U128" s="781" t="s">
        <v>1896</v>
      </c>
      <c r="V128" s="782">
        <v>12</v>
      </c>
      <c r="W128" s="782" t="str">
        <f t="shared" si="3"/>
        <v xml:space="preserve">Spezifische Führungsfunktion </v>
      </c>
    </row>
    <row r="129" spans="1:23" s="21" customFormat="1" ht="12.75" x14ac:dyDescent="0.2">
      <c r="A129" s="74" t="str">
        <f t="shared" si="2"/>
        <v>314.13</v>
      </c>
      <c r="B129" s="71" t="s">
        <v>297</v>
      </c>
      <c r="C129" s="72" t="s">
        <v>1350</v>
      </c>
      <c r="D129" s="72" t="s">
        <v>65</v>
      </c>
      <c r="E129" s="72"/>
      <c r="F129" s="72">
        <v>314</v>
      </c>
      <c r="G129" s="71" t="s">
        <v>24</v>
      </c>
      <c r="H129" s="72">
        <v>13</v>
      </c>
      <c r="I129" s="72"/>
      <c r="J129" s="72">
        <v>6</v>
      </c>
      <c r="K129" s="72">
        <v>10</v>
      </c>
      <c r="L129" s="779" t="s">
        <v>672</v>
      </c>
      <c r="M129" s="73"/>
      <c r="N129" s="30"/>
      <c r="O129" s="30"/>
      <c r="P129" s="73"/>
      <c r="Q129" s="30"/>
      <c r="R129" s="30"/>
      <c r="S129" s="780"/>
      <c r="T129" s="780"/>
      <c r="U129" s="781" t="s">
        <v>1897</v>
      </c>
      <c r="V129" s="782">
        <v>13</v>
      </c>
      <c r="W129" s="782" t="str">
        <f t="shared" si="3"/>
        <v xml:space="preserve">Spezifische Führungsfunktion </v>
      </c>
    </row>
    <row r="130" spans="1:23" s="21" customFormat="1" ht="12.75" x14ac:dyDescent="0.2">
      <c r="A130" s="74" t="str">
        <f t="shared" ref="A130:A193" si="4">RIGHT(B130,LEN(B130)-1)</f>
        <v>314.14</v>
      </c>
      <c r="B130" s="783" t="s">
        <v>160</v>
      </c>
      <c r="C130" s="72" t="s">
        <v>1350</v>
      </c>
      <c r="D130" s="72" t="s">
        <v>65</v>
      </c>
      <c r="E130" s="72"/>
      <c r="F130" s="72">
        <v>314</v>
      </c>
      <c r="G130" s="71" t="s">
        <v>24</v>
      </c>
      <c r="H130" s="72">
        <v>14</v>
      </c>
      <c r="I130" s="72">
        <v>445.5</v>
      </c>
      <c r="J130" s="72">
        <v>6</v>
      </c>
      <c r="K130" s="72">
        <v>6</v>
      </c>
      <c r="L130" s="779" t="s">
        <v>672</v>
      </c>
      <c r="M130" s="73"/>
      <c r="N130" s="30"/>
      <c r="O130" s="30"/>
      <c r="P130" s="73"/>
      <c r="Q130" s="30"/>
      <c r="R130" s="30"/>
      <c r="S130" s="780" t="s">
        <v>65</v>
      </c>
      <c r="T130" s="780" t="s">
        <v>65</v>
      </c>
      <c r="U130" s="781" t="s">
        <v>1898</v>
      </c>
      <c r="V130" s="782">
        <v>14</v>
      </c>
      <c r="W130" s="782" t="str">
        <f t="shared" ref="W130:W193" si="5">G130</f>
        <v xml:space="preserve">Spezifische Führungsfunktion </v>
      </c>
    </row>
    <row r="131" spans="1:23" s="21" customFormat="1" ht="12.75" x14ac:dyDescent="0.2">
      <c r="A131" s="74" t="str">
        <f t="shared" si="4"/>
        <v>314.15</v>
      </c>
      <c r="B131" s="71" t="s">
        <v>296</v>
      </c>
      <c r="C131" s="72" t="s">
        <v>1350</v>
      </c>
      <c r="D131" s="72" t="s">
        <v>65</v>
      </c>
      <c r="E131" s="72"/>
      <c r="F131" s="72">
        <v>314</v>
      </c>
      <c r="G131" s="71" t="s">
        <v>24</v>
      </c>
      <c r="H131" s="72">
        <v>15</v>
      </c>
      <c r="I131" s="72">
        <v>428</v>
      </c>
      <c r="J131" s="72">
        <v>6</v>
      </c>
      <c r="K131" s="72">
        <v>4</v>
      </c>
      <c r="L131" s="779" t="s">
        <v>672</v>
      </c>
      <c r="M131" s="73"/>
      <c r="N131" s="30"/>
      <c r="O131" s="30"/>
      <c r="P131" s="73"/>
      <c r="Q131" s="30"/>
      <c r="R131" s="30"/>
      <c r="S131" s="780"/>
      <c r="T131" s="780"/>
      <c r="U131" s="781" t="s">
        <v>1899</v>
      </c>
      <c r="V131" s="782">
        <v>15</v>
      </c>
      <c r="W131" s="782" t="str">
        <f t="shared" si="5"/>
        <v xml:space="preserve">Spezifische Führungsfunktion </v>
      </c>
    </row>
    <row r="132" spans="1:23" s="21" customFormat="1" ht="12.75" x14ac:dyDescent="0.2">
      <c r="A132" s="74" t="str">
        <f t="shared" si="4"/>
        <v>321.22</v>
      </c>
      <c r="B132" s="71" t="s">
        <v>299</v>
      </c>
      <c r="C132" s="72" t="s">
        <v>1351</v>
      </c>
      <c r="D132" s="72" t="s">
        <v>65</v>
      </c>
      <c r="E132" s="72"/>
      <c r="F132" s="72">
        <v>321</v>
      </c>
      <c r="G132" s="71" t="s">
        <v>28</v>
      </c>
      <c r="H132" s="72">
        <v>22</v>
      </c>
      <c r="I132" s="72">
        <v>236.1</v>
      </c>
      <c r="J132" s="72">
        <v>1</v>
      </c>
      <c r="K132" s="72">
        <v>6</v>
      </c>
      <c r="L132" s="779" t="s">
        <v>85</v>
      </c>
      <c r="M132" s="73"/>
      <c r="N132" s="30"/>
      <c r="O132" s="30"/>
      <c r="P132" s="73"/>
      <c r="Q132" s="30"/>
      <c r="R132" s="30"/>
      <c r="S132" s="780"/>
      <c r="T132" s="780"/>
      <c r="U132" s="781" t="s">
        <v>1900</v>
      </c>
      <c r="V132" s="782">
        <v>22</v>
      </c>
      <c r="W132" s="782" t="str">
        <f t="shared" si="5"/>
        <v>Therapiehilfe</v>
      </c>
    </row>
    <row r="133" spans="1:23" s="21" customFormat="1" ht="12.75" x14ac:dyDescent="0.2">
      <c r="A133" s="74" t="str">
        <f t="shared" si="4"/>
        <v>321.23</v>
      </c>
      <c r="B133" s="783" t="s">
        <v>161</v>
      </c>
      <c r="C133" s="72" t="s">
        <v>1351</v>
      </c>
      <c r="D133" s="72" t="s">
        <v>65</v>
      </c>
      <c r="E133" s="72"/>
      <c r="F133" s="72">
        <v>321</v>
      </c>
      <c r="G133" s="71" t="s">
        <v>28</v>
      </c>
      <c r="H133" s="72">
        <v>23</v>
      </c>
      <c r="I133" s="72">
        <v>218.6</v>
      </c>
      <c r="J133" s="72">
        <v>1</v>
      </c>
      <c r="K133" s="72">
        <v>4</v>
      </c>
      <c r="L133" s="779" t="s">
        <v>85</v>
      </c>
      <c r="M133" s="73"/>
      <c r="N133" s="30"/>
      <c r="O133" s="30"/>
      <c r="P133" s="73"/>
      <c r="Q133" s="30"/>
      <c r="R133" s="30"/>
      <c r="S133" s="780" t="s">
        <v>65</v>
      </c>
      <c r="T133" s="780" t="s">
        <v>65</v>
      </c>
      <c r="U133" s="781" t="s">
        <v>1901</v>
      </c>
      <c r="V133" s="782">
        <v>23</v>
      </c>
      <c r="W133" s="782" t="str">
        <f t="shared" si="5"/>
        <v>Therapiehilfe</v>
      </c>
    </row>
    <row r="134" spans="1:23" s="21" customFormat="1" ht="12.75" x14ac:dyDescent="0.2">
      <c r="A134" s="74" t="str">
        <f t="shared" si="4"/>
        <v>321.24</v>
      </c>
      <c r="B134" s="71" t="s">
        <v>162</v>
      </c>
      <c r="C134" s="72" t="s">
        <v>1351</v>
      </c>
      <c r="D134" s="72" t="s">
        <v>65</v>
      </c>
      <c r="E134" s="72"/>
      <c r="F134" s="72">
        <v>321</v>
      </c>
      <c r="G134" s="71" t="s">
        <v>28</v>
      </c>
      <c r="H134" s="72">
        <v>24</v>
      </c>
      <c r="I134" s="72"/>
      <c r="J134" s="72">
        <v>1</v>
      </c>
      <c r="K134" s="72">
        <v>3</v>
      </c>
      <c r="L134" s="779" t="s">
        <v>85</v>
      </c>
      <c r="M134" s="73"/>
      <c r="N134" s="30"/>
      <c r="O134" s="30"/>
      <c r="P134" s="73"/>
      <c r="Q134" s="30"/>
      <c r="R134" s="30"/>
      <c r="S134" s="780" t="s">
        <v>65</v>
      </c>
      <c r="T134" s="780" t="s">
        <v>65</v>
      </c>
      <c r="U134" s="781" t="s">
        <v>1902</v>
      </c>
      <c r="V134" s="782">
        <v>24</v>
      </c>
      <c r="W134" s="782" t="str">
        <f t="shared" si="5"/>
        <v>Therapiehilfe</v>
      </c>
    </row>
    <row r="135" spans="1:23" s="21" customFormat="1" ht="12.75" x14ac:dyDescent="0.2">
      <c r="A135" s="74" t="str">
        <f t="shared" si="4"/>
        <v>321.25</v>
      </c>
      <c r="B135" s="783" t="s">
        <v>163</v>
      </c>
      <c r="C135" s="72" t="s">
        <v>1351</v>
      </c>
      <c r="D135" s="72" t="s">
        <v>65</v>
      </c>
      <c r="E135" s="72"/>
      <c r="F135" s="72">
        <v>321</v>
      </c>
      <c r="G135" s="71" t="s">
        <v>28</v>
      </c>
      <c r="H135" s="72">
        <v>25</v>
      </c>
      <c r="I135" s="72">
        <v>176.1</v>
      </c>
      <c r="J135" s="72">
        <v>1</v>
      </c>
      <c r="K135" s="72">
        <v>2</v>
      </c>
      <c r="L135" s="779" t="s">
        <v>85</v>
      </c>
      <c r="M135" s="73"/>
      <c r="N135" s="30"/>
      <c r="O135" s="30"/>
      <c r="P135" s="73"/>
      <c r="Q135" s="30"/>
      <c r="R135" s="30"/>
      <c r="S135" s="780" t="s">
        <v>65</v>
      </c>
      <c r="T135" s="780" t="s">
        <v>65</v>
      </c>
      <c r="U135" s="781" t="s">
        <v>1903</v>
      </c>
      <c r="V135" s="782">
        <v>25</v>
      </c>
      <c r="W135" s="782" t="str">
        <f t="shared" si="5"/>
        <v>Therapiehilfe</v>
      </c>
    </row>
    <row r="136" spans="1:23" s="21" customFormat="1" ht="12.75" x14ac:dyDescent="0.2">
      <c r="A136" s="74" t="str">
        <f t="shared" si="4"/>
        <v>322.18</v>
      </c>
      <c r="B136" s="783" t="s">
        <v>164</v>
      </c>
      <c r="C136" s="72" t="s">
        <v>1352</v>
      </c>
      <c r="D136" s="72" t="s">
        <v>65</v>
      </c>
      <c r="E136" s="72"/>
      <c r="F136" s="72">
        <v>322</v>
      </c>
      <c r="G136" s="71" t="s">
        <v>29</v>
      </c>
      <c r="H136" s="72">
        <v>18</v>
      </c>
      <c r="I136" s="72">
        <v>347.8</v>
      </c>
      <c r="J136" s="72">
        <v>3.5</v>
      </c>
      <c r="K136" s="72">
        <v>5</v>
      </c>
      <c r="L136" s="779" t="s">
        <v>345</v>
      </c>
      <c r="M136" s="73"/>
      <c r="N136" s="30"/>
      <c r="O136" s="30"/>
      <c r="P136" s="73"/>
      <c r="Q136" s="30"/>
      <c r="R136" s="30"/>
      <c r="S136" s="780" t="s">
        <v>65</v>
      </c>
      <c r="T136" s="780" t="s">
        <v>65</v>
      </c>
      <c r="U136" s="781" t="s">
        <v>1904</v>
      </c>
      <c r="V136" s="782">
        <v>18</v>
      </c>
      <c r="W136" s="782" t="str">
        <f t="shared" si="5"/>
        <v>Therapieangestellte</v>
      </c>
    </row>
    <row r="137" spans="1:23" s="21" customFormat="1" ht="12.75" x14ac:dyDescent="0.2">
      <c r="A137" s="74" t="str">
        <f t="shared" si="4"/>
        <v>322.19</v>
      </c>
      <c r="B137" s="71" t="s">
        <v>267</v>
      </c>
      <c r="C137" s="72" t="s">
        <v>1352</v>
      </c>
      <c r="D137" s="72" t="s">
        <v>65</v>
      </c>
      <c r="E137" s="72"/>
      <c r="F137" s="72">
        <v>322</v>
      </c>
      <c r="G137" s="71" t="s">
        <v>29</v>
      </c>
      <c r="H137" s="72">
        <v>19</v>
      </c>
      <c r="I137" s="72"/>
      <c r="J137" s="72">
        <v>3.5</v>
      </c>
      <c r="K137" s="72">
        <v>4</v>
      </c>
      <c r="L137" s="779" t="s">
        <v>345</v>
      </c>
      <c r="M137" s="73"/>
      <c r="N137" s="30"/>
      <c r="O137" s="30"/>
      <c r="P137" s="73"/>
      <c r="Q137" s="30"/>
      <c r="R137" s="30"/>
      <c r="S137" s="780" t="s">
        <v>65</v>
      </c>
      <c r="T137" s="780" t="s">
        <v>65</v>
      </c>
      <c r="U137" s="781" t="s">
        <v>1905</v>
      </c>
      <c r="V137" s="782">
        <v>19</v>
      </c>
      <c r="W137" s="782" t="str">
        <f t="shared" si="5"/>
        <v>Therapieangestellte</v>
      </c>
    </row>
    <row r="138" spans="1:23" s="21" customFormat="1" ht="12.75" x14ac:dyDescent="0.2">
      <c r="A138" s="74" t="str">
        <f t="shared" si="4"/>
        <v>322.20</v>
      </c>
      <c r="B138" s="783" t="s">
        <v>165</v>
      </c>
      <c r="C138" s="72" t="s">
        <v>1352</v>
      </c>
      <c r="D138" s="72" t="s">
        <v>65</v>
      </c>
      <c r="E138" s="72"/>
      <c r="F138" s="72">
        <v>322</v>
      </c>
      <c r="G138" s="71" t="s">
        <v>29</v>
      </c>
      <c r="H138" s="72">
        <v>20</v>
      </c>
      <c r="I138" s="72">
        <v>291.10000000000002</v>
      </c>
      <c r="J138" s="72">
        <v>3.5</v>
      </c>
      <c r="K138" s="72">
        <v>2</v>
      </c>
      <c r="L138" s="779" t="s">
        <v>345</v>
      </c>
      <c r="M138" s="73"/>
      <c r="N138" s="30"/>
      <c r="O138" s="30"/>
      <c r="P138" s="73"/>
      <c r="Q138" s="30"/>
      <c r="R138" s="30"/>
      <c r="S138" s="780" t="s">
        <v>65</v>
      </c>
      <c r="T138" s="780" t="s">
        <v>65</v>
      </c>
      <c r="U138" s="781" t="s">
        <v>1906</v>
      </c>
      <c r="V138" s="782">
        <v>20</v>
      </c>
      <c r="W138" s="782" t="str">
        <f t="shared" si="5"/>
        <v>Therapieangestellte</v>
      </c>
    </row>
    <row r="139" spans="1:23" s="21" customFormat="1" ht="12.75" x14ac:dyDescent="0.2">
      <c r="A139" s="74" t="str">
        <f t="shared" si="4"/>
        <v>322.21</v>
      </c>
      <c r="B139" s="71" t="s">
        <v>300</v>
      </c>
      <c r="C139" s="72" t="s">
        <v>1352</v>
      </c>
      <c r="D139" s="72" t="s">
        <v>65</v>
      </c>
      <c r="E139" s="72"/>
      <c r="F139" s="72">
        <v>322</v>
      </c>
      <c r="G139" s="71" t="s">
        <v>29</v>
      </c>
      <c r="H139" s="72">
        <v>21</v>
      </c>
      <c r="I139" s="72">
        <v>281.10000000000002</v>
      </c>
      <c r="J139" s="72">
        <v>3.5</v>
      </c>
      <c r="K139" s="72">
        <v>1</v>
      </c>
      <c r="L139" s="779" t="s">
        <v>345</v>
      </c>
      <c r="M139" s="73"/>
      <c r="N139" s="30"/>
      <c r="O139" s="30"/>
      <c r="P139" s="73"/>
      <c r="Q139" s="30"/>
      <c r="R139" s="30"/>
      <c r="S139" s="780"/>
      <c r="T139" s="780"/>
      <c r="U139" s="781" t="s">
        <v>1907</v>
      </c>
      <c r="V139" s="782">
        <v>21</v>
      </c>
      <c r="W139" s="782" t="str">
        <f t="shared" si="5"/>
        <v>Therapieangestellte</v>
      </c>
    </row>
    <row r="140" spans="1:23" s="21" customFormat="1" ht="12.75" x14ac:dyDescent="0.2">
      <c r="A140" s="74" t="str">
        <f t="shared" si="4"/>
        <v>323.14</v>
      </c>
      <c r="B140" s="783" t="s">
        <v>166</v>
      </c>
      <c r="C140" s="72" t="s">
        <v>1353</v>
      </c>
      <c r="D140" s="72" t="s">
        <v>65</v>
      </c>
      <c r="E140" s="72"/>
      <c r="F140" s="72">
        <v>323</v>
      </c>
      <c r="G140" s="71" t="s">
        <v>32</v>
      </c>
      <c r="H140" s="72">
        <v>14</v>
      </c>
      <c r="I140" s="72">
        <v>446.2</v>
      </c>
      <c r="J140" s="72">
        <v>8</v>
      </c>
      <c r="K140" s="72">
        <v>4</v>
      </c>
      <c r="L140" s="779" t="s">
        <v>352</v>
      </c>
      <c r="M140" s="73"/>
      <c r="N140" s="30"/>
      <c r="O140" s="30"/>
      <c r="P140" s="73"/>
      <c r="Q140" s="30"/>
      <c r="R140" s="30"/>
      <c r="S140" s="780" t="s">
        <v>65</v>
      </c>
      <c r="T140" s="780" t="s">
        <v>65</v>
      </c>
      <c r="U140" s="781" t="s">
        <v>1908</v>
      </c>
      <c r="V140" s="782">
        <v>14</v>
      </c>
      <c r="W140" s="782" t="str">
        <f t="shared" si="5"/>
        <v>Diplomierte Therapieangestellte</v>
      </c>
    </row>
    <row r="141" spans="1:23" s="21" customFormat="1" ht="12.75" x14ac:dyDescent="0.2">
      <c r="A141" s="74" t="str">
        <f t="shared" si="4"/>
        <v>323.15a</v>
      </c>
      <c r="B141" s="783" t="s">
        <v>227</v>
      </c>
      <c r="C141" s="72" t="s">
        <v>1353</v>
      </c>
      <c r="D141" s="72" t="s">
        <v>66</v>
      </c>
      <c r="E141" s="72"/>
      <c r="F141" s="72" t="s">
        <v>31</v>
      </c>
      <c r="G141" s="71" t="s">
        <v>32</v>
      </c>
      <c r="H141" s="72">
        <v>15</v>
      </c>
      <c r="I141" s="72">
        <v>417.3</v>
      </c>
      <c r="J141" s="72">
        <v>8</v>
      </c>
      <c r="K141" s="72">
        <v>2</v>
      </c>
      <c r="L141" s="779" t="s">
        <v>352</v>
      </c>
      <c r="M141" s="73"/>
      <c r="N141" s="30"/>
      <c r="O141" s="30"/>
      <c r="P141" s="73"/>
      <c r="Q141" s="30"/>
      <c r="R141" s="30"/>
      <c r="S141" s="780" t="s">
        <v>65</v>
      </c>
      <c r="T141" s="780" t="s">
        <v>65</v>
      </c>
      <c r="U141" s="781" t="s">
        <v>1354</v>
      </c>
      <c r="V141" s="782">
        <v>15</v>
      </c>
      <c r="W141" s="782" t="str">
        <f t="shared" si="5"/>
        <v>Diplomierte Therapieangestellte</v>
      </c>
    </row>
    <row r="142" spans="1:23" s="21" customFormat="1" ht="12.75" x14ac:dyDescent="0.2">
      <c r="A142" s="74" t="str">
        <f t="shared" si="4"/>
        <v>323.15b</v>
      </c>
      <c r="B142" s="783" t="s">
        <v>228</v>
      </c>
      <c r="C142" s="72" t="s">
        <v>1353</v>
      </c>
      <c r="D142" s="72" t="s">
        <v>67</v>
      </c>
      <c r="E142" s="72"/>
      <c r="F142" s="72" t="s">
        <v>33</v>
      </c>
      <c r="G142" s="71" t="s">
        <v>32</v>
      </c>
      <c r="H142" s="72">
        <v>15</v>
      </c>
      <c r="I142" s="72">
        <v>420.3</v>
      </c>
      <c r="J142" s="72">
        <v>8</v>
      </c>
      <c r="K142" s="72">
        <v>2</v>
      </c>
      <c r="L142" s="779" t="s">
        <v>352</v>
      </c>
      <c r="M142" s="73"/>
      <c r="N142" s="30"/>
      <c r="O142" s="30"/>
      <c r="P142" s="73"/>
      <c r="Q142" s="30"/>
      <c r="R142" s="30"/>
      <c r="S142" s="780" t="s">
        <v>65</v>
      </c>
      <c r="T142" s="780" t="s">
        <v>65</v>
      </c>
      <c r="U142" s="781" t="s">
        <v>1355</v>
      </c>
      <c r="V142" s="782">
        <v>15</v>
      </c>
      <c r="W142" s="782" t="str">
        <f t="shared" si="5"/>
        <v>Diplomierte Therapieangestellte</v>
      </c>
    </row>
    <row r="143" spans="1:23" s="21" customFormat="1" ht="12.75" x14ac:dyDescent="0.2">
      <c r="A143" s="74" t="str">
        <f t="shared" si="4"/>
        <v>323.16</v>
      </c>
      <c r="B143" s="71" t="s">
        <v>167</v>
      </c>
      <c r="C143" s="72" t="s">
        <v>1353</v>
      </c>
      <c r="D143" s="72" t="s">
        <v>65</v>
      </c>
      <c r="E143" s="72"/>
      <c r="F143" s="72">
        <v>323</v>
      </c>
      <c r="G143" s="71" t="s">
        <v>30</v>
      </c>
      <c r="H143" s="72">
        <v>16</v>
      </c>
      <c r="I143" s="72"/>
      <c r="J143" s="72">
        <v>6</v>
      </c>
      <c r="K143" s="72">
        <v>6</v>
      </c>
      <c r="L143" s="779" t="s">
        <v>672</v>
      </c>
      <c r="M143" s="73"/>
      <c r="N143" s="30">
        <v>8</v>
      </c>
      <c r="O143" s="30">
        <v>0</v>
      </c>
      <c r="P143" s="73"/>
      <c r="Q143" s="30"/>
      <c r="R143" s="30"/>
      <c r="S143" s="780" t="s">
        <v>352</v>
      </c>
      <c r="T143" s="780" t="s">
        <v>65</v>
      </c>
      <c r="U143" s="781" t="s">
        <v>1909</v>
      </c>
      <c r="V143" s="782">
        <v>16</v>
      </c>
      <c r="W143" s="782" t="str">
        <f t="shared" si="5"/>
        <v xml:space="preserve">Diplomierte Therapieangestellte </v>
      </c>
    </row>
    <row r="144" spans="1:23" s="21" customFormat="1" ht="12.75" x14ac:dyDescent="0.2">
      <c r="A144" s="74" t="str">
        <f t="shared" si="4"/>
        <v>323.17</v>
      </c>
      <c r="B144" s="783" t="s">
        <v>168</v>
      </c>
      <c r="C144" s="72" t="s">
        <v>1353</v>
      </c>
      <c r="D144" s="72" t="s">
        <v>65</v>
      </c>
      <c r="E144" s="72"/>
      <c r="F144" s="72">
        <v>323</v>
      </c>
      <c r="G144" s="71" t="s">
        <v>30</v>
      </c>
      <c r="H144" s="72">
        <v>17</v>
      </c>
      <c r="I144" s="72">
        <v>375.6</v>
      </c>
      <c r="J144" s="72">
        <v>6</v>
      </c>
      <c r="K144" s="72">
        <v>4</v>
      </c>
      <c r="L144" s="779" t="s">
        <v>672</v>
      </c>
      <c r="M144" s="73"/>
      <c r="N144" s="30"/>
      <c r="O144" s="30"/>
      <c r="P144" s="73"/>
      <c r="Q144" s="30"/>
      <c r="R144" s="30"/>
      <c r="S144" s="780" t="s">
        <v>65</v>
      </c>
      <c r="T144" s="780" t="s">
        <v>65</v>
      </c>
      <c r="U144" s="781" t="s">
        <v>1910</v>
      </c>
      <c r="V144" s="782">
        <v>17</v>
      </c>
      <c r="W144" s="782" t="str">
        <f t="shared" si="5"/>
        <v xml:space="preserve">Diplomierte Therapieangestellte </v>
      </c>
    </row>
    <row r="145" spans="1:23" s="21" customFormat="1" ht="12.75" x14ac:dyDescent="0.2">
      <c r="A145" s="74" t="str">
        <f t="shared" si="4"/>
        <v>324.11</v>
      </c>
      <c r="B145" s="71" t="s">
        <v>301</v>
      </c>
      <c r="C145" s="72" t="s">
        <v>1356</v>
      </c>
      <c r="D145" s="72" t="s">
        <v>65</v>
      </c>
      <c r="E145" s="72"/>
      <c r="F145" s="72">
        <v>324</v>
      </c>
      <c r="G145" s="71" t="s">
        <v>24</v>
      </c>
      <c r="H145" s="72">
        <v>11</v>
      </c>
      <c r="I145" s="72">
        <v>512.5</v>
      </c>
      <c r="J145" s="72">
        <v>8</v>
      </c>
      <c r="K145" s="72">
        <v>11</v>
      </c>
      <c r="L145" s="779" t="s">
        <v>352</v>
      </c>
      <c r="M145" s="73"/>
      <c r="N145" s="30"/>
      <c r="O145" s="30"/>
      <c r="P145" s="73"/>
      <c r="Q145" s="30"/>
      <c r="R145" s="30"/>
      <c r="S145" s="780"/>
      <c r="T145" s="780"/>
      <c r="U145" s="781" t="s">
        <v>1911</v>
      </c>
      <c r="V145" s="782">
        <v>11</v>
      </c>
      <c r="W145" s="782" t="str">
        <f t="shared" si="5"/>
        <v xml:space="preserve">Spezifische Führungsfunktion </v>
      </c>
    </row>
    <row r="146" spans="1:23" s="21" customFormat="1" ht="12.75" x14ac:dyDescent="0.2">
      <c r="A146" s="74" t="str">
        <f t="shared" si="4"/>
        <v>324.12</v>
      </c>
      <c r="B146" s="71" t="s">
        <v>302</v>
      </c>
      <c r="C146" s="72" t="s">
        <v>1356</v>
      </c>
      <c r="D146" s="72" t="s">
        <v>65</v>
      </c>
      <c r="E146" s="72"/>
      <c r="F146" s="72">
        <v>324</v>
      </c>
      <c r="G146" s="71" t="s">
        <v>24</v>
      </c>
      <c r="H146" s="72">
        <v>12</v>
      </c>
      <c r="I146" s="72">
        <v>499.4</v>
      </c>
      <c r="J146" s="72">
        <v>8</v>
      </c>
      <c r="K146" s="72">
        <v>9</v>
      </c>
      <c r="L146" s="779" t="s">
        <v>352</v>
      </c>
      <c r="M146" s="73"/>
      <c r="N146" s="30"/>
      <c r="O146" s="30"/>
      <c r="P146" s="73"/>
      <c r="Q146" s="30"/>
      <c r="R146" s="30"/>
      <c r="S146" s="780"/>
      <c r="T146" s="780"/>
      <c r="U146" s="781" t="s">
        <v>1912</v>
      </c>
      <c r="V146" s="782">
        <v>12</v>
      </c>
      <c r="W146" s="782" t="str">
        <f t="shared" si="5"/>
        <v xml:space="preserve">Spezifische Führungsfunktion </v>
      </c>
    </row>
    <row r="147" spans="1:23" s="21" customFormat="1" ht="12.75" x14ac:dyDescent="0.2">
      <c r="A147" s="74" t="str">
        <f t="shared" si="4"/>
        <v>324.13</v>
      </c>
      <c r="B147" s="783" t="s">
        <v>169</v>
      </c>
      <c r="C147" s="72" t="s">
        <v>1356</v>
      </c>
      <c r="D147" s="72" t="s">
        <v>65</v>
      </c>
      <c r="E147" s="72"/>
      <c r="F147" s="72">
        <v>324</v>
      </c>
      <c r="G147" s="71" t="s">
        <v>24</v>
      </c>
      <c r="H147" s="72">
        <v>13</v>
      </c>
      <c r="I147" s="72">
        <v>476.1</v>
      </c>
      <c r="J147" s="72">
        <v>8</v>
      </c>
      <c r="K147" s="72">
        <v>6</v>
      </c>
      <c r="L147" s="779" t="s">
        <v>352</v>
      </c>
      <c r="M147" s="73"/>
      <c r="N147" s="30"/>
      <c r="O147" s="30"/>
      <c r="P147" s="73"/>
      <c r="Q147" s="30"/>
      <c r="R147" s="30"/>
      <c r="S147" s="780" t="s">
        <v>65</v>
      </c>
      <c r="T147" s="780" t="s">
        <v>65</v>
      </c>
      <c r="U147" s="781" t="s">
        <v>1913</v>
      </c>
      <c r="V147" s="782">
        <v>13</v>
      </c>
      <c r="W147" s="782" t="str">
        <f t="shared" si="5"/>
        <v xml:space="preserve">Spezifische Führungsfunktion </v>
      </c>
    </row>
    <row r="148" spans="1:23" s="21" customFormat="1" ht="12.75" x14ac:dyDescent="0.2">
      <c r="A148" s="74" t="str">
        <f t="shared" si="4"/>
        <v>324.14</v>
      </c>
      <c r="B148" s="71" t="s">
        <v>303</v>
      </c>
      <c r="C148" s="72" t="s">
        <v>1356</v>
      </c>
      <c r="D148" s="72" t="s">
        <v>65</v>
      </c>
      <c r="E148" s="72"/>
      <c r="F148" s="72">
        <v>324</v>
      </c>
      <c r="G148" s="71" t="s">
        <v>24</v>
      </c>
      <c r="H148" s="72">
        <v>14</v>
      </c>
      <c r="I148" s="72">
        <v>458.6</v>
      </c>
      <c r="J148" s="72">
        <v>8</v>
      </c>
      <c r="K148" s="72">
        <v>4</v>
      </c>
      <c r="L148" s="779" t="s">
        <v>352</v>
      </c>
      <c r="M148" s="73"/>
      <c r="N148" s="30"/>
      <c r="O148" s="30"/>
      <c r="P148" s="73"/>
      <c r="Q148" s="30"/>
      <c r="R148" s="30"/>
      <c r="S148" s="780"/>
      <c r="T148" s="780"/>
      <c r="U148" s="781" t="s">
        <v>1914</v>
      </c>
      <c r="V148" s="782">
        <v>14</v>
      </c>
      <c r="W148" s="782" t="str">
        <f t="shared" si="5"/>
        <v xml:space="preserve">Spezifische Führungsfunktion </v>
      </c>
    </row>
    <row r="149" spans="1:23" s="21" customFormat="1" ht="12.75" x14ac:dyDescent="0.2">
      <c r="A149" s="74" t="str">
        <f t="shared" si="4"/>
        <v>331.08</v>
      </c>
      <c r="B149" s="71" t="s">
        <v>327</v>
      </c>
      <c r="C149" s="72" t="s">
        <v>1357</v>
      </c>
      <c r="D149" s="72" t="s">
        <v>65</v>
      </c>
      <c r="E149" s="72"/>
      <c r="F149" s="72">
        <v>331</v>
      </c>
      <c r="G149" s="71" t="s">
        <v>34</v>
      </c>
      <c r="H149" s="72">
        <v>8</v>
      </c>
      <c r="I149" s="72">
        <v>590.5</v>
      </c>
      <c r="J149" s="72">
        <v>9.5</v>
      </c>
      <c r="K149" s="72">
        <v>8</v>
      </c>
      <c r="L149" s="779" t="s">
        <v>347</v>
      </c>
      <c r="M149" s="73"/>
      <c r="N149" s="30"/>
      <c r="O149" s="30"/>
      <c r="P149" s="73"/>
      <c r="Q149" s="30"/>
      <c r="R149" s="30"/>
      <c r="S149" s="780"/>
      <c r="T149" s="780"/>
      <c r="U149" s="781" t="s">
        <v>1915</v>
      </c>
      <c r="V149" s="782">
        <v>8</v>
      </c>
      <c r="W149" s="782" t="str">
        <f t="shared" si="5"/>
        <v>Psychologie und Psychotherapie</v>
      </c>
    </row>
    <row r="150" spans="1:23" s="21" customFormat="1" ht="12.75" x14ac:dyDescent="0.2">
      <c r="A150" s="74" t="str">
        <f t="shared" si="4"/>
        <v>331.09</v>
      </c>
      <c r="B150" s="783" t="s">
        <v>333</v>
      </c>
      <c r="C150" s="72" t="s">
        <v>1357</v>
      </c>
      <c r="D150" s="72" t="s">
        <v>65</v>
      </c>
      <c r="E150" s="72"/>
      <c r="F150" s="72">
        <v>331</v>
      </c>
      <c r="G150" s="71" t="s">
        <v>34</v>
      </c>
      <c r="H150" s="72">
        <v>9</v>
      </c>
      <c r="I150" s="72">
        <v>574.5</v>
      </c>
      <c r="J150" s="72">
        <v>9.5</v>
      </c>
      <c r="K150" s="72">
        <v>6</v>
      </c>
      <c r="L150" s="779" t="s">
        <v>347</v>
      </c>
      <c r="M150" s="73"/>
      <c r="N150" s="30"/>
      <c r="O150" s="30"/>
      <c r="P150" s="73"/>
      <c r="Q150" s="30"/>
      <c r="R150" s="30"/>
      <c r="S150" s="780" t="s">
        <v>65</v>
      </c>
      <c r="T150" s="780" t="s">
        <v>65</v>
      </c>
      <c r="U150" s="781" t="s">
        <v>1916</v>
      </c>
      <c r="V150" s="782">
        <v>9</v>
      </c>
      <c r="W150" s="782" t="str">
        <f t="shared" si="5"/>
        <v>Psychologie und Psychotherapie</v>
      </c>
    </row>
    <row r="151" spans="1:23" s="21" customFormat="1" ht="12.75" x14ac:dyDescent="0.2">
      <c r="A151" s="74" t="str">
        <f t="shared" si="4"/>
        <v>331.10</v>
      </c>
      <c r="B151" s="71" t="s">
        <v>170</v>
      </c>
      <c r="C151" s="72" t="s">
        <v>1357</v>
      </c>
      <c r="D151" s="72" t="s">
        <v>65</v>
      </c>
      <c r="E151" s="72"/>
      <c r="F151" s="72">
        <v>331</v>
      </c>
      <c r="G151" s="71" t="s">
        <v>34</v>
      </c>
      <c r="H151" s="72">
        <v>10</v>
      </c>
      <c r="I151" s="72"/>
      <c r="J151" s="72">
        <v>9.5</v>
      </c>
      <c r="K151" s="72">
        <v>5</v>
      </c>
      <c r="L151" s="779" t="s">
        <v>347</v>
      </c>
      <c r="M151" s="73"/>
      <c r="N151" s="30"/>
      <c r="O151" s="30"/>
      <c r="P151" s="73"/>
      <c r="Q151" s="30"/>
      <c r="R151" s="30"/>
      <c r="S151" s="780" t="s">
        <v>65</v>
      </c>
      <c r="T151" s="780" t="s">
        <v>65</v>
      </c>
      <c r="U151" s="781" t="s">
        <v>1917</v>
      </c>
      <c r="V151" s="782">
        <v>10</v>
      </c>
      <c r="W151" s="782" t="str">
        <f t="shared" si="5"/>
        <v>Psychologie und Psychotherapie</v>
      </c>
    </row>
    <row r="152" spans="1:23" s="21" customFormat="1" ht="12.75" x14ac:dyDescent="0.2">
      <c r="A152" s="74" t="str">
        <f t="shared" si="4"/>
        <v>331.11</v>
      </c>
      <c r="B152" s="783" t="s">
        <v>171</v>
      </c>
      <c r="C152" s="72" t="s">
        <v>1357</v>
      </c>
      <c r="D152" s="72" t="s">
        <v>65</v>
      </c>
      <c r="E152" s="72"/>
      <c r="F152" s="72">
        <v>331</v>
      </c>
      <c r="G152" s="71" t="s">
        <v>34</v>
      </c>
      <c r="H152" s="72">
        <v>11</v>
      </c>
      <c r="I152" s="72">
        <v>521.20000000000005</v>
      </c>
      <c r="J152" s="72">
        <v>9.5</v>
      </c>
      <c r="K152" s="72">
        <v>3</v>
      </c>
      <c r="L152" s="779" t="s">
        <v>347</v>
      </c>
      <c r="M152" s="73"/>
      <c r="N152" s="30"/>
      <c r="O152" s="30"/>
      <c r="P152" s="73"/>
      <c r="Q152" s="30"/>
      <c r="R152" s="30"/>
      <c r="S152" s="780" t="s">
        <v>65</v>
      </c>
      <c r="T152" s="780" t="s">
        <v>65</v>
      </c>
      <c r="U152" s="781" t="s">
        <v>1918</v>
      </c>
      <c r="V152" s="782">
        <v>11</v>
      </c>
      <c r="W152" s="782" t="str">
        <f t="shared" si="5"/>
        <v>Psychologie und Psychotherapie</v>
      </c>
    </row>
    <row r="153" spans="1:23" s="21" customFormat="1" ht="12.75" x14ac:dyDescent="0.2">
      <c r="A153" s="74" t="str">
        <f t="shared" si="4"/>
        <v>331.12</v>
      </c>
      <c r="B153" s="71" t="s">
        <v>304</v>
      </c>
      <c r="C153" s="72" t="s">
        <v>1357</v>
      </c>
      <c r="D153" s="72" t="s">
        <v>65</v>
      </c>
      <c r="E153" s="72"/>
      <c r="F153" s="72">
        <v>331</v>
      </c>
      <c r="G153" s="71" t="s">
        <v>34</v>
      </c>
      <c r="H153" s="72">
        <v>12</v>
      </c>
      <c r="I153" s="72">
        <v>501.6</v>
      </c>
      <c r="J153" s="72">
        <v>9.5</v>
      </c>
      <c r="K153" s="72">
        <v>1</v>
      </c>
      <c r="L153" s="779" t="s">
        <v>347</v>
      </c>
      <c r="M153" s="73"/>
      <c r="N153" s="30"/>
      <c r="O153" s="30"/>
      <c r="P153" s="73"/>
      <c r="Q153" s="30"/>
      <c r="R153" s="30"/>
      <c r="S153" s="780"/>
      <c r="T153" s="780"/>
      <c r="U153" s="781" t="s">
        <v>1919</v>
      </c>
      <c r="V153" s="782">
        <v>12</v>
      </c>
      <c r="W153" s="782" t="str">
        <f t="shared" si="5"/>
        <v>Psychologie und Psychotherapie</v>
      </c>
    </row>
    <row r="154" spans="1:23" s="21" customFormat="1" ht="12.75" x14ac:dyDescent="0.2">
      <c r="A154" s="74" t="str">
        <f t="shared" si="4"/>
        <v>332.02</v>
      </c>
      <c r="B154" s="71" t="s">
        <v>310</v>
      </c>
      <c r="C154" s="72" t="s">
        <v>1358</v>
      </c>
      <c r="D154" s="72" t="s">
        <v>65</v>
      </c>
      <c r="E154" s="72"/>
      <c r="F154" s="72">
        <v>332</v>
      </c>
      <c r="G154" s="71" t="s">
        <v>38</v>
      </c>
      <c r="H154" s="72">
        <v>2</v>
      </c>
      <c r="I154" s="72">
        <v>748.6</v>
      </c>
      <c r="J154" s="72">
        <v>11</v>
      </c>
      <c r="K154" s="72">
        <v>10</v>
      </c>
      <c r="L154" s="779" t="s">
        <v>349</v>
      </c>
      <c r="M154" s="73"/>
      <c r="N154" s="30"/>
      <c r="O154" s="30"/>
      <c r="P154" s="73"/>
      <c r="Q154" s="30"/>
      <c r="R154" s="30"/>
      <c r="S154" s="780" t="s">
        <v>65</v>
      </c>
      <c r="T154" s="780" t="s">
        <v>65</v>
      </c>
      <c r="U154" s="781" t="s">
        <v>1920</v>
      </c>
      <c r="V154" s="782">
        <v>2</v>
      </c>
      <c r="W154" s="782" t="str">
        <f t="shared" si="5"/>
        <v>Stv. Chefarzt *</v>
      </c>
    </row>
    <row r="155" spans="1:23" s="21" customFormat="1" ht="12.75" x14ac:dyDescent="0.2">
      <c r="A155" s="74" t="str">
        <f t="shared" si="4"/>
        <v>332.05</v>
      </c>
      <c r="B155" s="783" t="s">
        <v>316</v>
      </c>
      <c r="C155" s="72" t="s">
        <v>1358</v>
      </c>
      <c r="D155" s="72" t="s">
        <v>65</v>
      </c>
      <c r="E155" s="72"/>
      <c r="F155" s="72">
        <v>332</v>
      </c>
      <c r="G155" s="71" t="s">
        <v>37</v>
      </c>
      <c r="H155" s="72">
        <v>5</v>
      </c>
      <c r="I155" s="72">
        <v>674.5</v>
      </c>
      <c r="J155" s="72">
        <v>11</v>
      </c>
      <c r="K155" s="72">
        <v>8</v>
      </c>
      <c r="L155" s="779" t="s">
        <v>349</v>
      </c>
      <c r="M155" s="73"/>
      <c r="N155" s="30"/>
      <c r="O155" s="30"/>
      <c r="P155" s="73"/>
      <c r="Q155" s="30"/>
      <c r="R155" s="30"/>
      <c r="S155" s="780" t="s">
        <v>65</v>
      </c>
      <c r="T155" s="780" t="s">
        <v>65</v>
      </c>
      <c r="U155" s="781" t="s">
        <v>1921</v>
      </c>
      <c r="V155" s="782">
        <v>5</v>
      </c>
      <c r="W155" s="782" t="str">
        <f t="shared" si="5"/>
        <v>Oberärztin/Oberarzt</v>
      </c>
    </row>
    <row r="156" spans="1:23" s="21" customFormat="1" ht="12.75" x14ac:dyDescent="0.2">
      <c r="A156" s="74" t="str">
        <f t="shared" si="4"/>
        <v>332.06</v>
      </c>
      <c r="B156" s="71" t="s">
        <v>318</v>
      </c>
      <c r="C156" s="72" t="s">
        <v>1358</v>
      </c>
      <c r="D156" s="72" t="s">
        <v>65</v>
      </c>
      <c r="E156" s="72"/>
      <c r="F156" s="72">
        <v>332</v>
      </c>
      <c r="G156" s="71" t="s">
        <v>37</v>
      </c>
      <c r="H156" s="72">
        <v>6</v>
      </c>
      <c r="I156" s="72">
        <v>642.1</v>
      </c>
      <c r="J156" s="72">
        <v>9.5</v>
      </c>
      <c r="K156" s="72">
        <v>7</v>
      </c>
      <c r="L156" s="779" t="s">
        <v>347</v>
      </c>
      <c r="M156" s="73"/>
      <c r="N156" s="30"/>
      <c r="O156" s="30"/>
      <c r="P156" s="73"/>
      <c r="Q156" s="30"/>
      <c r="R156" s="30"/>
      <c r="S156" s="780" t="s">
        <v>65</v>
      </c>
      <c r="T156" s="780" t="s">
        <v>65</v>
      </c>
      <c r="U156" s="781" t="s">
        <v>1922</v>
      </c>
      <c r="V156" s="782">
        <v>6</v>
      </c>
      <c r="W156" s="782" t="str">
        <f t="shared" si="5"/>
        <v>Oberärztin/Oberarzt</v>
      </c>
    </row>
    <row r="157" spans="1:23" s="21" customFormat="1" ht="12.75" x14ac:dyDescent="0.2">
      <c r="A157" s="74" t="str">
        <f t="shared" si="4"/>
        <v>332.08</v>
      </c>
      <c r="B157" s="71" t="s">
        <v>328</v>
      </c>
      <c r="C157" s="72" t="s">
        <v>1358</v>
      </c>
      <c r="D157" s="72" t="s">
        <v>65</v>
      </c>
      <c r="E157" s="72"/>
      <c r="F157" s="72">
        <v>332</v>
      </c>
      <c r="G157" s="71" t="s">
        <v>36</v>
      </c>
      <c r="H157" s="72">
        <v>8</v>
      </c>
      <c r="I157" s="72">
        <v>590.1</v>
      </c>
      <c r="J157" s="72">
        <v>9.5</v>
      </c>
      <c r="K157" s="72">
        <v>7</v>
      </c>
      <c r="L157" s="779" t="s">
        <v>347</v>
      </c>
      <c r="M157" s="73"/>
      <c r="N157" s="30"/>
      <c r="O157" s="30"/>
      <c r="P157" s="73"/>
      <c r="Q157" s="30"/>
      <c r="R157" s="30"/>
      <c r="S157" s="780"/>
      <c r="T157" s="780"/>
      <c r="U157" s="781" t="s">
        <v>1923</v>
      </c>
      <c r="V157" s="782">
        <v>8</v>
      </c>
      <c r="W157" s="782" t="str">
        <f t="shared" si="5"/>
        <v>Aerztin/Arzt (mbA)</v>
      </c>
    </row>
    <row r="158" spans="1:23" s="21" customFormat="1" ht="12.75" x14ac:dyDescent="0.2">
      <c r="A158" s="74" t="str">
        <f t="shared" si="4"/>
        <v>332.09</v>
      </c>
      <c r="B158" s="783" t="s">
        <v>334</v>
      </c>
      <c r="C158" s="72" t="s">
        <v>1358</v>
      </c>
      <c r="D158" s="72" t="s">
        <v>65</v>
      </c>
      <c r="E158" s="72"/>
      <c r="F158" s="72">
        <v>332</v>
      </c>
      <c r="G158" s="71" t="s">
        <v>36</v>
      </c>
      <c r="H158" s="72">
        <v>9</v>
      </c>
      <c r="I158" s="72">
        <v>581.9</v>
      </c>
      <c r="J158" s="72">
        <v>9.5</v>
      </c>
      <c r="K158" s="72">
        <v>6</v>
      </c>
      <c r="L158" s="779" t="s">
        <v>347</v>
      </c>
      <c r="M158" s="73"/>
      <c r="N158" s="30"/>
      <c r="O158" s="30"/>
      <c r="P158" s="73"/>
      <c r="Q158" s="30"/>
      <c r="R158" s="30"/>
      <c r="S158" s="780" t="s">
        <v>65</v>
      </c>
      <c r="T158" s="780" t="s">
        <v>65</v>
      </c>
      <c r="U158" s="781" t="s">
        <v>1924</v>
      </c>
      <c r="V158" s="782">
        <v>9</v>
      </c>
      <c r="W158" s="782" t="str">
        <f t="shared" si="5"/>
        <v>Aerztin/Arzt (mbA)</v>
      </c>
    </row>
    <row r="159" spans="1:23" s="21" customFormat="1" ht="12.75" x14ac:dyDescent="0.2">
      <c r="A159" s="74" t="str">
        <f t="shared" si="4"/>
        <v>332.11</v>
      </c>
      <c r="B159" s="71" t="s">
        <v>306</v>
      </c>
      <c r="C159" s="72" t="s">
        <v>1358</v>
      </c>
      <c r="D159" s="72" t="s">
        <v>65</v>
      </c>
      <c r="E159" s="72"/>
      <c r="F159" s="72">
        <v>332</v>
      </c>
      <c r="G159" s="71" t="s">
        <v>35</v>
      </c>
      <c r="H159" s="72">
        <v>11</v>
      </c>
      <c r="I159" s="72"/>
      <c r="J159" s="72">
        <v>9.5</v>
      </c>
      <c r="K159" s="72">
        <v>0</v>
      </c>
      <c r="L159" s="779" t="s">
        <v>347</v>
      </c>
      <c r="M159" s="73"/>
      <c r="N159" s="30"/>
      <c r="O159" s="30"/>
      <c r="P159" s="73"/>
      <c r="Q159" s="30"/>
      <c r="R159" s="30"/>
      <c r="S159" s="780"/>
      <c r="T159" s="780"/>
      <c r="U159" s="781" t="s">
        <v>1925</v>
      </c>
      <c r="V159" s="782">
        <v>11</v>
      </c>
      <c r="W159" s="782" t="str">
        <f t="shared" si="5"/>
        <v>Assistenzärztin/Assistenzarzt</v>
      </c>
    </row>
    <row r="160" spans="1:23" s="21" customFormat="1" ht="12.75" x14ac:dyDescent="0.2">
      <c r="A160" s="74" t="str">
        <f t="shared" si="4"/>
        <v>332.12</v>
      </c>
      <c r="B160" s="783" t="s">
        <v>172</v>
      </c>
      <c r="C160" s="72" t="s">
        <v>1358</v>
      </c>
      <c r="D160" s="72" t="s">
        <v>65</v>
      </c>
      <c r="E160" s="72"/>
      <c r="F160" s="72">
        <v>332</v>
      </c>
      <c r="G160" s="71" t="s">
        <v>35</v>
      </c>
      <c r="H160" s="72">
        <v>12</v>
      </c>
      <c r="I160" s="72">
        <v>491.1</v>
      </c>
      <c r="J160" s="72">
        <v>9.5</v>
      </c>
      <c r="K160" s="72">
        <v>0</v>
      </c>
      <c r="L160" s="779" t="s">
        <v>347</v>
      </c>
      <c r="M160" s="73"/>
      <c r="N160" s="30"/>
      <c r="O160" s="30"/>
      <c r="P160" s="73"/>
      <c r="Q160" s="30"/>
      <c r="R160" s="30"/>
      <c r="S160" s="780" t="s">
        <v>65</v>
      </c>
      <c r="T160" s="780" t="s">
        <v>65</v>
      </c>
      <c r="U160" s="781" t="s">
        <v>1926</v>
      </c>
      <c r="V160" s="782">
        <v>12</v>
      </c>
      <c r="W160" s="782" t="str">
        <f t="shared" si="5"/>
        <v>Assistenzärztin/Assistenzarzt</v>
      </c>
    </row>
    <row r="161" spans="1:23" s="21" customFormat="1" ht="12.75" x14ac:dyDescent="0.2">
      <c r="A161" s="74" t="str">
        <f t="shared" si="4"/>
        <v>341.14</v>
      </c>
      <c r="B161" s="71" t="s">
        <v>305</v>
      </c>
      <c r="C161" s="72" t="s">
        <v>1359</v>
      </c>
      <c r="D161" s="72" t="s">
        <v>65</v>
      </c>
      <c r="E161" s="72"/>
      <c r="F161" s="72">
        <v>341</v>
      </c>
      <c r="G161" s="71" t="s">
        <v>41</v>
      </c>
      <c r="H161" s="72">
        <v>14</v>
      </c>
      <c r="I161" s="72"/>
      <c r="J161" s="72">
        <v>8</v>
      </c>
      <c r="K161" s="72">
        <v>3</v>
      </c>
      <c r="L161" s="779" t="s">
        <v>352</v>
      </c>
      <c r="M161" s="73"/>
      <c r="N161" s="30"/>
      <c r="O161" s="30"/>
      <c r="P161" s="73"/>
      <c r="Q161" s="30"/>
      <c r="R161" s="30"/>
      <c r="S161" s="780"/>
      <c r="T161" s="780"/>
      <c r="U161" s="781" t="s">
        <v>1927</v>
      </c>
      <c r="V161" s="782">
        <v>14</v>
      </c>
      <c r="W161" s="782" t="str">
        <f t="shared" si="5"/>
        <v>Sozialpädagogik</v>
      </c>
    </row>
    <row r="162" spans="1:23" s="21" customFormat="1" ht="12.75" x14ac:dyDescent="0.2">
      <c r="A162" s="74" t="str">
        <f t="shared" si="4"/>
        <v>341.15a</v>
      </c>
      <c r="B162" s="783" t="s">
        <v>229</v>
      </c>
      <c r="C162" s="72" t="s">
        <v>1359</v>
      </c>
      <c r="D162" s="72" t="s">
        <v>66</v>
      </c>
      <c r="E162" s="72"/>
      <c r="F162" s="72" t="s">
        <v>40</v>
      </c>
      <c r="G162" s="71" t="s">
        <v>41</v>
      </c>
      <c r="H162" s="72">
        <v>15</v>
      </c>
      <c r="I162" s="72">
        <v>431.6</v>
      </c>
      <c r="J162" s="72">
        <v>8</v>
      </c>
      <c r="K162" s="72">
        <v>2</v>
      </c>
      <c r="L162" s="779" t="s">
        <v>352</v>
      </c>
      <c r="M162" s="73"/>
      <c r="N162" s="30"/>
      <c r="O162" s="30"/>
      <c r="P162" s="73"/>
      <c r="Q162" s="30"/>
      <c r="R162" s="30"/>
      <c r="S162" s="780" t="s">
        <v>65</v>
      </c>
      <c r="T162" s="780" t="s">
        <v>65</v>
      </c>
      <c r="U162" s="781" t="s">
        <v>1360</v>
      </c>
      <c r="V162" s="782">
        <v>15</v>
      </c>
      <c r="W162" s="782" t="str">
        <f t="shared" si="5"/>
        <v>Sozialpädagogik</v>
      </c>
    </row>
    <row r="163" spans="1:23" s="21" customFormat="1" ht="12.75" x14ac:dyDescent="0.2">
      <c r="A163" s="74" t="str">
        <f t="shared" si="4"/>
        <v>341.15b</v>
      </c>
      <c r="B163" s="783" t="s">
        <v>230</v>
      </c>
      <c r="C163" s="72" t="s">
        <v>1359</v>
      </c>
      <c r="D163" s="72" t="s">
        <v>67</v>
      </c>
      <c r="E163" s="72"/>
      <c r="F163" s="72" t="s">
        <v>42</v>
      </c>
      <c r="G163" s="71" t="s">
        <v>43</v>
      </c>
      <c r="H163" s="72">
        <v>15</v>
      </c>
      <c r="I163" s="72">
        <v>426</v>
      </c>
      <c r="J163" s="72">
        <v>5.5</v>
      </c>
      <c r="K163" s="72">
        <v>6</v>
      </c>
      <c r="L163" s="779" t="s">
        <v>671</v>
      </c>
      <c r="M163" s="73"/>
      <c r="N163" s="30"/>
      <c r="O163" s="30"/>
      <c r="P163" s="73"/>
      <c r="Q163" s="30"/>
      <c r="R163" s="30"/>
      <c r="S163" s="780" t="s">
        <v>65</v>
      </c>
      <c r="T163" s="780" t="s">
        <v>65</v>
      </c>
      <c r="U163" s="781" t="s">
        <v>1361</v>
      </c>
      <c r="V163" s="782">
        <v>15</v>
      </c>
      <c r="W163" s="782" t="str">
        <f t="shared" si="5"/>
        <v>Sozialpädagogik-Gefangenenbetreuung</v>
      </c>
    </row>
    <row r="164" spans="1:23" s="21" customFormat="1" ht="12.75" x14ac:dyDescent="0.2">
      <c r="A164" s="74" t="str">
        <f t="shared" si="4"/>
        <v>341.15c</v>
      </c>
      <c r="B164" s="783" t="s">
        <v>1236</v>
      </c>
      <c r="C164" s="72">
        <v>341</v>
      </c>
      <c r="D164" s="72" t="s">
        <v>76</v>
      </c>
      <c r="E164" s="72"/>
      <c r="F164" s="72" t="s">
        <v>1362</v>
      </c>
      <c r="G164" s="71" t="s">
        <v>1238</v>
      </c>
      <c r="H164" s="72">
        <v>15</v>
      </c>
      <c r="I164" s="72"/>
      <c r="J164" s="72">
        <v>8</v>
      </c>
      <c r="K164" s="72">
        <v>2</v>
      </c>
      <c r="L164" s="779" t="s">
        <v>352</v>
      </c>
      <c r="M164" s="73"/>
      <c r="N164" s="30"/>
      <c r="O164" s="30"/>
      <c r="P164" s="73"/>
      <c r="Q164" s="30"/>
      <c r="R164" s="30"/>
      <c r="S164" s="780"/>
      <c r="T164" s="780"/>
      <c r="U164" s="781" t="s">
        <v>1363</v>
      </c>
      <c r="V164" s="782">
        <v>15</v>
      </c>
      <c r="W164" s="782" t="str">
        <f t="shared" si="5"/>
        <v>Sozialpädagogik im Schulbereich</v>
      </c>
    </row>
    <row r="165" spans="1:23" s="21" customFormat="1" ht="12.75" x14ac:dyDescent="0.2">
      <c r="A165" s="74" t="str">
        <f t="shared" si="4"/>
        <v>341.16</v>
      </c>
      <c r="B165" s="71" t="s">
        <v>173</v>
      </c>
      <c r="C165" s="72" t="s">
        <v>1359</v>
      </c>
      <c r="D165" s="72" t="s">
        <v>65</v>
      </c>
      <c r="E165" s="72"/>
      <c r="F165" s="72">
        <v>341</v>
      </c>
      <c r="G165" s="71" t="s">
        <v>39</v>
      </c>
      <c r="H165" s="72">
        <v>16</v>
      </c>
      <c r="I165" s="72"/>
      <c r="J165" s="72">
        <v>5</v>
      </c>
      <c r="K165" s="72">
        <v>6</v>
      </c>
      <c r="L165" s="779" t="s">
        <v>87</v>
      </c>
      <c r="M165" s="73"/>
      <c r="N165" s="30">
        <v>5.5</v>
      </c>
      <c r="O165" s="30">
        <v>4</v>
      </c>
      <c r="P165" s="73"/>
      <c r="Q165" s="30">
        <v>8</v>
      </c>
      <c r="R165" s="30">
        <v>0</v>
      </c>
      <c r="S165" s="780" t="s">
        <v>671</v>
      </c>
      <c r="T165" s="780" t="s">
        <v>352</v>
      </c>
      <c r="U165" s="781" t="s">
        <v>1928</v>
      </c>
      <c r="V165" s="782">
        <v>16</v>
      </c>
      <c r="W165" s="782" t="str">
        <f t="shared" si="5"/>
        <v>Sozialpädagogik-Kleinkindererziehung</v>
      </c>
    </row>
    <row r="166" spans="1:23" s="21" customFormat="1" ht="12.75" x14ac:dyDescent="0.2">
      <c r="A166" s="74" t="str">
        <f t="shared" si="4"/>
        <v>341.17</v>
      </c>
      <c r="B166" s="783" t="s">
        <v>174</v>
      </c>
      <c r="C166" s="72" t="s">
        <v>1359</v>
      </c>
      <c r="D166" s="72" t="s">
        <v>65</v>
      </c>
      <c r="E166" s="72"/>
      <c r="F166" s="72">
        <v>341</v>
      </c>
      <c r="G166" s="71" t="s">
        <v>39</v>
      </c>
      <c r="H166" s="72">
        <v>17</v>
      </c>
      <c r="I166" s="72">
        <v>369.4</v>
      </c>
      <c r="J166" s="72">
        <v>5</v>
      </c>
      <c r="K166" s="72">
        <v>4</v>
      </c>
      <c r="L166" s="779" t="s">
        <v>87</v>
      </c>
      <c r="M166" s="73"/>
      <c r="N166" s="30"/>
      <c r="O166" s="30"/>
      <c r="P166" s="73"/>
      <c r="Q166" s="30"/>
      <c r="R166" s="30"/>
      <c r="S166" s="780"/>
      <c r="T166" s="780" t="s">
        <v>65</v>
      </c>
      <c r="U166" s="781" t="s">
        <v>1929</v>
      </c>
      <c r="V166" s="782">
        <v>17</v>
      </c>
      <c r="W166" s="782" t="str">
        <f t="shared" si="5"/>
        <v>Sozialpädagogik-Kleinkindererziehung</v>
      </c>
    </row>
    <row r="167" spans="1:23" s="21" customFormat="1" ht="12.75" x14ac:dyDescent="0.2">
      <c r="A167" s="74" t="str">
        <f t="shared" si="4"/>
        <v>341.18</v>
      </c>
      <c r="B167" s="71" t="s">
        <v>175</v>
      </c>
      <c r="C167" s="72" t="s">
        <v>1359</v>
      </c>
      <c r="D167" s="72" t="s">
        <v>65</v>
      </c>
      <c r="E167" s="72"/>
      <c r="F167" s="72">
        <v>341</v>
      </c>
      <c r="G167" s="71" t="s">
        <v>39</v>
      </c>
      <c r="H167" s="72">
        <v>18</v>
      </c>
      <c r="I167" s="72"/>
      <c r="J167" s="72">
        <v>5</v>
      </c>
      <c r="K167" s="72">
        <v>2</v>
      </c>
      <c r="L167" s="779" t="s">
        <v>87</v>
      </c>
      <c r="M167" s="73"/>
      <c r="N167" s="30"/>
      <c r="O167" s="30"/>
      <c r="P167" s="73"/>
      <c r="Q167" s="30"/>
      <c r="R167" s="30"/>
      <c r="S167" s="780"/>
      <c r="T167" s="780" t="s">
        <v>65</v>
      </c>
      <c r="U167" s="781" t="s">
        <v>1930</v>
      </c>
      <c r="V167" s="782">
        <v>18</v>
      </c>
      <c r="W167" s="782" t="str">
        <f t="shared" si="5"/>
        <v>Sozialpädagogik-Kleinkindererziehung</v>
      </c>
    </row>
    <row r="168" spans="1:23" s="21" customFormat="1" ht="12.75" x14ac:dyDescent="0.2">
      <c r="A168" s="74" t="str">
        <f t="shared" si="4"/>
        <v>341.19</v>
      </c>
      <c r="B168" s="783" t="s">
        <v>176</v>
      </c>
      <c r="C168" s="72" t="s">
        <v>1359</v>
      </c>
      <c r="D168" s="72" t="s">
        <v>65</v>
      </c>
      <c r="E168" s="72"/>
      <c r="F168" s="72">
        <v>341</v>
      </c>
      <c r="G168" s="71" t="s">
        <v>39</v>
      </c>
      <c r="H168" s="72">
        <v>19</v>
      </c>
      <c r="I168" s="72">
        <v>325.5</v>
      </c>
      <c r="J168" s="72">
        <v>5</v>
      </c>
      <c r="K168" s="72">
        <v>1</v>
      </c>
      <c r="L168" s="779" t="s">
        <v>87</v>
      </c>
      <c r="M168" s="73"/>
      <c r="N168" s="30"/>
      <c r="O168" s="30"/>
      <c r="P168" s="73"/>
      <c r="Q168" s="30"/>
      <c r="R168" s="30"/>
      <c r="S168" s="780"/>
      <c r="T168" s="780" t="s">
        <v>65</v>
      </c>
      <c r="U168" s="781" t="s">
        <v>1931</v>
      </c>
      <c r="V168" s="782">
        <v>19</v>
      </c>
      <c r="W168" s="782" t="str">
        <f t="shared" si="5"/>
        <v>Sozialpädagogik-Kleinkindererziehung</v>
      </c>
    </row>
    <row r="169" spans="1:23" s="21" customFormat="1" ht="12.75" x14ac:dyDescent="0.2">
      <c r="A169" s="74" t="str">
        <f t="shared" si="4"/>
        <v>342.13</v>
      </c>
      <c r="B169" s="71" t="s">
        <v>307</v>
      </c>
      <c r="C169" s="72" t="s">
        <v>1364</v>
      </c>
      <c r="D169" s="72" t="s">
        <v>65</v>
      </c>
      <c r="E169" s="72"/>
      <c r="F169" s="72">
        <v>342</v>
      </c>
      <c r="G169" s="71" t="s">
        <v>44</v>
      </c>
      <c r="H169" s="72">
        <v>13</v>
      </c>
      <c r="I169" s="72">
        <v>465.4</v>
      </c>
      <c r="J169" s="72">
        <v>8</v>
      </c>
      <c r="K169" s="72">
        <v>5</v>
      </c>
      <c r="L169" s="779" t="s">
        <v>352</v>
      </c>
      <c r="M169" s="73"/>
      <c r="N169" s="30"/>
      <c r="O169" s="30"/>
      <c r="P169" s="73"/>
      <c r="Q169" s="30"/>
      <c r="R169" s="30"/>
      <c r="S169" s="780"/>
      <c r="T169" s="780"/>
      <c r="U169" s="781" t="s">
        <v>1932</v>
      </c>
      <c r="V169" s="782">
        <v>13</v>
      </c>
      <c r="W169" s="782" t="str">
        <f t="shared" si="5"/>
        <v>Sozialarbeit</v>
      </c>
    </row>
    <row r="170" spans="1:23" s="21" customFormat="1" ht="12.75" x14ac:dyDescent="0.2">
      <c r="A170" s="74" t="str">
        <f t="shared" si="4"/>
        <v>342.14</v>
      </c>
      <c r="B170" s="783" t="s">
        <v>177</v>
      </c>
      <c r="C170" s="72" t="s">
        <v>1364</v>
      </c>
      <c r="D170" s="72" t="s">
        <v>65</v>
      </c>
      <c r="E170" s="72"/>
      <c r="F170" s="72">
        <v>342</v>
      </c>
      <c r="G170" s="71" t="s">
        <v>44</v>
      </c>
      <c r="H170" s="72">
        <v>14</v>
      </c>
      <c r="I170" s="72">
        <v>447.2</v>
      </c>
      <c r="J170" s="72">
        <v>8</v>
      </c>
      <c r="K170" s="72">
        <v>3</v>
      </c>
      <c r="L170" s="779" t="s">
        <v>352</v>
      </c>
      <c r="M170" s="73"/>
      <c r="N170" s="30"/>
      <c r="O170" s="30"/>
      <c r="P170" s="73"/>
      <c r="Q170" s="30"/>
      <c r="R170" s="30"/>
      <c r="S170" s="780"/>
      <c r="T170" s="780" t="s">
        <v>65</v>
      </c>
      <c r="U170" s="781" t="s">
        <v>1933</v>
      </c>
      <c r="V170" s="782">
        <v>14</v>
      </c>
      <c r="W170" s="782" t="str">
        <f t="shared" si="5"/>
        <v>Sozialarbeit</v>
      </c>
    </row>
    <row r="171" spans="1:23" s="21" customFormat="1" ht="12.75" x14ac:dyDescent="0.2">
      <c r="A171" s="74" t="str">
        <f t="shared" si="4"/>
        <v>342.15</v>
      </c>
      <c r="B171" s="71" t="s">
        <v>178</v>
      </c>
      <c r="C171" s="72" t="s">
        <v>1364</v>
      </c>
      <c r="D171" s="72" t="s">
        <v>65</v>
      </c>
      <c r="E171" s="72"/>
      <c r="F171" s="72">
        <v>342</v>
      </c>
      <c r="G171" s="71" t="s">
        <v>44</v>
      </c>
      <c r="H171" s="72">
        <v>15</v>
      </c>
      <c r="I171" s="72"/>
      <c r="J171" s="72">
        <v>8</v>
      </c>
      <c r="K171" s="72">
        <v>2</v>
      </c>
      <c r="L171" s="779" t="s">
        <v>352</v>
      </c>
      <c r="M171" s="73"/>
      <c r="N171" s="30"/>
      <c r="O171" s="30"/>
      <c r="P171" s="73"/>
      <c r="Q171" s="30"/>
      <c r="R171" s="30"/>
      <c r="S171" s="780"/>
      <c r="T171" s="780" t="s">
        <v>65</v>
      </c>
      <c r="U171" s="781" t="s">
        <v>1365</v>
      </c>
      <c r="V171" s="782">
        <v>15</v>
      </c>
      <c r="W171" s="782" t="str">
        <f t="shared" si="5"/>
        <v>Sozialarbeit</v>
      </c>
    </row>
    <row r="172" spans="1:23" s="21" customFormat="1" ht="12.75" x14ac:dyDescent="0.2">
      <c r="A172" s="74" t="str">
        <f t="shared" si="4"/>
        <v>342.16</v>
      </c>
      <c r="B172" s="783" t="s">
        <v>179</v>
      </c>
      <c r="C172" s="72" t="s">
        <v>1364</v>
      </c>
      <c r="D172" s="72" t="s">
        <v>65</v>
      </c>
      <c r="E172" s="72"/>
      <c r="F172" s="72">
        <v>342</v>
      </c>
      <c r="G172" s="71" t="s">
        <v>44</v>
      </c>
      <c r="H172" s="72">
        <v>16</v>
      </c>
      <c r="I172" s="72">
        <v>406.8</v>
      </c>
      <c r="J172" s="72">
        <v>8</v>
      </c>
      <c r="K172" s="72">
        <v>1</v>
      </c>
      <c r="L172" s="779" t="s">
        <v>352</v>
      </c>
      <c r="M172" s="73"/>
      <c r="N172" s="30"/>
      <c r="O172" s="30"/>
      <c r="P172" s="73"/>
      <c r="Q172" s="30"/>
      <c r="R172" s="30"/>
      <c r="S172" s="780"/>
      <c r="T172" s="780" t="s">
        <v>65</v>
      </c>
      <c r="U172" s="781" t="s">
        <v>1366</v>
      </c>
      <c r="V172" s="782">
        <v>16</v>
      </c>
      <c r="W172" s="782" t="str">
        <f t="shared" si="5"/>
        <v>Sozialarbeit</v>
      </c>
    </row>
    <row r="173" spans="1:23" s="21" customFormat="1" ht="12.75" x14ac:dyDescent="0.2">
      <c r="A173" s="74" t="str">
        <f t="shared" si="4"/>
        <v>401A.14</v>
      </c>
      <c r="B173" s="25" t="s">
        <v>231</v>
      </c>
      <c r="C173" s="76" t="s">
        <v>1367</v>
      </c>
      <c r="D173" s="76"/>
      <c r="E173" s="76"/>
      <c r="F173" s="76"/>
      <c r="G173" s="25" t="s">
        <v>356</v>
      </c>
      <c r="H173" s="76">
        <v>14</v>
      </c>
      <c r="I173" s="76">
        <v>444</v>
      </c>
      <c r="J173" s="76">
        <v>6.5</v>
      </c>
      <c r="K173" s="76">
        <v>2</v>
      </c>
      <c r="L173" s="804" t="s">
        <v>346</v>
      </c>
      <c r="M173" s="31"/>
      <c r="N173" s="32"/>
      <c r="O173" s="32"/>
      <c r="P173" s="31"/>
      <c r="Q173" s="32"/>
      <c r="R173" s="32"/>
      <c r="S173" s="805"/>
      <c r="T173" s="805"/>
      <c r="U173" s="781" t="s">
        <v>1368</v>
      </c>
      <c r="V173" s="782">
        <v>14</v>
      </c>
      <c r="W173" s="782" t="str">
        <f t="shared" si="5"/>
        <v>Kindergarten</v>
      </c>
    </row>
    <row r="174" spans="1:23" s="21" customFormat="1" ht="12.75" x14ac:dyDescent="0.2">
      <c r="A174" s="74" t="str">
        <f t="shared" si="4"/>
        <v>401C.14</v>
      </c>
      <c r="B174" s="28" t="s">
        <v>358</v>
      </c>
      <c r="C174" s="79" t="s">
        <v>1367</v>
      </c>
      <c r="D174" s="79"/>
      <c r="E174" s="79"/>
      <c r="F174" s="79"/>
      <c r="G174" s="28" t="s">
        <v>357</v>
      </c>
      <c r="H174" s="79">
        <v>14</v>
      </c>
      <c r="I174" s="79" t="s">
        <v>65</v>
      </c>
      <c r="J174" s="79">
        <v>6.5</v>
      </c>
      <c r="K174" s="79">
        <v>2</v>
      </c>
      <c r="L174" s="791" t="s">
        <v>346</v>
      </c>
      <c r="M174" s="35"/>
      <c r="N174" s="36"/>
      <c r="O174" s="36"/>
      <c r="P174" s="35"/>
      <c r="Q174" s="36"/>
      <c r="R174" s="36"/>
      <c r="S174" s="792"/>
      <c r="T174" s="792" t="s">
        <v>65</v>
      </c>
      <c r="U174" s="781" t="s">
        <v>1369</v>
      </c>
      <c r="V174" s="782">
        <v>14</v>
      </c>
      <c r="W174" s="782" t="str">
        <f t="shared" si="5"/>
        <v>Vorschulheilpädagogischer Dienst</v>
      </c>
    </row>
    <row r="175" spans="1:23" s="21" customFormat="1" ht="12.75" x14ac:dyDescent="0.2">
      <c r="A175" s="74" t="str">
        <f t="shared" si="4"/>
        <v>401S.11</v>
      </c>
      <c r="B175" s="28" t="s">
        <v>572</v>
      </c>
      <c r="C175" s="79" t="s">
        <v>1367</v>
      </c>
      <c r="D175" s="79"/>
      <c r="E175" s="79"/>
      <c r="F175" s="79" t="s">
        <v>1367</v>
      </c>
      <c r="G175" s="28" t="s">
        <v>562</v>
      </c>
      <c r="H175" s="79">
        <v>11</v>
      </c>
      <c r="I175" s="79"/>
      <c r="J175" s="79">
        <v>7.5</v>
      </c>
      <c r="K175" s="79">
        <v>5</v>
      </c>
      <c r="L175" s="791" t="s">
        <v>674</v>
      </c>
      <c r="M175" s="35"/>
      <c r="N175" s="36"/>
      <c r="O175" s="36"/>
      <c r="P175" s="35"/>
      <c r="Q175" s="36"/>
      <c r="R175" s="36"/>
      <c r="S175" s="792"/>
      <c r="T175" s="792"/>
      <c r="U175" s="781" t="s">
        <v>1370</v>
      </c>
      <c r="V175" s="782">
        <v>11</v>
      </c>
      <c r="W175" s="782" t="str">
        <f t="shared" si="5"/>
        <v>Kindergarten mit VSH</v>
      </c>
    </row>
    <row r="176" spans="1:23" s="21" customFormat="1" ht="12.75" x14ac:dyDescent="0.2">
      <c r="A176" s="74" t="str">
        <f t="shared" si="4"/>
        <v>401S.12</v>
      </c>
      <c r="B176" s="28" t="s">
        <v>571</v>
      </c>
      <c r="C176" s="79" t="s">
        <v>1367</v>
      </c>
      <c r="D176" s="79"/>
      <c r="E176" s="79"/>
      <c r="F176" s="79" t="s">
        <v>1367</v>
      </c>
      <c r="G176" s="28" t="s">
        <v>561</v>
      </c>
      <c r="H176" s="79">
        <v>12</v>
      </c>
      <c r="I176" s="79"/>
      <c r="J176" s="79">
        <v>6.5</v>
      </c>
      <c r="K176" s="79">
        <v>5</v>
      </c>
      <c r="L176" s="791" t="s">
        <v>346</v>
      </c>
      <c r="M176" s="35"/>
      <c r="N176" s="36"/>
      <c r="O176" s="36"/>
      <c r="P176" s="35"/>
      <c r="Q176" s="36"/>
      <c r="R176" s="36"/>
      <c r="S176" s="792"/>
      <c r="T176" s="792"/>
      <c r="U176" s="781" t="s">
        <v>1371</v>
      </c>
      <c r="V176" s="782">
        <v>12</v>
      </c>
      <c r="W176" s="782" t="str">
        <f t="shared" si="5"/>
        <v>Kindergarten ohne VSH</v>
      </c>
    </row>
    <row r="177" spans="1:23" s="21" customFormat="1" ht="12.75" x14ac:dyDescent="0.2">
      <c r="A177" s="74" t="str">
        <f t="shared" si="4"/>
        <v>401T.11</v>
      </c>
      <c r="B177" s="25" t="s">
        <v>577</v>
      </c>
      <c r="C177" s="76" t="s">
        <v>1367</v>
      </c>
      <c r="D177" s="76"/>
      <c r="E177" s="76"/>
      <c r="F177" s="76" t="s">
        <v>1367</v>
      </c>
      <c r="G177" s="25" t="s">
        <v>567</v>
      </c>
      <c r="H177" s="76">
        <v>11</v>
      </c>
      <c r="I177" s="76"/>
      <c r="J177" s="76">
        <v>7.5</v>
      </c>
      <c r="K177" s="76">
        <v>5</v>
      </c>
      <c r="L177" s="804" t="s">
        <v>674</v>
      </c>
      <c r="M177" s="31"/>
      <c r="N177" s="32"/>
      <c r="O177" s="32"/>
      <c r="P177" s="31"/>
      <c r="Q177" s="32"/>
      <c r="R177" s="32"/>
      <c r="S177" s="805"/>
      <c r="T177" s="805"/>
      <c r="U177" s="781" t="s">
        <v>1372</v>
      </c>
      <c r="V177" s="782">
        <v>11</v>
      </c>
      <c r="W177" s="782" t="str">
        <f t="shared" si="5"/>
        <v>Kindergarten mit VSH (TZ)</v>
      </c>
    </row>
    <row r="178" spans="1:23" s="21" customFormat="1" ht="12.75" x14ac:dyDescent="0.2">
      <c r="A178" s="74" t="str">
        <f t="shared" si="4"/>
        <v>401T.12</v>
      </c>
      <c r="B178" s="25" t="s">
        <v>576</v>
      </c>
      <c r="C178" s="76" t="s">
        <v>1367</v>
      </c>
      <c r="D178" s="76"/>
      <c r="E178" s="76"/>
      <c r="F178" s="76" t="s">
        <v>1367</v>
      </c>
      <c r="G178" s="25" t="s">
        <v>566</v>
      </c>
      <c r="H178" s="76">
        <v>12</v>
      </c>
      <c r="I178" s="76"/>
      <c r="J178" s="76">
        <v>6.5</v>
      </c>
      <c r="K178" s="76">
        <v>5</v>
      </c>
      <c r="L178" s="804" t="s">
        <v>346</v>
      </c>
      <c r="M178" s="31"/>
      <c r="N178" s="32"/>
      <c r="O178" s="32"/>
      <c r="P178" s="31"/>
      <c r="Q178" s="32"/>
      <c r="R178" s="32"/>
      <c r="S178" s="805"/>
      <c r="T178" s="805"/>
      <c r="U178" s="781" t="s">
        <v>1373</v>
      </c>
      <c r="V178" s="782">
        <v>12</v>
      </c>
      <c r="W178" s="782" t="str">
        <f t="shared" si="5"/>
        <v>Kindergarten ohne VSH (TZ)</v>
      </c>
    </row>
    <row r="179" spans="1:23" s="21" customFormat="1" ht="12.75" x14ac:dyDescent="0.2">
      <c r="A179" s="74" t="str">
        <f t="shared" si="4"/>
        <v>402.13</v>
      </c>
      <c r="B179" s="783" t="s">
        <v>1374</v>
      </c>
      <c r="C179" s="76">
        <v>401</v>
      </c>
      <c r="D179" s="76"/>
      <c r="E179" s="76"/>
      <c r="F179" s="76">
        <v>401</v>
      </c>
      <c r="G179" s="25" t="s">
        <v>1375</v>
      </c>
      <c r="H179" s="76">
        <v>13</v>
      </c>
      <c r="I179" s="76">
        <v>469.6</v>
      </c>
      <c r="J179" s="76">
        <v>8</v>
      </c>
      <c r="K179" s="76">
        <v>2</v>
      </c>
      <c r="L179" s="804" t="s">
        <v>352</v>
      </c>
      <c r="M179" s="31"/>
      <c r="N179" s="32"/>
      <c r="O179" s="32"/>
      <c r="P179" s="31"/>
      <c r="Q179" s="32"/>
      <c r="R179" s="32"/>
      <c r="S179" s="805"/>
      <c r="T179" s="805"/>
      <c r="U179" s="781" t="s">
        <v>1376</v>
      </c>
      <c r="V179" s="782">
        <v>13</v>
      </c>
      <c r="W179" s="782" t="str">
        <f t="shared" si="5"/>
        <v>Lehrperson Primarstufe (1. - 8. SJ)</v>
      </c>
    </row>
    <row r="180" spans="1:23" s="21" customFormat="1" ht="12.75" x14ac:dyDescent="0.2">
      <c r="A180" s="74" t="str">
        <f t="shared" si="4"/>
        <v>402.PS</v>
      </c>
      <c r="B180" s="28" t="s">
        <v>708</v>
      </c>
      <c r="C180" s="79" t="s">
        <v>1367</v>
      </c>
      <c r="D180" s="79"/>
      <c r="E180" s="79"/>
      <c r="F180" s="79"/>
      <c r="G180" s="28" t="s">
        <v>709</v>
      </c>
      <c r="H180" s="79">
        <v>13</v>
      </c>
      <c r="I180" s="79">
        <v>469.6</v>
      </c>
      <c r="J180" s="79">
        <v>8</v>
      </c>
      <c r="K180" s="79">
        <v>2</v>
      </c>
      <c r="L180" s="791" t="s">
        <v>352</v>
      </c>
      <c r="M180" s="35"/>
      <c r="N180" s="36"/>
      <c r="O180" s="36"/>
      <c r="P180" s="35"/>
      <c r="Q180" s="36"/>
      <c r="R180" s="36"/>
      <c r="S180" s="792"/>
      <c r="T180" s="792" t="s">
        <v>65</v>
      </c>
      <c r="U180" s="781" t="s">
        <v>1377</v>
      </c>
      <c r="V180" s="782">
        <v>13</v>
      </c>
      <c r="W180" s="782" t="str">
        <f t="shared" si="5"/>
        <v>Lehrperson Primarstufe</v>
      </c>
    </row>
    <row r="181" spans="1:23" s="21" customFormat="1" ht="12.75" x14ac:dyDescent="0.2">
      <c r="A181" s="74" t="str">
        <f t="shared" si="4"/>
        <v>402A.13</v>
      </c>
      <c r="B181" s="25" t="s">
        <v>232</v>
      </c>
      <c r="C181" s="76" t="s">
        <v>1378</v>
      </c>
      <c r="D181" s="76"/>
      <c r="E181" s="76"/>
      <c r="F181" s="76"/>
      <c r="G181" s="25" t="s">
        <v>359</v>
      </c>
      <c r="H181" s="76">
        <v>13</v>
      </c>
      <c r="I181" s="76">
        <v>471.4</v>
      </c>
      <c r="J181" s="76">
        <v>8</v>
      </c>
      <c r="K181" s="76">
        <v>3</v>
      </c>
      <c r="L181" s="804" t="s">
        <v>352</v>
      </c>
      <c r="M181" s="31"/>
      <c r="N181" s="32"/>
      <c r="O181" s="32"/>
      <c r="P181" s="31"/>
      <c r="Q181" s="32"/>
      <c r="R181" s="32"/>
      <c r="S181" s="805"/>
      <c r="T181" s="805"/>
      <c r="U181" s="781" t="s">
        <v>1379</v>
      </c>
      <c r="V181" s="782">
        <v>13</v>
      </c>
      <c r="W181" s="782" t="str">
        <f t="shared" si="5"/>
        <v>Primar</v>
      </c>
    </row>
    <row r="182" spans="1:23" s="21" customFormat="1" ht="12.75" x14ac:dyDescent="0.2">
      <c r="A182" s="74" t="str">
        <f t="shared" si="4"/>
        <v>402A.PS</v>
      </c>
      <c r="B182" s="28" t="s">
        <v>710</v>
      </c>
      <c r="C182" s="79" t="s">
        <v>1367</v>
      </c>
      <c r="D182" s="79"/>
      <c r="E182" s="79"/>
      <c r="F182" s="79"/>
      <c r="G182" s="28" t="s">
        <v>711</v>
      </c>
      <c r="H182" s="79">
        <v>14</v>
      </c>
      <c r="I182" s="79"/>
      <c r="J182" s="79">
        <v>8</v>
      </c>
      <c r="K182" s="79">
        <v>2</v>
      </c>
      <c r="L182" s="791" t="s">
        <v>352</v>
      </c>
      <c r="M182" s="35"/>
      <c r="N182" s="36"/>
      <c r="O182" s="36"/>
      <c r="P182" s="35"/>
      <c r="Q182" s="36"/>
      <c r="R182" s="36"/>
      <c r="S182" s="792"/>
      <c r="T182" s="792" t="s">
        <v>65</v>
      </c>
      <c r="U182" s="781" t="s">
        <v>1380</v>
      </c>
      <c r="V182" s="782">
        <v>14</v>
      </c>
      <c r="W182" s="782" t="str">
        <f t="shared" si="5"/>
        <v>Lehrperson Primarstufe (Lehrdipl. andere Schulstufe Volkssch.)</v>
      </c>
    </row>
    <row r="183" spans="1:23" s="21" customFormat="1" ht="12.75" x14ac:dyDescent="0.2">
      <c r="A183" s="74" t="str">
        <f t="shared" si="4"/>
        <v>402B.14</v>
      </c>
      <c r="B183" s="25" t="s">
        <v>233</v>
      </c>
      <c r="C183" s="76" t="s">
        <v>1378</v>
      </c>
      <c r="D183" s="76"/>
      <c r="E183" s="76"/>
      <c r="F183" s="76"/>
      <c r="G183" s="25" t="s">
        <v>360</v>
      </c>
      <c r="H183" s="76">
        <v>14</v>
      </c>
      <c r="I183" s="76">
        <v>450.6</v>
      </c>
      <c r="J183" s="76">
        <v>6.5</v>
      </c>
      <c r="K183" s="76">
        <v>2</v>
      </c>
      <c r="L183" s="804" t="s">
        <v>346</v>
      </c>
      <c r="M183" s="31"/>
      <c r="N183" s="32"/>
      <c r="O183" s="32"/>
      <c r="P183" s="31"/>
      <c r="Q183" s="32"/>
      <c r="R183" s="32"/>
      <c r="S183" s="805"/>
      <c r="T183" s="805"/>
      <c r="U183" s="781" t="s">
        <v>1381</v>
      </c>
      <c r="V183" s="782">
        <v>14</v>
      </c>
      <c r="W183" s="782" t="str">
        <f t="shared" si="5"/>
        <v>Textilarbeit/Werken</v>
      </c>
    </row>
    <row r="184" spans="1:23" s="21" customFormat="1" ht="12.75" x14ac:dyDescent="0.2">
      <c r="A184" s="74" t="str">
        <f t="shared" si="4"/>
        <v>402B.PS</v>
      </c>
      <c r="B184" s="28" t="s">
        <v>712</v>
      </c>
      <c r="C184" s="79" t="s">
        <v>1367</v>
      </c>
      <c r="D184" s="79"/>
      <c r="E184" s="79"/>
      <c r="F184" s="79"/>
      <c r="G184" s="28" t="s">
        <v>713</v>
      </c>
      <c r="H184" s="79">
        <v>15</v>
      </c>
      <c r="I184" s="79"/>
      <c r="J184" s="79">
        <v>8</v>
      </c>
      <c r="K184" s="79">
        <v>2</v>
      </c>
      <c r="L184" s="791" t="s">
        <v>352</v>
      </c>
      <c r="M184" s="35"/>
      <c r="N184" s="36"/>
      <c r="O184" s="36"/>
      <c r="P184" s="35"/>
      <c r="Q184" s="36"/>
      <c r="R184" s="36"/>
      <c r="S184" s="792"/>
      <c r="T184" s="792" t="s">
        <v>65</v>
      </c>
      <c r="U184" s="781" t="s">
        <v>1382</v>
      </c>
      <c r="V184" s="782">
        <v>15</v>
      </c>
      <c r="W184" s="782" t="str">
        <f t="shared" si="5"/>
        <v>Lehrperson Primarstufe (Lehrdipl. andere Schulstufe ausserh. Volkssch.)</v>
      </c>
    </row>
    <row r="185" spans="1:23" s="21" customFormat="1" ht="12.75" x14ac:dyDescent="0.2">
      <c r="A185" s="74" t="str">
        <f t="shared" si="4"/>
        <v>402C.13</v>
      </c>
      <c r="B185" s="25" t="s">
        <v>234</v>
      </c>
      <c r="C185" s="76" t="s">
        <v>1378</v>
      </c>
      <c r="D185" s="76"/>
      <c r="E185" s="76"/>
      <c r="F185" s="76"/>
      <c r="G185" s="25" t="s">
        <v>361</v>
      </c>
      <c r="H185" s="76">
        <v>13</v>
      </c>
      <c r="I185" s="76">
        <v>472.3</v>
      </c>
      <c r="J185" s="76">
        <v>8</v>
      </c>
      <c r="K185" s="76">
        <v>3</v>
      </c>
      <c r="L185" s="804" t="s">
        <v>352</v>
      </c>
      <c r="M185" s="31"/>
      <c r="N185" s="32"/>
      <c r="O185" s="32"/>
      <c r="P185" s="31"/>
      <c r="Q185" s="32"/>
      <c r="R185" s="32"/>
      <c r="S185" s="805" t="s">
        <v>65</v>
      </c>
      <c r="T185" s="805" t="s">
        <v>65</v>
      </c>
      <c r="U185" s="781" t="s">
        <v>1383</v>
      </c>
      <c r="V185" s="782">
        <v>13</v>
      </c>
      <c r="W185" s="782" t="str">
        <f t="shared" si="5"/>
        <v>Stützunterricht (Lega oder DfF)</v>
      </c>
    </row>
    <row r="186" spans="1:23" s="21" customFormat="1" ht="12.75" x14ac:dyDescent="0.2">
      <c r="A186" s="74" t="str">
        <f t="shared" si="4"/>
        <v>402C.PS</v>
      </c>
      <c r="B186" s="28" t="s">
        <v>714</v>
      </c>
      <c r="C186" s="79" t="s">
        <v>1367</v>
      </c>
      <c r="D186" s="79"/>
      <c r="E186" s="79"/>
      <c r="F186" s="79"/>
      <c r="G186" s="28" t="s">
        <v>715</v>
      </c>
      <c r="H186" s="79">
        <v>16</v>
      </c>
      <c r="I186" s="79"/>
      <c r="J186" s="79">
        <v>4</v>
      </c>
      <c r="K186" s="79">
        <v>2</v>
      </c>
      <c r="L186" s="791" t="s">
        <v>716</v>
      </c>
      <c r="M186" s="35"/>
      <c r="N186" s="36"/>
      <c r="O186" s="36"/>
      <c r="P186" s="35"/>
      <c r="Q186" s="36"/>
      <c r="R186" s="36"/>
      <c r="S186" s="792"/>
      <c r="T186" s="792" t="s">
        <v>65</v>
      </c>
      <c r="U186" s="781" t="s">
        <v>1384</v>
      </c>
      <c r="V186" s="782">
        <v>16</v>
      </c>
      <c r="W186" s="782" t="str">
        <f t="shared" si="5"/>
        <v>Lehrperson Primarstufe (in Ausb. - min. 3 Sem.)</v>
      </c>
    </row>
    <row r="187" spans="1:23" s="21" customFormat="1" ht="12.75" x14ac:dyDescent="0.2">
      <c r="A187" s="74" t="str">
        <f t="shared" si="4"/>
        <v>402D.13</v>
      </c>
      <c r="B187" s="25" t="s">
        <v>235</v>
      </c>
      <c r="C187" s="76" t="s">
        <v>1378</v>
      </c>
      <c r="D187" s="76"/>
      <c r="E187" s="76"/>
      <c r="F187" s="76"/>
      <c r="G187" s="25" t="s">
        <v>362</v>
      </c>
      <c r="H187" s="76">
        <v>13</v>
      </c>
      <c r="I187" s="76">
        <v>0</v>
      </c>
      <c r="J187" s="76">
        <v>8</v>
      </c>
      <c r="K187" s="76">
        <v>3</v>
      </c>
      <c r="L187" s="804" t="s">
        <v>352</v>
      </c>
      <c r="M187" s="31"/>
      <c r="N187" s="32"/>
      <c r="O187" s="32"/>
      <c r="P187" s="31"/>
      <c r="Q187" s="32"/>
      <c r="R187" s="32"/>
      <c r="S187" s="805"/>
      <c r="T187" s="805"/>
      <c r="U187" s="781" t="s">
        <v>1385</v>
      </c>
      <c r="V187" s="782">
        <v>13</v>
      </c>
      <c r="W187" s="782" t="str">
        <f t="shared" si="5"/>
        <v>Musikalischer Grundkurs</v>
      </c>
    </row>
    <row r="188" spans="1:23" s="21" customFormat="1" ht="12.75" x14ac:dyDescent="0.2">
      <c r="A188" s="74" t="str">
        <f t="shared" si="4"/>
        <v>402D.PS</v>
      </c>
      <c r="B188" s="28" t="s">
        <v>717</v>
      </c>
      <c r="C188" s="79" t="s">
        <v>1367</v>
      </c>
      <c r="D188" s="79"/>
      <c r="E188" s="79"/>
      <c r="F188" s="79"/>
      <c r="G188" s="28" t="s">
        <v>718</v>
      </c>
      <c r="H188" s="79">
        <v>15</v>
      </c>
      <c r="I188" s="79"/>
      <c r="J188" s="79">
        <v>8</v>
      </c>
      <c r="K188" s="79">
        <v>2</v>
      </c>
      <c r="L188" s="791" t="s">
        <v>352</v>
      </c>
      <c r="M188" s="35"/>
      <c r="N188" s="36"/>
      <c r="O188" s="36"/>
      <c r="P188" s="35"/>
      <c r="Q188" s="36"/>
      <c r="R188" s="36"/>
      <c r="S188" s="792"/>
      <c r="T188" s="792" t="s">
        <v>65</v>
      </c>
      <c r="U188" s="781" t="s">
        <v>1386</v>
      </c>
      <c r="V188" s="782">
        <v>15</v>
      </c>
      <c r="W188" s="782" t="str">
        <f t="shared" si="5"/>
        <v>Lehrperson Primarstufe (päd. Ausb. - BA/MA)</v>
      </c>
    </row>
    <row r="189" spans="1:23" s="21" customFormat="1" ht="12.75" x14ac:dyDescent="0.2">
      <c r="A189" s="74" t="str">
        <f t="shared" si="4"/>
        <v>402E.14</v>
      </c>
      <c r="B189" s="25" t="s">
        <v>363</v>
      </c>
      <c r="C189" s="76" t="s">
        <v>1378</v>
      </c>
      <c r="D189" s="76"/>
      <c r="E189" s="76"/>
      <c r="F189" s="76"/>
      <c r="G189" s="25" t="s">
        <v>364</v>
      </c>
      <c r="H189" s="76">
        <v>14</v>
      </c>
      <c r="I189" s="76" t="s">
        <v>65</v>
      </c>
      <c r="J189" s="76">
        <v>7.5</v>
      </c>
      <c r="K189" s="76">
        <v>3</v>
      </c>
      <c r="L189" s="804" t="s">
        <v>674</v>
      </c>
      <c r="M189" s="31"/>
      <c r="N189" s="32"/>
      <c r="O189" s="32"/>
      <c r="P189" s="31"/>
      <c r="Q189" s="32"/>
      <c r="R189" s="32"/>
      <c r="S189" s="805"/>
      <c r="T189" s="805"/>
      <c r="U189" s="781" t="s">
        <v>1387</v>
      </c>
      <c r="V189" s="782">
        <v>14</v>
      </c>
      <c r="W189" s="782" t="str">
        <f t="shared" si="5"/>
        <v>Primar 4. und 5.Kl.</v>
      </c>
    </row>
    <row r="190" spans="1:23" s="21" customFormat="1" ht="12.75" x14ac:dyDescent="0.2">
      <c r="A190" s="74" t="str">
        <f t="shared" si="4"/>
        <v>402E.PS</v>
      </c>
      <c r="B190" s="28" t="s">
        <v>719</v>
      </c>
      <c r="C190" s="79" t="s">
        <v>1367</v>
      </c>
      <c r="D190" s="79"/>
      <c r="E190" s="79"/>
      <c r="F190" s="79"/>
      <c r="G190" s="28" t="s">
        <v>720</v>
      </c>
      <c r="H190" s="79">
        <v>14</v>
      </c>
      <c r="I190" s="79"/>
      <c r="J190" s="79">
        <v>8</v>
      </c>
      <c r="K190" s="79">
        <v>2</v>
      </c>
      <c r="L190" s="791" t="s">
        <v>352</v>
      </c>
      <c r="M190" s="35"/>
      <c r="N190" s="36"/>
      <c r="O190" s="36"/>
      <c r="P190" s="35"/>
      <c r="Q190" s="36"/>
      <c r="R190" s="36"/>
      <c r="S190" s="792"/>
      <c r="T190" s="792" t="s">
        <v>65</v>
      </c>
      <c r="U190" s="781" t="s">
        <v>1388</v>
      </c>
      <c r="V190" s="782">
        <v>14</v>
      </c>
      <c r="W190" s="782" t="str">
        <f t="shared" si="5"/>
        <v>Lehrperson Primarstufe (Monofach)</v>
      </c>
    </row>
    <row r="191" spans="1:23" s="21" customFormat="1" ht="12.75" x14ac:dyDescent="0.2">
      <c r="A191" s="74" t="str">
        <f t="shared" si="4"/>
        <v>402F.14</v>
      </c>
      <c r="B191" s="25" t="s">
        <v>365</v>
      </c>
      <c r="C191" s="76" t="s">
        <v>1378</v>
      </c>
      <c r="D191" s="76"/>
      <c r="E191" s="76"/>
      <c r="F191" s="76"/>
      <c r="G191" s="25" t="s">
        <v>366</v>
      </c>
      <c r="H191" s="76">
        <v>14</v>
      </c>
      <c r="I191" s="76" t="s">
        <v>65</v>
      </c>
      <c r="J191" s="76">
        <v>7.5</v>
      </c>
      <c r="K191" s="76">
        <v>3</v>
      </c>
      <c r="L191" s="804" t="s">
        <v>674</v>
      </c>
      <c r="M191" s="31"/>
      <c r="N191" s="32"/>
      <c r="O191" s="32"/>
      <c r="P191" s="31"/>
      <c r="Q191" s="32"/>
      <c r="R191" s="32"/>
      <c r="S191" s="805"/>
      <c r="T191" s="805"/>
      <c r="U191" s="781" t="s">
        <v>1389</v>
      </c>
      <c r="V191" s="782">
        <v>14</v>
      </c>
      <c r="W191" s="782" t="str">
        <f t="shared" si="5"/>
        <v>Lehrperson an Primarschule</v>
      </c>
    </row>
    <row r="192" spans="1:23" s="21" customFormat="1" ht="12.75" x14ac:dyDescent="0.2">
      <c r="A192" s="74" t="str">
        <f t="shared" si="4"/>
        <v>402F.PS</v>
      </c>
      <c r="B192" s="28" t="s">
        <v>721</v>
      </c>
      <c r="C192" s="79" t="s">
        <v>1367</v>
      </c>
      <c r="D192" s="79"/>
      <c r="E192" s="79"/>
      <c r="F192" s="79"/>
      <c r="G192" s="28" t="s">
        <v>722</v>
      </c>
      <c r="H192" s="79">
        <v>17</v>
      </c>
      <c r="I192" s="79"/>
      <c r="J192" s="79">
        <v>2</v>
      </c>
      <c r="K192" s="79">
        <v>2</v>
      </c>
      <c r="L192" s="791" t="s">
        <v>344</v>
      </c>
      <c r="M192" s="35"/>
      <c r="N192" s="36"/>
      <c r="O192" s="36"/>
      <c r="P192" s="35"/>
      <c r="Q192" s="36"/>
      <c r="R192" s="36"/>
      <c r="S192" s="792"/>
      <c r="T192" s="792" t="s">
        <v>65</v>
      </c>
      <c r="U192" s="781" t="s">
        <v>1390</v>
      </c>
      <c r="V192" s="782">
        <v>17</v>
      </c>
      <c r="W192" s="782" t="str">
        <f t="shared" si="5"/>
        <v>Lehrperson Primarstufe (k. Lehrdiplom)</v>
      </c>
    </row>
    <row r="193" spans="1:23" s="21" customFormat="1" ht="12.75" x14ac:dyDescent="0.2">
      <c r="A193" s="74" t="str">
        <f t="shared" si="4"/>
        <v>402G.PS</v>
      </c>
      <c r="B193" s="28" t="s">
        <v>723</v>
      </c>
      <c r="C193" s="79" t="s">
        <v>1367</v>
      </c>
      <c r="D193" s="79"/>
      <c r="E193" s="79"/>
      <c r="F193" s="79"/>
      <c r="G193" s="28" t="s">
        <v>724</v>
      </c>
      <c r="H193" s="79">
        <v>13</v>
      </c>
      <c r="I193" s="79"/>
      <c r="J193" s="79">
        <v>8</v>
      </c>
      <c r="K193" s="79">
        <v>2</v>
      </c>
      <c r="L193" s="791" t="s">
        <v>352</v>
      </c>
      <c r="M193" s="35"/>
      <c r="N193" s="36"/>
      <c r="O193" s="36"/>
      <c r="P193" s="35"/>
      <c r="Q193" s="36"/>
      <c r="R193" s="36"/>
      <c r="S193" s="792"/>
      <c r="T193" s="792" t="s">
        <v>65</v>
      </c>
      <c r="U193" s="781" t="s">
        <v>1391</v>
      </c>
      <c r="V193" s="782">
        <v>13</v>
      </c>
      <c r="W193" s="782" t="str">
        <f t="shared" si="5"/>
        <v>Lehrperson Primarstufe (Mehrjahrgangsklassen)</v>
      </c>
    </row>
    <row r="194" spans="1:23" s="21" customFormat="1" ht="12.75" x14ac:dyDescent="0.2">
      <c r="A194" s="74" t="str">
        <f t="shared" ref="A194:A257" si="6">RIGHT(B194,LEN(B194)-1)</f>
        <v>402S.10</v>
      </c>
      <c r="B194" s="25" t="s">
        <v>574</v>
      </c>
      <c r="C194" s="76" t="s">
        <v>1378</v>
      </c>
      <c r="D194" s="76"/>
      <c r="E194" s="76"/>
      <c r="F194" s="76" t="s">
        <v>1378</v>
      </c>
      <c r="G194" s="25" t="s">
        <v>564</v>
      </c>
      <c r="H194" s="76">
        <v>10</v>
      </c>
      <c r="I194" s="76"/>
      <c r="J194" s="76">
        <v>8.5</v>
      </c>
      <c r="K194" s="76">
        <v>5</v>
      </c>
      <c r="L194" s="804" t="s">
        <v>90</v>
      </c>
      <c r="M194" s="31"/>
      <c r="N194" s="32"/>
      <c r="O194" s="32"/>
      <c r="P194" s="31"/>
      <c r="Q194" s="32"/>
      <c r="R194" s="32"/>
      <c r="S194" s="805"/>
      <c r="T194" s="805"/>
      <c r="U194" s="781" t="s">
        <v>1392</v>
      </c>
      <c r="V194" s="782">
        <v>10</v>
      </c>
      <c r="W194" s="782" t="str">
        <f t="shared" ref="W194:W257" si="7">G194</f>
        <v>Primarschule mit ISF und KK</v>
      </c>
    </row>
    <row r="195" spans="1:23" s="21" customFormat="1" ht="12.75" x14ac:dyDescent="0.2">
      <c r="A195" s="74" t="str">
        <f t="shared" si="6"/>
        <v>402S.11</v>
      </c>
      <c r="B195" s="25" t="s">
        <v>573</v>
      </c>
      <c r="C195" s="76" t="s">
        <v>1378</v>
      </c>
      <c r="D195" s="76"/>
      <c r="E195" s="76"/>
      <c r="F195" s="76" t="s">
        <v>1378</v>
      </c>
      <c r="G195" s="25" t="s">
        <v>563</v>
      </c>
      <c r="H195" s="76">
        <v>11</v>
      </c>
      <c r="I195" s="76"/>
      <c r="J195" s="76">
        <v>7.5</v>
      </c>
      <c r="K195" s="76">
        <v>5</v>
      </c>
      <c r="L195" s="804" t="s">
        <v>674</v>
      </c>
      <c r="M195" s="31"/>
      <c r="N195" s="32"/>
      <c r="O195" s="32"/>
      <c r="P195" s="31"/>
      <c r="Q195" s="32"/>
      <c r="R195" s="32"/>
      <c r="S195" s="805"/>
      <c r="T195" s="805"/>
      <c r="U195" s="781" t="s">
        <v>1393</v>
      </c>
      <c r="V195" s="782">
        <v>11</v>
      </c>
      <c r="W195" s="782" t="str">
        <f t="shared" si="7"/>
        <v>Primarschule ohne ISF und KK</v>
      </c>
    </row>
    <row r="196" spans="1:23" s="21" customFormat="1" ht="12.75" x14ac:dyDescent="0.2">
      <c r="A196" s="74" t="str">
        <f t="shared" si="6"/>
        <v>402T.10</v>
      </c>
      <c r="B196" s="25" t="s">
        <v>579</v>
      </c>
      <c r="C196" s="76" t="s">
        <v>1378</v>
      </c>
      <c r="D196" s="76"/>
      <c r="E196" s="76"/>
      <c r="F196" s="76" t="s">
        <v>1378</v>
      </c>
      <c r="G196" s="25" t="s">
        <v>569</v>
      </c>
      <c r="H196" s="76">
        <v>10</v>
      </c>
      <c r="I196" s="76"/>
      <c r="J196" s="76">
        <v>8.5</v>
      </c>
      <c r="K196" s="76">
        <v>5</v>
      </c>
      <c r="L196" s="804" t="s">
        <v>90</v>
      </c>
      <c r="M196" s="31"/>
      <c r="N196" s="32"/>
      <c r="O196" s="32"/>
      <c r="P196" s="31"/>
      <c r="Q196" s="32"/>
      <c r="R196" s="32"/>
      <c r="S196" s="805"/>
      <c r="T196" s="805"/>
      <c r="U196" s="781" t="s">
        <v>1394</v>
      </c>
      <c r="V196" s="782">
        <v>10</v>
      </c>
      <c r="W196" s="782" t="str">
        <f t="shared" si="7"/>
        <v>Primarschule mit ISF und KK (TZ)</v>
      </c>
    </row>
    <row r="197" spans="1:23" s="21" customFormat="1" ht="12.75" x14ac:dyDescent="0.2">
      <c r="A197" s="74" t="str">
        <f t="shared" si="6"/>
        <v>402T.11</v>
      </c>
      <c r="B197" s="25" t="s">
        <v>578</v>
      </c>
      <c r="C197" s="76" t="s">
        <v>1378</v>
      </c>
      <c r="D197" s="76"/>
      <c r="E197" s="76"/>
      <c r="F197" s="76" t="s">
        <v>1378</v>
      </c>
      <c r="G197" s="25" t="s">
        <v>568</v>
      </c>
      <c r="H197" s="76">
        <v>11</v>
      </c>
      <c r="I197" s="76"/>
      <c r="J197" s="76">
        <v>7.5</v>
      </c>
      <c r="K197" s="76">
        <v>5</v>
      </c>
      <c r="L197" s="804" t="s">
        <v>674</v>
      </c>
      <c r="M197" s="31"/>
      <c r="N197" s="32"/>
      <c r="O197" s="32"/>
      <c r="P197" s="31"/>
      <c r="Q197" s="32"/>
      <c r="R197" s="32"/>
      <c r="S197" s="805"/>
      <c r="T197" s="805"/>
      <c r="U197" s="781" t="s">
        <v>1395</v>
      </c>
      <c r="V197" s="782">
        <v>11</v>
      </c>
      <c r="W197" s="782" t="str">
        <f t="shared" si="7"/>
        <v>Primarschule ohne ISF und KK (TZ)</v>
      </c>
    </row>
    <row r="198" spans="1:23" s="21" customFormat="1" ht="12.75" x14ac:dyDescent="0.2">
      <c r="A198" s="74" t="str">
        <f t="shared" si="6"/>
        <v>403A.12</v>
      </c>
      <c r="B198" s="25" t="s">
        <v>236</v>
      </c>
      <c r="C198" s="76" t="s">
        <v>1396</v>
      </c>
      <c r="D198" s="76"/>
      <c r="E198" s="76"/>
      <c r="F198" s="76"/>
      <c r="G198" s="25" t="s">
        <v>367</v>
      </c>
      <c r="H198" s="76">
        <v>12</v>
      </c>
      <c r="I198" s="76">
        <v>493.1</v>
      </c>
      <c r="J198" s="76">
        <v>8</v>
      </c>
      <c r="K198" s="76">
        <v>4</v>
      </c>
      <c r="L198" s="804" t="s">
        <v>352</v>
      </c>
      <c r="M198" s="31"/>
      <c r="N198" s="32"/>
      <c r="O198" s="32"/>
      <c r="P198" s="31"/>
      <c r="Q198" s="32"/>
      <c r="R198" s="32"/>
      <c r="S198" s="805"/>
      <c r="T198" s="805"/>
      <c r="U198" s="781" t="s">
        <v>1397</v>
      </c>
      <c r="V198" s="782">
        <v>12</v>
      </c>
      <c r="W198" s="782" t="str">
        <f t="shared" si="7"/>
        <v>Allgemein bildende Fächer</v>
      </c>
    </row>
    <row r="199" spans="1:23" s="21" customFormat="1" ht="12.75" x14ac:dyDescent="0.2">
      <c r="A199" s="74" t="str">
        <f t="shared" si="6"/>
        <v>403B.13</v>
      </c>
      <c r="B199" s="25" t="s">
        <v>237</v>
      </c>
      <c r="C199" s="76" t="s">
        <v>1396</v>
      </c>
      <c r="D199" s="76"/>
      <c r="E199" s="76"/>
      <c r="F199" s="76"/>
      <c r="G199" s="25" t="s">
        <v>368</v>
      </c>
      <c r="H199" s="76">
        <v>13</v>
      </c>
      <c r="I199" s="76">
        <v>475.6</v>
      </c>
      <c r="J199" s="76">
        <v>6.5</v>
      </c>
      <c r="K199" s="76">
        <v>3</v>
      </c>
      <c r="L199" s="804" t="s">
        <v>346</v>
      </c>
      <c r="M199" s="31"/>
      <c r="N199" s="32"/>
      <c r="O199" s="32"/>
      <c r="P199" s="31"/>
      <c r="Q199" s="32"/>
      <c r="R199" s="32"/>
      <c r="S199" s="805"/>
      <c r="T199" s="805"/>
      <c r="U199" s="781" t="s">
        <v>1398</v>
      </c>
      <c r="V199" s="782">
        <v>13</v>
      </c>
      <c r="W199" s="782" t="str">
        <f t="shared" si="7"/>
        <v>Textilarbeit/Werken/Hauswirtschaft</v>
      </c>
    </row>
    <row r="200" spans="1:23" s="21" customFormat="1" ht="12.75" x14ac:dyDescent="0.2">
      <c r="A200" s="74" t="str">
        <f t="shared" si="6"/>
        <v>403C.12</v>
      </c>
      <c r="B200" s="25" t="s">
        <v>369</v>
      </c>
      <c r="C200" s="76" t="s">
        <v>1396</v>
      </c>
      <c r="D200" s="76"/>
      <c r="E200" s="76"/>
      <c r="F200" s="76"/>
      <c r="G200" s="25" t="s">
        <v>370</v>
      </c>
      <c r="H200" s="76">
        <v>12</v>
      </c>
      <c r="I200" s="76" t="s">
        <v>65</v>
      </c>
      <c r="J200" s="76">
        <v>8</v>
      </c>
      <c r="K200" s="76">
        <v>4</v>
      </c>
      <c r="L200" s="804" t="s">
        <v>352</v>
      </c>
      <c r="M200" s="31"/>
      <c r="N200" s="32"/>
      <c r="O200" s="32"/>
      <c r="P200" s="31"/>
      <c r="Q200" s="32"/>
      <c r="R200" s="32"/>
      <c r="S200" s="805"/>
      <c r="T200" s="805"/>
      <c r="U200" s="781" t="s">
        <v>1399</v>
      </c>
      <c r="V200" s="782">
        <v>12</v>
      </c>
      <c r="W200" s="782" t="str">
        <f t="shared" si="7"/>
        <v>Lehrer/in Sek.I Niv.A (1.-3.Kl., 3 Fächer)</v>
      </c>
    </row>
    <row r="201" spans="1:23" s="21" customFormat="1" ht="12.75" x14ac:dyDescent="0.2">
      <c r="A201" s="74" t="str">
        <f t="shared" si="6"/>
        <v>403C.13</v>
      </c>
      <c r="B201" s="25" t="s">
        <v>371</v>
      </c>
      <c r="C201" s="76" t="s">
        <v>1396</v>
      </c>
      <c r="D201" s="76"/>
      <c r="E201" s="76"/>
      <c r="F201" s="76"/>
      <c r="G201" s="25" t="s">
        <v>372</v>
      </c>
      <c r="H201" s="76">
        <v>13</v>
      </c>
      <c r="I201" s="76" t="s">
        <v>65</v>
      </c>
      <c r="J201" s="76">
        <v>8</v>
      </c>
      <c r="K201" s="76">
        <v>4</v>
      </c>
      <c r="L201" s="804" t="s">
        <v>352</v>
      </c>
      <c r="M201" s="31"/>
      <c r="N201" s="32"/>
      <c r="O201" s="32"/>
      <c r="P201" s="31"/>
      <c r="Q201" s="32"/>
      <c r="R201" s="32"/>
      <c r="S201" s="805"/>
      <c r="T201" s="805"/>
      <c r="U201" s="781" t="s">
        <v>1400</v>
      </c>
      <c r="V201" s="782">
        <v>13</v>
      </c>
      <c r="W201" s="782" t="str">
        <f t="shared" si="7"/>
        <v>Lehrer/in Sek.I Niv.A (1.-3.Kl. &lt;3 Fächer)</v>
      </c>
    </row>
    <row r="202" spans="1:23" s="21" customFormat="1" ht="12.75" x14ac:dyDescent="0.2">
      <c r="A202" s="74" t="str">
        <f t="shared" si="6"/>
        <v>403D.13</v>
      </c>
      <c r="B202" s="25" t="s">
        <v>373</v>
      </c>
      <c r="C202" s="76" t="s">
        <v>1396</v>
      </c>
      <c r="D202" s="76"/>
      <c r="E202" s="76"/>
      <c r="F202" s="76"/>
      <c r="G202" s="25" t="s">
        <v>374</v>
      </c>
      <c r="H202" s="76">
        <v>13</v>
      </c>
      <c r="I202" s="76" t="s">
        <v>65</v>
      </c>
      <c r="J202" s="76">
        <v>6.5</v>
      </c>
      <c r="K202" s="76">
        <v>3</v>
      </c>
      <c r="L202" s="804" t="s">
        <v>346</v>
      </c>
      <c r="M202" s="31"/>
      <c r="N202" s="32"/>
      <c r="O202" s="32"/>
      <c r="P202" s="31"/>
      <c r="Q202" s="32"/>
      <c r="R202" s="32"/>
      <c r="S202" s="805"/>
      <c r="T202" s="805"/>
      <c r="U202" s="781" t="s">
        <v>1401</v>
      </c>
      <c r="V202" s="782">
        <v>13</v>
      </c>
      <c r="W202" s="782" t="str">
        <f t="shared" si="7"/>
        <v>Lehrer/in Sek.I Niv.A (1.-3.Kl., Primarpatent)</v>
      </c>
    </row>
    <row r="203" spans="1:23" s="21" customFormat="1" ht="12.75" x14ac:dyDescent="0.2">
      <c r="A203" s="74" t="str">
        <f t="shared" si="6"/>
        <v>403E.14</v>
      </c>
      <c r="B203" s="25" t="s">
        <v>375</v>
      </c>
      <c r="C203" s="76" t="s">
        <v>1396</v>
      </c>
      <c r="D203" s="76"/>
      <c r="E203" s="76"/>
      <c r="F203" s="76"/>
      <c r="G203" s="25" t="s">
        <v>376</v>
      </c>
      <c r="H203" s="76">
        <v>14</v>
      </c>
      <c r="I203" s="76" t="s">
        <v>65</v>
      </c>
      <c r="J203" s="76">
        <v>6</v>
      </c>
      <c r="K203" s="76">
        <v>3</v>
      </c>
      <c r="L203" s="804" t="s">
        <v>672</v>
      </c>
      <c r="M203" s="31"/>
      <c r="N203" s="32"/>
      <c r="O203" s="32"/>
      <c r="P203" s="31"/>
      <c r="Q203" s="32"/>
      <c r="R203" s="32"/>
      <c r="S203" s="805"/>
      <c r="T203" s="805"/>
      <c r="U203" s="781" t="s">
        <v>1402</v>
      </c>
      <c r="V203" s="782">
        <v>14</v>
      </c>
      <c r="W203" s="782" t="str">
        <f t="shared" si="7"/>
        <v>Lehrer/in Sek.I Niv.A (1.-3.Kl., Berufslehre+päd.Ausb,&gt;1 Fach)</v>
      </c>
    </row>
    <row r="204" spans="1:23" s="21" customFormat="1" ht="12.75" x14ac:dyDescent="0.2">
      <c r="A204" s="74" t="str">
        <f t="shared" si="6"/>
        <v>403E.15</v>
      </c>
      <c r="B204" s="25" t="s">
        <v>377</v>
      </c>
      <c r="C204" s="76" t="s">
        <v>1396</v>
      </c>
      <c r="D204" s="76"/>
      <c r="E204" s="76"/>
      <c r="F204" s="76"/>
      <c r="G204" s="25" t="s">
        <v>378</v>
      </c>
      <c r="H204" s="76">
        <v>15</v>
      </c>
      <c r="I204" s="76" t="s">
        <v>65</v>
      </c>
      <c r="J204" s="76">
        <v>6</v>
      </c>
      <c r="K204" s="76">
        <v>3</v>
      </c>
      <c r="L204" s="804" t="s">
        <v>672</v>
      </c>
      <c r="M204" s="31"/>
      <c r="N204" s="32"/>
      <c r="O204" s="32"/>
      <c r="P204" s="31"/>
      <c r="Q204" s="32"/>
      <c r="R204" s="32"/>
      <c r="S204" s="805"/>
      <c r="T204" s="805"/>
      <c r="U204" s="781" t="s">
        <v>1403</v>
      </c>
      <c r="V204" s="782">
        <v>15</v>
      </c>
      <c r="W204" s="782" t="str">
        <f t="shared" si="7"/>
        <v>Lehrer/in Sek.I Niv.A (1.-3.Kl., Berufslehre+päd.Ausb,1 Fach)</v>
      </c>
    </row>
    <row r="205" spans="1:23" s="21" customFormat="1" ht="12.75" x14ac:dyDescent="0.2">
      <c r="A205" s="74" t="str">
        <f t="shared" si="6"/>
        <v>403F.16</v>
      </c>
      <c r="B205" s="25" t="s">
        <v>379</v>
      </c>
      <c r="C205" s="76" t="s">
        <v>1396</v>
      </c>
      <c r="D205" s="76"/>
      <c r="E205" s="76"/>
      <c r="F205" s="76"/>
      <c r="G205" s="25" t="s">
        <v>380</v>
      </c>
      <c r="H205" s="76">
        <v>16</v>
      </c>
      <c r="I205" s="76" t="s">
        <v>65</v>
      </c>
      <c r="J205" s="76">
        <v>5</v>
      </c>
      <c r="K205" s="76">
        <v>3</v>
      </c>
      <c r="L205" s="804" t="s">
        <v>87</v>
      </c>
      <c r="M205" s="31"/>
      <c r="N205" s="32"/>
      <c r="O205" s="32"/>
      <c r="P205" s="31"/>
      <c r="Q205" s="32"/>
      <c r="R205" s="32"/>
      <c r="S205" s="805" t="s">
        <v>65</v>
      </c>
      <c r="T205" s="805" t="s">
        <v>65</v>
      </c>
      <c r="U205" s="781" t="s">
        <v>1404</v>
      </c>
      <c r="V205" s="782">
        <v>16</v>
      </c>
      <c r="W205" s="782" t="str">
        <f t="shared" si="7"/>
        <v>Lehrer/in Sek.I Niv.A (1.-3.Kl., Berufslehre)</v>
      </c>
    </row>
    <row r="206" spans="1:23" s="21" customFormat="1" ht="12.75" x14ac:dyDescent="0.2">
      <c r="A206" s="74" t="str">
        <f t="shared" si="6"/>
        <v>403G.14</v>
      </c>
      <c r="B206" s="25" t="s">
        <v>381</v>
      </c>
      <c r="C206" s="76" t="s">
        <v>1396</v>
      </c>
      <c r="D206" s="76"/>
      <c r="E206" s="76"/>
      <c r="F206" s="76"/>
      <c r="G206" s="25" t="s">
        <v>382</v>
      </c>
      <c r="H206" s="76">
        <v>14</v>
      </c>
      <c r="I206" s="76" t="s">
        <v>65</v>
      </c>
      <c r="J206" s="76">
        <v>4</v>
      </c>
      <c r="K206" s="76">
        <v>3</v>
      </c>
      <c r="L206" s="804" t="s">
        <v>89</v>
      </c>
      <c r="M206" s="31"/>
      <c r="N206" s="32"/>
      <c r="O206" s="32"/>
      <c r="P206" s="31"/>
      <c r="Q206" s="32"/>
      <c r="R206" s="32"/>
      <c r="S206" s="805"/>
      <c r="T206" s="805"/>
      <c r="U206" s="781" t="s">
        <v>1405</v>
      </c>
      <c r="V206" s="782">
        <v>14</v>
      </c>
      <c r="W206" s="782" t="str">
        <f t="shared" si="7"/>
        <v>Lehrer/in Sek.I Niv.A (1.-3.Kl.) (Student&gt;=3Semester)</v>
      </c>
    </row>
    <row r="207" spans="1:23" s="21" customFormat="1" ht="12.75" x14ac:dyDescent="0.2">
      <c r="A207" s="74" t="str">
        <f t="shared" si="6"/>
        <v>403G.16</v>
      </c>
      <c r="B207" s="25" t="s">
        <v>383</v>
      </c>
      <c r="C207" s="76" t="s">
        <v>1396</v>
      </c>
      <c r="D207" s="76"/>
      <c r="E207" s="76"/>
      <c r="F207" s="76"/>
      <c r="G207" s="25" t="s">
        <v>384</v>
      </c>
      <c r="H207" s="76">
        <v>16</v>
      </c>
      <c r="I207" s="76" t="s">
        <v>65</v>
      </c>
      <c r="J207" s="76">
        <v>4</v>
      </c>
      <c r="K207" s="76">
        <v>3</v>
      </c>
      <c r="L207" s="804" t="s">
        <v>89</v>
      </c>
      <c r="M207" s="31"/>
      <c r="N207" s="32"/>
      <c r="O207" s="32"/>
      <c r="P207" s="31"/>
      <c r="Q207" s="32"/>
      <c r="R207" s="32"/>
      <c r="S207" s="805" t="s">
        <v>65</v>
      </c>
      <c r="T207" s="805" t="s">
        <v>65</v>
      </c>
      <c r="U207" s="781" t="s">
        <v>1406</v>
      </c>
      <c r="V207" s="782">
        <v>16</v>
      </c>
      <c r="W207" s="782" t="str">
        <f t="shared" si="7"/>
        <v>Lehrer/in Sek.I Niv.A (1.-3.Kl.) (Student&lt;3Semester)</v>
      </c>
    </row>
    <row r="208" spans="1:23" s="21" customFormat="1" ht="12.75" x14ac:dyDescent="0.2">
      <c r="A208" s="74" t="str">
        <f t="shared" si="6"/>
        <v>403H.13</v>
      </c>
      <c r="B208" s="25" t="s">
        <v>385</v>
      </c>
      <c r="C208" s="76" t="s">
        <v>1396</v>
      </c>
      <c r="D208" s="76"/>
      <c r="E208" s="76"/>
      <c r="F208" s="76"/>
      <c r="G208" s="25" t="s">
        <v>386</v>
      </c>
      <c r="H208" s="76">
        <v>13</v>
      </c>
      <c r="I208" s="76" t="s">
        <v>65</v>
      </c>
      <c r="J208" s="76">
        <v>4</v>
      </c>
      <c r="K208" s="76">
        <v>3</v>
      </c>
      <c r="L208" s="804" t="s">
        <v>89</v>
      </c>
      <c r="M208" s="31"/>
      <c r="N208" s="32"/>
      <c r="O208" s="32"/>
      <c r="P208" s="31"/>
      <c r="Q208" s="32"/>
      <c r="R208" s="32"/>
      <c r="S208" s="805"/>
      <c r="T208" s="805"/>
      <c r="U208" s="781" t="s">
        <v>1407</v>
      </c>
      <c r="V208" s="782">
        <v>13</v>
      </c>
      <c r="W208" s="782" t="str">
        <f t="shared" si="7"/>
        <v>Lehrer/in Sek.I Niv.A (1.-3.Kl., Matur/DMS)</v>
      </c>
    </row>
    <row r="209" spans="1:23" s="21" customFormat="1" ht="12.75" x14ac:dyDescent="0.2">
      <c r="A209" s="74" t="str">
        <f t="shared" si="6"/>
        <v>403H.14</v>
      </c>
      <c r="B209" s="25" t="s">
        <v>387</v>
      </c>
      <c r="C209" s="76" t="s">
        <v>1396</v>
      </c>
      <c r="D209" s="76"/>
      <c r="E209" s="76"/>
      <c r="F209" s="76"/>
      <c r="G209" s="25" t="s">
        <v>380</v>
      </c>
      <c r="H209" s="76">
        <v>14</v>
      </c>
      <c r="I209" s="76" t="s">
        <v>65</v>
      </c>
      <c r="J209" s="76">
        <v>5</v>
      </c>
      <c r="K209" s="76">
        <v>3</v>
      </c>
      <c r="L209" s="804" t="s">
        <v>87</v>
      </c>
      <c r="M209" s="31"/>
      <c r="N209" s="32"/>
      <c r="O209" s="32"/>
      <c r="P209" s="31"/>
      <c r="Q209" s="32"/>
      <c r="R209" s="32"/>
      <c r="S209" s="805"/>
      <c r="T209" s="805"/>
      <c r="U209" s="781" t="s">
        <v>1408</v>
      </c>
      <c r="V209" s="782">
        <v>14</v>
      </c>
      <c r="W209" s="782" t="str">
        <f t="shared" si="7"/>
        <v>Lehrer/in Sek.I Niv.A (1.-3.Kl., Berufslehre)</v>
      </c>
    </row>
    <row r="210" spans="1:23" s="21" customFormat="1" ht="12.75" x14ac:dyDescent="0.2">
      <c r="A210" s="74" t="str">
        <f t="shared" si="6"/>
        <v>403S.09</v>
      </c>
      <c r="B210" s="28" t="s">
        <v>575</v>
      </c>
      <c r="C210" s="79" t="s">
        <v>1396</v>
      </c>
      <c r="D210" s="79"/>
      <c r="E210" s="79"/>
      <c r="F210" s="79" t="s">
        <v>1396</v>
      </c>
      <c r="G210" s="28" t="s">
        <v>565</v>
      </c>
      <c r="H210" s="79">
        <v>9</v>
      </c>
      <c r="I210" s="79"/>
      <c r="J210" s="79">
        <v>8</v>
      </c>
      <c r="K210" s="79">
        <v>6</v>
      </c>
      <c r="L210" s="791" t="s">
        <v>352</v>
      </c>
      <c r="M210" s="35"/>
      <c r="N210" s="36"/>
      <c r="O210" s="36"/>
      <c r="P210" s="35"/>
      <c r="Q210" s="36"/>
      <c r="R210" s="36"/>
      <c r="S210" s="792"/>
      <c r="T210" s="792"/>
      <c r="U210" s="781" t="s">
        <v>1409</v>
      </c>
      <c r="V210" s="782">
        <v>9</v>
      </c>
      <c r="W210" s="782" t="str">
        <f t="shared" si="7"/>
        <v>Sekundarschule (inkl. Werkjahr)</v>
      </c>
    </row>
    <row r="211" spans="1:23" s="21" customFormat="1" ht="12.75" x14ac:dyDescent="0.2">
      <c r="A211" s="74" t="str">
        <f t="shared" si="6"/>
        <v>403T.09</v>
      </c>
      <c r="B211" s="28" t="s">
        <v>580</v>
      </c>
      <c r="C211" s="79" t="s">
        <v>1396</v>
      </c>
      <c r="D211" s="79"/>
      <c r="E211" s="79"/>
      <c r="F211" s="79" t="s">
        <v>1396</v>
      </c>
      <c r="G211" s="28" t="s">
        <v>570</v>
      </c>
      <c r="H211" s="79">
        <v>9</v>
      </c>
      <c r="I211" s="79"/>
      <c r="J211" s="79">
        <v>8</v>
      </c>
      <c r="K211" s="79">
        <v>6</v>
      </c>
      <c r="L211" s="791" t="s">
        <v>352</v>
      </c>
      <c r="M211" s="35"/>
      <c r="N211" s="36"/>
      <c r="O211" s="36"/>
      <c r="P211" s="35"/>
      <c r="Q211" s="36"/>
      <c r="R211" s="36"/>
      <c r="S211" s="792"/>
      <c r="T211" s="792"/>
      <c r="U211" s="781" t="s">
        <v>1410</v>
      </c>
      <c r="V211" s="782">
        <v>9</v>
      </c>
      <c r="W211" s="782" t="str">
        <f t="shared" si="7"/>
        <v>Sekundarschule (inkl. Werkjahr, TZ)</v>
      </c>
    </row>
    <row r="212" spans="1:23" s="21" customFormat="1" ht="12.75" x14ac:dyDescent="0.2">
      <c r="A212" s="74" t="str">
        <f t="shared" si="6"/>
        <v>404A.11</v>
      </c>
      <c r="B212" s="25" t="s">
        <v>238</v>
      </c>
      <c r="C212" s="76" t="s">
        <v>1411</v>
      </c>
      <c r="D212" s="76"/>
      <c r="E212" s="76"/>
      <c r="F212" s="76"/>
      <c r="G212" s="25" t="s">
        <v>367</v>
      </c>
      <c r="H212" s="76">
        <v>11</v>
      </c>
      <c r="I212" s="76">
        <v>511.9</v>
      </c>
      <c r="J212" s="76">
        <v>8.5</v>
      </c>
      <c r="K212" s="76">
        <v>5</v>
      </c>
      <c r="L212" s="804" t="s">
        <v>90</v>
      </c>
      <c r="M212" s="31"/>
      <c r="N212" s="32"/>
      <c r="O212" s="32"/>
      <c r="P212" s="31"/>
      <c r="Q212" s="32"/>
      <c r="R212" s="32"/>
      <c r="S212" s="805"/>
      <c r="T212" s="805"/>
      <c r="U212" s="781" t="s">
        <v>1412</v>
      </c>
      <c r="V212" s="782">
        <v>11</v>
      </c>
      <c r="W212" s="782" t="str">
        <f t="shared" si="7"/>
        <v>Allgemein bildende Fächer</v>
      </c>
    </row>
    <row r="213" spans="1:23" s="21" customFormat="1" ht="12.75" x14ac:dyDescent="0.2">
      <c r="A213" s="74" t="str">
        <f t="shared" si="6"/>
        <v>404B.12</v>
      </c>
      <c r="B213" s="25" t="s">
        <v>388</v>
      </c>
      <c r="C213" s="76" t="s">
        <v>1411</v>
      </c>
      <c r="D213" s="76"/>
      <c r="E213" s="76"/>
      <c r="F213" s="76"/>
      <c r="G213" s="25" t="s">
        <v>389</v>
      </c>
      <c r="H213" s="76">
        <v>12</v>
      </c>
      <c r="I213" s="76" t="s">
        <v>65</v>
      </c>
      <c r="J213" s="76">
        <v>8.5</v>
      </c>
      <c r="K213" s="76">
        <v>3</v>
      </c>
      <c r="L213" s="804" t="s">
        <v>90</v>
      </c>
      <c r="M213" s="31"/>
      <c r="N213" s="32"/>
      <c r="O213" s="32"/>
      <c r="P213" s="31"/>
      <c r="Q213" s="32"/>
      <c r="R213" s="32"/>
      <c r="S213" s="805"/>
      <c r="T213" s="805"/>
      <c r="U213" s="781" t="s">
        <v>1413</v>
      </c>
      <c r="V213" s="782">
        <v>12</v>
      </c>
      <c r="W213" s="782" t="str">
        <f t="shared" si="7"/>
        <v>Textilarbeit/Werken/Hauswirtschaft (BWK+Lehrbefähig.SekI)</v>
      </c>
    </row>
    <row r="214" spans="1:23" s="21" customFormat="1" ht="12.75" x14ac:dyDescent="0.2">
      <c r="A214" s="74" t="str">
        <f t="shared" si="6"/>
        <v>404B.13</v>
      </c>
      <c r="B214" s="25" t="s">
        <v>239</v>
      </c>
      <c r="C214" s="76" t="s">
        <v>1411</v>
      </c>
      <c r="D214" s="76"/>
      <c r="E214" s="76"/>
      <c r="F214" s="76"/>
      <c r="G214" s="25" t="s">
        <v>368</v>
      </c>
      <c r="H214" s="76">
        <v>13</v>
      </c>
      <c r="I214" s="76">
        <v>475.6</v>
      </c>
      <c r="J214" s="76">
        <v>6.5</v>
      </c>
      <c r="K214" s="76">
        <v>3</v>
      </c>
      <c r="L214" s="804" t="s">
        <v>346</v>
      </c>
      <c r="M214" s="31"/>
      <c r="N214" s="32"/>
      <c r="O214" s="32"/>
      <c r="P214" s="31"/>
      <c r="Q214" s="32"/>
      <c r="R214" s="32"/>
      <c r="S214" s="805"/>
      <c r="T214" s="805"/>
      <c r="U214" s="781" t="s">
        <v>1414</v>
      </c>
      <c r="V214" s="782">
        <v>13</v>
      </c>
      <c r="W214" s="782" t="str">
        <f t="shared" si="7"/>
        <v>Textilarbeit/Werken/Hauswirtschaft</v>
      </c>
    </row>
    <row r="215" spans="1:23" s="21" customFormat="1" ht="12.75" x14ac:dyDescent="0.2">
      <c r="A215" s="74" t="str">
        <f t="shared" si="6"/>
        <v>404C.12</v>
      </c>
      <c r="B215" s="25" t="s">
        <v>390</v>
      </c>
      <c r="C215" s="76" t="s">
        <v>1411</v>
      </c>
      <c r="D215" s="76"/>
      <c r="E215" s="76"/>
      <c r="F215" s="76"/>
      <c r="G215" s="25" t="s">
        <v>391</v>
      </c>
      <c r="H215" s="76">
        <v>12</v>
      </c>
      <c r="I215" s="76" t="s">
        <v>65</v>
      </c>
      <c r="J215" s="76">
        <v>8</v>
      </c>
      <c r="K215" s="76">
        <v>4</v>
      </c>
      <c r="L215" s="804" t="s">
        <v>352</v>
      </c>
      <c r="M215" s="31"/>
      <c r="N215" s="32"/>
      <c r="O215" s="32"/>
      <c r="P215" s="31"/>
      <c r="Q215" s="32"/>
      <c r="R215" s="32"/>
      <c r="S215" s="805"/>
      <c r="T215" s="805"/>
      <c r="U215" s="781" t="s">
        <v>1415</v>
      </c>
      <c r="V215" s="782">
        <v>12</v>
      </c>
      <c r="W215" s="782" t="str">
        <f t="shared" si="7"/>
        <v>Lehrer/in Sek.I Niv.A (4.Kl.)</v>
      </c>
    </row>
    <row r="216" spans="1:23" s="21" customFormat="1" ht="12.75" x14ac:dyDescent="0.2">
      <c r="A216" s="74" t="str">
        <f t="shared" si="6"/>
        <v>404D.11</v>
      </c>
      <c r="B216" s="25" t="s">
        <v>392</v>
      </c>
      <c r="C216" s="76" t="s">
        <v>1411</v>
      </c>
      <c r="D216" s="76"/>
      <c r="E216" s="76"/>
      <c r="F216" s="76"/>
      <c r="G216" s="25" t="s">
        <v>393</v>
      </c>
      <c r="H216" s="76">
        <v>11</v>
      </c>
      <c r="I216" s="76" t="s">
        <v>65</v>
      </c>
      <c r="J216" s="76">
        <v>8.5</v>
      </c>
      <c r="K216" s="76">
        <v>4</v>
      </c>
      <c r="L216" s="804" t="s">
        <v>90</v>
      </c>
      <c r="M216" s="31"/>
      <c r="N216" s="32"/>
      <c r="O216" s="32"/>
      <c r="P216" s="31"/>
      <c r="Q216" s="32"/>
      <c r="R216" s="32"/>
      <c r="S216" s="805"/>
      <c r="T216" s="805"/>
      <c r="U216" s="781" t="s">
        <v>1416</v>
      </c>
      <c r="V216" s="782">
        <v>11</v>
      </c>
      <c r="W216" s="782" t="str">
        <f t="shared" si="7"/>
        <v>Lehrer/in Sek.I Niv.A (4.Kl., &gt;=3Fächer+BWK)</v>
      </c>
    </row>
    <row r="217" spans="1:23" ht="12.75" x14ac:dyDescent="0.2">
      <c r="A217" s="74" t="str">
        <f t="shared" si="6"/>
        <v>404D.12</v>
      </c>
      <c r="B217" s="25" t="s">
        <v>394</v>
      </c>
      <c r="C217" s="76" t="s">
        <v>1411</v>
      </c>
      <c r="D217" s="76"/>
      <c r="E217" s="76"/>
      <c r="F217" s="76"/>
      <c r="G217" s="25" t="s">
        <v>395</v>
      </c>
      <c r="H217" s="76">
        <v>12</v>
      </c>
      <c r="I217" s="76" t="s">
        <v>65</v>
      </c>
      <c r="J217" s="76">
        <v>8</v>
      </c>
      <c r="K217" s="76">
        <v>4</v>
      </c>
      <c r="L217" s="804" t="s">
        <v>352</v>
      </c>
      <c r="M217" s="31"/>
      <c r="O217" s="32"/>
      <c r="P217" s="31"/>
      <c r="R217" s="32"/>
      <c r="S217" s="805"/>
      <c r="T217" s="805"/>
      <c r="U217" s="781" t="s">
        <v>1417</v>
      </c>
      <c r="V217" s="782">
        <v>12</v>
      </c>
      <c r="W217" s="782" t="str">
        <f t="shared" si="7"/>
        <v>Lehrer/in Sek.I Niv.A (4.Kl., 2 Fächer)</v>
      </c>
    </row>
    <row r="218" spans="1:23" ht="12.75" x14ac:dyDescent="0.2">
      <c r="A218" s="74" t="str">
        <f t="shared" si="6"/>
        <v>404D.13</v>
      </c>
      <c r="B218" s="25" t="s">
        <v>396</v>
      </c>
      <c r="C218" s="76" t="s">
        <v>1411</v>
      </c>
      <c r="D218" s="76"/>
      <c r="E218" s="76"/>
      <c r="F218" s="76"/>
      <c r="G218" s="25" t="s">
        <v>397</v>
      </c>
      <c r="H218" s="76">
        <v>13</v>
      </c>
      <c r="I218" s="76" t="s">
        <v>65</v>
      </c>
      <c r="J218" s="76">
        <v>8</v>
      </c>
      <c r="K218" s="76">
        <v>4</v>
      </c>
      <c r="L218" s="804" t="s">
        <v>352</v>
      </c>
      <c r="M218" s="31"/>
      <c r="O218" s="32"/>
      <c r="P218" s="31"/>
      <c r="R218" s="32"/>
      <c r="S218" s="805"/>
      <c r="T218" s="805"/>
      <c r="U218" s="781" t="s">
        <v>1418</v>
      </c>
      <c r="V218" s="782">
        <v>13</v>
      </c>
      <c r="W218" s="782" t="str">
        <f t="shared" si="7"/>
        <v>Lehrer/in Sek.I Niv.A (4.Kl., 1 Fach)</v>
      </c>
    </row>
    <row r="219" spans="1:23" ht="12.75" x14ac:dyDescent="0.2">
      <c r="A219" s="74" t="str">
        <f t="shared" si="6"/>
        <v>404E.13</v>
      </c>
      <c r="B219" s="25" t="s">
        <v>398</v>
      </c>
      <c r="C219" s="76" t="s">
        <v>1411</v>
      </c>
      <c r="D219" s="76"/>
      <c r="E219" s="76"/>
      <c r="F219" s="76"/>
      <c r="G219" s="25" t="s">
        <v>399</v>
      </c>
      <c r="H219" s="76">
        <v>13</v>
      </c>
      <c r="I219" s="76" t="s">
        <v>65</v>
      </c>
      <c r="J219" s="76">
        <v>6.5</v>
      </c>
      <c r="K219" s="76">
        <v>4</v>
      </c>
      <c r="L219" s="804" t="s">
        <v>346</v>
      </c>
      <c r="M219" s="31"/>
      <c r="O219" s="32"/>
      <c r="P219" s="31"/>
      <c r="R219" s="32"/>
      <c r="S219" s="805"/>
      <c r="T219" s="805"/>
      <c r="U219" s="781" t="s">
        <v>1419</v>
      </c>
      <c r="V219" s="782">
        <v>13</v>
      </c>
      <c r="W219" s="782" t="str">
        <f t="shared" si="7"/>
        <v>Lehrer/in Sek.I Niv.A (4.Kl., nur Primarlehrpatent)</v>
      </c>
    </row>
    <row r="220" spans="1:23" ht="12.75" x14ac:dyDescent="0.2">
      <c r="A220" s="74" t="str">
        <f t="shared" si="6"/>
        <v>404F.14</v>
      </c>
      <c r="B220" s="25" t="s">
        <v>400</v>
      </c>
      <c r="C220" s="76" t="s">
        <v>1411</v>
      </c>
      <c r="D220" s="76"/>
      <c r="E220" s="76"/>
      <c r="F220" s="76"/>
      <c r="G220" s="25" t="s">
        <v>401</v>
      </c>
      <c r="H220" s="76">
        <v>14</v>
      </c>
      <c r="I220" s="76" t="s">
        <v>65</v>
      </c>
      <c r="J220" s="76">
        <v>6</v>
      </c>
      <c r="K220" s="76">
        <v>3</v>
      </c>
      <c r="L220" s="804" t="s">
        <v>672</v>
      </c>
      <c r="M220" s="31"/>
      <c r="O220" s="32"/>
      <c r="P220" s="31"/>
      <c r="R220" s="32"/>
      <c r="S220" s="805"/>
      <c r="T220" s="805"/>
      <c r="U220" s="781" t="s">
        <v>1420</v>
      </c>
      <c r="V220" s="782">
        <v>14</v>
      </c>
      <c r="W220" s="782" t="str">
        <f t="shared" si="7"/>
        <v>Lehrer/in Sek.I Niv.A (4.Kl.,Berufslehre+päd.Ausb,&gt;1 Fach)</v>
      </c>
    </row>
    <row r="221" spans="1:23" ht="12.75" x14ac:dyDescent="0.2">
      <c r="A221" s="74" t="str">
        <f t="shared" si="6"/>
        <v>404F.15</v>
      </c>
      <c r="B221" s="25" t="s">
        <v>402</v>
      </c>
      <c r="C221" s="76" t="s">
        <v>1411</v>
      </c>
      <c r="D221" s="76"/>
      <c r="E221" s="76"/>
      <c r="F221" s="76"/>
      <c r="G221" s="25" t="s">
        <v>403</v>
      </c>
      <c r="H221" s="76">
        <v>15</v>
      </c>
      <c r="I221" s="76" t="s">
        <v>65</v>
      </c>
      <c r="J221" s="76">
        <v>6</v>
      </c>
      <c r="K221" s="76">
        <v>3</v>
      </c>
      <c r="L221" s="804" t="s">
        <v>672</v>
      </c>
      <c r="M221" s="31"/>
      <c r="O221" s="32"/>
      <c r="P221" s="31"/>
      <c r="R221" s="32"/>
      <c r="S221" s="805"/>
      <c r="T221" s="805"/>
      <c r="U221" s="781" t="s">
        <v>1421</v>
      </c>
      <c r="V221" s="77" t="s">
        <v>342</v>
      </c>
      <c r="W221" s="782" t="str">
        <f t="shared" si="7"/>
        <v>Lehrer/in Sek.I Niv.A (4.Kl.,Lehrausweis, 1 Fach)</v>
      </c>
    </row>
    <row r="222" spans="1:23" ht="12.75" x14ac:dyDescent="0.2">
      <c r="A222" s="74" t="str">
        <f t="shared" si="6"/>
        <v>404G.16</v>
      </c>
      <c r="B222" s="25" t="s">
        <v>404</v>
      </c>
      <c r="C222" s="76" t="s">
        <v>1411</v>
      </c>
      <c r="D222" s="76"/>
      <c r="E222" s="76"/>
      <c r="F222" s="76"/>
      <c r="G222" s="25" t="s">
        <v>405</v>
      </c>
      <c r="H222" s="76">
        <v>16</v>
      </c>
      <c r="I222" s="76" t="s">
        <v>65</v>
      </c>
      <c r="J222" s="76">
        <v>5</v>
      </c>
      <c r="K222" s="76">
        <v>3</v>
      </c>
      <c r="L222" s="804" t="s">
        <v>87</v>
      </c>
      <c r="M222" s="31"/>
      <c r="O222" s="32"/>
      <c r="P222" s="31"/>
      <c r="R222" s="32"/>
      <c r="S222" s="805"/>
      <c r="T222" s="805"/>
      <c r="U222" s="781" t="s">
        <v>1422</v>
      </c>
      <c r="V222" s="77">
        <v>16</v>
      </c>
      <c r="W222" s="782" t="str">
        <f t="shared" si="7"/>
        <v>Lehrer/in Sek.I Niv.A (4.Kl.,Berufslehre)</v>
      </c>
    </row>
    <row r="223" spans="1:23" ht="12.75" x14ac:dyDescent="0.2">
      <c r="A223" s="74" t="str">
        <f t="shared" si="6"/>
        <v>404H.14</v>
      </c>
      <c r="B223" s="25" t="s">
        <v>406</v>
      </c>
      <c r="C223" s="76" t="s">
        <v>1411</v>
      </c>
      <c r="D223" s="76"/>
      <c r="E223" s="76"/>
      <c r="F223" s="76"/>
      <c r="G223" s="25" t="s">
        <v>407</v>
      </c>
      <c r="H223" s="76">
        <v>14</v>
      </c>
      <c r="I223" s="76" t="s">
        <v>65</v>
      </c>
      <c r="J223" s="76">
        <v>4</v>
      </c>
      <c r="K223" s="76">
        <v>3</v>
      </c>
      <c r="L223" s="804" t="s">
        <v>89</v>
      </c>
      <c r="M223" s="31"/>
      <c r="O223" s="32"/>
      <c r="P223" s="31"/>
      <c r="R223" s="32"/>
      <c r="S223" s="805"/>
      <c r="T223" s="805"/>
      <c r="U223" s="781" t="s">
        <v>1423</v>
      </c>
      <c r="V223" s="77">
        <v>14</v>
      </c>
      <c r="W223" s="782" t="str">
        <f t="shared" si="7"/>
        <v>Lehrer/in Sek.I Niv.A (4.Kl.) (Student&gt;=3Semester)</v>
      </c>
    </row>
    <row r="224" spans="1:23" ht="12.75" x14ac:dyDescent="0.2">
      <c r="A224" s="74" t="str">
        <f t="shared" si="6"/>
        <v>404H.16</v>
      </c>
      <c r="B224" s="25" t="s">
        <v>408</v>
      </c>
      <c r="C224" s="76" t="s">
        <v>1411</v>
      </c>
      <c r="D224" s="76"/>
      <c r="E224" s="76"/>
      <c r="F224" s="76"/>
      <c r="G224" s="25" t="s">
        <v>409</v>
      </c>
      <c r="H224" s="76">
        <v>16</v>
      </c>
      <c r="I224" s="76" t="s">
        <v>65</v>
      </c>
      <c r="J224" s="76">
        <v>4</v>
      </c>
      <c r="K224" s="76">
        <v>3</v>
      </c>
      <c r="L224" s="804" t="s">
        <v>89</v>
      </c>
      <c r="M224" s="31"/>
      <c r="O224" s="32"/>
      <c r="P224" s="31"/>
      <c r="R224" s="32"/>
      <c r="S224" s="805"/>
      <c r="T224" s="805"/>
      <c r="U224" s="781" t="s">
        <v>1424</v>
      </c>
      <c r="V224" s="77">
        <v>16</v>
      </c>
      <c r="W224" s="782" t="str">
        <f t="shared" si="7"/>
        <v>Lehrer/in Sek.I Niv.A (4.Kl.) (Student&lt;3Semester)</v>
      </c>
    </row>
    <row r="225" spans="1:23" ht="12.75" x14ac:dyDescent="0.2">
      <c r="A225" s="74" t="str">
        <f t="shared" si="6"/>
        <v>405A.11</v>
      </c>
      <c r="B225" s="783" t="s">
        <v>240</v>
      </c>
      <c r="C225" s="79" t="s">
        <v>1425</v>
      </c>
      <c r="D225" s="28" t="s">
        <v>1233</v>
      </c>
      <c r="E225" s="79"/>
      <c r="F225" s="79">
        <v>405</v>
      </c>
      <c r="G225" s="28" t="s">
        <v>1230</v>
      </c>
      <c r="H225" s="79">
        <v>11</v>
      </c>
      <c r="I225" s="79">
        <v>529.5</v>
      </c>
      <c r="J225" s="79">
        <v>9.5</v>
      </c>
      <c r="K225" s="79">
        <v>3</v>
      </c>
      <c r="L225" s="791" t="s">
        <v>347</v>
      </c>
      <c r="M225" s="35"/>
      <c r="N225" s="36"/>
      <c r="O225" s="36"/>
      <c r="P225" s="35"/>
      <c r="Q225" s="36"/>
      <c r="R225" s="36"/>
      <c r="S225" s="792" t="s">
        <v>65</v>
      </c>
      <c r="T225" s="792" t="s">
        <v>65</v>
      </c>
      <c r="U225" s="781" t="s">
        <v>1234</v>
      </c>
      <c r="V225" s="77">
        <v>11</v>
      </c>
      <c r="W225" s="782" t="str">
        <f t="shared" si="7"/>
        <v>Schulische Heilpädagogik Primarstufe</v>
      </c>
    </row>
    <row r="226" spans="1:23" ht="12.75" x14ac:dyDescent="0.2">
      <c r="A226" s="74" t="str">
        <f t="shared" si="6"/>
        <v>405B.10</v>
      </c>
      <c r="B226" s="783" t="s">
        <v>1240</v>
      </c>
      <c r="C226" s="79" t="s">
        <v>1425</v>
      </c>
      <c r="D226" s="28" t="s">
        <v>1233</v>
      </c>
      <c r="E226" s="79"/>
      <c r="F226" s="79">
        <v>405</v>
      </c>
      <c r="G226" s="28" t="s">
        <v>1231</v>
      </c>
      <c r="H226" s="79">
        <v>10</v>
      </c>
      <c r="I226" s="79">
        <v>558.6</v>
      </c>
      <c r="J226" s="79">
        <v>9.5</v>
      </c>
      <c r="K226" s="79">
        <v>4</v>
      </c>
      <c r="L226" s="791" t="s">
        <v>347</v>
      </c>
      <c r="M226" s="35"/>
      <c r="N226" s="36"/>
      <c r="O226" s="36"/>
      <c r="P226" s="35"/>
      <c r="Q226" s="36"/>
      <c r="R226" s="36"/>
      <c r="S226" s="792" t="s">
        <v>65</v>
      </c>
      <c r="T226" s="792" t="s">
        <v>65</v>
      </c>
      <c r="U226" s="781" t="s">
        <v>1239</v>
      </c>
      <c r="V226" s="77">
        <v>10</v>
      </c>
      <c r="W226" s="782" t="str">
        <f t="shared" si="7"/>
        <v>Schulische Heilpädagogik Sekundarstufe I</v>
      </c>
    </row>
    <row r="227" spans="1:23" ht="12.75" x14ac:dyDescent="0.2">
      <c r="A227" s="74" t="str">
        <f t="shared" si="6"/>
        <v>405B.11</v>
      </c>
      <c r="B227" s="28" t="s">
        <v>410</v>
      </c>
      <c r="C227" s="79" t="s">
        <v>1425</v>
      </c>
      <c r="D227" s="79"/>
      <c r="E227" s="79"/>
      <c r="F227" s="79"/>
      <c r="G227" s="28" t="s">
        <v>670</v>
      </c>
      <c r="H227" s="79">
        <v>11</v>
      </c>
      <c r="I227" s="79" t="s">
        <v>65</v>
      </c>
      <c r="J227" s="79">
        <v>8</v>
      </c>
      <c r="K227" s="79">
        <v>4</v>
      </c>
      <c r="L227" s="791" t="s">
        <v>352</v>
      </c>
      <c r="M227" s="35"/>
      <c r="N227" s="36"/>
      <c r="O227" s="36"/>
      <c r="P227" s="35"/>
      <c r="Q227" s="36"/>
      <c r="R227" s="36"/>
      <c r="S227" s="792" t="s">
        <v>65</v>
      </c>
      <c r="T227" s="792" t="s">
        <v>65</v>
      </c>
      <c r="U227" s="781" t="s">
        <v>1426</v>
      </c>
      <c r="V227" s="77">
        <v>11</v>
      </c>
      <c r="W227" s="782" t="str">
        <f t="shared" si="7"/>
        <v>Kleinklasse/ISF Oberstufe (Heilpäd. ohne Diplom Sek.I)</v>
      </c>
    </row>
    <row r="228" spans="1:23" ht="12.75" x14ac:dyDescent="0.2">
      <c r="A228" s="74" t="str">
        <f t="shared" si="6"/>
        <v>405B.12</v>
      </c>
      <c r="B228" s="28" t="s">
        <v>662</v>
      </c>
      <c r="C228" s="79" t="s">
        <v>1425</v>
      </c>
      <c r="D228" s="79"/>
      <c r="E228" s="79"/>
      <c r="F228" s="79"/>
      <c r="G228" s="28" t="s">
        <v>663</v>
      </c>
      <c r="H228" s="79">
        <v>12</v>
      </c>
      <c r="I228" s="79" t="s">
        <v>65</v>
      </c>
      <c r="J228" s="79">
        <v>8</v>
      </c>
      <c r="K228" s="79">
        <v>4</v>
      </c>
      <c r="L228" s="791" t="s">
        <v>352</v>
      </c>
      <c r="M228" s="35"/>
      <c r="N228" s="36"/>
      <c r="O228" s="36"/>
      <c r="P228" s="35"/>
      <c r="Q228" s="36"/>
      <c r="R228" s="36"/>
      <c r="S228" s="792" t="s">
        <v>65</v>
      </c>
      <c r="T228" s="792" t="s">
        <v>65</v>
      </c>
      <c r="U228" s="781" t="s">
        <v>1427</v>
      </c>
      <c r="V228" s="77">
        <v>12</v>
      </c>
      <c r="W228" s="782" t="str">
        <f t="shared" si="7"/>
        <v>Kleinklasse/ISF Oberstufe (nur Diplom Sek.I Niveau A)</v>
      </c>
    </row>
    <row r="229" spans="1:23" ht="12.75" x14ac:dyDescent="0.2">
      <c r="A229" s="74" t="str">
        <f t="shared" si="6"/>
        <v>405C.12</v>
      </c>
      <c r="B229" s="28" t="s">
        <v>411</v>
      </c>
      <c r="C229" s="79" t="s">
        <v>1425</v>
      </c>
      <c r="D229" s="79"/>
      <c r="E229" s="79"/>
      <c r="F229" s="79"/>
      <c r="G229" s="28" t="s">
        <v>412</v>
      </c>
      <c r="H229" s="79">
        <v>12</v>
      </c>
      <c r="I229" s="79" t="s">
        <v>65</v>
      </c>
      <c r="J229" s="79">
        <v>8</v>
      </c>
      <c r="K229" s="79">
        <v>3</v>
      </c>
      <c r="L229" s="791" t="s">
        <v>352</v>
      </c>
      <c r="M229" s="35"/>
      <c r="N229" s="36"/>
      <c r="O229" s="36"/>
      <c r="P229" s="35"/>
      <c r="Q229" s="36"/>
      <c r="R229" s="36"/>
      <c r="S229" s="792" t="s">
        <v>65</v>
      </c>
      <c r="T229" s="792" t="s">
        <v>65</v>
      </c>
      <c r="U229" s="781" t="s">
        <v>1428</v>
      </c>
      <c r="V229" s="77">
        <v>12</v>
      </c>
      <c r="W229" s="782" t="str">
        <f t="shared" si="7"/>
        <v>Lehrer/in an Kleinklassen (Sek.I-Niveau-Patent)</v>
      </c>
    </row>
    <row r="230" spans="1:23" ht="12.75" x14ac:dyDescent="0.2">
      <c r="A230" s="74" t="str">
        <f t="shared" si="6"/>
        <v>405C.13</v>
      </c>
      <c r="B230" s="28" t="s">
        <v>413</v>
      </c>
      <c r="C230" s="79" t="s">
        <v>1425</v>
      </c>
      <c r="D230" s="79"/>
      <c r="E230" s="79"/>
      <c r="F230" s="79"/>
      <c r="G230" s="28" t="s">
        <v>414</v>
      </c>
      <c r="H230" s="79">
        <v>13</v>
      </c>
      <c r="I230" s="79" t="s">
        <v>65</v>
      </c>
      <c r="J230" s="79">
        <v>6.5</v>
      </c>
      <c r="K230" s="79">
        <v>3</v>
      </c>
      <c r="L230" s="791" t="s">
        <v>346</v>
      </c>
      <c r="M230" s="35"/>
      <c r="N230" s="36"/>
      <c r="O230" s="36"/>
      <c r="P230" s="35"/>
      <c r="Q230" s="36"/>
      <c r="R230" s="36"/>
      <c r="S230" s="792" t="s">
        <v>65</v>
      </c>
      <c r="T230" s="792" t="s">
        <v>65</v>
      </c>
      <c r="U230" s="781" t="s">
        <v>1429</v>
      </c>
      <c r="V230" s="77">
        <v>13</v>
      </c>
      <c r="W230" s="782" t="str">
        <f t="shared" si="7"/>
        <v>Lehrer/in an Kleinklassen (nur Primarlehrpatent)</v>
      </c>
    </row>
    <row r="231" spans="1:23" ht="12.75" x14ac:dyDescent="0.2">
      <c r="A231" s="74" t="str">
        <f t="shared" si="6"/>
        <v>405D.11</v>
      </c>
      <c r="B231" s="28" t="s">
        <v>415</v>
      </c>
      <c r="C231" s="79" t="s">
        <v>1425</v>
      </c>
      <c r="D231" s="79"/>
      <c r="E231" s="79"/>
      <c r="F231" s="79"/>
      <c r="G231" s="28" t="s">
        <v>416</v>
      </c>
      <c r="H231" s="79">
        <v>11</v>
      </c>
      <c r="I231" s="79" t="s">
        <v>65</v>
      </c>
      <c r="J231" s="79">
        <v>8</v>
      </c>
      <c r="K231" s="79">
        <v>4</v>
      </c>
      <c r="L231" s="791" t="s">
        <v>352</v>
      </c>
      <c r="M231" s="35"/>
      <c r="N231" s="36"/>
      <c r="O231" s="36"/>
      <c r="P231" s="35"/>
      <c r="Q231" s="36"/>
      <c r="R231" s="36"/>
      <c r="S231" s="792" t="s">
        <v>65</v>
      </c>
      <c r="T231" s="792" t="s">
        <v>65</v>
      </c>
      <c r="U231" s="781" t="s">
        <v>1430</v>
      </c>
      <c r="V231" s="77">
        <v>11</v>
      </c>
      <c r="W231" s="782" t="str">
        <f t="shared" si="7"/>
        <v>Lehrer/in an Kleinklassen (Oberstufe,Sek.I,Niv.A-Patent)</v>
      </c>
    </row>
    <row r="232" spans="1:23" ht="12.75" x14ac:dyDescent="0.2">
      <c r="A232" s="74" t="str">
        <f t="shared" si="6"/>
        <v>405D.12</v>
      </c>
      <c r="B232" s="28" t="s">
        <v>417</v>
      </c>
      <c r="C232" s="79" t="s">
        <v>1425</v>
      </c>
      <c r="D232" s="79"/>
      <c r="E232" s="79"/>
      <c r="F232" s="79"/>
      <c r="G232" s="28" t="s">
        <v>418</v>
      </c>
      <c r="H232" s="79">
        <v>12</v>
      </c>
      <c r="I232" s="79" t="s">
        <v>65</v>
      </c>
      <c r="J232" s="79">
        <v>8</v>
      </c>
      <c r="K232" s="79">
        <v>4</v>
      </c>
      <c r="L232" s="791" t="s">
        <v>352</v>
      </c>
      <c r="M232" s="35"/>
      <c r="N232" s="36"/>
      <c r="O232" s="36"/>
      <c r="P232" s="35"/>
      <c r="Q232" s="36"/>
      <c r="R232" s="36"/>
      <c r="S232" s="792" t="s">
        <v>65</v>
      </c>
      <c r="T232" s="792" t="s">
        <v>65</v>
      </c>
      <c r="U232" s="781" t="s">
        <v>1431</v>
      </c>
      <c r="V232" s="77">
        <v>12</v>
      </c>
      <c r="W232" s="782" t="str">
        <f t="shared" si="7"/>
        <v>Lehrer/in an Kleinklassen (Unterstufe,Primar+Heilpäd.)</v>
      </c>
    </row>
    <row r="233" spans="1:23" ht="12.75" x14ac:dyDescent="0.2">
      <c r="A233" s="74" t="str">
        <f t="shared" si="6"/>
        <v>405E.12</v>
      </c>
      <c r="B233" s="28" t="s">
        <v>419</v>
      </c>
      <c r="C233" s="79" t="s">
        <v>1425</v>
      </c>
      <c r="D233" s="79"/>
      <c r="E233" s="79"/>
      <c r="F233" s="79"/>
      <c r="G233" s="28" t="s">
        <v>420</v>
      </c>
      <c r="H233" s="79">
        <v>12</v>
      </c>
      <c r="I233" s="79" t="s">
        <v>65</v>
      </c>
      <c r="J233" s="79">
        <v>7.5</v>
      </c>
      <c r="K233" s="79">
        <v>4</v>
      </c>
      <c r="L233" s="791" t="s">
        <v>674</v>
      </c>
      <c r="M233" s="35"/>
      <c r="N233" s="36"/>
      <c r="O233" s="36"/>
      <c r="P233" s="35"/>
      <c r="Q233" s="36"/>
      <c r="R233" s="36"/>
      <c r="S233" s="792" t="s">
        <v>65</v>
      </c>
      <c r="T233" s="792" t="s">
        <v>65</v>
      </c>
      <c r="U233" s="781" t="s">
        <v>1432</v>
      </c>
      <c r="V233" s="77">
        <v>12</v>
      </c>
      <c r="W233" s="782" t="str">
        <f t="shared" si="7"/>
        <v>Lehrer/in an Kleinklassen / Fremdsprachenklasse</v>
      </c>
    </row>
    <row r="234" spans="1:23" ht="12.75" x14ac:dyDescent="0.2">
      <c r="A234" s="74" t="str">
        <f t="shared" si="6"/>
        <v>406A.10</v>
      </c>
      <c r="B234" s="25" t="s">
        <v>241</v>
      </c>
      <c r="C234" s="76" t="s">
        <v>1433</v>
      </c>
      <c r="D234" s="76"/>
      <c r="E234" s="76"/>
      <c r="F234" s="76"/>
      <c r="G234" s="25" t="s">
        <v>367</v>
      </c>
      <c r="H234" s="76">
        <v>10</v>
      </c>
      <c r="I234" s="76">
        <v>536.29999999999995</v>
      </c>
      <c r="J234" s="76">
        <v>9</v>
      </c>
      <c r="K234" s="76">
        <v>4</v>
      </c>
      <c r="L234" s="804" t="s">
        <v>351</v>
      </c>
      <c r="M234" s="31"/>
      <c r="O234" s="32"/>
      <c r="P234" s="31"/>
      <c r="R234" s="32"/>
      <c r="S234" s="805"/>
      <c r="T234" s="805"/>
      <c r="U234" s="781" t="s">
        <v>1434</v>
      </c>
      <c r="V234" s="77">
        <v>10</v>
      </c>
      <c r="W234" s="782" t="str">
        <f t="shared" si="7"/>
        <v>Allgemein bildende Fächer</v>
      </c>
    </row>
    <row r="235" spans="1:23" ht="12.75" x14ac:dyDescent="0.2">
      <c r="A235" s="74" t="str">
        <f t="shared" si="6"/>
        <v>406B.13</v>
      </c>
      <c r="B235" s="25" t="s">
        <v>242</v>
      </c>
      <c r="C235" s="76" t="s">
        <v>1433</v>
      </c>
      <c r="D235" s="76"/>
      <c r="E235" s="76"/>
      <c r="F235" s="76"/>
      <c r="G235" s="25" t="s">
        <v>421</v>
      </c>
      <c r="H235" s="76">
        <v>13</v>
      </c>
      <c r="I235" s="76">
        <v>468.8</v>
      </c>
      <c r="J235" s="76">
        <v>5.5</v>
      </c>
      <c r="K235" s="76">
        <v>4</v>
      </c>
      <c r="L235" s="804" t="s">
        <v>671</v>
      </c>
      <c r="M235" s="31"/>
      <c r="O235" s="32"/>
      <c r="P235" s="31"/>
      <c r="R235" s="32"/>
      <c r="S235" s="805"/>
      <c r="T235" s="805"/>
      <c r="U235" s="781" t="s">
        <v>1435</v>
      </c>
      <c r="V235" s="77">
        <v>13</v>
      </c>
      <c r="W235" s="782" t="str">
        <f t="shared" si="7"/>
        <v>Fachlehrperson (Ausbildung Werkseminar)</v>
      </c>
    </row>
    <row r="236" spans="1:23" ht="12.75" x14ac:dyDescent="0.2">
      <c r="A236" s="74" t="str">
        <f t="shared" si="6"/>
        <v>406B.14</v>
      </c>
      <c r="B236" s="25" t="s">
        <v>422</v>
      </c>
      <c r="C236" s="76" t="s">
        <v>1433</v>
      </c>
      <c r="D236" s="76"/>
      <c r="E236" s="76"/>
      <c r="F236" s="76"/>
      <c r="G236" s="25" t="s">
        <v>423</v>
      </c>
      <c r="H236" s="76">
        <v>14</v>
      </c>
      <c r="I236" s="76">
        <v>468.8</v>
      </c>
      <c r="J236" s="76">
        <v>5</v>
      </c>
      <c r="K236" s="76">
        <v>4</v>
      </c>
      <c r="L236" s="804" t="s">
        <v>87</v>
      </c>
      <c r="M236" s="31"/>
      <c r="O236" s="32"/>
      <c r="P236" s="31"/>
      <c r="R236" s="32"/>
      <c r="S236" s="805"/>
      <c r="T236" s="805"/>
      <c r="U236" s="781" t="s">
        <v>1436</v>
      </c>
      <c r="V236" s="77">
        <v>14</v>
      </c>
      <c r="W236" s="782" t="str">
        <f t="shared" si="7"/>
        <v>Fachlehrperson (Berufslehre)</v>
      </c>
    </row>
    <row r="237" spans="1:23" ht="12.75" x14ac:dyDescent="0.2">
      <c r="A237" s="74" t="str">
        <f t="shared" si="6"/>
        <v>406C.11</v>
      </c>
      <c r="B237" s="25" t="s">
        <v>424</v>
      </c>
      <c r="C237" s="76" t="s">
        <v>1433</v>
      </c>
      <c r="D237" s="76"/>
      <c r="E237" s="76"/>
      <c r="F237" s="76"/>
      <c r="G237" s="25" t="s">
        <v>425</v>
      </c>
      <c r="H237" s="76">
        <v>11</v>
      </c>
      <c r="I237" s="76">
        <v>492.5</v>
      </c>
      <c r="J237" s="76">
        <v>7</v>
      </c>
      <c r="K237" s="76">
        <v>4</v>
      </c>
      <c r="L237" s="804" t="s">
        <v>673</v>
      </c>
      <c r="M237" s="31"/>
      <c r="O237" s="32"/>
      <c r="P237" s="31"/>
      <c r="R237" s="32"/>
      <c r="S237" s="805"/>
      <c r="T237" s="805"/>
      <c r="U237" s="781" t="s">
        <v>1437</v>
      </c>
      <c r="V237" s="77">
        <v>11</v>
      </c>
      <c r="W237" s="782" t="str">
        <f t="shared" si="7"/>
        <v>Textilarbeit/Werken/Hausw.(Lehrpatent Sek.IA+BWK)</v>
      </c>
    </row>
    <row r="238" spans="1:23" ht="12.75" x14ac:dyDescent="0.2">
      <c r="A238" s="74" t="str">
        <f t="shared" si="6"/>
        <v>406C.12</v>
      </c>
      <c r="B238" s="25" t="s">
        <v>243</v>
      </c>
      <c r="C238" s="76" t="s">
        <v>1433</v>
      </c>
      <c r="D238" s="76"/>
      <c r="E238" s="76"/>
      <c r="F238" s="76"/>
      <c r="G238" s="25" t="s">
        <v>426</v>
      </c>
      <c r="H238" s="76">
        <v>12</v>
      </c>
      <c r="I238" s="76">
        <v>492.5</v>
      </c>
      <c r="J238" s="76">
        <v>7</v>
      </c>
      <c r="K238" s="76">
        <v>4</v>
      </c>
      <c r="L238" s="804" t="s">
        <v>673</v>
      </c>
      <c r="M238" s="31"/>
      <c r="O238" s="32"/>
      <c r="P238" s="31"/>
      <c r="R238" s="32"/>
      <c r="S238" s="805"/>
      <c r="T238" s="805"/>
      <c r="U238" s="781" t="s">
        <v>1438</v>
      </c>
      <c r="V238" s="77">
        <v>12</v>
      </c>
      <c r="W238" s="782" t="str">
        <f t="shared" si="7"/>
        <v>Textilarbeit/Werken/Hausw.(Lehrpatent Sek.IA)</v>
      </c>
    </row>
    <row r="239" spans="1:23" ht="12.75" x14ac:dyDescent="0.2">
      <c r="A239" s="74" t="str">
        <f t="shared" si="6"/>
        <v>406D.13</v>
      </c>
      <c r="B239" s="25" t="s">
        <v>244</v>
      </c>
      <c r="C239" s="76" t="s">
        <v>1433</v>
      </c>
      <c r="D239" s="76"/>
      <c r="E239" s="76"/>
      <c r="F239" s="76"/>
      <c r="G239" s="25" t="s">
        <v>368</v>
      </c>
      <c r="H239" s="76">
        <v>13</v>
      </c>
      <c r="I239" s="76">
        <v>475.6</v>
      </c>
      <c r="J239" s="76">
        <v>6.5</v>
      </c>
      <c r="K239" s="76">
        <v>3</v>
      </c>
      <c r="L239" s="804" t="s">
        <v>346</v>
      </c>
      <c r="M239" s="31"/>
      <c r="O239" s="32"/>
      <c r="P239" s="31"/>
      <c r="R239" s="32"/>
      <c r="S239" s="805"/>
      <c r="T239" s="805"/>
      <c r="U239" s="781" t="s">
        <v>1439</v>
      </c>
      <c r="V239" s="77">
        <v>13</v>
      </c>
      <c r="W239" s="782" t="str">
        <f t="shared" si="7"/>
        <v>Textilarbeit/Werken/Hauswirtschaft</v>
      </c>
    </row>
    <row r="240" spans="1:23" ht="12.75" x14ac:dyDescent="0.2">
      <c r="A240" s="74" t="str">
        <f t="shared" si="6"/>
        <v>406E.11</v>
      </c>
      <c r="B240" s="25" t="s">
        <v>427</v>
      </c>
      <c r="C240" s="76" t="s">
        <v>1433</v>
      </c>
      <c r="D240" s="76"/>
      <c r="E240" s="76"/>
      <c r="F240" s="76"/>
      <c r="G240" s="25" t="s">
        <v>428</v>
      </c>
      <c r="H240" s="76">
        <v>11</v>
      </c>
      <c r="I240" s="76" t="s">
        <v>65</v>
      </c>
      <c r="J240" s="76">
        <v>8</v>
      </c>
      <c r="K240" s="76">
        <v>4</v>
      </c>
      <c r="L240" s="804" t="s">
        <v>352</v>
      </c>
      <c r="M240" s="31"/>
      <c r="O240" s="32"/>
      <c r="P240" s="31"/>
      <c r="R240" s="32"/>
      <c r="S240" s="805"/>
      <c r="T240" s="805"/>
      <c r="U240" s="781" t="s">
        <v>1440</v>
      </c>
      <c r="V240" s="77">
        <v>11</v>
      </c>
      <c r="W240" s="782" t="str">
        <f t="shared" si="7"/>
        <v>Lehrer/in am Werkjahr (Primarpatent+Heilpäd)</v>
      </c>
    </row>
    <row r="241" spans="1:23" ht="12.75" x14ac:dyDescent="0.2">
      <c r="A241" s="74" t="str">
        <f t="shared" si="6"/>
        <v>406F.11</v>
      </c>
      <c r="B241" s="25" t="s">
        <v>429</v>
      </c>
      <c r="C241" s="76" t="s">
        <v>1433</v>
      </c>
      <c r="D241" s="76"/>
      <c r="E241" s="76"/>
      <c r="F241" s="76"/>
      <c r="G241" s="25" t="s">
        <v>430</v>
      </c>
      <c r="H241" s="76">
        <v>11</v>
      </c>
      <c r="I241" s="76" t="s">
        <v>65</v>
      </c>
      <c r="J241" s="76">
        <v>8</v>
      </c>
      <c r="K241" s="76">
        <v>4</v>
      </c>
      <c r="L241" s="804" t="s">
        <v>352</v>
      </c>
      <c r="M241" s="31"/>
      <c r="O241" s="32"/>
      <c r="P241" s="31"/>
      <c r="R241" s="32"/>
      <c r="S241" s="805"/>
      <c r="T241" s="805"/>
      <c r="U241" s="781" t="s">
        <v>1441</v>
      </c>
      <c r="V241" s="77">
        <v>11</v>
      </c>
      <c r="W241" s="782" t="str">
        <f t="shared" si="7"/>
        <v>Lehrer/in am Werkjahr (Primarpatent+Sek.IA+BWK)</v>
      </c>
    </row>
    <row r="242" spans="1:23" ht="12.75" x14ac:dyDescent="0.2">
      <c r="A242" s="74" t="str">
        <f t="shared" si="6"/>
        <v>406F.12</v>
      </c>
      <c r="B242" s="25" t="s">
        <v>431</v>
      </c>
      <c r="C242" s="76" t="s">
        <v>1433</v>
      </c>
      <c r="D242" s="76"/>
      <c r="E242" s="76"/>
      <c r="F242" s="76"/>
      <c r="G242" s="25" t="s">
        <v>432</v>
      </c>
      <c r="H242" s="76">
        <v>12</v>
      </c>
      <c r="I242" s="76" t="s">
        <v>65</v>
      </c>
      <c r="J242" s="76">
        <v>7</v>
      </c>
      <c r="K242" s="76">
        <v>4</v>
      </c>
      <c r="L242" s="804" t="s">
        <v>673</v>
      </c>
      <c r="M242" s="31"/>
      <c r="O242" s="32"/>
      <c r="P242" s="31"/>
      <c r="R242" s="32"/>
      <c r="S242" s="805"/>
      <c r="T242" s="805"/>
      <c r="U242" s="781" t="s">
        <v>1442</v>
      </c>
      <c r="V242" s="77">
        <v>12</v>
      </c>
      <c r="W242" s="782" t="str">
        <f t="shared" si="7"/>
        <v>Lehrer/in am Werkjahr (Primarpatent+ Sek.IA oder BWK)</v>
      </c>
    </row>
    <row r="243" spans="1:23" ht="12.75" x14ac:dyDescent="0.2">
      <c r="A243" s="74" t="str">
        <f t="shared" si="6"/>
        <v>406F.13</v>
      </c>
      <c r="B243" s="25" t="s">
        <v>433</v>
      </c>
      <c r="C243" s="76" t="s">
        <v>1433</v>
      </c>
      <c r="D243" s="76"/>
      <c r="E243" s="76"/>
      <c r="F243" s="76"/>
      <c r="G243" s="25" t="s">
        <v>434</v>
      </c>
      <c r="H243" s="76">
        <v>13</v>
      </c>
      <c r="I243" s="76" t="s">
        <v>65</v>
      </c>
      <c r="J243" s="76">
        <v>6.5</v>
      </c>
      <c r="K243" s="76">
        <v>4</v>
      </c>
      <c r="L243" s="804" t="s">
        <v>346</v>
      </c>
      <c r="M243" s="31"/>
      <c r="O243" s="32"/>
      <c r="P243" s="31"/>
      <c r="R243" s="32"/>
      <c r="S243" s="805"/>
      <c r="T243" s="805"/>
      <c r="U243" s="781" t="s">
        <v>1443</v>
      </c>
      <c r="V243" s="77">
        <v>13</v>
      </c>
      <c r="W243" s="782" t="str">
        <f t="shared" si="7"/>
        <v>Lehrer/in am Werkjahr (Primarpatent)</v>
      </c>
    </row>
    <row r="244" spans="1:23" ht="12.75" x14ac:dyDescent="0.2">
      <c r="A244" s="74" t="str">
        <f t="shared" si="6"/>
        <v>406G.11</v>
      </c>
      <c r="B244" s="25" t="s">
        <v>435</v>
      </c>
      <c r="C244" s="76" t="s">
        <v>1433</v>
      </c>
      <c r="D244" s="76"/>
      <c r="E244" s="76"/>
      <c r="F244" s="76"/>
      <c r="G244" s="25" t="s">
        <v>436</v>
      </c>
      <c r="H244" s="76">
        <v>11</v>
      </c>
      <c r="I244" s="76" t="s">
        <v>65</v>
      </c>
      <c r="J244" s="76">
        <v>8</v>
      </c>
      <c r="K244" s="76">
        <v>4</v>
      </c>
      <c r="L244" s="804" t="s">
        <v>352</v>
      </c>
      <c r="M244" s="31"/>
      <c r="O244" s="32"/>
      <c r="P244" s="31"/>
      <c r="R244" s="32"/>
      <c r="S244" s="805"/>
      <c r="T244" s="805"/>
      <c r="U244" s="781" t="s">
        <v>1444</v>
      </c>
      <c r="V244" s="77">
        <v>11</v>
      </c>
      <c r="W244" s="782" t="str">
        <f t="shared" si="7"/>
        <v>Lehrer/in am Werkjahr (Primarpatent+Sek.IA+Heilpäd.)</v>
      </c>
    </row>
    <row r="245" spans="1:23" ht="12.75" x14ac:dyDescent="0.2">
      <c r="A245" s="74" t="str">
        <f t="shared" si="6"/>
        <v>406G.12</v>
      </c>
      <c r="B245" s="25" t="s">
        <v>437</v>
      </c>
      <c r="C245" s="76" t="s">
        <v>1433</v>
      </c>
      <c r="D245" s="76"/>
      <c r="E245" s="76"/>
      <c r="F245" s="76"/>
      <c r="G245" s="25" t="s">
        <v>438</v>
      </c>
      <c r="H245" s="76">
        <v>12</v>
      </c>
      <c r="I245" s="76" t="s">
        <v>65</v>
      </c>
      <c r="J245" s="76">
        <v>7</v>
      </c>
      <c r="K245" s="76">
        <v>4</v>
      </c>
      <c r="L245" s="804" t="s">
        <v>673</v>
      </c>
      <c r="M245" s="31"/>
      <c r="O245" s="32"/>
      <c r="P245" s="31"/>
      <c r="R245" s="32"/>
      <c r="S245" s="805"/>
      <c r="T245" s="805"/>
      <c r="U245" s="781" t="s">
        <v>1445</v>
      </c>
      <c r="V245" s="77">
        <v>12</v>
      </c>
      <c r="W245" s="782" t="str">
        <f t="shared" si="7"/>
        <v>Lehrer/in am Werkjahr (Primarpatent+Heilpäd.)</v>
      </c>
    </row>
    <row r="246" spans="1:23" x14ac:dyDescent="0.25">
      <c r="A246" s="74" t="str">
        <f t="shared" si="6"/>
        <v>406H.14</v>
      </c>
      <c r="B246" s="71" t="s">
        <v>439</v>
      </c>
      <c r="C246" s="72" t="s">
        <v>1433</v>
      </c>
      <c r="D246" s="72"/>
      <c r="E246" s="72"/>
      <c r="F246" s="72"/>
      <c r="G246" s="71" t="s">
        <v>440</v>
      </c>
      <c r="H246" s="72">
        <v>14</v>
      </c>
      <c r="I246" s="72" t="s">
        <v>65</v>
      </c>
      <c r="J246" s="72">
        <v>6</v>
      </c>
      <c r="K246" s="72">
        <v>3</v>
      </c>
      <c r="L246" s="779" t="s">
        <v>672</v>
      </c>
      <c r="M246" s="73"/>
      <c r="N246" s="30"/>
      <c r="O246" s="30"/>
      <c r="P246" s="73"/>
      <c r="Q246" s="30"/>
      <c r="R246" s="75"/>
      <c r="S246" s="780"/>
      <c r="T246" s="780"/>
      <c r="U246" s="781" t="s">
        <v>1446</v>
      </c>
      <c r="V246" s="77">
        <v>14</v>
      </c>
      <c r="W246" s="782" t="str">
        <f t="shared" si="7"/>
        <v>Lehrer/in am Werkjahr (Ausbildung Werkseminar)</v>
      </c>
    </row>
    <row r="247" spans="1:23" x14ac:dyDescent="0.25">
      <c r="A247" s="74" t="str">
        <f t="shared" si="6"/>
        <v>406H.15</v>
      </c>
      <c r="B247" s="71" t="s">
        <v>441</v>
      </c>
      <c r="C247" s="72" t="s">
        <v>1433</v>
      </c>
      <c r="D247" s="72"/>
      <c r="E247" s="72"/>
      <c r="F247" s="72"/>
      <c r="G247" s="71" t="s">
        <v>442</v>
      </c>
      <c r="H247" s="72">
        <v>15</v>
      </c>
      <c r="I247" s="72" t="s">
        <v>65</v>
      </c>
      <c r="J247" s="72">
        <v>5</v>
      </c>
      <c r="K247" s="72">
        <v>3</v>
      </c>
      <c r="L247" s="779" t="s">
        <v>87</v>
      </c>
      <c r="M247" s="73"/>
      <c r="N247" s="30"/>
      <c r="O247" s="30"/>
      <c r="P247" s="73"/>
      <c r="Q247" s="30"/>
      <c r="R247" s="75"/>
      <c r="S247" s="780"/>
      <c r="T247" s="780"/>
      <c r="U247" s="781" t="s">
        <v>1447</v>
      </c>
      <c r="V247" s="77">
        <v>15</v>
      </c>
      <c r="W247" s="782" t="str">
        <f t="shared" si="7"/>
        <v>Lehrer/in am Werkjahr (Berufslehre)</v>
      </c>
    </row>
    <row r="248" spans="1:23" ht="12.75" x14ac:dyDescent="0.2">
      <c r="A248" s="74" t="str">
        <f t="shared" si="6"/>
        <v>407.10</v>
      </c>
      <c r="B248" s="783" t="s">
        <v>1448</v>
      </c>
      <c r="C248" s="79">
        <v>407</v>
      </c>
      <c r="D248" s="79"/>
      <c r="E248" s="79"/>
      <c r="F248" s="79"/>
      <c r="G248" s="28" t="s">
        <v>1449</v>
      </c>
      <c r="H248" s="79">
        <v>10</v>
      </c>
      <c r="I248" s="79"/>
      <c r="J248" s="79">
        <v>9.5</v>
      </c>
      <c r="K248" s="79">
        <v>4</v>
      </c>
      <c r="L248" s="791" t="s">
        <v>347</v>
      </c>
      <c r="M248" s="35"/>
      <c r="N248" s="36"/>
      <c r="O248" s="36"/>
      <c r="P248" s="35"/>
      <c r="Q248" s="36"/>
      <c r="R248" s="36"/>
      <c r="S248" s="792"/>
      <c r="T248" s="792"/>
      <c r="U248" s="781" t="s">
        <v>1450</v>
      </c>
      <c r="V248" s="77">
        <v>10</v>
      </c>
      <c r="W248" s="782" t="str">
        <f t="shared" si="7"/>
        <v>Lehrperson Sek. I (9. - 11. SJ)</v>
      </c>
    </row>
    <row r="249" spans="1:23" ht="12.75" x14ac:dyDescent="0.2">
      <c r="A249" s="74" t="str">
        <f t="shared" si="6"/>
        <v>407.14b</v>
      </c>
      <c r="B249" s="783" t="s">
        <v>752</v>
      </c>
      <c r="C249" s="79">
        <v>407</v>
      </c>
      <c r="D249" s="79"/>
      <c r="E249" s="79"/>
      <c r="F249" s="79"/>
      <c r="G249" s="28" t="s">
        <v>1451</v>
      </c>
      <c r="H249" s="79">
        <v>14</v>
      </c>
      <c r="I249" s="79"/>
      <c r="J249" s="79">
        <v>8.5</v>
      </c>
      <c r="K249" s="79">
        <v>3</v>
      </c>
      <c r="L249" s="791" t="s">
        <v>90</v>
      </c>
      <c r="M249" s="35"/>
      <c r="N249" s="36"/>
      <c r="O249" s="36"/>
      <c r="P249" s="35"/>
      <c r="Q249" s="36"/>
      <c r="R249" s="36"/>
      <c r="S249" s="792"/>
      <c r="T249" s="792"/>
      <c r="U249" s="781" t="s">
        <v>1452</v>
      </c>
      <c r="V249" s="77">
        <v>14</v>
      </c>
      <c r="W249" s="782" t="str">
        <f t="shared" si="7"/>
        <v>Schulzozialarbeit Sek. I</v>
      </c>
    </row>
    <row r="250" spans="1:23" ht="12.75" x14ac:dyDescent="0.2">
      <c r="A250" s="74" t="str">
        <f t="shared" si="6"/>
        <v>407.S1</v>
      </c>
      <c r="B250" s="25" t="s">
        <v>725</v>
      </c>
      <c r="C250" s="76">
        <v>407</v>
      </c>
      <c r="D250" s="76"/>
      <c r="E250" s="76"/>
      <c r="F250" s="76"/>
      <c r="G250" s="25" t="s">
        <v>726</v>
      </c>
      <c r="H250" s="76">
        <v>10</v>
      </c>
      <c r="I250" s="76">
        <v>549.29999999999995</v>
      </c>
      <c r="J250" s="76">
        <v>9.5</v>
      </c>
      <c r="K250" s="76">
        <v>4</v>
      </c>
      <c r="L250" s="804" t="s">
        <v>347</v>
      </c>
      <c r="M250" s="31"/>
      <c r="O250" s="32"/>
      <c r="P250" s="31"/>
      <c r="R250" s="32"/>
      <c r="S250" s="805"/>
      <c r="T250" s="805" t="s">
        <v>65</v>
      </c>
      <c r="U250" s="781" t="s">
        <v>1453</v>
      </c>
      <c r="V250" s="77">
        <v>10</v>
      </c>
      <c r="W250" s="782" t="str">
        <f t="shared" si="7"/>
        <v>Lehrperson Sek I</v>
      </c>
    </row>
    <row r="251" spans="1:23" x14ac:dyDescent="0.25">
      <c r="A251" s="74" t="str">
        <f t="shared" si="6"/>
        <v>407A.10</v>
      </c>
      <c r="B251" s="71" t="s">
        <v>245</v>
      </c>
      <c r="C251" s="72" t="s">
        <v>1454</v>
      </c>
      <c r="D251" s="72"/>
      <c r="E251" s="72"/>
      <c r="F251" s="72"/>
      <c r="G251" s="71" t="s">
        <v>443</v>
      </c>
      <c r="H251" s="72">
        <v>10</v>
      </c>
      <c r="I251" s="72">
        <v>537.79999999999995</v>
      </c>
      <c r="J251" s="72">
        <v>9.5</v>
      </c>
      <c r="K251" s="72">
        <v>4</v>
      </c>
      <c r="L251" s="779" t="s">
        <v>347</v>
      </c>
      <c r="M251" s="73"/>
      <c r="N251" s="30"/>
      <c r="O251" s="30"/>
      <c r="P251" s="73"/>
      <c r="Q251" s="30"/>
      <c r="R251" s="75"/>
      <c r="S251" s="780"/>
      <c r="T251" s="780"/>
      <c r="U251" s="781" t="s">
        <v>1455</v>
      </c>
      <c r="V251" s="77">
        <v>10</v>
      </c>
      <c r="W251" s="782" t="str">
        <f t="shared" si="7"/>
        <v>Typ A (Lehrberecht.in 3 Fächer, mehrheitl.wiss.Fächer)</v>
      </c>
    </row>
    <row r="252" spans="1:23" x14ac:dyDescent="0.25">
      <c r="A252" s="74" t="str">
        <f t="shared" si="6"/>
        <v>407A.11</v>
      </c>
      <c r="B252" s="71" t="s">
        <v>444</v>
      </c>
      <c r="C252" s="72" t="s">
        <v>1454</v>
      </c>
      <c r="D252" s="72"/>
      <c r="E252" s="72"/>
      <c r="F252" s="72"/>
      <c r="G252" s="71" t="s">
        <v>445</v>
      </c>
      <c r="H252" s="72">
        <v>11</v>
      </c>
      <c r="I252" s="72">
        <v>537.79999999999995</v>
      </c>
      <c r="J252" s="72">
        <v>9.5</v>
      </c>
      <c r="K252" s="72">
        <v>4</v>
      </c>
      <c r="L252" s="779" t="s">
        <v>347</v>
      </c>
      <c r="M252" s="73"/>
      <c r="N252" s="30"/>
      <c r="O252" s="30"/>
      <c r="P252" s="73"/>
      <c r="Q252" s="30"/>
      <c r="R252" s="75"/>
      <c r="S252" s="780"/>
      <c r="T252" s="780"/>
      <c r="U252" s="781" t="s">
        <v>1456</v>
      </c>
      <c r="V252" s="77">
        <v>11</v>
      </c>
      <c r="W252" s="782" t="str">
        <f t="shared" si="7"/>
        <v>Typ A (Lehrberecht.in 3 Fächer, mehrheitl.nicht-wiss.Fächer)</v>
      </c>
    </row>
    <row r="253" spans="1:23" ht="12.75" x14ac:dyDescent="0.2">
      <c r="A253" s="74" t="str">
        <f t="shared" si="6"/>
        <v>407A.S1</v>
      </c>
      <c r="B253" s="25" t="s">
        <v>727</v>
      </c>
      <c r="C253" s="76">
        <v>407</v>
      </c>
      <c r="D253" s="76"/>
      <c r="E253" s="76"/>
      <c r="F253" s="76"/>
      <c r="G253" s="25" t="s">
        <v>728</v>
      </c>
      <c r="H253" s="76">
        <v>10</v>
      </c>
      <c r="I253" s="76"/>
      <c r="J253" s="76">
        <v>9.5</v>
      </c>
      <c r="K253" s="76">
        <v>4</v>
      </c>
      <c r="L253" s="804" t="s">
        <v>347</v>
      </c>
      <c r="M253" s="31"/>
      <c r="O253" s="32"/>
      <c r="P253" s="31"/>
      <c r="R253" s="32"/>
      <c r="S253" s="805"/>
      <c r="T253" s="805" t="s">
        <v>65</v>
      </c>
      <c r="U253" s="781" t="s">
        <v>1457</v>
      </c>
      <c r="V253" s="77">
        <v>10</v>
      </c>
      <c r="W253" s="782" t="str">
        <f t="shared" si="7"/>
        <v>Lehrperson Sek I (Lehrdipl. 2 Fächer)</v>
      </c>
    </row>
    <row r="254" spans="1:23" x14ac:dyDescent="0.25">
      <c r="A254" s="74" t="str">
        <f t="shared" si="6"/>
        <v>407B.11</v>
      </c>
      <c r="B254" s="71" t="s">
        <v>246</v>
      </c>
      <c r="C254" s="72" t="s">
        <v>1454</v>
      </c>
      <c r="D254" s="72"/>
      <c r="E254" s="72"/>
      <c r="F254" s="72"/>
      <c r="G254" s="71" t="s">
        <v>446</v>
      </c>
      <c r="H254" s="72">
        <v>11</v>
      </c>
      <c r="I254" s="72">
        <v>0</v>
      </c>
      <c r="J254" s="72">
        <v>9</v>
      </c>
      <c r="K254" s="72">
        <v>4</v>
      </c>
      <c r="L254" s="779" t="s">
        <v>351</v>
      </c>
      <c r="M254" s="73"/>
      <c r="N254" s="30"/>
      <c r="O254" s="30"/>
      <c r="P254" s="73"/>
      <c r="Q254" s="30"/>
      <c r="R254" s="75"/>
      <c r="S254" s="780"/>
      <c r="T254" s="780"/>
      <c r="U254" s="781" t="s">
        <v>1458</v>
      </c>
      <c r="V254" s="77">
        <v>11</v>
      </c>
      <c r="W254" s="782" t="str">
        <f t="shared" si="7"/>
        <v>Typ B (Lehrberecht.in 2 Fächer, mehrheitl.wiss.Fächer)</v>
      </c>
    </row>
    <row r="255" spans="1:23" x14ac:dyDescent="0.25">
      <c r="A255" s="74" t="str">
        <f t="shared" si="6"/>
        <v>407B.12</v>
      </c>
      <c r="B255" s="71" t="s">
        <v>447</v>
      </c>
      <c r="C255" s="72" t="s">
        <v>1454</v>
      </c>
      <c r="D255" s="72"/>
      <c r="E255" s="72"/>
      <c r="F255" s="72"/>
      <c r="G255" s="71" t="s">
        <v>448</v>
      </c>
      <c r="H255" s="72">
        <v>12</v>
      </c>
      <c r="I255" s="72">
        <v>0</v>
      </c>
      <c r="J255" s="72">
        <v>9</v>
      </c>
      <c r="K255" s="72">
        <v>4</v>
      </c>
      <c r="L255" s="779" t="s">
        <v>351</v>
      </c>
      <c r="M255" s="73"/>
      <c r="N255" s="30"/>
      <c r="O255" s="30"/>
      <c r="P255" s="73"/>
      <c r="Q255" s="30"/>
      <c r="R255" s="75"/>
      <c r="S255" s="780"/>
      <c r="T255" s="780"/>
      <c r="U255" s="781" t="s">
        <v>1459</v>
      </c>
      <c r="V255" s="77">
        <v>12</v>
      </c>
      <c r="W255" s="782" t="str">
        <f t="shared" si="7"/>
        <v>Typ B (Lehrberecht.in 2 Fächer, mehrheitl.nicht-wiss.Fächer)</v>
      </c>
    </row>
    <row r="256" spans="1:23" ht="12.75" x14ac:dyDescent="0.2">
      <c r="A256" s="74" t="str">
        <f t="shared" si="6"/>
        <v>407B.S1</v>
      </c>
      <c r="B256" s="25" t="s">
        <v>729</v>
      </c>
      <c r="C256" s="76">
        <v>407</v>
      </c>
      <c r="D256" s="76"/>
      <c r="E256" s="76"/>
      <c r="F256" s="76"/>
      <c r="G256" s="25" t="s">
        <v>730</v>
      </c>
      <c r="H256" s="76">
        <v>12</v>
      </c>
      <c r="I256" s="76"/>
      <c r="J256" s="76">
        <v>9.5</v>
      </c>
      <c r="K256" s="76">
        <v>4</v>
      </c>
      <c r="L256" s="804" t="s">
        <v>347</v>
      </c>
      <c r="M256" s="31"/>
      <c r="O256" s="32"/>
      <c r="P256" s="31"/>
      <c r="R256" s="32"/>
      <c r="S256" s="805"/>
      <c r="T256" s="805" t="s">
        <v>65</v>
      </c>
      <c r="U256" s="781" t="s">
        <v>1460</v>
      </c>
      <c r="V256" s="77">
        <v>12</v>
      </c>
      <c r="W256" s="782" t="str">
        <f t="shared" si="7"/>
        <v>Lehrperson Sek I (Lehrdipl. 1 Fächer)</v>
      </c>
    </row>
    <row r="257" spans="1:23" x14ac:dyDescent="0.25">
      <c r="A257" s="74" t="str">
        <f t="shared" si="6"/>
        <v>407C.12</v>
      </c>
      <c r="B257" s="71" t="s">
        <v>247</v>
      </c>
      <c r="C257" s="72" t="s">
        <v>1454</v>
      </c>
      <c r="D257" s="72"/>
      <c r="E257" s="72"/>
      <c r="F257" s="72"/>
      <c r="G257" s="71" t="s">
        <v>449</v>
      </c>
      <c r="H257" s="72">
        <v>12</v>
      </c>
      <c r="I257" s="72">
        <v>0</v>
      </c>
      <c r="J257" s="72">
        <v>9.5</v>
      </c>
      <c r="K257" s="72">
        <v>4</v>
      </c>
      <c r="L257" s="779" t="s">
        <v>347</v>
      </c>
      <c r="M257" s="73"/>
      <c r="N257" s="30"/>
      <c r="O257" s="30"/>
      <c r="P257" s="73"/>
      <c r="Q257" s="30"/>
      <c r="R257" s="75"/>
      <c r="S257" s="780"/>
      <c r="T257" s="780"/>
      <c r="U257" s="781" t="s">
        <v>1461</v>
      </c>
      <c r="V257" s="77">
        <v>12</v>
      </c>
      <c r="W257" s="782" t="str">
        <f t="shared" si="7"/>
        <v>Typ C (Lehrberecht.in einem wissenschaftl. Fach)</v>
      </c>
    </row>
    <row r="258" spans="1:23" ht="12.75" x14ac:dyDescent="0.2">
      <c r="A258" s="74" t="str">
        <f t="shared" ref="A258:A293" si="8">RIGHT(B258,LEN(B258)-1)</f>
        <v>407C.S1</v>
      </c>
      <c r="B258" s="25" t="s">
        <v>731</v>
      </c>
      <c r="C258" s="76">
        <v>407</v>
      </c>
      <c r="D258" s="76"/>
      <c r="E258" s="76"/>
      <c r="F258" s="76"/>
      <c r="G258" s="25" t="s">
        <v>732</v>
      </c>
      <c r="H258" s="76">
        <v>12</v>
      </c>
      <c r="I258" s="76"/>
      <c r="J258" s="76">
        <v>8</v>
      </c>
      <c r="K258" s="76">
        <v>4</v>
      </c>
      <c r="L258" s="804" t="s">
        <v>352</v>
      </c>
      <c r="M258" s="31"/>
      <c r="O258" s="32"/>
      <c r="P258" s="31"/>
      <c r="R258" s="32"/>
      <c r="S258" s="805"/>
      <c r="T258" s="805" t="s">
        <v>65</v>
      </c>
      <c r="U258" s="781" t="s">
        <v>1462</v>
      </c>
      <c r="V258" s="77">
        <v>12</v>
      </c>
      <c r="W258" s="782" t="str">
        <f t="shared" ref="W258:W321" si="9">G258</f>
        <v>Lehrperson Sek I (Lehrdipl. Niveau A)</v>
      </c>
    </row>
    <row r="259" spans="1:23" x14ac:dyDescent="0.25">
      <c r="A259" s="74" t="str">
        <f t="shared" si="8"/>
        <v>407D.13</v>
      </c>
      <c r="B259" s="71" t="s">
        <v>248</v>
      </c>
      <c r="C259" s="72" t="s">
        <v>1454</v>
      </c>
      <c r="D259" s="72"/>
      <c r="E259" s="72"/>
      <c r="F259" s="72"/>
      <c r="G259" s="71" t="s">
        <v>646</v>
      </c>
      <c r="H259" s="72">
        <v>13</v>
      </c>
      <c r="I259" s="72">
        <v>0</v>
      </c>
      <c r="J259" s="72">
        <v>9.5</v>
      </c>
      <c r="K259" s="72">
        <v>4</v>
      </c>
      <c r="L259" s="779" t="s">
        <v>347</v>
      </c>
      <c r="M259" s="73"/>
      <c r="N259" s="30"/>
      <c r="O259" s="30"/>
      <c r="P259" s="73"/>
      <c r="Q259" s="30"/>
      <c r="R259" s="75"/>
      <c r="S259" s="780"/>
      <c r="T259" s="780"/>
      <c r="U259" s="781" t="s">
        <v>1463</v>
      </c>
      <c r="V259" s="77">
        <v>13</v>
      </c>
      <c r="W259" s="782" t="str">
        <f t="shared" si="9"/>
        <v>Typ D (Lehrberecht.in einem nichtwiss.Fach)</v>
      </c>
    </row>
    <row r="260" spans="1:23" ht="12.75" x14ac:dyDescent="0.2">
      <c r="A260" s="74" t="str">
        <f t="shared" si="8"/>
        <v>407D.S1</v>
      </c>
      <c r="B260" s="25" t="s">
        <v>733</v>
      </c>
      <c r="C260" s="76">
        <v>407</v>
      </c>
      <c r="D260" s="76"/>
      <c r="E260" s="76"/>
      <c r="F260" s="76"/>
      <c r="G260" s="25" t="s">
        <v>734</v>
      </c>
      <c r="H260" s="76">
        <v>11</v>
      </c>
      <c r="I260" s="76"/>
      <c r="J260" s="76">
        <v>8.5</v>
      </c>
      <c r="K260" s="76">
        <v>4</v>
      </c>
      <c r="L260" s="804" t="s">
        <v>90</v>
      </c>
      <c r="M260" s="31"/>
      <c r="O260" s="32"/>
      <c r="P260" s="31"/>
      <c r="R260" s="32"/>
      <c r="S260" s="805"/>
      <c r="T260" s="805" t="s">
        <v>65</v>
      </c>
      <c r="U260" s="781" t="s">
        <v>1464</v>
      </c>
      <c r="V260" s="77">
        <v>11</v>
      </c>
      <c r="W260" s="782" t="str">
        <f t="shared" si="9"/>
        <v>Lehrperson Sek I (Lehrdipl. Niveau A m. BWK/CAS)</v>
      </c>
    </row>
    <row r="261" spans="1:23" x14ac:dyDescent="0.25">
      <c r="A261" s="74" t="str">
        <f t="shared" si="8"/>
        <v>407E.14</v>
      </c>
      <c r="B261" s="71" t="s">
        <v>450</v>
      </c>
      <c r="C261" s="72" t="s">
        <v>1454</v>
      </c>
      <c r="D261" s="72"/>
      <c r="E261" s="72"/>
      <c r="F261" s="72"/>
      <c r="G261" s="71" t="s">
        <v>451</v>
      </c>
      <c r="H261" s="72">
        <v>14</v>
      </c>
      <c r="I261" s="72" t="s">
        <v>65</v>
      </c>
      <c r="J261" s="72">
        <v>4</v>
      </c>
      <c r="K261" s="72">
        <v>4</v>
      </c>
      <c r="L261" s="779" t="s">
        <v>89</v>
      </c>
      <c r="M261" s="73"/>
      <c r="N261" s="30"/>
      <c r="O261" s="30"/>
      <c r="P261" s="73"/>
      <c r="Q261" s="30"/>
      <c r="R261" s="75"/>
      <c r="S261" s="780"/>
      <c r="T261" s="780"/>
      <c r="U261" s="781" t="s">
        <v>1465</v>
      </c>
      <c r="V261" s="77">
        <v>14</v>
      </c>
      <c r="W261" s="782" t="str">
        <f t="shared" si="9"/>
        <v>Lehrer/in Sek.I (Student&gt;=3Semester)</v>
      </c>
    </row>
    <row r="262" spans="1:23" ht="12.75" x14ac:dyDescent="0.2">
      <c r="A262" s="74" t="str">
        <f t="shared" si="8"/>
        <v>407E.16</v>
      </c>
      <c r="B262" s="28" t="s">
        <v>452</v>
      </c>
      <c r="C262" s="79" t="s">
        <v>1454</v>
      </c>
      <c r="D262" s="79"/>
      <c r="E262" s="79"/>
      <c r="F262" s="79"/>
      <c r="G262" s="28" t="s">
        <v>453</v>
      </c>
      <c r="H262" s="79">
        <v>16</v>
      </c>
      <c r="I262" s="79" t="s">
        <v>65</v>
      </c>
      <c r="J262" s="79">
        <v>4</v>
      </c>
      <c r="K262" s="79">
        <v>4</v>
      </c>
      <c r="L262" s="791" t="s">
        <v>89</v>
      </c>
      <c r="M262" s="35"/>
      <c r="N262" s="36"/>
      <c r="O262" s="36"/>
      <c r="P262" s="35"/>
      <c r="Q262" s="36"/>
      <c r="R262" s="36"/>
      <c r="S262" s="792" t="s">
        <v>65</v>
      </c>
      <c r="T262" s="792" t="s">
        <v>65</v>
      </c>
      <c r="U262" s="781" t="s">
        <v>1466</v>
      </c>
      <c r="V262" s="77">
        <v>16</v>
      </c>
      <c r="W262" s="782" t="str">
        <f t="shared" si="9"/>
        <v>Lehrer/in Sek.I (Student&lt;3Semester)</v>
      </c>
    </row>
    <row r="263" spans="1:23" ht="12.75" x14ac:dyDescent="0.2">
      <c r="A263" s="74" t="str">
        <f t="shared" si="8"/>
        <v>407E.S1</v>
      </c>
      <c r="B263" s="25" t="s">
        <v>735</v>
      </c>
      <c r="C263" s="76">
        <v>407</v>
      </c>
      <c r="D263" s="76"/>
      <c r="E263" s="76"/>
      <c r="F263" s="76"/>
      <c r="G263" s="25" t="s">
        <v>736</v>
      </c>
      <c r="H263" s="76">
        <v>13</v>
      </c>
      <c r="I263" s="76"/>
      <c r="J263" s="76">
        <v>8</v>
      </c>
      <c r="K263" s="76">
        <v>4</v>
      </c>
      <c r="L263" s="804" t="s">
        <v>352</v>
      </c>
      <c r="M263" s="31"/>
      <c r="O263" s="32"/>
      <c r="P263" s="31"/>
      <c r="R263" s="32"/>
      <c r="S263" s="805"/>
      <c r="T263" s="805" t="s">
        <v>65</v>
      </c>
      <c r="U263" s="781" t="s">
        <v>1467</v>
      </c>
      <c r="V263" s="77">
        <v>13</v>
      </c>
      <c r="W263" s="782" t="str">
        <f t="shared" si="9"/>
        <v>Lehrperson Sek I (Lehrdipl. andere Schulstufe Volkssch.)</v>
      </c>
    </row>
    <row r="264" spans="1:23" x14ac:dyDescent="0.25">
      <c r="A264" s="74" t="str">
        <f t="shared" si="8"/>
        <v>407F.10</v>
      </c>
      <c r="B264" s="71" t="s">
        <v>454</v>
      </c>
      <c r="C264" s="72" t="s">
        <v>1454</v>
      </c>
      <c r="D264" s="72"/>
      <c r="E264" s="72"/>
      <c r="F264" s="72"/>
      <c r="G264" s="71" t="s">
        <v>455</v>
      </c>
      <c r="H264" s="72">
        <v>10</v>
      </c>
      <c r="I264" s="72" t="s">
        <v>65</v>
      </c>
      <c r="J264" s="72">
        <v>8.5</v>
      </c>
      <c r="K264" s="72">
        <v>4</v>
      </c>
      <c r="L264" s="779" t="s">
        <v>90</v>
      </c>
      <c r="M264" s="73"/>
      <c r="N264" s="30"/>
      <c r="O264" s="30"/>
      <c r="P264" s="73"/>
      <c r="Q264" s="30"/>
      <c r="R264" s="75"/>
      <c r="S264" s="780"/>
      <c r="T264" s="780"/>
      <c r="U264" s="781" t="s">
        <v>1468</v>
      </c>
      <c r="V264" s="77">
        <v>10</v>
      </c>
      <c r="W264" s="782" t="str">
        <f t="shared" si="9"/>
        <v>Lehrer/in Sek.I (&gt;=3 Fächer)</v>
      </c>
    </row>
    <row r="265" spans="1:23" x14ac:dyDescent="0.25">
      <c r="A265" s="74" t="str">
        <f t="shared" si="8"/>
        <v>407F.11</v>
      </c>
      <c r="B265" s="71" t="s">
        <v>456</v>
      </c>
      <c r="C265" s="72" t="s">
        <v>1454</v>
      </c>
      <c r="D265" s="72"/>
      <c r="E265" s="72"/>
      <c r="F265" s="72"/>
      <c r="G265" s="71" t="s">
        <v>457</v>
      </c>
      <c r="H265" s="72">
        <v>11</v>
      </c>
      <c r="I265" s="72" t="s">
        <v>65</v>
      </c>
      <c r="J265" s="72">
        <v>8.5</v>
      </c>
      <c r="K265" s="72">
        <v>4</v>
      </c>
      <c r="L265" s="779" t="s">
        <v>90</v>
      </c>
      <c r="M265" s="73"/>
      <c r="N265" s="30"/>
      <c r="O265" s="30"/>
      <c r="P265" s="73"/>
      <c r="Q265" s="30"/>
      <c r="R265" s="75"/>
      <c r="S265" s="780"/>
      <c r="T265" s="780"/>
      <c r="U265" s="781" t="s">
        <v>1469</v>
      </c>
      <c r="V265" s="77">
        <v>11</v>
      </c>
      <c r="W265" s="782" t="str">
        <f t="shared" si="9"/>
        <v>Lehrer/in Sek.I (=2 Fächer)</v>
      </c>
    </row>
    <row r="266" spans="1:23" x14ac:dyDescent="0.25">
      <c r="A266" s="74" t="str">
        <f t="shared" si="8"/>
        <v>407F.12</v>
      </c>
      <c r="B266" s="71" t="s">
        <v>458</v>
      </c>
      <c r="C266" s="72" t="s">
        <v>1454</v>
      </c>
      <c r="D266" s="72"/>
      <c r="E266" s="72"/>
      <c r="F266" s="72"/>
      <c r="G266" s="71" t="s">
        <v>459</v>
      </c>
      <c r="H266" s="72">
        <v>12</v>
      </c>
      <c r="I266" s="72" t="s">
        <v>65</v>
      </c>
      <c r="J266" s="72">
        <v>8.5</v>
      </c>
      <c r="K266" s="72">
        <v>4</v>
      </c>
      <c r="L266" s="779" t="s">
        <v>90</v>
      </c>
      <c r="M266" s="73"/>
      <c r="N266" s="30"/>
      <c r="O266" s="30"/>
      <c r="P266" s="73"/>
      <c r="Q266" s="30"/>
      <c r="R266" s="75"/>
      <c r="S266" s="780"/>
      <c r="T266" s="780"/>
      <c r="U266" s="781" t="s">
        <v>1470</v>
      </c>
      <c r="V266" s="77">
        <v>12</v>
      </c>
      <c r="W266" s="782" t="str">
        <f t="shared" si="9"/>
        <v>Lehrer/in Sek.I (ein wiss. Fach)</v>
      </c>
    </row>
    <row r="267" spans="1:23" x14ac:dyDescent="0.25">
      <c r="A267" s="74" t="str">
        <f t="shared" si="8"/>
        <v>407F.13</v>
      </c>
      <c r="B267" s="71" t="s">
        <v>460</v>
      </c>
      <c r="C267" s="72" t="s">
        <v>1454</v>
      </c>
      <c r="D267" s="72"/>
      <c r="E267" s="72"/>
      <c r="F267" s="72"/>
      <c r="G267" s="71" t="s">
        <v>461</v>
      </c>
      <c r="H267" s="72">
        <v>13</v>
      </c>
      <c r="I267" s="72" t="s">
        <v>65</v>
      </c>
      <c r="J267" s="72">
        <v>8.5</v>
      </c>
      <c r="K267" s="72">
        <v>4</v>
      </c>
      <c r="L267" s="779" t="s">
        <v>90</v>
      </c>
      <c r="M267" s="73"/>
      <c r="N267" s="30"/>
      <c r="O267" s="30"/>
      <c r="P267" s="73"/>
      <c r="Q267" s="30"/>
      <c r="R267" s="75"/>
      <c r="S267" s="780"/>
      <c r="T267" s="780"/>
      <c r="U267" s="781" t="s">
        <v>1471</v>
      </c>
      <c r="V267" s="77">
        <v>13</v>
      </c>
      <c r="W267" s="782" t="str">
        <f t="shared" si="9"/>
        <v>Lehrer/in Sek.I (ein nicht-wiss. Fach)</v>
      </c>
    </row>
    <row r="268" spans="1:23" ht="12.75" x14ac:dyDescent="0.2">
      <c r="A268" s="74" t="str">
        <f t="shared" si="8"/>
        <v>407F.S1</v>
      </c>
      <c r="B268" s="25" t="s">
        <v>1087</v>
      </c>
      <c r="C268" s="76">
        <v>407</v>
      </c>
      <c r="D268" s="76"/>
      <c r="E268" s="76"/>
      <c r="F268" s="76"/>
      <c r="G268" s="25" t="s">
        <v>1088</v>
      </c>
      <c r="H268" s="76">
        <v>10</v>
      </c>
      <c r="I268" s="76"/>
      <c r="J268" s="76">
        <v>9.5</v>
      </c>
      <c r="K268" s="76">
        <v>4</v>
      </c>
      <c r="L268" s="804" t="s">
        <v>347</v>
      </c>
      <c r="M268" s="31"/>
      <c r="O268" s="32"/>
      <c r="P268" s="31"/>
      <c r="R268" s="32"/>
      <c r="S268" s="805"/>
      <c r="T268" s="805" t="s">
        <v>65</v>
      </c>
      <c r="U268" s="781" t="s">
        <v>1472</v>
      </c>
      <c r="V268" s="77">
        <v>10</v>
      </c>
      <c r="W268" s="782" t="str">
        <f t="shared" si="9"/>
        <v>Lehrperson Sek I (Lehrdipl. Sek II - 2 Fächer)</v>
      </c>
    </row>
    <row r="269" spans="1:23" x14ac:dyDescent="0.25">
      <c r="A269" s="74" t="str">
        <f t="shared" si="8"/>
        <v>407G.13</v>
      </c>
      <c r="B269" s="71" t="s">
        <v>462</v>
      </c>
      <c r="C269" s="72" t="s">
        <v>1454</v>
      </c>
      <c r="D269" s="72"/>
      <c r="E269" s="72"/>
      <c r="F269" s="72"/>
      <c r="G269" s="71" t="s">
        <v>463</v>
      </c>
      <c r="H269" s="72">
        <v>13</v>
      </c>
      <c r="I269" s="72" t="s">
        <v>65</v>
      </c>
      <c r="J269" s="72">
        <v>6.5</v>
      </c>
      <c r="K269" s="72">
        <v>3</v>
      </c>
      <c r="L269" s="779" t="s">
        <v>346</v>
      </c>
      <c r="M269" s="73"/>
      <c r="N269" s="30"/>
      <c r="O269" s="30"/>
      <c r="P269" s="73"/>
      <c r="Q269" s="30"/>
      <c r="R269" s="75"/>
      <c r="S269" s="780"/>
      <c r="T269" s="780"/>
      <c r="U269" s="781" t="s">
        <v>1473</v>
      </c>
      <c r="V269" s="77">
        <v>13</v>
      </c>
      <c r="W269" s="782" t="str">
        <f t="shared" si="9"/>
        <v>Lehrer/in Sek.I (Primarlehrpatent)</v>
      </c>
    </row>
    <row r="270" spans="1:23" ht="12.75" x14ac:dyDescent="0.2">
      <c r="A270" s="74" t="str">
        <f t="shared" si="8"/>
        <v>407G.S1</v>
      </c>
      <c r="B270" s="25" t="s">
        <v>1089</v>
      </c>
      <c r="C270" s="76">
        <v>407</v>
      </c>
      <c r="D270" s="76"/>
      <c r="E270" s="76"/>
      <c r="F270" s="76"/>
      <c r="G270" s="25" t="s">
        <v>1090</v>
      </c>
      <c r="H270" s="76">
        <v>12</v>
      </c>
      <c r="I270" s="76"/>
      <c r="J270" s="76">
        <v>9.5</v>
      </c>
      <c r="K270" s="76">
        <v>4</v>
      </c>
      <c r="L270" s="804" t="s">
        <v>347</v>
      </c>
      <c r="M270" s="31"/>
      <c r="O270" s="32"/>
      <c r="P270" s="31"/>
      <c r="R270" s="32"/>
      <c r="S270" s="805"/>
      <c r="T270" s="805" t="s">
        <v>65</v>
      </c>
      <c r="U270" s="781" t="s">
        <v>1474</v>
      </c>
      <c r="V270" s="77">
        <v>12</v>
      </c>
      <c r="W270" s="782" t="str">
        <f t="shared" si="9"/>
        <v>Lehrperson Sek I (Lehrdipl. Sek II - 1 Fach)</v>
      </c>
    </row>
    <row r="271" spans="1:23" x14ac:dyDescent="0.25">
      <c r="A271" s="74" t="str">
        <f t="shared" si="8"/>
        <v>407H.12</v>
      </c>
      <c r="B271" s="71" t="s">
        <v>464</v>
      </c>
      <c r="C271" s="72" t="s">
        <v>1454</v>
      </c>
      <c r="D271" s="72"/>
      <c r="E271" s="72"/>
      <c r="F271" s="72"/>
      <c r="G271" s="71" t="s">
        <v>465</v>
      </c>
      <c r="H271" s="72">
        <v>12</v>
      </c>
      <c r="I271" s="72" t="s">
        <v>65</v>
      </c>
      <c r="J271" s="72">
        <v>8</v>
      </c>
      <c r="K271" s="72">
        <v>4</v>
      </c>
      <c r="L271" s="779" t="s">
        <v>352</v>
      </c>
      <c r="M271" s="73"/>
      <c r="N271" s="30"/>
      <c r="O271" s="30"/>
      <c r="P271" s="73"/>
      <c r="Q271" s="30"/>
      <c r="R271" s="75"/>
      <c r="S271" s="780"/>
      <c r="T271" s="780"/>
      <c r="U271" s="781" t="s">
        <v>1475</v>
      </c>
      <c r="V271" s="77">
        <v>12</v>
      </c>
      <c r="W271" s="782" t="str">
        <f t="shared" si="9"/>
        <v>Lehrer/in Sek.I (Liz./Master, &gt;=2 Fächer)</v>
      </c>
    </row>
    <row r="272" spans="1:23" x14ac:dyDescent="0.25">
      <c r="A272" s="74" t="str">
        <f t="shared" si="8"/>
        <v>407H.13</v>
      </c>
      <c r="B272" s="71" t="s">
        <v>466</v>
      </c>
      <c r="C272" s="72" t="s">
        <v>1454</v>
      </c>
      <c r="D272" s="72"/>
      <c r="E272" s="72"/>
      <c r="F272" s="72"/>
      <c r="G272" s="71" t="s">
        <v>467</v>
      </c>
      <c r="H272" s="72">
        <v>13</v>
      </c>
      <c r="I272" s="72" t="s">
        <v>65</v>
      </c>
      <c r="J272" s="72">
        <v>8</v>
      </c>
      <c r="K272" s="72">
        <v>4</v>
      </c>
      <c r="L272" s="779" t="s">
        <v>352</v>
      </c>
      <c r="M272" s="73"/>
      <c r="N272" s="30"/>
      <c r="O272" s="30"/>
      <c r="P272" s="73"/>
      <c r="Q272" s="30"/>
      <c r="R272" s="75"/>
      <c r="S272" s="780"/>
      <c r="T272" s="780"/>
      <c r="U272" s="781" t="s">
        <v>1476</v>
      </c>
      <c r="V272" s="77">
        <v>13</v>
      </c>
      <c r="W272" s="782" t="str">
        <f t="shared" si="9"/>
        <v>Lehrer/in Sek.I (Liz./Master, 1 Fach)</v>
      </c>
    </row>
    <row r="273" spans="1:23" ht="12.75" x14ac:dyDescent="0.2">
      <c r="A273" s="74" t="str">
        <f t="shared" si="8"/>
        <v>407H.S1</v>
      </c>
      <c r="B273" s="25" t="s">
        <v>1091</v>
      </c>
      <c r="C273" s="76">
        <v>407</v>
      </c>
      <c r="D273" s="76"/>
      <c r="E273" s="76"/>
      <c r="F273" s="76"/>
      <c r="G273" s="25" t="s">
        <v>1092</v>
      </c>
      <c r="H273" s="76">
        <v>13</v>
      </c>
      <c r="I273" s="76"/>
      <c r="J273" s="76">
        <v>8</v>
      </c>
      <c r="K273" s="76">
        <v>4</v>
      </c>
      <c r="L273" s="804" t="s">
        <v>352</v>
      </c>
      <c r="M273" s="31"/>
      <c r="O273" s="32"/>
      <c r="P273" s="31"/>
      <c r="R273" s="32"/>
      <c r="S273" s="805"/>
      <c r="T273" s="805" t="s">
        <v>65</v>
      </c>
      <c r="U273" s="781" t="s">
        <v>1477</v>
      </c>
      <c r="V273" s="77">
        <v>13</v>
      </c>
      <c r="W273" s="782" t="str">
        <f t="shared" si="9"/>
        <v>Lehrperson Sek I (in Ausb. - m. Abschluss BA)</v>
      </c>
    </row>
    <row r="274" spans="1:23" x14ac:dyDescent="0.25">
      <c r="A274" s="74" t="str">
        <f t="shared" si="8"/>
        <v>407I.14</v>
      </c>
      <c r="B274" s="71" t="s">
        <v>468</v>
      </c>
      <c r="C274" s="72" t="s">
        <v>1454</v>
      </c>
      <c r="D274" s="72"/>
      <c r="E274" s="72"/>
      <c r="F274" s="72"/>
      <c r="G274" s="71" t="s">
        <v>469</v>
      </c>
      <c r="H274" s="72">
        <v>14</v>
      </c>
      <c r="I274" s="72" t="s">
        <v>65</v>
      </c>
      <c r="J274" s="72">
        <v>6.5</v>
      </c>
      <c r="K274" s="72">
        <v>4</v>
      </c>
      <c r="L274" s="779" t="s">
        <v>346</v>
      </c>
      <c r="M274" s="73"/>
      <c r="N274" s="30"/>
      <c r="O274" s="30"/>
      <c r="P274" s="73"/>
      <c r="Q274" s="30"/>
      <c r="R274" s="75"/>
      <c r="S274" s="780"/>
      <c r="T274" s="780"/>
      <c r="U274" s="781" t="s">
        <v>1478</v>
      </c>
      <c r="V274" s="77">
        <v>14</v>
      </c>
      <c r="W274" s="782" t="str">
        <f t="shared" si="9"/>
        <v>Lehrer/in Sek.I (Berufslehre+päd.Ausb.,&gt;=2 Fächer)</v>
      </c>
    </row>
    <row r="275" spans="1:23" x14ac:dyDescent="0.25">
      <c r="A275" s="74" t="str">
        <f t="shared" si="8"/>
        <v>407I.15</v>
      </c>
      <c r="B275" s="71" t="s">
        <v>470</v>
      </c>
      <c r="C275" s="72" t="s">
        <v>1454</v>
      </c>
      <c r="D275" s="72"/>
      <c r="E275" s="72"/>
      <c r="F275" s="72"/>
      <c r="G275" s="71" t="s">
        <v>471</v>
      </c>
      <c r="H275" s="72">
        <v>15</v>
      </c>
      <c r="I275" s="72" t="s">
        <v>65</v>
      </c>
      <c r="J275" s="72">
        <v>6.5</v>
      </c>
      <c r="K275" s="72">
        <v>4</v>
      </c>
      <c r="L275" s="779" t="s">
        <v>346</v>
      </c>
      <c r="M275" s="73"/>
      <c r="N275" s="30"/>
      <c r="O275" s="30"/>
      <c r="P275" s="73"/>
      <c r="Q275" s="30"/>
      <c r="R275" s="75"/>
      <c r="S275" s="780"/>
      <c r="T275" s="780"/>
      <c r="U275" s="781" t="s">
        <v>1479</v>
      </c>
      <c r="V275" s="77">
        <v>15</v>
      </c>
      <c r="W275" s="782" t="str">
        <f t="shared" si="9"/>
        <v>Lehrer/in Sek.I (Berufslehre+päd.Ausb.,1 Fach)</v>
      </c>
    </row>
    <row r="276" spans="1:23" ht="12.75" x14ac:dyDescent="0.2">
      <c r="A276" s="74" t="str">
        <f t="shared" si="8"/>
        <v>407I.S1</v>
      </c>
      <c r="B276" s="25" t="s">
        <v>1093</v>
      </c>
      <c r="C276" s="76">
        <v>407</v>
      </c>
      <c r="D276" s="76"/>
      <c r="E276" s="76"/>
      <c r="F276" s="76"/>
      <c r="G276" s="25" t="s">
        <v>1094</v>
      </c>
      <c r="H276" s="76">
        <v>15</v>
      </c>
      <c r="I276" s="76"/>
      <c r="J276" s="76">
        <v>2</v>
      </c>
      <c r="K276" s="76">
        <v>4</v>
      </c>
      <c r="L276" s="804" t="s">
        <v>344</v>
      </c>
      <c r="M276" s="31"/>
      <c r="O276" s="32"/>
      <c r="P276" s="31"/>
      <c r="R276" s="32"/>
      <c r="S276" s="805"/>
      <c r="T276" s="805" t="s">
        <v>65</v>
      </c>
      <c r="U276" s="781" t="s">
        <v>1480</v>
      </c>
      <c r="V276" s="77">
        <v>15</v>
      </c>
      <c r="W276" s="782" t="str">
        <f t="shared" si="9"/>
        <v>Lehrperson Sek I (k. Lehrdiplom)</v>
      </c>
    </row>
    <row r="277" spans="1:23" ht="12.75" x14ac:dyDescent="0.2">
      <c r="A277" s="74" t="str">
        <f t="shared" si="8"/>
        <v>407J.16</v>
      </c>
      <c r="B277" s="28" t="s">
        <v>472</v>
      </c>
      <c r="C277" s="79" t="s">
        <v>1454</v>
      </c>
      <c r="D277" s="79"/>
      <c r="E277" s="79"/>
      <c r="F277" s="79"/>
      <c r="G277" s="28" t="s">
        <v>473</v>
      </c>
      <c r="H277" s="79">
        <v>16</v>
      </c>
      <c r="I277" s="79" t="s">
        <v>65</v>
      </c>
      <c r="J277" s="79">
        <v>5</v>
      </c>
      <c r="K277" s="79">
        <v>3</v>
      </c>
      <c r="L277" s="791" t="s">
        <v>87</v>
      </c>
      <c r="M277" s="35"/>
      <c r="N277" s="36"/>
      <c r="O277" s="36"/>
      <c r="P277" s="35"/>
      <c r="Q277" s="36"/>
      <c r="R277" s="36"/>
      <c r="S277" s="792" t="s">
        <v>65</v>
      </c>
      <c r="T277" s="792" t="s">
        <v>65</v>
      </c>
      <c r="U277" s="781" t="s">
        <v>1481</v>
      </c>
      <c r="V277" s="77">
        <v>16</v>
      </c>
      <c r="W277" s="782" t="str">
        <f t="shared" si="9"/>
        <v>Lehrer/in Sek.I (Berufslehre)</v>
      </c>
    </row>
    <row r="278" spans="1:23" x14ac:dyDescent="0.25">
      <c r="A278" s="74" t="str">
        <f t="shared" si="8"/>
        <v>407K.12</v>
      </c>
      <c r="B278" s="71" t="s">
        <v>644</v>
      </c>
      <c r="C278" s="72" t="s">
        <v>1454</v>
      </c>
      <c r="D278" s="72"/>
      <c r="E278" s="72"/>
      <c r="F278" s="72" t="s">
        <v>1454</v>
      </c>
      <c r="G278" s="71" t="s">
        <v>641</v>
      </c>
      <c r="H278" s="72" t="s">
        <v>1482</v>
      </c>
      <c r="I278" s="72"/>
      <c r="J278" s="72">
        <v>9</v>
      </c>
      <c r="K278" s="72">
        <v>4</v>
      </c>
      <c r="L278" s="779" t="s">
        <v>351</v>
      </c>
      <c r="M278" s="73"/>
      <c r="N278" s="30"/>
      <c r="O278" s="30"/>
      <c r="P278" s="73"/>
      <c r="Q278" s="30"/>
      <c r="R278" s="75"/>
      <c r="S278" s="780"/>
      <c r="T278" s="780"/>
      <c r="U278" s="781" t="s">
        <v>1483</v>
      </c>
      <c r="V278" s="77" t="s">
        <v>1482</v>
      </c>
      <c r="W278" s="782" t="str">
        <f t="shared" si="9"/>
        <v>Typ K (Monofach Sport Sek. I)</v>
      </c>
    </row>
    <row r="279" spans="1:23" x14ac:dyDescent="0.25">
      <c r="A279" s="74" t="str">
        <f t="shared" si="8"/>
        <v>407K.13</v>
      </c>
      <c r="B279" s="71" t="s">
        <v>664</v>
      </c>
      <c r="C279" s="72" t="s">
        <v>1454</v>
      </c>
      <c r="D279" s="72"/>
      <c r="E279" s="72"/>
      <c r="F279" s="72" t="s">
        <v>1454</v>
      </c>
      <c r="G279" s="71" t="s">
        <v>665</v>
      </c>
      <c r="H279" s="72">
        <v>13</v>
      </c>
      <c r="I279" s="72"/>
      <c r="J279" s="72">
        <v>8</v>
      </c>
      <c r="K279" s="72">
        <v>4</v>
      </c>
      <c r="L279" s="779" t="s">
        <v>352</v>
      </c>
      <c r="M279" s="73"/>
      <c r="N279" s="30"/>
      <c r="O279" s="30"/>
      <c r="P279" s="73"/>
      <c r="Q279" s="30"/>
      <c r="R279" s="75"/>
      <c r="S279" s="780"/>
      <c r="T279" s="780"/>
      <c r="U279" s="781" t="s">
        <v>1484</v>
      </c>
      <c r="V279" s="77">
        <v>13</v>
      </c>
      <c r="W279" s="782" t="str">
        <f t="shared" si="9"/>
        <v>Typ K (Monofach Sport Sek. I, mit Bachelor ohne Lehrdiplom)</v>
      </c>
    </row>
    <row r="280" spans="1:23" x14ac:dyDescent="0.25">
      <c r="A280" s="74" t="str">
        <f t="shared" si="8"/>
        <v>407L.10</v>
      </c>
      <c r="B280" s="71" t="s">
        <v>626</v>
      </c>
      <c r="C280" s="72" t="s">
        <v>1454</v>
      </c>
      <c r="D280" s="72"/>
      <c r="E280" s="72"/>
      <c r="F280" s="72"/>
      <c r="G280" s="71" t="s">
        <v>629</v>
      </c>
      <c r="H280" s="72">
        <v>10</v>
      </c>
      <c r="I280" s="72" t="s">
        <v>65</v>
      </c>
      <c r="J280" s="72">
        <v>9.5</v>
      </c>
      <c r="K280" s="72">
        <v>4</v>
      </c>
      <c r="L280" s="779" t="s">
        <v>347</v>
      </c>
      <c r="M280" s="73"/>
      <c r="N280" s="30"/>
      <c r="O280" s="30"/>
      <c r="P280" s="73"/>
      <c r="Q280" s="30"/>
      <c r="R280" s="75"/>
      <c r="S280" s="780"/>
      <c r="T280" s="780"/>
      <c r="U280" s="781" t="s">
        <v>1485</v>
      </c>
      <c r="V280" s="77">
        <v>10</v>
      </c>
      <c r="W280" s="782" t="str">
        <f t="shared" si="9"/>
        <v>Lehrer/in Sek.I Niveau A, E &amp; P mit mind. 3 Fächer</v>
      </c>
    </row>
    <row r="281" spans="1:23" x14ac:dyDescent="0.25">
      <c r="A281" s="74" t="str">
        <f t="shared" si="8"/>
        <v>407L.11</v>
      </c>
      <c r="B281" s="71" t="s">
        <v>632</v>
      </c>
      <c r="C281" s="72" t="s">
        <v>1454</v>
      </c>
      <c r="D281" s="72"/>
      <c r="E281" s="72"/>
      <c r="F281" s="72"/>
      <c r="G281" s="71" t="s">
        <v>633</v>
      </c>
      <c r="H281" s="72">
        <v>11</v>
      </c>
      <c r="I281" s="72" t="s">
        <v>65</v>
      </c>
      <c r="J281" s="72">
        <v>9.5</v>
      </c>
      <c r="K281" s="72">
        <v>4</v>
      </c>
      <c r="L281" s="779" t="s">
        <v>347</v>
      </c>
      <c r="M281" s="73"/>
      <c r="N281" s="30"/>
      <c r="O281" s="30"/>
      <c r="P281" s="73"/>
      <c r="Q281" s="30"/>
      <c r="R281" s="75"/>
      <c r="S281" s="780"/>
      <c r="T281" s="780"/>
      <c r="U281" s="781" t="s">
        <v>1486</v>
      </c>
      <c r="V281" s="77">
        <v>11</v>
      </c>
      <c r="W281" s="782" t="str">
        <f t="shared" si="9"/>
        <v>Lehrer/in Sek.I Niveau A, E &amp; P mit mind. 3 Fächer nichtwiss.</v>
      </c>
    </row>
    <row r="282" spans="1:23" x14ac:dyDescent="0.25">
      <c r="A282" s="74" t="str">
        <f t="shared" si="8"/>
        <v>407M.11</v>
      </c>
      <c r="B282" s="71" t="s">
        <v>627</v>
      </c>
      <c r="C282" s="72" t="s">
        <v>1454</v>
      </c>
      <c r="D282" s="72"/>
      <c r="E282" s="72"/>
      <c r="F282" s="72"/>
      <c r="G282" s="71" t="s">
        <v>630</v>
      </c>
      <c r="H282" s="72">
        <v>11</v>
      </c>
      <c r="I282" s="72" t="s">
        <v>65</v>
      </c>
      <c r="J282" s="72">
        <v>9.5</v>
      </c>
      <c r="K282" s="72">
        <v>4</v>
      </c>
      <c r="L282" s="779" t="s">
        <v>347</v>
      </c>
      <c r="M282" s="73"/>
      <c r="N282" s="30"/>
      <c r="O282" s="30"/>
      <c r="P282" s="73"/>
      <c r="Q282" s="30"/>
      <c r="R282" s="75"/>
      <c r="S282" s="780"/>
      <c r="T282" s="780"/>
      <c r="U282" s="781" t="s">
        <v>1487</v>
      </c>
      <c r="V282" s="77">
        <v>11</v>
      </c>
      <c r="W282" s="782" t="str">
        <f t="shared" si="9"/>
        <v>Lehrer/in Sek.I Niveau A, E &amp; P mit 2 Fächer</v>
      </c>
    </row>
    <row r="283" spans="1:23" x14ac:dyDescent="0.25">
      <c r="A283" s="74" t="str">
        <f t="shared" si="8"/>
        <v>407M.12</v>
      </c>
      <c r="B283" s="71" t="s">
        <v>628</v>
      </c>
      <c r="C283" s="72" t="s">
        <v>1454</v>
      </c>
      <c r="D283" s="72"/>
      <c r="E283" s="72"/>
      <c r="F283" s="72"/>
      <c r="G283" s="71" t="s">
        <v>631</v>
      </c>
      <c r="H283" s="72">
        <v>12</v>
      </c>
      <c r="I283" s="72" t="s">
        <v>65</v>
      </c>
      <c r="J283" s="72">
        <v>9.5</v>
      </c>
      <c r="K283" s="72">
        <v>4</v>
      </c>
      <c r="L283" s="779" t="s">
        <v>347</v>
      </c>
      <c r="M283" s="73"/>
      <c r="N283" s="30"/>
      <c r="O283" s="30"/>
      <c r="P283" s="73"/>
      <c r="Q283" s="30"/>
      <c r="R283" s="75"/>
      <c r="S283" s="780"/>
      <c r="T283" s="780"/>
      <c r="U283" s="781" t="s">
        <v>1488</v>
      </c>
      <c r="V283" s="77">
        <v>12</v>
      </c>
      <c r="W283" s="782" t="str">
        <f t="shared" si="9"/>
        <v>Lehrer/in Sek.I Niveau A, E &amp; P mit nichtwiss.2 Fächer</v>
      </c>
    </row>
    <row r="284" spans="1:23" x14ac:dyDescent="0.25">
      <c r="A284" s="74" t="str">
        <f t="shared" si="8"/>
        <v>407N.12</v>
      </c>
      <c r="B284" s="71" t="s">
        <v>666</v>
      </c>
      <c r="C284" s="72" t="s">
        <v>1454</v>
      </c>
      <c r="D284" s="72"/>
      <c r="E284" s="72"/>
      <c r="F284" s="72"/>
      <c r="G284" s="71" t="s">
        <v>668</v>
      </c>
      <c r="H284" s="72">
        <v>12</v>
      </c>
      <c r="I284" s="72" t="s">
        <v>65</v>
      </c>
      <c r="J284" s="72">
        <v>9.5</v>
      </c>
      <c r="K284" s="72">
        <v>4</v>
      </c>
      <c r="L284" s="779" t="s">
        <v>347</v>
      </c>
      <c r="M284" s="73"/>
      <c r="N284" s="30"/>
      <c r="O284" s="30"/>
      <c r="P284" s="73"/>
      <c r="Q284" s="30"/>
      <c r="R284" s="75"/>
      <c r="S284" s="780"/>
      <c r="T284" s="780"/>
      <c r="U284" s="781" t="s">
        <v>1489</v>
      </c>
      <c r="V284" s="77">
        <v>12</v>
      </c>
      <c r="W284" s="782" t="str">
        <f t="shared" si="9"/>
        <v>Lehrer/in Sek.I Niveau A, E &amp; P Monofach wiss.</v>
      </c>
    </row>
    <row r="285" spans="1:23" x14ac:dyDescent="0.25">
      <c r="A285" s="74" t="str">
        <f t="shared" si="8"/>
        <v>407N.13</v>
      </c>
      <c r="B285" s="71" t="s">
        <v>667</v>
      </c>
      <c r="C285" s="72" t="s">
        <v>1454</v>
      </c>
      <c r="D285" s="72"/>
      <c r="E285" s="72"/>
      <c r="F285" s="72"/>
      <c r="G285" s="71" t="s">
        <v>669</v>
      </c>
      <c r="H285" s="72">
        <v>13</v>
      </c>
      <c r="I285" s="72" t="s">
        <v>65</v>
      </c>
      <c r="J285" s="72">
        <v>9.5</v>
      </c>
      <c r="K285" s="72">
        <v>4</v>
      </c>
      <c r="L285" s="779" t="s">
        <v>347</v>
      </c>
      <c r="M285" s="73"/>
      <c r="N285" s="30"/>
      <c r="O285" s="30"/>
      <c r="P285" s="73"/>
      <c r="Q285" s="30"/>
      <c r="R285" s="75"/>
      <c r="S285" s="780"/>
      <c r="T285" s="780"/>
      <c r="U285" s="781" t="s">
        <v>1490</v>
      </c>
      <c r="V285" s="77">
        <v>13</v>
      </c>
      <c r="W285" s="782" t="str">
        <f t="shared" si="9"/>
        <v>Lehrer/in Sek.I Niveau A, E &amp; P Monofach nicht-wiss.</v>
      </c>
    </row>
    <row r="286" spans="1:23" ht="12.75" x14ac:dyDescent="0.2">
      <c r="A286" s="74" t="str">
        <f t="shared" si="8"/>
        <v>408.09b</v>
      </c>
      <c r="B286" s="783" t="s">
        <v>1491</v>
      </c>
      <c r="C286" s="79">
        <v>408</v>
      </c>
      <c r="D286" s="79"/>
      <c r="E286" s="79"/>
      <c r="F286" s="79"/>
      <c r="G286" s="28" t="s">
        <v>1492</v>
      </c>
      <c r="H286" s="79">
        <v>9</v>
      </c>
      <c r="I286" s="79"/>
      <c r="J286" s="79">
        <v>10.5</v>
      </c>
      <c r="K286" s="79">
        <v>4</v>
      </c>
      <c r="L286" s="791" t="s">
        <v>353</v>
      </c>
      <c r="M286" s="35"/>
      <c r="N286" s="36"/>
      <c r="O286" s="36"/>
      <c r="P286" s="35"/>
      <c r="Q286" s="36"/>
      <c r="R286" s="36"/>
      <c r="S286" s="792"/>
      <c r="T286" s="792"/>
      <c r="U286" s="781" t="s">
        <v>1493</v>
      </c>
      <c r="V286" s="77">
        <v>9</v>
      </c>
      <c r="W286" s="782" t="str">
        <f t="shared" si="9"/>
        <v>Lehrperson Sek. II Gymnasium/FMS</v>
      </c>
    </row>
    <row r="287" spans="1:23" ht="12.75" x14ac:dyDescent="0.2">
      <c r="A287" s="74" t="str">
        <f t="shared" si="8"/>
        <v>408.S2</v>
      </c>
      <c r="B287" s="25" t="s">
        <v>737</v>
      </c>
      <c r="C287" s="76">
        <v>408</v>
      </c>
      <c r="D287" s="76"/>
      <c r="E287" s="76"/>
      <c r="F287" s="76"/>
      <c r="G287" s="25" t="s">
        <v>738</v>
      </c>
      <c r="H287" s="76">
        <v>9</v>
      </c>
      <c r="I287" s="76">
        <v>570.1</v>
      </c>
      <c r="J287" s="76">
        <v>10.5</v>
      </c>
      <c r="K287" s="76">
        <v>4</v>
      </c>
      <c r="L287" s="804" t="s">
        <v>353</v>
      </c>
      <c r="M287" s="31"/>
      <c r="O287" s="32"/>
      <c r="P287" s="31"/>
      <c r="R287" s="32"/>
      <c r="S287" s="805"/>
      <c r="T287" s="805" t="s">
        <v>65</v>
      </c>
      <c r="U287" s="781" t="s">
        <v>1494</v>
      </c>
      <c r="V287" s="77">
        <v>9</v>
      </c>
      <c r="W287" s="782" t="str">
        <f t="shared" si="9"/>
        <v>Lehrperson Sek II Gym/FMS</v>
      </c>
    </row>
    <row r="288" spans="1:23" x14ac:dyDescent="0.25">
      <c r="A288" s="74" t="str">
        <f t="shared" si="8"/>
        <v>408A.09</v>
      </c>
      <c r="B288" s="71" t="s">
        <v>338</v>
      </c>
      <c r="C288" s="72" t="s">
        <v>1495</v>
      </c>
      <c r="D288" s="72"/>
      <c r="E288" s="72"/>
      <c r="F288" s="72"/>
      <c r="G288" s="71" t="s">
        <v>474</v>
      </c>
      <c r="H288" s="72">
        <v>9</v>
      </c>
      <c r="I288" s="72">
        <v>563.29999999999995</v>
      </c>
      <c r="J288" s="72">
        <v>10.5</v>
      </c>
      <c r="K288" s="72">
        <v>4</v>
      </c>
      <c r="L288" s="779" t="s">
        <v>353</v>
      </c>
      <c r="M288" s="73"/>
      <c r="N288" s="30"/>
      <c r="O288" s="30"/>
      <c r="P288" s="73"/>
      <c r="Q288" s="30"/>
      <c r="R288" s="75"/>
      <c r="S288" s="780"/>
      <c r="T288" s="780"/>
      <c r="U288" s="781" t="s">
        <v>1496</v>
      </c>
      <c r="V288" s="77">
        <v>9</v>
      </c>
      <c r="W288" s="782" t="str">
        <f t="shared" si="9"/>
        <v>Wissenschaftliches Fach (inkl. Sporttheorie)</v>
      </c>
    </row>
    <row r="289" spans="1:23" ht="12.75" x14ac:dyDescent="0.2">
      <c r="A289" s="74" t="str">
        <f t="shared" si="8"/>
        <v>408A.S2</v>
      </c>
      <c r="B289" s="25" t="s">
        <v>739</v>
      </c>
      <c r="C289" s="76">
        <v>408</v>
      </c>
      <c r="D289" s="76"/>
      <c r="E289" s="76"/>
      <c r="F289" s="76"/>
      <c r="G289" s="25" t="s">
        <v>740</v>
      </c>
      <c r="H289" s="76">
        <v>10</v>
      </c>
      <c r="I289" s="76"/>
      <c r="J289" s="76">
        <v>9.5</v>
      </c>
      <c r="K289" s="76">
        <v>4</v>
      </c>
      <c r="L289" s="804" t="s">
        <v>347</v>
      </c>
      <c r="M289" s="31"/>
      <c r="O289" s="32"/>
      <c r="P289" s="31"/>
      <c r="R289" s="32"/>
      <c r="S289" s="805"/>
      <c r="T289" s="805" t="s">
        <v>65</v>
      </c>
      <c r="U289" s="781" t="s">
        <v>1497</v>
      </c>
      <c r="V289" s="77">
        <v>10</v>
      </c>
      <c r="W289" s="782" t="str">
        <f t="shared" si="9"/>
        <v>Lehrperson Sek II Gym/FMS (ohne Lehrdipl.)</v>
      </c>
    </row>
    <row r="290" spans="1:23" x14ac:dyDescent="0.25">
      <c r="A290" s="74" t="str">
        <f t="shared" si="8"/>
        <v>408B.09</v>
      </c>
      <c r="B290" s="71" t="s">
        <v>475</v>
      </c>
      <c r="C290" s="72" t="s">
        <v>1495</v>
      </c>
      <c r="D290" s="72"/>
      <c r="E290" s="72"/>
      <c r="F290" s="72"/>
      <c r="G290" s="71" t="s">
        <v>476</v>
      </c>
      <c r="H290" s="72">
        <v>9</v>
      </c>
      <c r="I290" s="72" t="s">
        <v>65</v>
      </c>
      <c r="J290" s="72">
        <v>10.5</v>
      </c>
      <c r="K290" s="72">
        <v>4</v>
      </c>
      <c r="L290" s="779" t="s">
        <v>353</v>
      </c>
      <c r="M290" s="73"/>
      <c r="N290" s="30"/>
      <c r="O290" s="30"/>
      <c r="P290" s="73"/>
      <c r="Q290" s="30"/>
      <c r="R290" s="75"/>
      <c r="S290" s="780"/>
      <c r="T290" s="780"/>
      <c r="U290" s="781" t="s">
        <v>1498</v>
      </c>
      <c r="V290" s="77">
        <v>9</v>
      </c>
      <c r="W290" s="782" t="str">
        <f t="shared" si="9"/>
        <v>Sport II mit wissenschaftlichem Fach (Sport II mit wissenschaftl.Fach)</v>
      </c>
    </row>
    <row r="291" spans="1:23" x14ac:dyDescent="0.25">
      <c r="A291" s="74" t="str">
        <f t="shared" si="8"/>
        <v>408B.10</v>
      </c>
      <c r="B291" s="71" t="s">
        <v>268</v>
      </c>
      <c r="C291" s="72" t="s">
        <v>1495</v>
      </c>
      <c r="D291" s="72"/>
      <c r="E291" s="72"/>
      <c r="F291" s="72"/>
      <c r="G291" s="71" t="s">
        <v>476</v>
      </c>
      <c r="H291" s="72">
        <v>10</v>
      </c>
      <c r="I291" s="72">
        <v>0</v>
      </c>
      <c r="J291" s="72">
        <v>9.5</v>
      </c>
      <c r="K291" s="72">
        <v>4</v>
      </c>
      <c r="L291" s="779" t="s">
        <v>347</v>
      </c>
      <c r="M291" s="73"/>
      <c r="N291" s="30"/>
      <c r="O291" s="30"/>
      <c r="P291" s="73"/>
      <c r="Q291" s="30"/>
      <c r="R291" s="75"/>
      <c r="S291" s="780"/>
      <c r="T291" s="780"/>
      <c r="U291" s="781" t="s">
        <v>1499</v>
      </c>
      <c r="V291" s="77">
        <v>10</v>
      </c>
      <c r="W291" s="782" t="str">
        <f t="shared" si="9"/>
        <v>Sport II mit wissenschaftlichem Fach (Sport II mit wissenschaftl.Fach)</v>
      </c>
    </row>
    <row r="292" spans="1:23" ht="12.75" x14ac:dyDescent="0.2">
      <c r="A292" s="74" t="str">
        <f t="shared" si="8"/>
        <v>408B.S2</v>
      </c>
      <c r="B292" s="25" t="s">
        <v>741</v>
      </c>
      <c r="C292" s="76">
        <v>408</v>
      </c>
      <c r="D292" s="76"/>
      <c r="E292" s="76"/>
      <c r="F292" s="76"/>
      <c r="G292" s="25" t="s">
        <v>742</v>
      </c>
      <c r="H292" s="76">
        <v>12</v>
      </c>
      <c r="I292" s="76"/>
      <c r="J292" s="76">
        <v>9.5</v>
      </c>
      <c r="K292" s="76">
        <v>4</v>
      </c>
      <c r="L292" s="804" t="s">
        <v>347</v>
      </c>
      <c r="M292" s="31"/>
      <c r="O292" s="32"/>
      <c r="P292" s="31"/>
      <c r="R292" s="32"/>
      <c r="S292" s="805"/>
      <c r="T292" s="805" t="s">
        <v>65</v>
      </c>
      <c r="U292" s="781" t="s">
        <v>1500</v>
      </c>
      <c r="V292" s="77">
        <v>12</v>
      </c>
      <c r="W292" s="782" t="str">
        <f t="shared" si="9"/>
        <v>Lehrperson Sek II Gym/FMS (Lehrdipl. Sek. I)</v>
      </c>
    </row>
    <row r="293" spans="1:23" x14ac:dyDescent="0.25">
      <c r="A293" s="74" t="str">
        <f t="shared" si="8"/>
        <v>408C.10</v>
      </c>
      <c r="B293" s="71" t="s">
        <v>249</v>
      </c>
      <c r="C293" s="72" t="s">
        <v>1495</v>
      </c>
      <c r="D293" s="72"/>
      <c r="E293" s="72"/>
      <c r="F293" s="72"/>
      <c r="G293" s="71" t="s">
        <v>477</v>
      </c>
      <c r="H293" s="72">
        <v>10</v>
      </c>
      <c r="I293" s="72">
        <v>537.9</v>
      </c>
      <c r="J293" s="72">
        <v>9.5</v>
      </c>
      <c r="K293" s="72">
        <v>4</v>
      </c>
      <c r="L293" s="779" t="s">
        <v>347</v>
      </c>
      <c r="M293" s="73"/>
      <c r="N293" s="30"/>
      <c r="O293" s="30"/>
      <c r="P293" s="73"/>
      <c r="Q293" s="30"/>
      <c r="R293" s="75"/>
      <c r="S293" s="780"/>
      <c r="T293" s="780"/>
      <c r="U293" s="781" t="s">
        <v>1501</v>
      </c>
      <c r="V293" s="77">
        <v>10</v>
      </c>
      <c r="W293" s="782" t="str">
        <f t="shared" si="9"/>
        <v>Sport mit wissenschaftlichem Fach (Sport II+Sek.I-Patent)</v>
      </c>
    </row>
    <row r="294" spans="1:23" ht="12.75" x14ac:dyDescent="0.2">
      <c r="A294" s="74" t="s">
        <v>1117</v>
      </c>
      <c r="B294" s="71" t="s">
        <v>1118</v>
      </c>
      <c r="C294" s="72">
        <v>408</v>
      </c>
      <c r="D294" s="72"/>
      <c r="E294" s="72"/>
      <c r="F294" s="72"/>
      <c r="G294" s="71" t="s">
        <v>1119</v>
      </c>
      <c r="H294" s="72">
        <v>11</v>
      </c>
      <c r="I294" s="72">
        <v>531.9</v>
      </c>
      <c r="J294" s="72">
        <v>10.5</v>
      </c>
      <c r="K294" s="72">
        <v>1</v>
      </c>
      <c r="L294" s="779" t="s">
        <v>353</v>
      </c>
      <c r="M294" s="73"/>
      <c r="N294" s="30"/>
      <c r="O294" s="30"/>
      <c r="P294" s="73"/>
      <c r="Q294" s="30"/>
      <c r="R294" s="30"/>
      <c r="S294" s="780"/>
      <c r="T294" s="780"/>
      <c r="U294" s="781" t="s">
        <v>1117</v>
      </c>
      <c r="V294" s="77">
        <v>11</v>
      </c>
      <c r="W294" s="782" t="str">
        <f t="shared" si="9"/>
        <v>Lehrperson Sek II Individual- und Gruppenunterricht</v>
      </c>
    </row>
    <row r="295" spans="1:23" ht="12.75" x14ac:dyDescent="0.2">
      <c r="A295" s="74" t="str">
        <f t="shared" ref="A295:A359" si="10">RIGHT(B295,LEN(B295)-1)</f>
        <v>408C.S2</v>
      </c>
      <c r="B295" s="25" t="s">
        <v>743</v>
      </c>
      <c r="C295" s="76">
        <v>408</v>
      </c>
      <c r="D295" s="76"/>
      <c r="E295" s="76"/>
      <c r="F295" s="76"/>
      <c r="G295" s="25" t="s">
        <v>744</v>
      </c>
      <c r="H295" s="76">
        <v>13</v>
      </c>
      <c r="I295" s="76"/>
      <c r="J295" s="76">
        <v>8</v>
      </c>
      <c r="K295" s="76">
        <v>4</v>
      </c>
      <c r="L295" s="804" t="s">
        <v>352</v>
      </c>
      <c r="M295" s="31"/>
      <c r="O295" s="32"/>
      <c r="P295" s="31"/>
      <c r="R295" s="32"/>
      <c r="S295" s="805"/>
      <c r="T295" s="805" t="s">
        <v>65</v>
      </c>
      <c r="U295" s="781" t="s">
        <v>1502</v>
      </c>
      <c r="V295" s="77">
        <v>13</v>
      </c>
      <c r="W295" s="782" t="str">
        <f t="shared" si="9"/>
        <v>Lehrperson Sek II Gym/FMS (Lehrdipl. Primarstufe)</v>
      </c>
    </row>
    <row r="296" spans="1:23" x14ac:dyDescent="0.25">
      <c r="A296" s="74" t="str">
        <f t="shared" si="10"/>
        <v>408D.10</v>
      </c>
      <c r="B296" s="71" t="s">
        <v>250</v>
      </c>
      <c r="C296" s="72" t="s">
        <v>1495</v>
      </c>
      <c r="D296" s="72"/>
      <c r="E296" s="72"/>
      <c r="F296" s="72"/>
      <c r="G296" s="71" t="s">
        <v>478</v>
      </c>
      <c r="H296" s="72">
        <v>10</v>
      </c>
      <c r="I296" s="72">
        <v>524.9</v>
      </c>
      <c r="J296" s="72">
        <v>9</v>
      </c>
      <c r="K296" s="72">
        <v>4</v>
      </c>
      <c r="L296" s="779" t="s">
        <v>351</v>
      </c>
      <c r="M296" s="73"/>
      <c r="N296" s="30"/>
      <c r="O296" s="30"/>
      <c r="P296" s="73"/>
      <c r="Q296" s="30"/>
      <c r="R296" s="75"/>
      <c r="S296" s="780"/>
      <c r="T296" s="780"/>
      <c r="U296" s="781" t="s">
        <v>1503</v>
      </c>
      <c r="V296" s="77">
        <v>10</v>
      </c>
      <c r="W296" s="782" t="str">
        <f t="shared" si="9"/>
        <v>Kunst I (Kunststudium+höheres Lehramt/Sek.II)</v>
      </c>
    </row>
    <row r="297" spans="1:23" ht="12.75" x14ac:dyDescent="0.2">
      <c r="A297" s="74" t="str">
        <f t="shared" si="10"/>
        <v>408D.S2</v>
      </c>
      <c r="B297" s="25" t="s">
        <v>745</v>
      </c>
      <c r="C297" s="76">
        <v>408</v>
      </c>
      <c r="D297" s="76"/>
      <c r="E297" s="76"/>
      <c r="F297" s="76"/>
      <c r="G297" s="25" t="s">
        <v>746</v>
      </c>
      <c r="H297" s="76">
        <v>13</v>
      </c>
      <c r="I297" s="76"/>
      <c r="J297" s="76">
        <v>5</v>
      </c>
      <c r="K297" s="76">
        <v>4</v>
      </c>
      <c r="L297" s="804" t="s">
        <v>747</v>
      </c>
      <c r="M297" s="31"/>
      <c r="O297" s="32"/>
      <c r="P297" s="31"/>
      <c r="R297" s="32"/>
      <c r="S297" s="805"/>
      <c r="T297" s="805" t="s">
        <v>65</v>
      </c>
      <c r="U297" s="781" t="s">
        <v>1504</v>
      </c>
      <c r="V297" s="77">
        <v>13</v>
      </c>
      <c r="W297" s="782" t="str">
        <f t="shared" si="9"/>
        <v>Lehrperson Sek II Gym/FMS (in Ausb. - min 1/2 der Fachwissenschaftl. Ausb.)</v>
      </c>
    </row>
    <row r="298" spans="1:23" x14ac:dyDescent="0.25">
      <c r="A298" s="74" t="str">
        <f t="shared" si="10"/>
        <v>408E.10</v>
      </c>
      <c r="B298" s="71" t="s">
        <v>251</v>
      </c>
      <c r="C298" s="72" t="s">
        <v>1495</v>
      </c>
      <c r="D298" s="72"/>
      <c r="E298" s="72"/>
      <c r="F298" s="72"/>
      <c r="G298" s="71" t="s">
        <v>479</v>
      </c>
      <c r="H298" s="72">
        <v>10</v>
      </c>
      <c r="I298" s="72">
        <v>515.6</v>
      </c>
      <c r="J298" s="72">
        <v>9</v>
      </c>
      <c r="K298" s="72">
        <v>4</v>
      </c>
      <c r="L298" s="779" t="s">
        <v>351</v>
      </c>
      <c r="M298" s="73"/>
      <c r="N298" s="30"/>
      <c r="O298" s="30"/>
      <c r="P298" s="73"/>
      <c r="Q298" s="30"/>
      <c r="R298" s="75"/>
      <c r="S298" s="780"/>
      <c r="T298" s="780"/>
      <c r="U298" s="781" t="s">
        <v>1505</v>
      </c>
      <c r="V298" s="77">
        <v>10</v>
      </c>
      <c r="W298" s="782" t="str">
        <f t="shared" si="9"/>
        <v>Kunst II (Kunststudium+höheres Lehramt/Sek.II)</v>
      </c>
    </row>
    <row r="299" spans="1:23" ht="12.75" x14ac:dyDescent="0.2">
      <c r="A299" s="74" t="str">
        <f t="shared" si="10"/>
        <v>408E.S2</v>
      </c>
      <c r="B299" s="25" t="s">
        <v>748</v>
      </c>
      <c r="C299" s="76">
        <v>408</v>
      </c>
      <c r="D299" s="76"/>
      <c r="E299" s="76"/>
      <c r="F299" s="76"/>
      <c r="G299" s="25" t="s">
        <v>749</v>
      </c>
      <c r="H299" s="76">
        <v>15</v>
      </c>
      <c r="I299" s="76"/>
      <c r="J299" s="76">
        <v>1</v>
      </c>
      <c r="K299" s="76">
        <v>4</v>
      </c>
      <c r="L299" s="804" t="s">
        <v>85</v>
      </c>
      <c r="M299" s="31"/>
      <c r="O299" s="32"/>
      <c r="P299" s="31"/>
      <c r="R299" s="32"/>
      <c r="S299" s="805"/>
      <c r="T299" s="805" t="s">
        <v>65</v>
      </c>
      <c r="U299" s="781" t="s">
        <v>1506</v>
      </c>
      <c r="V299" s="77">
        <v>15</v>
      </c>
      <c r="W299" s="782" t="str">
        <f t="shared" si="9"/>
        <v>Lehrperson Sek II Gym/FMS (k. stufengerechte u. pädagogische Ausb.)</v>
      </c>
    </row>
    <row r="300" spans="1:23" ht="12.75" x14ac:dyDescent="0.2">
      <c r="A300" s="74" t="str">
        <f t="shared" si="10"/>
        <v>408F.11</v>
      </c>
      <c r="B300" s="783" t="s">
        <v>252</v>
      </c>
      <c r="C300" s="79">
        <v>408</v>
      </c>
      <c r="D300" s="79"/>
      <c r="E300" s="79"/>
      <c r="F300" s="79"/>
      <c r="G300" s="28" t="s">
        <v>1507</v>
      </c>
      <c r="H300" s="79">
        <v>11</v>
      </c>
      <c r="I300" s="79">
        <v>511.6</v>
      </c>
      <c r="J300" s="79">
        <v>8</v>
      </c>
      <c r="K300" s="79">
        <v>3</v>
      </c>
      <c r="L300" s="791" t="s">
        <v>352</v>
      </c>
      <c r="M300" s="35"/>
      <c r="N300" s="36"/>
      <c r="O300" s="36"/>
      <c r="P300" s="35"/>
      <c r="Q300" s="36"/>
      <c r="R300" s="36"/>
      <c r="S300" s="792"/>
      <c r="T300" s="792"/>
      <c r="U300" s="781" t="s">
        <v>1508</v>
      </c>
      <c r="V300" s="77">
        <v>11</v>
      </c>
      <c r="W300" s="782" t="str">
        <f t="shared" si="9"/>
        <v>Gymnasium Instrumental</v>
      </c>
    </row>
    <row r="301" spans="1:23" x14ac:dyDescent="0.25">
      <c r="A301" s="74" t="str">
        <f t="shared" si="10"/>
        <v>408G.12</v>
      </c>
      <c r="B301" s="71" t="s">
        <v>253</v>
      </c>
      <c r="C301" s="72" t="s">
        <v>1495</v>
      </c>
      <c r="D301" s="72"/>
      <c r="E301" s="72"/>
      <c r="F301" s="72"/>
      <c r="G301" s="71" t="s">
        <v>368</v>
      </c>
      <c r="H301" s="72">
        <v>12</v>
      </c>
      <c r="I301" s="72">
        <v>493.8</v>
      </c>
      <c r="J301" s="72">
        <v>6.5</v>
      </c>
      <c r="K301" s="72">
        <v>5</v>
      </c>
      <c r="L301" s="779" t="s">
        <v>346</v>
      </c>
      <c r="M301" s="73"/>
      <c r="N301" s="30"/>
      <c r="O301" s="30"/>
      <c r="P301" s="73"/>
      <c r="Q301" s="30"/>
      <c r="R301" s="75"/>
      <c r="S301" s="780"/>
      <c r="T301" s="780"/>
      <c r="U301" s="781" t="s">
        <v>1509</v>
      </c>
      <c r="V301" s="77">
        <v>12</v>
      </c>
      <c r="W301" s="782" t="str">
        <f t="shared" si="9"/>
        <v>Textilarbeit/Werken/Hauswirtschaft</v>
      </c>
    </row>
    <row r="302" spans="1:23" x14ac:dyDescent="0.25">
      <c r="A302" s="74" t="str">
        <f t="shared" si="10"/>
        <v>408H.11</v>
      </c>
      <c r="B302" s="71" t="s">
        <v>480</v>
      </c>
      <c r="C302" s="72" t="s">
        <v>1495</v>
      </c>
      <c r="D302" s="72"/>
      <c r="E302" s="72"/>
      <c r="F302" s="72"/>
      <c r="G302" s="71" t="s">
        <v>481</v>
      </c>
      <c r="H302" s="72">
        <v>11</v>
      </c>
      <c r="I302" s="72" t="s">
        <v>65</v>
      </c>
      <c r="J302" s="72">
        <v>10.5</v>
      </c>
      <c r="K302" s="72">
        <v>3</v>
      </c>
      <c r="L302" s="779" t="s">
        <v>353</v>
      </c>
      <c r="M302" s="73"/>
      <c r="N302" s="30"/>
      <c r="O302" s="30"/>
      <c r="P302" s="73"/>
      <c r="Q302" s="30"/>
      <c r="R302" s="75"/>
      <c r="S302" s="780"/>
      <c r="T302" s="780"/>
      <c r="U302" s="781" t="s">
        <v>1510</v>
      </c>
      <c r="V302" s="77">
        <v>11</v>
      </c>
      <c r="W302" s="782" t="str">
        <f t="shared" si="9"/>
        <v>Sport (Turnen, Sport II-Diplom +zus.Fach)</v>
      </c>
    </row>
    <row r="303" spans="1:23" ht="12.75" x14ac:dyDescent="0.2">
      <c r="A303" s="74" t="str">
        <f t="shared" si="10"/>
        <v>408H.12</v>
      </c>
      <c r="B303" s="71" t="s">
        <v>482</v>
      </c>
      <c r="C303" s="72" t="s">
        <v>1495</v>
      </c>
      <c r="D303" s="72"/>
      <c r="E303" s="72"/>
      <c r="F303" s="72"/>
      <c r="G303" s="71" t="s">
        <v>483</v>
      </c>
      <c r="H303" s="72">
        <v>12</v>
      </c>
      <c r="I303" s="72" t="s">
        <v>65</v>
      </c>
      <c r="J303" s="72">
        <v>9.5</v>
      </c>
      <c r="K303" s="72">
        <v>3</v>
      </c>
      <c r="L303" s="779" t="s">
        <v>347</v>
      </c>
      <c r="M303" s="73"/>
      <c r="N303" s="30"/>
      <c r="O303" s="30"/>
      <c r="P303" s="73"/>
      <c r="Q303" s="30"/>
      <c r="R303" s="30"/>
      <c r="S303" s="780"/>
      <c r="T303" s="780"/>
      <c r="U303" s="781" t="s">
        <v>1511</v>
      </c>
      <c r="V303" s="77">
        <v>12</v>
      </c>
      <c r="W303" s="782" t="str">
        <f t="shared" si="9"/>
        <v>Sport (Turnen, Sport II-Diplom)</v>
      </c>
    </row>
    <row r="304" spans="1:23" ht="12.75" x14ac:dyDescent="0.2">
      <c r="A304" s="74" t="str">
        <f t="shared" si="10"/>
        <v>408H.13</v>
      </c>
      <c r="B304" s="71" t="s">
        <v>484</v>
      </c>
      <c r="C304" s="72" t="s">
        <v>1495</v>
      </c>
      <c r="D304" s="72"/>
      <c r="E304" s="72"/>
      <c r="F304" s="72"/>
      <c r="G304" s="71" t="s">
        <v>485</v>
      </c>
      <c r="H304" s="72">
        <v>13</v>
      </c>
      <c r="I304" s="72" t="s">
        <v>65</v>
      </c>
      <c r="J304" s="72">
        <v>8</v>
      </c>
      <c r="K304" s="72">
        <v>3</v>
      </c>
      <c r="L304" s="779" t="s">
        <v>352</v>
      </c>
      <c r="M304" s="73"/>
      <c r="N304" s="30"/>
      <c r="O304" s="30"/>
      <c r="P304" s="73"/>
      <c r="Q304" s="30"/>
      <c r="R304" s="30"/>
      <c r="S304" s="780"/>
      <c r="T304" s="780"/>
      <c r="U304" s="781" t="s">
        <v>1512</v>
      </c>
      <c r="V304" s="77">
        <v>13</v>
      </c>
      <c r="W304" s="782" t="str">
        <f t="shared" si="9"/>
        <v>Sport (Turnen, Sport I-Diplom)</v>
      </c>
    </row>
    <row r="305" spans="1:23" ht="12.75" x14ac:dyDescent="0.2">
      <c r="A305" s="74" t="str">
        <f t="shared" si="10"/>
        <v>408H.14</v>
      </c>
      <c r="B305" s="71" t="s">
        <v>486</v>
      </c>
      <c r="C305" s="72" t="s">
        <v>1495</v>
      </c>
      <c r="D305" s="72"/>
      <c r="E305" s="72"/>
      <c r="F305" s="72"/>
      <c r="G305" s="71" t="s">
        <v>487</v>
      </c>
      <c r="H305" s="72">
        <v>14</v>
      </c>
      <c r="I305" s="72" t="s">
        <v>65</v>
      </c>
      <c r="J305" s="72">
        <v>4</v>
      </c>
      <c r="K305" s="72">
        <v>3</v>
      </c>
      <c r="L305" s="779" t="s">
        <v>89</v>
      </c>
      <c r="M305" s="73"/>
      <c r="N305" s="30"/>
      <c r="O305" s="30"/>
      <c r="P305" s="73"/>
      <c r="Q305" s="30"/>
      <c r="R305" s="30"/>
      <c r="S305" s="780"/>
      <c r="T305" s="780"/>
      <c r="U305" s="781" t="s">
        <v>1513</v>
      </c>
      <c r="V305" s="77">
        <v>14</v>
      </c>
      <c r="W305" s="782" t="str">
        <f t="shared" si="9"/>
        <v>Sport (Turnen) (Student&gt;=3Semester)</v>
      </c>
    </row>
    <row r="306" spans="1:23" ht="12.75" x14ac:dyDescent="0.2">
      <c r="A306" s="74" t="str">
        <f t="shared" si="10"/>
        <v>408H.15</v>
      </c>
      <c r="B306" s="28" t="s">
        <v>488</v>
      </c>
      <c r="C306" s="79" t="s">
        <v>1495</v>
      </c>
      <c r="D306" s="79"/>
      <c r="E306" s="79"/>
      <c r="F306" s="79"/>
      <c r="G306" s="28" t="s">
        <v>489</v>
      </c>
      <c r="H306" s="79">
        <v>15</v>
      </c>
      <c r="I306" s="79" t="s">
        <v>65</v>
      </c>
      <c r="J306" s="79">
        <v>4</v>
      </c>
      <c r="K306" s="79">
        <v>3</v>
      </c>
      <c r="L306" s="791" t="s">
        <v>89</v>
      </c>
      <c r="M306" s="35"/>
      <c r="N306" s="36"/>
      <c r="O306" s="36"/>
      <c r="P306" s="35"/>
      <c r="Q306" s="36"/>
      <c r="R306" s="36"/>
      <c r="S306" s="792" t="s">
        <v>65</v>
      </c>
      <c r="T306" s="792" t="s">
        <v>65</v>
      </c>
      <c r="U306" s="781" t="s">
        <v>1514</v>
      </c>
      <c r="V306" s="77">
        <v>15</v>
      </c>
      <c r="W306" s="782" t="str">
        <f t="shared" si="9"/>
        <v>Sport (Turnen) (Student&lt;3Semester)</v>
      </c>
    </row>
    <row r="307" spans="1:23" ht="12.75" x14ac:dyDescent="0.2">
      <c r="A307" s="74" t="str">
        <f t="shared" si="10"/>
        <v>408I.10</v>
      </c>
      <c r="B307" s="71" t="s">
        <v>645</v>
      </c>
      <c r="C307" s="72" t="s">
        <v>1495</v>
      </c>
      <c r="D307" s="72"/>
      <c r="E307" s="72"/>
      <c r="F307" s="72"/>
      <c r="G307" s="71" t="s">
        <v>490</v>
      </c>
      <c r="H307" s="72">
        <v>10</v>
      </c>
      <c r="I307" s="72" t="s">
        <v>65</v>
      </c>
      <c r="J307" s="72">
        <v>8.5</v>
      </c>
      <c r="K307" s="72">
        <v>4</v>
      </c>
      <c r="L307" s="779" t="s">
        <v>90</v>
      </c>
      <c r="M307" s="73"/>
      <c r="N307" s="30"/>
      <c r="O307" s="30"/>
      <c r="P307" s="73"/>
      <c r="Q307" s="30"/>
      <c r="R307" s="30"/>
      <c r="S307" s="780"/>
      <c r="T307" s="780"/>
      <c r="U307" s="781" t="s">
        <v>1515</v>
      </c>
      <c r="V307" s="77">
        <v>10</v>
      </c>
      <c r="W307" s="782" t="str">
        <f t="shared" si="9"/>
        <v>Lehrberecht.Sek. I E/P, &gt;=3 Fächer</v>
      </c>
    </row>
    <row r="308" spans="1:23" ht="12.75" x14ac:dyDescent="0.2">
      <c r="A308" s="74" t="str">
        <f t="shared" si="10"/>
        <v>408I.11</v>
      </c>
      <c r="B308" s="71" t="s">
        <v>491</v>
      </c>
      <c r="C308" s="72" t="s">
        <v>1495</v>
      </c>
      <c r="D308" s="72"/>
      <c r="E308" s="72"/>
      <c r="F308" s="72"/>
      <c r="G308" s="71" t="s">
        <v>492</v>
      </c>
      <c r="H308" s="72">
        <v>11</v>
      </c>
      <c r="I308" s="72" t="s">
        <v>65</v>
      </c>
      <c r="J308" s="72">
        <v>8.5</v>
      </c>
      <c r="K308" s="72">
        <v>4</v>
      </c>
      <c r="L308" s="779" t="s">
        <v>90</v>
      </c>
      <c r="M308" s="73"/>
      <c r="N308" s="30"/>
      <c r="O308" s="30"/>
      <c r="P308" s="73"/>
      <c r="Q308" s="30"/>
      <c r="R308" s="30"/>
      <c r="S308" s="780"/>
      <c r="T308" s="780"/>
      <c r="U308" s="781" t="s">
        <v>1516</v>
      </c>
      <c r="V308" s="77">
        <v>11</v>
      </c>
      <c r="W308" s="782" t="str">
        <f t="shared" si="9"/>
        <v>Lehrberecht.Sek. I E/P, 2 Fächer</v>
      </c>
    </row>
    <row r="309" spans="1:23" ht="12.75" x14ac:dyDescent="0.2">
      <c r="A309" s="74" t="str">
        <f t="shared" si="10"/>
        <v>408I.12</v>
      </c>
      <c r="B309" s="71" t="s">
        <v>493</v>
      </c>
      <c r="C309" s="72" t="s">
        <v>1495</v>
      </c>
      <c r="D309" s="72"/>
      <c r="E309" s="72"/>
      <c r="F309" s="72"/>
      <c r="G309" s="71" t="s">
        <v>494</v>
      </c>
      <c r="H309" s="72">
        <v>12</v>
      </c>
      <c r="I309" s="72" t="s">
        <v>65</v>
      </c>
      <c r="J309" s="72">
        <v>8.5</v>
      </c>
      <c r="K309" s="72">
        <v>4</v>
      </c>
      <c r="L309" s="779" t="s">
        <v>90</v>
      </c>
      <c r="M309" s="73"/>
      <c r="N309" s="30"/>
      <c r="O309" s="30"/>
      <c r="P309" s="73"/>
      <c r="Q309" s="30"/>
      <c r="R309" s="30"/>
      <c r="S309" s="780"/>
      <c r="T309" s="780"/>
      <c r="U309" s="781" t="s">
        <v>1517</v>
      </c>
      <c r="V309" s="77">
        <v>12</v>
      </c>
      <c r="W309" s="782" t="str">
        <f t="shared" si="9"/>
        <v>Lehrberecht.Sek. I E/P, 1 wiss.Fach</v>
      </c>
    </row>
    <row r="310" spans="1:23" ht="12.75" x14ac:dyDescent="0.2">
      <c r="A310" s="74" t="str">
        <f t="shared" si="10"/>
        <v>408I.13</v>
      </c>
      <c r="B310" s="71" t="s">
        <v>495</v>
      </c>
      <c r="C310" s="72" t="s">
        <v>1495</v>
      </c>
      <c r="D310" s="72"/>
      <c r="E310" s="72"/>
      <c r="F310" s="72"/>
      <c r="G310" s="71" t="s">
        <v>496</v>
      </c>
      <c r="H310" s="72">
        <v>13</v>
      </c>
      <c r="I310" s="72" t="s">
        <v>65</v>
      </c>
      <c r="J310" s="72">
        <v>8.5</v>
      </c>
      <c r="K310" s="72">
        <v>4</v>
      </c>
      <c r="L310" s="779" t="s">
        <v>90</v>
      </c>
      <c r="M310" s="73"/>
      <c r="N310" s="30"/>
      <c r="O310" s="30"/>
      <c r="P310" s="73"/>
      <c r="Q310" s="30"/>
      <c r="R310" s="30"/>
      <c r="S310" s="780"/>
      <c r="T310" s="780"/>
      <c r="U310" s="781" t="s">
        <v>1518</v>
      </c>
      <c r="V310" s="77">
        <v>13</v>
      </c>
      <c r="W310" s="782" t="str">
        <f t="shared" si="9"/>
        <v>Lehrberecht.Sek. I E/P, 1 nicht-wiss.Fach</v>
      </c>
    </row>
    <row r="311" spans="1:23" ht="12.75" x14ac:dyDescent="0.2">
      <c r="A311" s="74" t="str">
        <f t="shared" si="10"/>
        <v>408K.10</v>
      </c>
      <c r="B311" s="71" t="s">
        <v>497</v>
      </c>
      <c r="C311" s="72" t="s">
        <v>1495</v>
      </c>
      <c r="D311" s="72"/>
      <c r="E311" s="72"/>
      <c r="F311" s="72"/>
      <c r="G311" s="71" t="s">
        <v>498</v>
      </c>
      <c r="H311" s="72">
        <v>10</v>
      </c>
      <c r="I311" s="72" t="s">
        <v>65</v>
      </c>
      <c r="J311" s="72">
        <v>9.5</v>
      </c>
      <c r="K311" s="72">
        <v>4</v>
      </c>
      <c r="L311" s="779" t="s">
        <v>347</v>
      </c>
      <c r="M311" s="73"/>
      <c r="N311" s="30"/>
      <c r="O311" s="30"/>
      <c r="P311" s="73"/>
      <c r="Q311" s="30"/>
      <c r="R311" s="30"/>
      <c r="S311" s="780"/>
      <c r="T311" s="780"/>
      <c r="U311" s="781" t="s">
        <v>1519</v>
      </c>
      <c r="V311" s="77">
        <v>10</v>
      </c>
      <c r="W311" s="782" t="str">
        <f t="shared" si="9"/>
        <v>Unterricht ohne Lehrdiplom (wissenschaftl. Liz./Master)</v>
      </c>
    </row>
    <row r="312" spans="1:23" ht="12.75" x14ac:dyDescent="0.2">
      <c r="A312" s="74" t="str">
        <f t="shared" si="10"/>
        <v>408K.13</v>
      </c>
      <c r="B312" s="71" t="s">
        <v>675</v>
      </c>
      <c r="C312" s="72" t="s">
        <v>1495</v>
      </c>
      <c r="D312" s="72"/>
      <c r="E312" s="72"/>
      <c r="F312" s="72"/>
      <c r="G312" s="71" t="s">
        <v>499</v>
      </c>
      <c r="H312" s="72">
        <v>13</v>
      </c>
      <c r="I312" s="72" t="s">
        <v>65</v>
      </c>
      <c r="J312" s="72">
        <v>8</v>
      </c>
      <c r="K312" s="72">
        <v>4</v>
      </c>
      <c r="L312" s="779" t="s">
        <v>352</v>
      </c>
      <c r="M312" s="73"/>
      <c r="N312" s="30"/>
      <c r="O312" s="30"/>
      <c r="P312" s="73"/>
      <c r="Q312" s="30"/>
      <c r="R312" s="30"/>
      <c r="S312" s="780"/>
      <c r="T312" s="780"/>
      <c r="U312" s="781" t="s">
        <v>1520</v>
      </c>
      <c r="V312" s="77">
        <v>13</v>
      </c>
      <c r="W312" s="782" t="str">
        <f t="shared" si="9"/>
        <v>Unterricht ohne Lehrdiplom (wissenschaftl. Bachelor)</v>
      </c>
    </row>
    <row r="313" spans="1:23" ht="12.75" x14ac:dyDescent="0.2">
      <c r="A313" s="74" t="str">
        <f t="shared" si="10"/>
        <v>408K.14</v>
      </c>
      <c r="B313" s="71" t="s">
        <v>676</v>
      </c>
      <c r="C313" s="72" t="s">
        <v>1495</v>
      </c>
      <c r="D313" s="72"/>
      <c r="E313" s="72"/>
      <c r="F313" s="72"/>
      <c r="G313" s="71" t="s">
        <v>677</v>
      </c>
      <c r="H313" s="72">
        <v>14</v>
      </c>
      <c r="I313" s="72" t="s">
        <v>65</v>
      </c>
      <c r="J313" s="72">
        <v>6.5</v>
      </c>
      <c r="K313" s="72">
        <v>4</v>
      </c>
      <c r="L313" s="779" t="s">
        <v>346</v>
      </c>
      <c r="M313" s="73"/>
      <c r="N313" s="30"/>
      <c r="O313" s="30"/>
      <c r="P313" s="73"/>
      <c r="Q313" s="30"/>
      <c r="R313" s="30"/>
      <c r="S313" s="780"/>
      <c r="T313" s="780"/>
      <c r="U313" s="781" t="s">
        <v>1521</v>
      </c>
      <c r="V313" s="77">
        <v>14</v>
      </c>
      <c r="W313" s="782" t="str">
        <f t="shared" si="9"/>
        <v>Unterricht ohne Lehrdiplom (wissenschaftl. &gt;=3 Semester Fachstudium)</v>
      </c>
    </row>
    <row r="314" spans="1:23" ht="12.75" x14ac:dyDescent="0.2">
      <c r="A314" s="74" t="str">
        <f t="shared" si="10"/>
        <v>408L.11</v>
      </c>
      <c r="B314" s="71" t="s">
        <v>500</v>
      </c>
      <c r="C314" s="72" t="s">
        <v>1495</v>
      </c>
      <c r="D314" s="72"/>
      <c r="E314" s="72"/>
      <c r="F314" s="72"/>
      <c r="G314" s="71" t="s">
        <v>501</v>
      </c>
      <c r="H314" s="72">
        <v>11</v>
      </c>
      <c r="I314" s="72" t="s">
        <v>65</v>
      </c>
      <c r="J314" s="72">
        <v>9.5</v>
      </c>
      <c r="K314" s="72">
        <v>4</v>
      </c>
      <c r="L314" s="779" t="s">
        <v>347</v>
      </c>
      <c r="M314" s="73"/>
      <c r="N314" s="30"/>
      <c r="O314" s="30"/>
      <c r="P314" s="73"/>
      <c r="Q314" s="30"/>
      <c r="R314" s="30"/>
      <c r="S314" s="780"/>
      <c r="T314" s="780"/>
      <c r="U314" s="781" t="s">
        <v>1522</v>
      </c>
      <c r="V314" s="77">
        <v>11</v>
      </c>
      <c r="W314" s="782" t="str">
        <f t="shared" si="9"/>
        <v>Unterricht ohne Lehrdiplom (Liz./Master Kunst)</v>
      </c>
    </row>
    <row r="315" spans="1:23" ht="12.75" x14ac:dyDescent="0.2">
      <c r="A315" s="74" t="str">
        <f t="shared" si="10"/>
        <v>408L.13</v>
      </c>
      <c r="B315" s="71" t="s">
        <v>502</v>
      </c>
      <c r="C315" s="72" t="s">
        <v>1495</v>
      </c>
      <c r="D315" s="72"/>
      <c r="E315" s="72"/>
      <c r="F315" s="72"/>
      <c r="G315" s="71" t="s">
        <v>503</v>
      </c>
      <c r="H315" s="72">
        <v>13</v>
      </c>
      <c r="I315" s="72" t="s">
        <v>65</v>
      </c>
      <c r="J315" s="72">
        <v>8</v>
      </c>
      <c r="K315" s="72">
        <v>4</v>
      </c>
      <c r="L315" s="779" t="s">
        <v>352</v>
      </c>
      <c r="M315" s="73"/>
      <c r="N315" s="30"/>
      <c r="O315" s="30"/>
      <c r="P315" s="73"/>
      <c r="Q315" s="30"/>
      <c r="R315" s="30"/>
      <c r="S315" s="780"/>
      <c r="T315" s="780"/>
      <c r="U315" s="781" t="s">
        <v>1523</v>
      </c>
      <c r="V315" s="77">
        <v>13</v>
      </c>
      <c r="W315" s="782" t="str">
        <f t="shared" si="9"/>
        <v>Unterricht ohne Lehrdiplom (Bachelor Kunst)</v>
      </c>
    </row>
    <row r="316" spans="1:23" ht="12.75" x14ac:dyDescent="0.2">
      <c r="A316" s="74" t="str">
        <f t="shared" si="10"/>
        <v>408M.12</v>
      </c>
      <c r="B316" s="71" t="s">
        <v>504</v>
      </c>
      <c r="C316" s="72" t="s">
        <v>1495</v>
      </c>
      <c r="D316" s="72"/>
      <c r="E316" s="72"/>
      <c r="F316" s="72"/>
      <c r="G316" s="71" t="s">
        <v>505</v>
      </c>
      <c r="H316" s="72">
        <v>12</v>
      </c>
      <c r="I316" s="72" t="s">
        <v>65</v>
      </c>
      <c r="J316" s="72">
        <v>9.5</v>
      </c>
      <c r="K316" s="72">
        <v>4</v>
      </c>
      <c r="L316" s="779" t="s">
        <v>347</v>
      </c>
      <c r="M316" s="73"/>
      <c r="N316" s="30"/>
      <c r="O316" s="30"/>
      <c r="P316" s="73"/>
      <c r="Q316" s="30"/>
      <c r="R316" s="30"/>
      <c r="S316" s="780"/>
      <c r="T316" s="780"/>
      <c r="U316" s="781" t="s">
        <v>1524</v>
      </c>
      <c r="V316" s="77">
        <v>12</v>
      </c>
      <c r="W316" s="782" t="str">
        <f t="shared" si="9"/>
        <v>Unterricht ohne Lehrdiplom (Instrumental/Master)</v>
      </c>
    </row>
    <row r="317" spans="1:23" ht="12.75" x14ac:dyDescent="0.2">
      <c r="A317" s="74" t="str">
        <f t="shared" si="10"/>
        <v>408M.13</v>
      </c>
      <c r="B317" s="71" t="s">
        <v>506</v>
      </c>
      <c r="C317" s="72" t="s">
        <v>1495</v>
      </c>
      <c r="D317" s="72"/>
      <c r="E317" s="72"/>
      <c r="F317" s="72"/>
      <c r="G317" s="71" t="s">
        <v>507</v>
      </c>
      <c r="H317" s="72">
        <v>13</v>
      </c>
      <c r="I317" s="72" t="s">
        <v>65</v>
      </c>
      <c r="J317" s="72">
        <v>8</v>
      </c>
      <c r="K317" s="72">
        <v>4</v>
      </c>
      <c r="L317" s="779" t="s">
        <v>352</v>
      </c>
      <c r="M317" s="73"/>
      <c r="N317" s="30"/>
      <c r="O317" s="30"/>
      <c r="P317" s="73"/>
      <c r="Q317" s="30"/>
      <c r="R317" s="30"/>
      <c r="S317" s="780"/>
      <c r="T317" s="780"/>
      <c r="U317" s="781" t="s">
        <v>1525</v>
      </c>
      <c r="V317" s="77">
        <v>13</v>
      </c>
      <c r="W317" s="782" t="str">
        <f t="shared" si="9"/>
        <v>Unterricht ohne Lehrdiplom (Instrumental/Bachelor)</v>
      </c>
    </row>
    <row r="318" spans="1:23" ht="12.75" x14ac:dyDescent="0.2">
      <c r="A318" s="74" t="str">
        <f t="shared" si="10"/>
        <v>408N.13</v>
      </c>
      <c r="B318" s="71" t="s">
        <v>508</v>
      </c>
      <c r="C318" s="72" t="s">
        <v>1495</v>
      </c>
      <c r="D318" s="72"/>
      <c r="E318" s="72"/>
      <c r="F318" s="72"/>
      <c r="G318" s="71" t="s">
        <v>509</v>
      </c>
      <c r="H318" s="72">
        <v>13</v>
      </c>
      <c r="I318" s="72" t="s">
        <v>65</v>
      </c>
      <c r="J318" s="72">
        <v>6.5</v>
      </c>
      <c r="K318" s="72">
        <v>3</v>
      </c>
      <c r="L318" s="779" t="s">
        <v>346</v>
      </c>
      <c r="M318" s="73"/>
      <c r="N318" s="30"/>
      <c r="O318" s="30"/>
      <c r="P318" s="73"/>
      <c r="Q318" s="30"/>
      <c r="R318" s="30"/>
      <c r="S318" s="780"/>
      <c r="T318" s="780"/>
      <c r="U318" s="781" t="s">
        <v>1526</v>
      </c>
      <c r="V318" s="77">
        <v>13</v>
      </c>
      <c r="W318" s="782" t="str">
        <f t="shared" si="9"/>
        <v>Lehrer/inmit Berufslehre+Lehrausweis &gt;=2 Fächer</v>
      </c>
    </row>
    <row r="319" spans="1:23" ht="12.75" x14ac:dyDescent="0.2">
      <c r="A319" s="74" t="str">
        <f t="shared" si="10"/>
        <v>408N.14</v>
      </c>
      <c r="B319" s="71" t="s">
        <v>510</v>
      </c>
      <c r="C319" s="72" t="s">
        <v>1495</v>
      </c>
      <c r="D319" s="72"/>
      <c r="E319" s="72"/>
      <c r="F319" s="72"/>
      <c r="G319" s="71" t="s">
        <v>511</v>
      </c>
      <c r="H319" s="72">
        <v>14</v>
      </c>
      <c r="I319" s="72" t="s">
        <v>65</v>
      </c>
      <c r="J319" s="72">
        <v>6.5</v>
      </c>
      <c r="K319" s="72">
        <v>3</v>
      </c>
      <c r="L319" s="779" t="s">
        <v>346</v>
      </c>
      <c r="M319" s="73"/>
      <c r="N319" s="30"/>
      <c r="O319" s="30"/>
      <c r="P319" s="73"/>
      <c r="Q319" s="30"/>
      <c r="R319" s="30"/>
      <c r="S319" s="780"/>
      <c r="T319" s="780"/>
      <c r="U319" s="781" t="s">
        <v>1527</v>
      </c>
      <c r="V319" s="77">
        <v>14</v>
      </c>
      <c r="W319" s="782" t="str">
        <f t="shared" si="9"/>
        <v>Lehrer/inmit Berufslehre+Lehrausweis 1 Fach</v>
      </c>
    </row>
    <row r="320" spans="1:23" ht="12.75" x14ac:dyDescent="0.2">
      <c r="A320" s="74" t="str">
        <f t="shared" si="10"/>
        <v>408O.10</v>
      </c>
      <c r="B320" s="71" t="s">
        <v>643</v>
      </c>
      <c r="C320" s="72" t="s">
        <v>1495</v>
      </c>
      <c r="D320" s="72"/>
      <c r="E320" s="72"/>
      <c r="F320" s="72" t="s">
        <v>1495</v>
      </c>
      <c r="G320" s="71" t="s">
        <v>642</v>
      </c>
      <c r="H320" s="72" t="s">
        <v>1528</v>
      </c>
      <c r="I320" s="72"/>
      <c r="J320" s="72">
        <v>9.5</v>
      </c>
      <c r="K320" s="72">
        <v>4</v>
      </c>
      <c r="L320" s="779" t="s">
        <v>347</v>
      </c>
      <c r="M320" s="73"/>
      <c r="N320" s="30"/>
      <c r="O320" s="30"/>
      <c r="P320" s="73"/>
      <c r="Q320" s="30"/>
      <c r="R320" s="30"/>
      <c r="S320" s="780"/>
      <c r="T320" s="780"/>
      <c r="U320" s="781" t="s">
        <v>1529</v>
      </c>
      <c r="V320" s="77" t="s">
        <v>1528</v>
      </c>
      <c r="W320" s="782" t="str">
        <f t="shared" si="9"/>
        <v>Monofach Sport II auf Sek.-Stufe II</v>
      </c>
    </row>
    <row r="321" spans="1:23" ht="12.75" x14ac:dyDescent="0.2">
      <c r="A321" s="74" t="str">
        <f t="shared" si="10"/>
        <v>409A.09</v>
      </c>
      <c r="B321" s="783" t="s">
        <v>339</v>
      </c>
      <c r="C321" s="78" t="s">
        <v>1530</v>
      </c>
      <c r="D321" s="78"/>
      <c r="E321" s="78"/>
      <c r="F321" s="78"/>
      <c r="G321" s="27" t="s">
        <v>512</v>
      </c>
      <c r="H321" s="78">
        <v>9</v>
      </c>
      <c r="I321" s="78">
        <v>563.29999999999995</v>
      </c>
      <c r="J321" s="78">
        <v>10.5</v>
      </c>
      <c r="K321" s="78">
        <v>4</v>
      </c>
      <c r="L321" s="806" t="s">
        <v>353</v>
      </c>
      <c r="M321" s="33"/>
      <c r="N321" s="34"/>
      <c r="O321" s="34"/>
      <c r="P321" s="33"/>
      <c r="Q321" s="34"/>
      <c r="R321" s="34"/>
      <c r="S321" s="807" t="s">
        <v>65</v>
      </c>
      <c r="T321" s="807" t="s">
        <v>65</v>
      </c>
      <c r="U321" s="781" t="s">
        <v>1531</v>
      </c>
      <c r="V321" s="77">
        <v>9</v>
      </c>
      <c r="W321" s="782" t="str">
        <f t="shared" si="9"/>
        <v>Wissenschaftliches Fach  (Liz/Master+Oberlehrer/SekII)</v>
      </c>
    </row>
    <row r="322" spans="1:23" ht="12.75" x14ac:dyDescent="0.2">
      <c r="A322" s="74" t="str">
        <f t="shared" si="10"/>
        <v>409B.10</v>
      </c>
      <c r="B322" s="783" t="s">
        <v>254</v>
      </c>
      <c r="C322" s="78" t="s">
        <v>1530</v>
      </c>
      <c r="D322" s="78"/>
      <c r="E322" s="78"/>
      <c r="F322" s="78"/>
      <c r="G322" s="27" t="s">
        <v>513</v>
      </c>
      <c r="H322" s="78">
        <v>10</v>
      </c>
      <c r="I322" s="78">
        <v>0</v>
      </c>
      <c r="J322" s="78">
        <v>8.5</v>
      </c>
      <c r="K322" s="78">
        <v>4</v>
      </c>
      <c r="L322" s="806" t="s">
        <v>90</v>
      </c>
      <c r="M322" s="33"/>
      <c r="N322" s="34"/>
      <c r="O322" s="34"/>
      <c r="P322" s="33"/>
      <c r="Q322" s="34"/>
      <c r="R322" s="34"/>
      <c r="S322" s="807" t="s">
        <v>65</v>
      </c>
      <c r="T322" s="807" t="s">
        <v>65</v>
      </c>
      <c r="U322" s="781" t="s">
        <v>1532</v>
      </c>
      <c r="V322" s="77">
        <v>10</v>
      </c>
      <c r="W322" s="782" t="str">
        <f t="shared" ref="W322:W386" si="11">G322</f>
        <v>Wissenschaftliches Fach  (Bachelor+SIBP/Berufsschullehrer)</v>
      </c>
    </row>
    <row r="323" spans="1:23" ht="12.75" x14ac:dyDescent="0.2">
      <c r="A323" s="74" t="str">
        <f t="shared" si="10"/>
        <v>409C.09</v>
      </c>
      <c r="B323" s="783" t="s">
        <v>340</v>
      </c>
      <c r="C323" s="79" t="s">
        <v>1530</v>
      </c>
      <c r="D323" s="79"/>
      <c r="E323" s="79"/>
      <c r="F323" s="79"/>
      <c r="G323" s="28" t="s">
        <v>514</v>
      </c>
      <c r="H323" s="79">
        <v>9</v>
      </c>
      <c r="I323" s="79">
        <v>0</v>
      </c>
      <c r="J323" s="79">
        <v>10.5</v>
      </c>
      <c r="K323" s="79">
        <v>4</v>
      </c>
      <c r="L323" s="791" t="s">
        <v>353</v>
      </c>
      <c r="M323" s="35"/>
      <c r="N323" s="36"/>
      <c r="O323" s="36"/>
      <c r="P323" s="35"/>
      <c r="Q323" s="36"/>
      <c r="R323" s="36"/>
      <c r="S323" s="792" t="s">
        <v>65</v>
      </c>
      <c r="T323" s="792" t="s">
        <v>65</v>
      </c>
      <c r="U323" s="781" t="s">
        <v>1533</v>
      </c>
      <c r="V323" s="77">
        <v>9</v>
      </c>
      <c r="W323" s="782" t="str">
        <f t="shared" si="11"/>
        <v>Sport II mit wissenschaftlichem Fach (wiss.Unterricht)</v>
      </c>
    </row>
    <row r="324" spans="1:23" ht="12.75" x14ac:dyDescent="0.2">
      <c r="A324" s="74" t="str">
        <f t="shared" si="10"/>
        <v>409C.10</v>
      </c>
      <c r="B324" s="783" t="s">
        <v>271</v>
      </c>
      <c r="C324" s="79" t="s">
        <v>1530</v>
      </c>
      <c r="D324" s="79"/>
      <c r="E324" s="79"/>
      <c r="F324" s="79"/>
      <c r="G324" s="28" t="s">
        <v>515</v>
      </c>
      <c r="H324" s="79">
        <v>10</v>
      </c>
      <c r="I324" s="79">
        <v>0</v>
      </c>
      <c r="J324" s="79">
        <v>9.5</v>
      </c>
      <c r="K324" s="79">
        <v>4</v>
      </c>
      <c r="L324" s="791" t="s">
        <v>347</v>
      </c>
      <c r="M324" s="35"/>
      <c r="N324" s="36"/>
      <c r="O324" s="36"/>
      <c r="P324" s="35"/>
      <c r="Q324" s="36"/>
      <c r="R324" s="36"/>
      <c r="S324" s="792" t="s">
        <v>65</v>
      </c>
      <c r="T324" s="792" t="s">
        <v>65</v>
      </c>
      <c r="U324" s="781" t="s">
        <v>1534</v>
      </c>
      <c r="V324" s="77">
        <v>10</v>
      </c>
      <c r="W324" s="782" t="str">
        <f t="shared" si="11"/>
        <v>Sport II mit wissenschaftlichem Fach (Sportunterricht)</v>
      </c>
    </row>
    <row r="325" spans="1:23" ht="12.75" x14ac:dyDescent="0.2">
      <c r="A325" s="74" t="str">
        <f t="shared" si="10"/>
        <v>409D.10</v>
      </c>
      <c r="B325" s="783" t="s">
        <v>255</v>
      </c>
      <c r="C325" s="78" t="s">
        <v>1530</v>
      </c>
      <c r="D325" s="78"/>
      <c r="E325" s="78"/>
      <c r="F325" s="78"/>
      <c r="G325" s="27" t="s">
        <v>516</v>
      </c>
      <c r="H325" s="78">
        <v>10</v>
      </c>
      <c r="I325" s="78">
        <v>537.9</v>
      </c>
      <c r="J325" s="78">
        <v>9.5</v>
      </c>
      <c r="K325" s="78">
        <v>4</v>
      </c>
      <c r="L325" s="806" t="s">
        <v>347</v>
      </c>
      <c r="M325" s="33"/>
      <c r="N325" s="34"/>
      <c r="O325" s="34"/>
      <c r="P325" s="33"/>
      <c r="Q325" s="34"/>
      <c r="R325" s="34"/>
      <c r="S325" s="807" t="s">
        <v>65</v>
      </c>
      <c r="T325" s="807" t="s">
        <v>65</v>
      </c>
      <c r="U325" s="781" t="s">
        <v>1535</v>
      </c>
      <c r="V325" s="77">
        <v>10</v>
      </c>
      <c r="W325" s="782" t="str">
        <f t="shared" si="11"/>
        <v>Sport mit wissenschaftlichem Fach (Sport II mit wissenschaftlichem Fach auf Sek.-Stu I)</v>
      </c>
    </row>
    <row r="326" spans="1:23" ht="12.75" x14ac:dyDescent="0.2">
      <c r="A326" s="74" t="str">
        <f t="shared" si="10"/>
        <v>409E.10</v>
      </c>
      <c r="B326" s="783" t="s">
        <v>256</v>
      </c>
      <c r="C326" s="79" t="s">
        <v>1530</v>
      </c>
      <c r="D326" s="79"/>
      <c r="E326" s="79"/>
      <c r="F326" s="79"/>
      <c r="G326" s="28" t="s">
        <v>517</v>
      </c>
      <c r="H326" s="79">
        <v>10</v>
      </c>
      <c r="I326" s="79">
        <v>539.29999999999995</v>
      </c>
      <c r="J326" s="79">
        <v>10.5</v>
      </c>
      <c r="K326" s="79">
        <v>6</v>
      </c>
      <c r="L326" s="791" t="s">
        <v>353</v>
      </c>
      <c r="M326" s="35"/>
      <c r="N326" s="36"/>
      <c r="O326" s="36"/>
      <c r="P326" s="35"/>
      <c r="Q326" s="36"/>
      <c r="R326" s="36"/>
      <c r="S326" s="792" t="s">
        <v>65</v>
      </c>
      <c r="T326" s="792" t="s">
        <v>65</v>
      </c>
      <c r="U326" s="781" t="s">
        <v>1536</v>
      </c>
      <c r="V326" s="77">
        <v>10</v>
      </c>
      <c r="W326" s="782" t="str">
        <f t="shared" si="11"/>
        <v>Allg.bildende Fächer (Primarlehrpat+SIBP oder Sek.II-Patent)</v>
      </c>
    </row>
    <row r="327" spans="1:23" ht="12.75" x14ac:dyDescent="0.2">
      <c r="A327" s="74" t="str">
        <f t="shared" si="10"/>
        <v>409E.11</v>
      </c>
      <c r="B327" s="28" t="s">
        <v>518</v>
      </c>
      <c r="C327" s="79" t="s">
        <v>1530</v>
      </c>
      <c r="D327" s="79"/>
      <c r="E327" s="79"/>
      <c r="F327" s="79"/>
      <c r="G327" s="28" t="s">
        <v>519</v>
      </c>
      <c r="H327" s="79">
        <v>11</v>
      </c>
      <c r="I327" s="79">
        <v>539.29999999999995</v>
      </c>
      <c r="J327" s="79">
        <v>9.5</v>
      </c>
      <c r="K327" s="79">
        <v>6</v>
      </c>
      <c r="L327" s="791" t="s">
        <v>347</v>
      </c>
      <c r="M327" s="35"/>
      <c r="N327" s="36"/>
      <c r="O327" s="36"/>
      <c r="P327" s="35"/>
      <c r="Q327" s="36"/>
      <c r="R327" s="36"/>
      <c r="S327" s="792" t="s">
        <v>65</v>
      </c>
      <c r="T327" s="792" t="s">
        <v>65</v>
      </c>
      <c r="U327" s="781" t="s">
        <v>1537</v>
      </c>
      <c r="V327" s="77">
        <v>11</v>
      </c>
      <c r="W327" s="782" t="str">
        <f t="shared" si="11"/>
        <v>Allg.bildende Fächer (Master ohne päd.Ausbildung)</v>
      </c>
    </row>
    <row r="328" spans="1:23" ht="12.75" x14ac:dyDescent="0.2">
      <c r="A328" s="74" t="str">
        <f t="shared" si="10"/>
        <v>409F.10</v>
      </c>
      <c r="B328" s="783" t="s">
        <v>257</v>
      </c>
      <c r="C328" s="78" t="s">
        <v>1530</v>
      </c>
      <c r="D328" s="78"/>
      <c r="E328" s="78"/>
      <c r="F328" s="78"/>
      <c r="G328" s="27" t="s">
        <v>520</v>
      </c>
      <c r="H328" s="78">
        <v>10</v>
      </c>
      <c r="I328" s="78">
        <v>547.29999999999995</v>
      </c>
      <c r="J328" s="78">
        <v>9</v>
      </c>
      <c r="K328" s="78">
        <v>6</v>
      </c>
      <c r="L328" s="806" t="s">
        <v>351</v>
      </c>
      <c r="M328" s="33"/>
      <c r="N328" s="34"/>
      <c r="O328" s="34"/>
      <c r="P328" s="33"/>
      <c r="Q328" s="34"/>
      <c r="R328" s="34"/>
      <c r="S328" s="807" t="s">
        <v>65</v>
      </c>
      <c r="T328" s="807" t="s">
        <v>65</v>
      </c>
      <c r="U328" s="781" t="s">
        <v>1538</v>
      </c>
      <c r="V328" s="77">
        <v>10</v>
      </c>
      <c r="W328" s="782" t="str">
        <f t="shared" si="11"/>
        <v>Berufskundliche Fächer (Bachelor+SIBP)</v>
      </c>
    </row>
    <row r="329" spans="1:23" ht="12.75" x14ac:dyDescent="0.2">
      <c r="A329" s="74" t="str">
        <f t="shared" si="10"/>
        <v>409G.11</v>
      </c>
      <c r="B329" s="783" t="s">
        <v>258</v>
      </c>
      <c r="C329" s="79" t="s">
        <v>1530</v>
      </c>
      <c r="D329" s="79"/>
      <c r="E329" s="79"/>
      <c r="F329" s="79"/>
      <c r="G329" s="28" t="s">
        <v>521</v>
      </c>
      <c r="H329" s="79">
        <v>11</v>
      </c>
      <c r="I329" s="79">
        <v>531.4</v>
      </c>
      <c r="J329" s="79">
        <v>8</v>
      </c>
      <c r="K329" s="79">
        <v>6</v>
      </c>
      <c r="L329" s="791" t="s">
        <v>352</v>
      </c>
      <c r="M329" s="35"/>
      <c r="N329" s="36"/>
      <c r="O329" s="36"/>
      <c r="P329" s="35"/>
      <c r="Q329" s="36"/>
      <c r="R329" s="36"/>
      <c r="S329" s="792" t="s">
        <v>65</v>
      </c>
      <c r="T329" s="792" t="s">
        <v>65</v>
      </c>
      <c r="U329" s="781" t="s">
        <v>1539</v>
      </c>
      <c r="V329" s="77">
        <v>11</v>
      </c>
      <c r="W329" s="782" t="str">
        <f t="shared" si="11"/>
        <v>Berufskundliche Fächer (Meisterprüfung+SIBP)</v>
      </c>
    </row>
    <row r="330" spans="1:23" ht="12.75" x14ac:dyDescent="0.2">
      <c r="A330" s="74" t="str">
        <f t="shared" si="10"/>
        <v>409H.10</v>
      </c>
      <c r="B330" s="783" t="s">
        <v>273</v>
      </c>
      <c r="C330" s="78" t="s">
        <v>1530</v>
      </c>
      <c r="D330" s="78"/>
      <c r="E330" s="78"/>
      <c r="F330" s="78"/>
      <c r="G330" s="27" t="s">
        <v>522</v>
      </c>
      <c r="H330" s="78">
        <v>10</v>
      </c>
      <c r="I330" s="78">
        <v>537.9</v>
      </c>
      <c r="J330" s="78">
        <v>9.5</v>
      </c>
      <c r="K330" s="78">
        <v>4</v>
      </c>
      <c r="L330" s="808" t="s">
        <v>347</v>
      </c>
      <c r="M330" s="33"/>
      <c r="N330" s="34"/>
      <c r="O330" s="34"/>
      <c r="P330" s="33"/>
      <c r="Q330" s="34"/>
      <c r="R330" s="34"/>
      <c r="S330" s="807" t="s">
        <v>65</v>
      </c>
      <c r="T330" s="807" t="s">
        <v>65</v>
      </c>
      <c r="U330" s="781" t="s">
        <v>1540</v>
      </c>
      <c r="V330" s="77">
        <v>10</v>
      </c>
      <c r="W330" s="782" t="str">
        <f t="shared" si="11"/>
        <v>Sport mit allgemein bildendem Fach (Sport II mit wissenschaftl.Fach auf SekStufe I)</v>
      </c>
    </row>
    <row r="331" spans="1:23" ht="12.75" x14ac:dyDescent="0.2">
      <c r="A331" s="74" t="str">
        <f t="shared" si="10"/>
        <v>409H.11</v>
      </c>
      <c r="B331" s="783" t="s">
        <v>272</v>
      </c>
      <c r="C331" s="79" t="s">
        <v>1530</v>
      </c>
      <c r="D331" s="79"/>
      <c r="E331" s="79"/>
      <c r="F331" s="79"/>
      <c r="G331" s="28" t="s">
        <v>523</v>
      </c>
      <c r="H331" s="79">
        <v>11</v>
      </c>
      <c r="I331" s="79">
        <v>537.9</v>
      </c>
      <c r="J331" s="79">
        <v>9.5</v>
      </c>
      <c r="K331" s="79">
        <v>4</v>
      </c>
      <c r="L331" s="808" t="s">
        <v>347</v>
      </c>
      <c r="M331" s="35"/>
      <c r="N331" s="36"/>
      <c r="O331" s="36"/>
      <c r="P331" s="35"/>
      <c r="Q331" s="36"/>
      <c r="R331" s="36"/>
      <c r="S331" s="792" t="s">
        <v>65</v>
      </c>
      <c r="T331" s="792" t="s">
        <v>65</v>
      </c>
      <c r="U331" s="781" t="s">
        <v>1541</v>
      </c>
      <c r="V331" s="77">
        <v>11</v>
      </c>
      <c r="W331" s="782" t="str">
        <f t="shared" si="11"/>
        <v>Sport (Sport II)</v>
      </c>
    </row>
    <row r="332" spans="1:23" ht="12.75" x14ac:dyDescent="0.2">
      <c r="A332" s="74" t="str">
        <f t="shared" si="10"/>
        <v>409H.12</v>
      </c>
      <c r="B332" s="27" t="s">
        <v>634</v>
      </c>
      <c r="C332" s="78" t="s">
        <v>1530</v>
      </c>
      <c r="D332" s="78"/>
      <c r="E332" s="78"/>
      <c r="F332" s="78"/>
      <c r="G332" s="27" t="s">
        <v>635</v>
      </c>
      <c r="H332" s="78">
        <v>12</v>
      </c>
      <c r="I332" s="78">
        <v>537.9</v>
      </c>
      <c r="J332" s="78">
        <v>9.5</v>
      </c>
      <c r="K332" s="78">
        <v>4</v>
      </c>
      <c r="L332" s="806" t="s">
        <v>347</v>
      </c>
      <c r="M332" s="33"/>
      <c r="N332" s="34"/>
      <c r="O332" s="34"/>
      <c r="P332" s="33"/>
      <c r="Q332" s="34"/>
      <c r="R332" s="34"/>
      <c r="S332" s="807" t="s">
        <v>65</v>
      </c>
      <c r="T332" s="807" t="s">
        <v>65</v>
      </c>
      <c r="U332" s="781" t="s">
        <v>1542</v>
      </c>
      <c r="V332" s="77">
        <v>12</v>
      </c>
      <c r="W332" s="782" t="str">
        <f t="shared" si="11"/>
        <v>Sport (Sport II mit Primarlehrerpatent)</v>
      </c>
    </row>
    <row r="333" spans="1:23" ht="12.75" x14ac:dyDescent="0.2">
      <c r="A333" s="74" t="str">
        <f t="shared" si="10"/>
        <v>409I.10</v>
      </c>
      <c r="B333" s="783" t="s">
        <v>259</v>
      </c>
      <c r="C333" s="79" t="s">
        <v>1530</v>
      </c>
      <c r="D333" s="79"/>
      <c r="E333" s="79"/>
      <c r="F333" s="79"/>
      <c r="G333" s="28" t="s">
        <v>524</v>
      </c>
      <c r="H333" s="79">
        <v>10</v>
      </c>
      <c r="I333" s="79">
        <v>543.6</v>
      </c>
      <c r="J333" s="79">
        <v>9.5</v>
      </c>
      <c r="K333" s="79">
        <v>4</v>
      </c>
      <c r="L333" s="791" t="s">
        <v>347</v>
      </c>
      <c r="M333" s="35"/>
      <c r="N333" s="36"/>
      <c r="O333" s="36"/>
      <c r="P333" s="35"/>
      <c r="Q333" s="36"/>
      <c r="R333" s="36"/>
      <c r="S333" s="792" t="s">
        <v>65</v>
      </c>
      <c r="T333" s="792" t="s">
        <v>65</v>
      </c>
      <c r="U333" s="781" t="s">
        <v>1543</v>
      </c>
      <c r="V333" s="77">
        <v>10</v>
      </c>
      <c r="W333" s="782" t="str">
        <f t="shared" si="11"/>
        <v>Allgemein bildende Fächer Vorlehre (Sek.I A+BWK+Heilpäd.)</v>
      </c>
    </row>
    <row r="334" spans="1:23" ht="12.75" x14ac:dyDescent="0.2">
      <c r="A334" s="74" t="str">
        <f t="shared" si="10"/>
        <v>409J.10</v>
      </c>
      <c r="B334" s="783" t="s">
        <v>2063</v>
      </c>
      <c r="C334" s="79">
        <v>409</v>
      </c>
      <c r="D334" s="79"/>
      <c r="E334" s="79"/>
      <c r="F334" s="79"/>
      <c r="G334" s="28" t="s">
        <v>2064</v>
      </c>
      <c r="H334" s="79">
        <v>10</v>
      </c>
      <c r="I334" s="79">
        <v>544.6</v>
      </c>
      <c r="J334" s="79">
        <v>9.5</v>
      </c>
      <c r="K334" s="79">
        <v>4</v>
      </c>
      <c r="L334" s="791" t="s">
        <v>347</v>
      </c>
      <c r="M334" s="35"/>
      <c r="N334" s="36"/>
      <c r="O334" s="36"/>
      <c r="P334" s="35"/>
      <c r="Q334" s="36"/>
      <c r="R334" s="36"/>
      <c r="S334" s="792"/>
      <c r="T334" s="792"/>
      <c r="U334" s="781" t="s">
        <v>2062</v>
      </c>
      <c r="V334" s="77">
        <v>10</v>
      </c>
      <c r="W334" s="782" t="str">
        <f t="shared" si="11"/>
        <v>Lehrperson Brückenangebote und IAV SEK II</v>
      </c>
    </row>
    <row r="335" spans="1:23" ht="12.75" x14ac:dyDescent="0.2">
      <c r="A335" s="74" t="str">
        <f t="shared" si="10"/>
        <v>409K.10</v>
      </c>
      <c r="B335" s="25" t="s">
        <v>525</v>
      </c>
      <c r="C335" s="76" t="s">
        <v>1530</v>
      </c>
      <c r="D335" s="76"/>
      <c r="E335" s="76"/>
      <c r="F335" s="76"/>
      <c r="G335" s="25" t="s">
        <v>526</v>
      </c>
      <c r="H335" s="76">
        <v>10</v>
      </c>
      <c r="I335" s="76" t="s">
        <v>65</v>
      </c>
      <c r="J335" s="76">
        <v>8.5</v>
      </c>
      <c r="K335" s="76">
        <v>4</v>
      </c>
      <c r="L335" s="804" t="s">
        <v>90</v>
      </c>
      <c r="M335" s="31"/>
      <c r="O335" s="32"/>
      <c r="P335" s="31"/>
      <c r="R335" s="32"/>
      <c r="S335" s="805" t="s">
        <v>65</v>
      </c>
      <c r="T335" s="805" t="s">
        <v>65</v>
      </c>
      <c r="U335" s="781" t="s">
        <v>1544</v>
      </c>
      <c r="V335" s="77">
        <v>10</v>
      </c>
      <c r="W335" s="782" t="str">
        <f t="shared" si="11"/>
        <v>Sek. I-Lehrperson (Sek.I A, &gt;=3 Fächer)</v>
      </c>
    </row>
    <row r="336" spans="1:23" ht="12.75" x14ac:dyDescent="0.2">
      <c r="A336" s="74" t="str">
        <f t="shared" si="10"/>
        <v>409K.11</v>
      </c>
      <c r="B336" s="27" t="s">
        <v>527</v>
      </c>
      <c r="C336" s="78" t="s">
        <v>1530</v>
      </c>
      <c r="D336" s="78"/>
      <c r="E336" s="78"/>
      <c r="F336" s="78"/>
      <c r="G336" s="27" t="s">
        <v>528</v>
      </c>
      <c r="H336" s="78">
        <v>11</v>
      </c>
      <c r="I336" s="78" t="s">
        <v>65</v>
      </c>
      <c r="J336" s="78">
        <v>8.5</v>
      </c>
      <c r="K336" s="78">
        <v>4</v>
      </c>
      <c r="L336" s="806" t="s">
        <v>90</v>
      </c>
      <c r="M336" s="33"/>
      <c r="N336" s="34"/>
      <c r="O336" s="34"/>
      <c r="P336" s="33"/>
      <c r="Q336" s="34"/>
      <c r="R336" s="34"/>
      <c r="S336" s="807" t="s">
        <v>65</v>
      </c>
      <c r="T336" s="807" t="s">
        <v>65</v>
      </c>
      <c r="U336" s="781" t="s">
        <v>1545</v>
      </c>
      <c r="V336" s="77">
        <v>11</v>
      </c>
      <c r="W336" s="782" t="str">
        <f t="shared" si="11"/>
        <v>Sek. I-Lehrperson (Sek.I A, 2 Fächer)</v>
      </c>
    </row>
    <row r="337" spans="1:23" ht="12.75" x14ac:dyDescent="0.2">
      <c r="A337" s="74" t="str">
        <f t="shared" si="10"/>
        <v>409K.12</v>
      </c>
      <c r="B337" s="28" t="s">
        <v>529</v>
      </c>
      <c r="C337" s="79" t="s">
        <v>1530</v>
      </c>
      <c r="D337" s="79"/>
      <c r="E337" s="79"/>
      <c r="F337" s="79"/>
      <c r="G337" s="28" t="s">
        <v>530</v>
      </c>
      <c r="H337" s="79">
        <v>12</v>
      </c>
      <c r="I337" s="79" t="s">
        <v>65</v>
      </c>
      <c r="J337" s="79">
        <v>8.5</v>
      </c>
      <c r="K337" s="79">
        <v>4</v>
      </c>
      <c r="L337" s="791" t="s">
        <v>90</v>
      </c>
      <c r="M337" s="35"/>
      <c r="N337" s="36"/>
      <c r="O337" s="36"/>
      <c r="P337" s="35"/>
      <c r="Q337" s="36"/>
      <c r="R337" s="36"/>
      <c r="S337" s="792" t="s">
        <v>65</v>
      </c>
      <c r="T337" s="792" t="s">
        <v>65</v>
      </c>
      <c r="U337" s="781" t="s">
        <v>1546</v>
      </c>
      <c r="V337" s="77">
        <v>12</v>
      </c>
      <c r="W337" s="782" t="str">
        <f t="shared" si="11"/>
        <v>Sek. I-Lehrperson (Sek.I A, 1 wiss. Fach)</v>
      </c>
    </row>
    <row r="338" spans="1:23" ht="12.75" x14ac:dyDescent="0.2">
      <c r="A338" s="74" t="str">
        <f t="shared" si="10"/>
        <v>409K.13</v>
      </c>
      <c r="B338" s="28" t="s">
        <v>531</v>
      </c>
      <c r="C338" s="79" t="s">
        <v>1530</v>
      </c>
      <c r="D338" s="79"/>
      <c r="E338" s="79"/>
      <c r="F338" s="79"/>
      <c r="G338" s="28" t="s">
        <v>532</v>
      </c>
      <c r="H338" s="79">
        <v>13</v>
      </c>
      <c r="I338" s="79" t="s">
        <v>65</v>
      </c>
      <c r="J338" s="79">
        <v>8.5</v>
      </c>
      <c r="K338" s="79">
        <v>4</v>
      </c>
      <c r="L338" s="791" t="s">
        <v>90</v>
      </c>
      <c r="M338" s="35"/>
      <c r="N338" s="36"/>
      <c r="O338" s="36"/>
      <c r="P338" s="35"/>
      <c r="Q338" s="36"/>
      <c r="R338" s="36"/>
      <c r="S338" s="792" t="s">
        <v>65</v>
      </c>
      <c r="T338" s="792" t="s">
        <v>65</v>
      </c>
      <c r="U338" s="781" t="s">
        <v>1547</v>
      </c>
      <c r="V338" s="77">
        <v>13</v>
      </c>
      <c r="W338" s="782" t="str">
        <f t="shared" si="11"/>
        <v>Sek. I-Lehrperson (Sek.I A, 1 nicht.-wiss. Fach)</v>
      </c>
    </row>
    <row r="339" spans="1:23" ht="12.75" x14ac:dyDescent="0.2">
      <c r="A339" s="74" t="str">
        <f t="shared" si="10"/>
        <v>409L.11</v>
      </c>
      <c r="B339" s="28" t="s">
        <v>636</v>
      </c>
      <c r="C339" s="79" t="s">
        <v>1530</v>
      </c>
      <c r="D339" s="79"/>
      <c r="E339" s="79"/>
      <c r="F339" s="79"/>
      <c r="G339" s="28" t="s">
        <v>638</v>
      </c>
      <c r="H339" s="79">
        <v>11</v>
      </c>
      <c r="I339" s="79" t="s">
        <v>65</v>
      </c>
      <c r="J339" s="79">
        <v>6.5</v>
      </c>
      <c r="K339" s="79">
        <v>3</v>
      </c>
      <c r="L339" s="791" t="s">
        <v>346</v>
      </c>
      <c r="M339" s="35"/>
      <c r="N339" s="36"/>
      <c r="O339" s="36"/>
      <c r="P339" s="35"/>
      <c r="Q339" s="36"/>
      <c r="R339" s="36"/>
      <c r="S339" s="792" t="s">
        <v>65</v>
      </c>
      <c r="T339" s="792" t="s">
        <v>65</v>
      </c>
      <c r="U339" s="781" t="s">
        <v>1548</v>
      </c>
      <c r="V339" s="77">
        <v>11</v>
      </c>
      <c r="W339" s="782" t="str">
        <f t="shared" si="11"/>
        <v>Primarlehrperson Berufsschule mit Sek.I Niv.A &amp; SIBP</v>
      </c>
    </row>
    <row r="340" spans="1:23" ht="12.75" x14ac:dyDescent="0.2">
      <c r="A340" s="74" t="str">
        <f t="shared" si="10"/>
        <v>409L.12</v>
      </c>
      <c r="B340" s="28" t="s">
        <v>533</v>
      </c>
      <c r="C340" s="79" t="s">
        <v>1530</v>
      </c>
      <c r="D340" s="79"/>
      <c r="E340" s="79"/>
      <c r="F340" s="79"/>
      <c r="G340" s="28" t="s">
        <v>637</v>
      </c>
      <c r="H340" s="79">
        <v>12</v>
      </c>
      <c r="I340" s="79" t="s">
        <v>65</v>
      </c>
      <c r="J340" s="79">
        <v>6.5</v>
      </c>
      <c r="K340" s="79">
        <v>3</v>
      </c>
      <c r="L340" s="791" t="s">
        <v>346</v>
      </c>
      <c r="M340" s="35"/>
      <c r="N340" s="36"/>
      <c r="O340" s="36"/>
      <c r="P340" s="35"/>
      <c r="Q340" s="36"/>
      <c r="R340" s="36"/>
      <c r="S340" s="792" t="s">
        <v>65</v>
      </c>
      <c r="T340" s="792" t="s">
        <v>65</v>
      </c>
      <c r="U340" s="781" t="s">
        <v>1549</v>
      </c>
      <c r="V340" s="77">
        <v>12</v>
      </c>
      <c r="W340" s="782" t="str">
        <f t="shared" si="11"/>
        <v>Primarlehrperson Berufsschule mit Sek I, Niveau A</v>
      </c>
    </row>
    <row r="341" spans="1:23" ht="12.75" x14ac:dyDescent="0.2">
      <c r="A341" s="74" t="str">
        <f t="shared" si="10"/>
        <v>409L.13</v>
      </c>
      <c r="B341" s="28" t="s">
        <v>639</v>
      </c>
      <c r="C341" s="79" t="s">
        <v>1530</v>
      </c>
      <c r="D341" s="79"/>
      <c r="E341" s="79"/>
      <c r="F341" s="79"/>
      <c r="G341" s="28" t="s">
        <v>534</v>
      </c>
      <c r="H341" s="79">
        <v>13</v>
      </c>
      <c r="I341" s="79" t="s">
        <v>65</v>
      </c>
      <c r="J341" s="79">
        <v>6.5</v>
      </c>
      <c r="K341" s="79">
        <v>3</v>
      </c>
      <c r="L341" s="791" t="s">
        <v>346</v>
      </c>
      <c r="M341" s="35"/>
      <c r="N341" s="36"/>
      <c r="O341" s="36"/>
      <c r="P341" s="35"/>
      <c r="Q341" s="36"/>
      <c r="R341" s="36"/>
      <c r="S341" s="792" t="s">
        <v>65</v>
      </c>
      <c r="T341" s="792" t="s">
        <v>65</v>
      </c>
      <c r="U341" s="781" t="s">
        <v>1550</v>
      </c>
      <c r="V341" s="77">
        <v>13</v>
      </c>
      <c r="W341" s="782" t="str">
        <f t="shared" si="11"/>
        <v>Primarlehrperson Berufsschule</v>
      </c>
    </row>
    <row r="342" spans="1:23" ht="12.75" x14ac:dyDescent="0.2">
      <c r="A342" s="74" t="str">
        <f t="shared" si="10"/>
        <v>409M.11</v>
      </c>
      <c r="B342" s="28" t="s">
        <v>535</v>
      </c>
      <c r="C342" s="79" t="s">
        <v>1530</v>
      </c>
      <c r="D342" s="79"/>
      <c r="E342" s="79"/>
      <c r="F342" s="79"/>
      <c r="G342" s="28" t="s">
        <v>536</v>
      </c>
      <c r="H342" s="79">
        <v>11</v>
      </c>
      <c r="I342" s="79" t="s">
        <v>65</v>
      </c>
      <c r="J342" s="79">
        <v>8.5</v>
      </c>
      <c r="K342" s="79">
        <v>6</v>
      </c>
      <c r="L342" s="791" t="s">
        <v>90</v>
      </c>
      <c r="M342" s="35"/>
      <c r="N342" s="36"/>
      <c r="O342" s="36"/>
      <c r="P342" s="35"/>
      <c r="Q342" s="36"/>
      <c r="R342" s="36"/>
      <c r="S342" s="792" t="s">
        <v>65</v>
      </c>
      <c r="T342" s="792" t="s">
        <v>65</v>
      </c>
      <c r="U342" s="781" t="s">
        <v>1551</v>
      </c>
      <c r="V342" s="77">
        <v>11</v>
      </c>
      <c r="W342" s="782" t="str">
        <f t="shared" si="11"/>
        <v>Berufskundliche Fächer (Bachelor/Liz.+SIBP)</v>
      </c>
    </row>
    <row r="343" spans="1:23" ht="12.75" x14ac:dyDescent="0.2">
      <c r="A343" s="74" t="str">
        <f t="shared" si="10"/>
        <v>409M.12</v>
      </c>
      <c r="B343" s="28" t="s">
        <v>1552</v>
      </c>
      <c r="C343" s="79">
        <v>409</v>
      </c>
      <c r="D343" s="79"/>
      <c r="E343" s="79"/>
      <c r="F343" s="79">
        <v>409</v>
      </c>
      <c r="G343" s="28" t="s">
        <v>1553</v>
      </c>
      <c r="H343" s="79">
        <v>12</v>
      </c>
      <c r="I343" s="79"/>
      <c r="J343" s="79"/>
      <c r="K343" s="79"/>
      <c r="L343" s="791"/>
      <c r="M343" s="35"/>
      <c r="N343" s="36"/>
      <c r="O343" s="36"/>
      <c r="P343" s="35"/>
      <c r="Q343" s="36"/>
      <c r="R343" s="36"/>
      <c r="S343" s="792"/>
      <c r="T343" s="792"/>
      <c r="U343" s="781" t="s">
        <v>1554</v>
      </c>
      <c r="V343" s="77">
        <v>12</v>
      </c>
      <c r="W343" s="782" t="str">
        <f t="shared" si="11"/>
        <v>Berufskundliche Fächer</v>
      </c>
    </row>
    <row r="344" spans="1:23" ht="12.75" x14ac:dyDescent="0.2">
      <c r="A344" s="74" t="str">
        <f t="shared" si="10"/>
        <v>409M.13</v>
      </c>
      <c r="B344" s="28" t="s">
        <v>640</v>
      </c>
      <c r="C344" s="79" t="s">
        <v>1530</v>
      </c>
      <c r="D344" s="79"/>
      <c r="E344" s="79"/>
      <c r="F344" s="79"/>
      <c r="G344" s="28" t="s">
        <v>537</v>
      </c>
      <c r="H344" s="79">
        <v>13</v>
      </c>
      <c r="I344" s="79" t="s">
        <v>65</v>
      </c>
      <c r="J344" s="79">
        <v>8</v>
      </c>
      <c r="K344" s="79">
        <v>6</v>
      </c>
      <c r="L344" s="791" t="s">
        <v>352</v>
      </c>
      <c r="M344" s="35"/>
      <c r="N344" s="36"/>
      <c r="O344" s="36"/>
      <c r="P344" s="35"/>
      <c r="Q344" s="36"/>
      <c r="R344" s="36"/>
      <c r="S344" s="792" t="s">
        <v>65</v>
      </c>
      <c r="T344" s="792" t="s">
        <v>65</v>
      </c>
      <c r="U344" s="781" t="s">
        <v>1555</v>
      </c>
      <c r="V344" s="77">
        <v>13</v>
      </c>
      <c r="W344" s="782" t="str">
        <f t="shared" si="11"/>
        <v>Berufskundliche Fächer (Bachelor/Liz.ohne SIBP)</v>
      </c>
    </row>
    <row r="345" spans="1:23" ht="12.75" x14ac:dyDescent="0.2">
      <c r="A345" s="74" t="str">
        <f t="shared" si="10"/>
        <v>409N.12</v>
      </c>
      <c r="B345" s="28" t="s">
        <v>538</v>
      </c>
      <c r="C345" s="79" t="s">
        <v>1530</v>
      </c>
      <c r="D345" s="79"/>
      <c r="E345" s="79"/>
      <c r="F345" s="79"/>
      <c r="G345" s="28" t="s">
        <v>539</v>
      </c>
      <c r="H345" s="79">
        <v>12</v>
      </c>
      <c r="I345" s="79" t="s">
        <v>65</v>
      </c>
      <c r="J345" s="79">
        <v>8.5</v>
      </c>
      <c r="K345" s="79">
        <v>6</v>
      </c>
      <c r="L345" s="791" t="s">
        <v>90</v>
      </c>
      <c r="M345" s="35"/>
      <c r="N345" s="36"/>
      <c r="O345" s="36"/>
      <c r="P345" s="35"/>
      <c r="Q345" s="36"/>
      <c r="R345" s="36"/>
      <c r="S345" s="792" t="s">
        <v>65</v>
      </c>
      <c r="T345" s="792" t="s">
        <v>65</v>
      </c>
      <c r="U345" s="781" t="s">
        <v>1556</v>
      </c>
      <c r="V345" s="77">
        <v>12</v>
      </c>
      <c r="W345" s="782" t="str">
        <f t="shared" si="11"/>
        <v>Berufskundliche Fächer (Bachelor/Liz.+SIBP-DIK II-Kurs)</v>
      </c>
    </row>
    <row r="346" spans="1:23" ht="12.75" x14ac:dyDescent="0.2">
      <c r="A346" s="74" t="str">
        <f t="shared" si="10"/>
        <v>409N.13</v>
      </c>
      <c r="B346" s="28" t="s">
        <v>540</v>
      </c>
      <c r="C346" s="79" t="s">
        <v>1530</v>
      </c>
      <c r="D346" s="79"/>
      <c r="E346" s="79"/>
      <c r="F346" s="79"/>
      <c r="G346" s="28" t="s">
        <v>541</v>
      </c>
      <c r="H346" s="79">
        <v>13</v>
      </c>
      <c r="I346" s="79" t="s">
        <v>65</v>
      </c>
      <c r="J346" s="79">
        <v>8</v>
      </c>
      <c r="K346" s="79">
        <v>6</v>
      </c>
      <c r="L346" s="791" t="s">
        <v>352</v>
      </c>
      <c r="M346" s="35"/>
      <c r="N346" s="36"/>
      <c r="O346" s="36"/>
      <c r="P346" s="35"/>
      <c r="Q346" s="36"/>
      <c r="R346" s="36"/>
      <c r="S346" s="792" t="s">
        <v>65</v>
      </c>
      <c r="T346" s="792" t="s">
        <v>65</v>
      </c>
      <c r="U346" s="781" t="s">
        <v>1557</v>
      </c>
      <c r="V346" s="77">
        <v>13</v>
      </c>
      <c r="W346" s="782" t="str">
        <f t="shared" si="11"/>
        <v>Berufskundliche Fächer (Bachelor/Liz.+SIBP-DIK I-Kurs)</v>
      </c>
    </row>
    <row r="347" spans="1:23" ht="12.75" x14ac:dyDescent="0.2">
      <c r="A347" s="74" t="str">
        <f t="shared" si="10"/>
        <v>409N.14</v>
      </c>
      <c r="B347" s="25" t="s">
        <v>542</v>
      </c>
      <c r="C347" s="76" t="s">
        <v>1530</v>
      </c>
      <c r="D347" s="76"/>
      <c r="E347" s="76"/>
      <c r="F347" s="76">
        <v>409</v>
      </c>
      <c r="G347" s="25" t="s">
        <v>625</v>
      </c>
      <c r="H347" s="76">
        <v>14</v>
      </c>
      <c r="I347" s="76" t="s">
        <v>65</v>
      </c>
      <c r="J347" s="76">
        <v>6.5</v>
      </c>
      <c r="K347" s="76">
        <v>6</v>
      </c>
      <c r="L347" s="804" t="s">
        <v>346</v>
      </c>
      <c r="M347" s="31"/>
      <c r="O347" s="32"/>
      <c r="P347" s="31"/>
      <c r="R347" s="32"/>
      <c r="S347" s="805" t="s">
        <v>65</v>
      </c>
      <c r="T347" s="805" t="s">
        <v>65</v>
      </c>
      <c r="U347" s="781" t="s">
        <v>1558</v>
      </c>
      <c r="V347" s="77">
        <v>14</v>
      </c>
      <c r="W347" s="782" t="str">
        <f t="shared" si="11"/>
        <v>Berufskundliche Fächer (Meister ohne SIBP-Kurs)</v>
      </c>
    </row>
    <row r="348" spans="1:23" ht="12.75" x14ac:dyDescent="0.2">
      <c r="A348" s="74" t="str">
        <f t="shared" si="10"/>
        <v>409O.11</v>
      </c>
      <c r="B348" s="28" t="s">
        <v>543</v>
      </c>
      <c r="C348" s="79" t="s">
        <v>1530</v>
      </c>
      <c r="D348" s="79"/>
      <c r="E348" s="79"/>
      <c r="F348" s="79"/>
      <c r="G348" s="28" t="s">
        <v>544</v>
      </c>
      <c r="H348" s="79">
        <v>11</v>
      </c>
      <c r="I348" s="79" t="s">
        <v>65</v>
      </c>
      <c r="J348" s="79">
        <v>9.5</v>
      </c>
      <c r="K348" s="79">
        <v>4</v>
      </c>
      <c r="L348" s="791" t="s">
        <v>347</v>
      </c>
      <c r="M348" s="35"/>
      <c r="N348" s="36"/>
      <c r="O348" s="36"/>
      <c r="P348" s="35"/>
      <c r="Q348" s="36"/>
      <c r="R348" s="36"/>
      <c r="S348" s="792" t="s">
        <v>65</v>
      </c>
      <c r="T348" s="792" t="s">
        <v>65</v>
      </c>
      <c r="U348" s="781" t="s">
        <v>1559</v>
      </c>
      <c r="V348" s="77">
        <v>11</v>
      </c>
      <c r="W348" s="782" t="str">
        <f t="shared" si="11"/>
        <v>Unterricht ohne Lehrdiplom (Liz./Master wissenschaftl.)</v>
      </c>
    </row>
    <row r="349" spans="1:23" ht="12.75" x14ac:dyDescent="0.2">
      <c r="A349" s="74" t="str">
        <f t="shared" si="10"/>
        <v>409O.12</v>
      </c>
      <c r="B349" s="28" t="s">
        <v>545</v>
      </c>
      <c r="C349" s="79" t="s">
        <v>1530</v>
      </c>
      <c r="D349" s="79"/>
      <c r="E349" s="79"/>
      <c r="F349" s="79"/>
      <c r="G349" s="28" t="s">
        <v>546</v>
      </c>
      <c r="H349" s="79">
        <v>12</v>
      </c>
      <c r="I349" s="79" t="s">
        <v>65</v>
      </c>
      <c r="J349" s="79">
        <v>8</v>
      </c>
      <c r="K349" s="79">
        <v>4</v>
      </c>
      <c r="L349" s="791" t="s">
        <v>352</v>
      </c>
      <c r="M349" s="35"/>
      <c r="N349" s="36"/>
      <c r="O349" s="36"/>
      <c r="P349" s="35"/>
      <c r="Q349" s="36"/>
      <c r="R349" s="36"/>
      <c r="S349" s="792" t="s">
        <v>65</v>
      </c>
      <c r="T349" s="792" t="s">
        <v>65</v>
      </c>
      <c r="U349" s="781" t="s">
        <v>1560</v>
      </c>
      <c r="V349" s="77">
        <v>12</v>
      </c>
      <c r="W349" s="782" t="str">
        <f t="shared" si="11"/>
        <v>Unterricht ohne Lehrdiplom (Bachelor wissenschaftl.)</v>
      </c>
    </row>
    <row r="350" spans="1:23" ht="12.75" x14ac:dyDescent="0.2">
      <c r="A350" s="74" t="str">
        <f t="shared" si="10"/>
        <v>409P.13</v>
      </c>
      <c r="B350" s="28" t="s">
        <v>547</v>
      </c>
      <c r="C350" s="79" t="s">
        <v>1530</v>
      </c>
      <c r="D350" s="79"/>
      <c r="E350" s="79"/>
      <c r="F350" s="79"/>
      <c r="G350" s="28" t="s">
        <v>548</v>
      </c>
      <c r="H350" s="79">
        <v>13</v>
      </c>
      <c r="I350" s="79" t="s">
        <v>65</v>
      </c>
      <c r="J350" s="79">
        <v>6</v>
      </c>
      <c r="K350" s="79">
        <v>3</v>
      </c>
      <c r="L350" s="791" t="s">
        <v>672</v>
      </c>
      <c r="M350" s="35"/>
      <c r="N350" s="36"/>
      <c r="O350" s="36"/>
      <c r="P350" s="35"/>
      <c r="Q350" s="36"/>
      <c r="R350" s="36"/>
      <c r="S350" s="792" t="s">
        <v>65</v>
      </c>
      <c r="T350" s="792" t="s">
        <v>65</v>
      </c>
      <c r="U350" s="781" t="s">
        <v>1561</v>
      </c>
      <c r="V350" s="77">
        <v>13</v>
      </c>
      <c r="W350" s="782" t="str">
        <f t="shared" si="11"/>
        <v>Lehrer/in (Berufslehre+päd.Ausb,&gt;=2 Fächer)</v>
      </c>
    </row>
    <row r="351" spans="1:23" ht="12.75" x14ac:dyDescent="0.2">
      <c r="A351" s="74" t="str">
        <f t="shared" si="10"/>
        <v>409P.14</v>
      </c>
      <c r="B351" s="28" t="s">
        <v>549</v>
      </c>
      <c r="C351" s="79" t="s">
        <v>1530</v>
      </c>
      <c r="D351" s="79"/>
      <c r="E351" s="79"/>
      <c r="F351" s="79"/>
      <c r="G351" s="28" t="s">
        <v>550</v>
      </c>
      <c r="H351" s="79">
        <v>14</v>
      </c>
      <c r="I351" s="79" t="s">
        <v>65</v>
      </c>
      <c r="J351" s="79">
        <v>6</v>
      </c>
      <c r="K351" s="79">
        <v>3</v>
      </c>
      <c r="L351" s="791" t="s">
        <v>672</v>
      </c>
      <c r="M351" s="35"/>
      <c r="N351" s="36"/>
      <c r="O351" s="36"/>
      <c r="P351" s="35"/>
      <c r="Q351" s="36"/>
      <c r="R351" s="36"/>
      <c r="S351" s="792" t="s">
        <v>65</v>
      </c>
      <c r="T351" s="792" t="s">
        <v>65</v>
      </c>
      <c r="U351" s="781" t="s">
        <v>1562</v>
      </c>
      <c r="V351" s="77">
        <v>14</v>
      </c>
      <c r="W351" s="782" t="str">
        <f t="shared" si="11"/>
        <v>Lehrer/in (Berufslehre+päd.Ausb,1 Fach)</v>
      </c>
    </row>
    <row r="352" spans="1:23" ht="12.75" x14ac:dyDescent="0.2">
      <c r="A352" s="74" t="str">
        <f t="shared" si="10"/>
        <v>409Q.11</v>
      </c>
      <c r="B352" s="28" t="s">
        <v>551</v>
      </c>
      <c r="C352" s="79" t="s">
        <v>1530</v>
      </c>
      <c r="D352" s="79"/>
      <c r="E352" s="79"/>
      <c r="F352" s="79"/>
      <c r="G352" s="28" t="s">
        <v>552</v>
      </c>
      <c r="H352" s="79">
        <v>11</v>
      </c>
      <c r="I352" s="79" t="s">
        <v>65</v>
      </c>
      <c r="J352" s="79">
        <v>9.5</v>
      </c>
      <c r="K352" s="79">
        <v>4</v>
      </c>
      <c r="L352" s="791" t="s">
        <v>347</v>
      </c>
      <c r="M352" s="35"/>
      <c r="N352" s="36"/>
      <c r="O352" s="36"/>
      <c r="P352" s="35"/>
      <c r="Q352" s="36"/>
      <c r="R352" s="36"/>
      <c r="S352" s="792" t="s">
        <v>65</v>
      </c>
      <c r="T352" s="792" t="s">
        <v>65</v>
      </c>
      <c r="U352" s="781" t="s">
        <v>1563</v>
      </c>
      <c r="V352" s="77">
        <v>11</v>
      </c>
      <c r="W352" s="782" t="str">
        <f t="shared" si="11"/>
        <v>Vorlehre (Primarlehrer+Heil.Päd oder Berufberater oder Sek.IA)</v>
      </c>
    </row>
    <row r="353" spans="1:23" ht="12.75" x14ac:dyDescent="0.2">
      <c r="A353" s="74" t="str">
        <f t="shared" si="10"/>
        <v>409R.10</v>
      </c>
      <c r="B353" s="28" t="s">
        <v>553</v>
      </c>
      <c r="C353" s="79" t="s">
        <v>1530</v>
      </c>
      <c r="D353" s="79"/>
      <c r="E353" s="79"/>
      <c r="F353" s="79"/>
      <c r="G353" s="28" t="s">
        <v>554</v>
      </c>
      <c r="H353" s="79">
        <v>10</v>
      </c>
      <c r="I353" s="79" t="s">
        <v>65</v>
      </c>
      <c r="J353" s="79">
        <v>8.5</v>
      </c>
      <c r="K353" s="79">
        <v>4</v>
      </c>
      <c r="L353" s="791" t="s">
        <v>90</v>
      </c>
      <c r="M353" s="35"/>
      <c r="N353" s="36"/>
      <c r="O353" s="36"/>
      <c r="P353" s="35"/>
      <c r="Q353" s="36"/>
      <c r="R353" s="36"/>
      <c r="S353" s="792" t="s">
        <v>65</v>
      </c>
      <c r="T353" s="792" t="s">
        <v>65</v>
      </c>
      <c r="U353" s="781" t="s">
        <v>1564</v>
      </c>
      <c r="V353" s="77">
        <v>10</v>
      </c>
      <c r="W353" s="782" t="str">
        <f t="shared" si="11"/>
        <v>Wissenschaftliches Fach (Primarpatent+SIBP)</v>
      </c>
    </row>
    <row r="354" spans="1:23" ht="12.75" x14ac:dyDescent="0.2">
      <c r="A354" s="74" t="str">
        <f t="shared" si="10"/>
        <v>410A.09</v>
      </c>
      <c r="B354" s="783" t="s">
        <v>605</v>
      </c>
      <c r="C354" s="79">
        <v>410</v>
      </c>
      <c r="D354" s="79"/>
      <c r="E354" s="79"/>
      <c r="F354" s="79"/>
      <c r="G354" s="28" t="s">
        <v>596</v>
      </c>
      <c r="H354" s="79">
        <v>9</v>
      </c>
      <c r="I354" s="79"/>
      <c r="J354" s="79">
        <v>10.5</v>
      </c>
      <c r="K354" s="79">
        <v>4</v>
      </c>
      <c r="L354" s="791" t="s">
        <v>353</v>
      </c>
      <c r="M354" s="35"/>
      <c r="N354" s="36"/>
      <c r="O354" s="36"/>
      <c r="P354" s="35"/>
      <c r="Q354" s="36"/>
      <c r="R354" s="36"/>
      <c r="S354" s="792"/>
      <c r="T354" s="792"/>
      <c r="U354" s="781" t="s">
        <v>1565</v>
      </c>
      <c r="V354" s="77">
        <v>9</v>
      </c>
      <c r="W354" s="782" t="str">
        <f t="shared" si="11"/>
        <v>Handelsschule/KV M-Strang</v>
      </c>
    </row>
    <row r="355" spans="1:23" ht="12.75" x14ac:dyDescent="0.2">
      <c r="A355" s="74" t="str">
        <f t="shared" si="10"/>
        <v>410B.09</v>
      </c>
      <c r="B355" s="783" t="s">
        <v>617</v>
      </c>
      <c r="C355" s="79">
        <v>410</v>
      </c>
      <c r="D355" s="79"/>
      <c r="E355" s="79"/>
      <c r="F355" s="79"/>
      <c r="G355" s="28" t="s">
        <v>598</v>
      </c>
      <c r="H355" s="79">
        <v>9</v>
      </c>
      <c r="I355" s="79"/>
      <c r="J355" s="79">
        <v>10.5</v>
      </c>
      <c r="K355" s="79">
        <v>4</v>
      </c>
      <c r="L355" s="791" t="s">
        <v>353</v>
      </c>
      <c r="M355" s="35"/>
      <c r="N355" s="36"/>
      <c r="O355" s="36"/>
      <c r="P355" s="35"/>
      <c r="Q355" s="36"/>
      <c r="R355" s="36"/>
      <c r="S355" s="792"/>
      <c r="T355" s="792"/>
      <c r="U355" s="781" t="s">
        <v>1566</v>
      </c>
      <c r="V355" s="77">
        <v>9</v>
      </c>
      <c r="W355" s="782" t="str">
        <f t="shared" si="11"/>
        <v>Handelsschule/KV M-Strang Sport und wiss. Fach</v>
      </c>
    </row>
    <row r="356" spans="1:23" ht="12.75" x14ac:dyDescent="0.2">
      <c r="A356" s="74" t="str">
        <f t="shared" si="10"/>
        <v>410B.10</v>
      </c>
      <c r="B356" s="783" t="s">
        <v>607</v>
      </c>
      <c r="C356" s="78">
        <v>410</v>
      </c>
      <c r="D356" s="78"/>
      <c r="E356" s="78"/>
      <c r="F356" s="78"/>
      <c r="G356" s="27" t="s">
        <v>598</v>
      </c>
      <c r="H356" s="78">
        <v>10</v>
      </c>
      <c r="I356" s="78"/>
      <c r="J356" s="78">
        <v>9.5</v>
      </c>
      <c r="K356" s="78">
        <v>4</v>
      </c>
      <c r="L356" s="806" t="s">
        <v>347</v>
      </c>
      <c r="M356" s="33"/>
      <c r="N356" s="34"/>
      <c r="O356" s="34"/>
      <c r="P356" s="33"/>
      <c r="Q356" s="34"/>
      <c r="R356" s="34"/>
      <c r="S356" s="807"/>
      <c r="T356" s="807"/>
      <c r="U356" s="781" t="s">
        <v>1567</v>
      </c>
      <c r="V356" s="77">
        <v>10</v>
      </c>
      <c r="W356" s="782" t="str">
        <f t="shared" si="11"/>
        <v>Handelsschule/KV M-Strang Sport und wiss. Fach</v>
      </c>
    </row>
    <row r="357" spans="1:23" ht="12.75" x14ac:dyDescent="0.2">
      <c r="A357" s="74" t="str">
        <f t="shared" si="10"/>
        <v>410C.09</v>
      </c>
      <c r="B357" s="783" t="s">
        <v>608</v>
      </c>
      <c r="C357" s="79">
        <v>410</v>
      </c>
      <c r="D357" s="79"/>
      <c r="E357" s="79"/>
      <c r="F357" s="79"/>
      <c r="G357" s="28" t="s">
        <v>599</v>
      </c>
      <c r="H357" s="79">
        <v>9</v>
      </c>
      <c r="I357" s="79"/>
      <c r="J357" s="79">
        <v>10.5</v>
      </c>
      <c r="K357" s="79">
        <v>4</v>
      </c>
      <c r="L357" s="791" t="s">
        <v>353</v>
      </c>
      <c r="M357" s="35"/>
      <c r="N357" s="36"/>
      <c r="O357" s="36"/>
      <c r="P357" s="35"/>
      <c r="Q357" s="36"/>
      <c r="R357" s="36"/>
      <c r="S357" s="792"/>
      <c r="T357" s="792"/>
      <c r="U357" s="781" t="s">
        <v>1568</v>
      </c>
      <c r="V357" s="77">
        <v>9</v>
      </c>
      <c r="W357" s="782" t="str">
        <f t="shared" si="11"/>
        <v>Handelsschule/KV E-Strang</v>
      </c>
    </row>
    <row r="358" spans="1:23" ht="12.75" x14ac:dyDescent="0.2">
      <c r="A358" s="74" t="str">
        <f t="shared" si="10"/>
        <v>410D.09</v>
      </c>
      <c r="B358" s="783" t="s">
        <v>609</v>
      </c>
      <c r="C358" s="78">
        <v>410</v>
      </c>
      <c r="D358" s="78"/>
      <c r="E358" s="78"/>
      <c r="F358" s="78"/>
      <c r="G358" s="27" t="s">
        <v>597</v>
      </c>
      <c r="H358" s="78">
        <v>9</v>
      </c>
      <c r="I358" s="78"/>
      <c r="J358" s="78">
        <v>10.5</v>
      </c>
      <c r="K358" s="78">
        <v>4</v>
      </c>
      <c r="L358" s="806" t="s">
        <v>353</v>
      </c>
      <c r="M358" s="33"/>
      <c r="N358" s="34"/>
      <c r="O358" s="34"/>
      <c r="P358" s="33"/>
      <c r="Q358" s="34"/>
      <c r="R358" s="34"/>
      <c r="S358" s="807"/>
      <c r="T358" s="807"/>
      <c r="U358" s="781" t="s">
        <v>1569</v>
      </c>
      <c r="V358" s="77">
        <v>9</v>
      </c>
      <c r="W358" s="782" t="str">
        <f t="shared" si="11"/>
        <v>Handelsschule/KV E-Strang Sport und wiss. Fach</v>
      </c>
    </row>
    <row r="359" spans="1:23" ht="12.75" x14ac:dyDescent="0.2">
      <c r="A359" s="74" t="str">
        <f t="shared" si="10"/>
        <v>410D.10</v>
      </c>
      <c r="B359" s="783" t="s">
        <v>606</v>
      </c>
      <c r="C359" s="79">
        <v>410</v>
      </c>
      <c r="D359" s="79"/>
      <c r="E359" s="79"/>
      <c r="F359" s="79"/>
      <c r="G359" s="28" t="s">
        <v>597</v>
      </c>
      <c r="H359" s="79">
        <v>10</v>
      </c>
      <c r="I359" s="79"/>
      <c r="J359" s="79">
        <v>9.5</v>
      </c>
      <c r="K359" s="79">
        <v>4</v>
      </c>
      <c r="L359" s="791" t="s">
        <v>347</v>
      </c>
      <c r="M359" s="35"/>
      <c r="N359" s="36"/>
      <c r="O359" s="36"/>
      <c r="P359" s="35"/>
      <c r="Q359" s="36"/>
      <c r="R359" s="36"/>
      <c r="S359" s="792"/>
      <c r="T359" s="792"/>
      <c r="U359" s="781" t="s">
        <v>1570</v>
      </c>
      <c r="V359" s="77">
        <v>10</v>
      </c>
      <c r="W359" s="782" t="str">
        <f t="shared" si="11"/>
        <v>Handelsschule/KV E-Strang Sport und wiss. Fach</v>
      </c>
    </row>
    <row r="360" spans="1:23" ht="12.75" x14ac:dyDescent="0.2">
      <c r="A360" s="74" t="str">
        <f t="shared" ref="A360:A423" si="12">RIGHT(B360,LEN(B360)-1)</f>
        <v>410E.10</v>
      </c>
      <c r="B360" s="783" t="s">
        <v>610</v>
      </c>
      <c r="C360" s="79">
        <v>410</v>
      </c>
      <c r="D360" s="79"/>
      <c r="E360" s="79"/>
      <c r="F360" s="79"/>
      <c r="G360" s="28" t="s">
        <v>600</v>
      </c>
      <c r="H360" s="79">
        <v>10</v>
      </c>
      <c r="I360" s="79"/>
      <c r="J360" s="79">
        <v>9.5</v>
      </c>
      <c r="K360" s="79">
        <v>4</v>
      </c>
      <c r="L360" s="791" t="s">
        <v>347</v>
      </c>
      <c r="M360" s="35"/>
      <c r="N360" s="36"/>
      <c r="O360" s="36"/>
      <c r="P360" s="35"/>
      <c r="Q360" s="36"/>
      <c r="R360" s="36"/>
      <c r="S360" s="792"/>
      <c r="T360" s="792"/>
      <c r="U360" s="781" t="s">
        <v>1571</v>
      </c>
      <c r="V360" s="77">
        <v>10</v>
      </c>
      <c r="W360" s="782" t="str">
        <f t="shared" si="11"/>
        <v>Handelsschule/KV G-Strang</v>
      </c>
    </row>
    <row r="361" spans="1:23" ht="12.75" x14ac:dyDescent="0.2">
      <c r="A361" s="74" t="str">
        <f t="shared" si="12"/>
        <v>410F.10</v>
      </c>
      <c r="B361" s="27" t="s">
        <v>688</v>
      </c>
      <c r="C361" s="78">
        <v>410</v>
      </c>
      <c r="D361" s="78"/>
      <c r="E361" s="78"/>
      <c r="F361" s="78"/>
      <c r="G361" s="27" t="s">
        <v>600</v>
      </c>
      <c r="H361" s="78">
        <v>10</v>
      </c>
      <c r="I361" s="78"/>
      <c r="J361" s="78">
        <v>9.5</v>
      </c>
      <c r="K361" s="78">
        <v>4</v>
      </c>
      <c r="L361" s="806" t="s">
        <v>347</v>
      </c>
      <c r="M361" s="33"/>
      <c r="N361" s="34"/>
      <c r="O361" s="34"/>
      <c r="P361" s="33"/>
      <c r="Q361" s="34"/>
      <c r="R361" s="34"/>
      <c r="S361" s="807"/>
      <c r="T361" s="807"/>
      <c r="U361" s="781" t="s">
        <v>1572</v>
      </c>
      <c r="V361" s="77">
        <v>10</v>
      </c>
      <c r="W361" s="782" t="str">
        <f t="shared" si="11"/>
        <v>Handelsschule/KV G-Strang</v>
      </c>
    </row>
    <row r="362" spans="1:23" ht="12.75" x14ac:dyDescent="0.2">
      <c r="A362" s="74" t="str">
        <f t="shared" si="12"/>
        <v>410F.12</v>
      </c>
      <c r="B362" s="783" t="s">
        <v>611</v>
      </c>
      <c r="C362" s="79">
        <v>410</v>
      </c>
      <c r="D362" s="79"/>
      <c r="E362" s="79"/>
      <c r="F362" s="79"/>
      <c r="G362" s="28" t="s">
        <v>600</v>
      </c>
      <c r="H362" s="79">
        <v>12</v>
      </c>
      <c r="I362" s="79"/>
      <c r="J362" s="79">
        <v>8</v>
      </c>
      <c r="K362" s="79">
        <v>4</v>
      </c>
      <c r="L362" s="791" t="s">
        <v>352</v>
      </c>
      <c r="M362" s="35"/>
      <c r="N362" s="36"/>
      <c r="O362" s="36"/>
      <c r="P362" s="35"/>
      <c r="Q362" s="36"/>
      <c r="R362" s="36"/>
      <c r="S362" s="792"/>
      <c r="T362" s="792"/>
      <c r="U362" s="781" t="s">
        <v>1573</v>
      </c>
      <c r="V362" s="77">
        <v>12</v>
      </c>
      <c r="W362" s="782" t="str">
        <f t="shared" si="11"/>
        <v>Handelsschule/KV G-Strang</v>
      </c>
    </row>
    <row r="363" spans="1:23" ht="12.75" x14ac:dyDescent="0.2">
      <c r="A363" s="74" t="str">
        <f t="shared" si="12"/>
        <v>410G.13</v>
      </c>
      <c r="B363" s="783" t="s">
        <v>612</v>
      </c>
      <c r="C363" s="78">
        <v>410</v>
      </c>
      <c r="D363" s="78"/>
      <c r="E363" s="78"/>
      <c r="F363" s="78"/>
      <c r="G363" s="27" t="s">
        <v>600</v>
      </c>
      <c r="H363" s="78">
        <v>13</v>
      </c>
      <c r="I363" s="78"/>
      <c r="J363" s="78">
        <v>7</v>
      </c>
      <c r="K363" s="78">
        <v>4</v>
      </c>
      <c r="L363" s="806" t="s">
        <v>673</v>
      </c>
      <c r="M363" s="33"/>
      <c r="N363" s="34"/>
      <c r="O363" s="34"/>
      <c r="P363" s="33"/>
      <c r="Q363" s="34"/>
      <c r="R363" s="34"/>
      <c r="S363" s="807"/>
      <c r="T363" s="807"/>
      <c r="U363" s="781" t="s">
        <v>1574</v>
      </c>
      <c r="V363" s="77">
        <v>13</v>
      </c>
      <c r="W363" s="782" t="str">
        <f t="shared" si="11"/>
        <v>Handelsschule/KV G-Strang</v>
      </c>
    </row>
    <row r="364" spans="1:23" ht="12.75" x14ac:dyDescent="0.2">
      <c r="A364" s="74" t="str">
        <f t="shared" si="12"/>
        <v>410H.10</v>
      </c>
      <c r="B364" s="783" t="s">
        <v>613</v>
      </c>
      <c r="C364" s="79">
        <v>410</v>
      </c>
      <c r="D364" s="79"/>
      <c r="E364" s="79"/>
      <c r="F364" s="79"/>
      <c r="G364" s="28" t="s">
        <v>601</v>
      </c>
      <c r="H364" s="79">
        <v>10</v>
      </c>
      <c r="I364" s="79"/>
      <c r="J364" s="79">
        <v>9.5</v>
      </c>
      <c r="K364" s="79">
        <v>4</v>
      </c>
      <c r="L364" s="791" t="s">
        <v>347</v>
      </c>
      <c r="M364" s="35"/>
      <c r="N364" s="36"/>
      <c r="O364" s="36"/>
      <c r="P364" s="35"/>
      <c r="Q364" s="36"/>
      <c r="R364" s="36"/>
      <c r="S364" s="792"/>
      <c r="T364" s="792"/>
      <c r="U364" s="781" t="s">
        <v>1575</v>
      </c>
      <c r="V364" s="77">
        <v>10</v>
      </c>
      <c r="W364" s="782" t="str">
        <f t="shared" si="11"/>
        <v>Handelsschule/KV G-Strang Sport und wiss. Fach</v>
      </c>
    </row>
    <row r="365" spans="1:23" ht="12.75" x14ac:dyDescent="0.2">
      <c r="A365" s="74" t="str">
        <f t="shared" si="12"/>
        <v>410I.11</v>
      </c>
      <c r="B365" s="783" t="s">
        <v>614</v>
      </c>
      <c r="C365" s="78">
        <v>410</v>
      </c>
      <c r="D365" s="78"/>
      <c r="E365" s="78"/>
      <c r="F365" s="78"/>
      <c r="G365" s="27" t="s">
        <v>602</v>
      </c>
      <c r="H365" s="78">
        <v>11</v>
      </c>
      <c r="I365" s="78"/>
      <c r="J365" s="78">
        <v>9</v>
      </c>
      <c r="K365" s="78">
        <v>3</v>
      </c>
      <c r="L365" s="806" t="s">
        <v>351</v>
      </c>
      <c r="M365" s="33"/>
      <c r="N365" s="34"/>
      <c r="O365" s="34"/>
      <c r="P365" s="33"/>
      <c r="Q365" s="34"/>
      <c r="R365" s="34"/>
      <c r="S365" s="807"/>
      <c r="T365" s="807"/>
      <c r="U365" s="781" t="s">
        <v>1576</v>
      </c>
      <c r="V365" s="77">
        <v>11</v>
      </c>
      <c r="W365" s="782" t="str">
        <f t="shared" si="11"/>
        <v>Handelsschule/KV Kunst</v>
      </c>
    </row>
    <row r="366" spans="1:23" ht="12.75" x14ac:dyDescent="0.2">
      <c r="A366" s="74" t="str">
        <f t="shared" si="12"/>
        <v>410J.13</v>
      </c>
      <c r="B366" s="783" t="s">
        <v>615</v>
      </c>
      <c r="C366" s="79">
        <v>410</v>
      </c>
      <c r="D366" s="79"/>
      <c r="E366" s="79"/>
      <c r="F366" s="79"/>
      <c r="G366" s="28" t="s">
        <v>603</v>
      </c>
      <c r="H366" s="79">
        <v>13</v>
      </c>
      <c r="I366" s="79"/>
      <c r="J366" s="79">
        <v>6</v>
      </c>
      <c r="K366" s="79">
        <v>5</v>
      </c>
      <c r="L366" s="791" t="s">
        <v>672</v>
      </c>
      <c r="M366" s="35"/>
      <c r="N366" s="36"/>
      <c r="O366" s="36"/>
      <c r="P366" s="35"/>
      <c r="Q366" s="36"/>
      <c r="R366" s="36"/>
      <c r="S366" s="792"/>
      <c r="T366" s="792"/>
      <c r="U366" s="781" t="s">
        <v>1577</v>
      </c>
      <c r="V366" s="77">
        <v>13</v>
      </c>
      <c r="W366" s="782" t="str">
        <f t="shared" si="11"/>
        <v>Handelsschule/KV Warenkunde</v>
      </c>
    </row>
    <row r="367" spans="1:23" ht="12.75" x14ac:dyDescent="0.2">
      <c r="A367" s="74" t="str">
        <f t="shared" si="12"/>
        <v>410K.13</v>
      </c>
      <c r="B367" s="783" t="s">
        <v>616</v>
      </c>
      <c r="C367" s="78">
        <v>410</v>
      </c>
      <c r="D367" s="78"/>
      <c r="E367" s="78"/>
      <c r="F367" s="78"/>
      <c r="G367" s="27" t="s">
        <v>604</v>
      </c>
      <c r="H367" s="78">
        <v>13</v>
      </c>
      <c r="I367" s="78"/>
      <c r="J367" s="78">
        <v>6</v>
      </c>
      <c r="K367" s="78">
        <v>5</v>
      </c>
      <c r="L367" s="806" t="s">
        <v>672</v>
      </c>
      <c r="M367" s="33"/>
      <c r="N367" s="34"/>
      <c r="O367" s="34"/>
      <c r="P367" s="33"/>
      <c r="Q367" s="34"/>
      <c r="R367" s="34"/>
      <c r="S367" s="807"/>
      <c r="T367" s="807"/>
      <c r="U367" s="781" t="s">
        <v>1578</v>
      </c>
      <c r="V367" s="77">
        <v>13</v>
      </c>
      <c r="W367" s="782" t="str">
        <f t="shared" si="11"/>
        <v>Handelsschule/KV Verkaufskunde</v>
      </c>
    </row>
    <row r="368" spans="1:23" ht="12.75" x14ac:dyDescent="0.2">
      <c r="A368" s="74" t="str">
        <f t="shared" si="12"/>
        <v>410L.12</v>
      </c>
      <c r="B368" s="28" t="s">
        <v>647</v>
      </c>
      <c r="C368" s="79">
        <v>410</v>
      </c>
      <c r="D368" s="79"/>
      <c r="E368" s="79"/>
      <c r="F368" s="79"/>
      <c r="G368" s="28" t="s">
        <v>654</v>
      </c>
      <c r="H368" s="79">
        <v>12</v>
      </c>
      <c r="I368" s="79"/>
      <c r="J368" s="79">
        <v>6.5</v>
      </c>
      <c r="K368" s="79">
        <v>5</v>
      </c>
      <c r="L368" s="791" t="s">
        <v>346</v>
      </c>
      <c r="M368" s="35"/>
      <c r="N368" s="36"/>
      <c r="O368" s="36"/>
      <c r="P368" s="35"/>
      <c r="Q368" s="36"/>
      <c r="R368" s="36"/>
      <c r="S368" s="792"/>
      <c r="T368" s="792"/>
      <c r="U368" s="781" t="s">
        <v>1579</v>
      </c>
      <c r="V368" s="77">
        <v>12</v>
      </c>
      <c r="W368" s="782" t="str">
        <f t="shared" si="11"/>
        <v>Handelsschule/KV Hausw./Ernähr.</v>
      </c>
    </row>
    <row r="369" spans="1:23" ht="12.75" x14ac:dyDescent="0.2">
      <c r="A369" s="74" t="str">
        <f t="shared" si="12"/>
        <v>410M.11</v>
      </c>
      <c r="B369" s="28" t="s">
        <v>648</v>
      </c>
      <c r="C369" s="79">
        <v>410</v>
      </c>
      <c r="D369" s="79"/>
      <c r="E369" s="79"/>
      <c r="F369" s="79"/>
      <c r="G369" s="28" t="s">
        <v>655</v>
      </c>
      <c r="H369" s="79">
        <v>11</v>
      </c>
      <c r="I369" s="79"/>
      <c r="J369" s="79">
        <v>8</v>
      </c>
      <c r="K369" s="79">
        <v>3</v>
      </c>
      <c r="L369" s="791" t="s">
        <v>352</v>
      </c>
      <c r="M369" s="35"/>
      <c r="N369" s="36"/>
      <c r="O369" s="36"/>
      <c r="P369" s="35"/>
      <c r="Q369" s="36"/>
      <c r="R369" s="36"/>
      <c r="S369" s="792"/>
      <c r="T369" s="792"/>
      <c r="U369" s="781" t="s">
        <v>1580</v>
      </c>
      <c r="V369" s="77">
        <v>11</v>
      </c>
      <c r="W369" s="782" t="str">
        <f t="shared" si="11"/>
        <v>Handelsschule/KV Musik</v>
      </c>
    </row>
    <row r="370" spans="1:23" ht="12.75" x14ac:dyDescent="0.2">
      <c r="A370" s="74" t="str">
        <f t="shared" si="12"/>
        <v>410N.13</v>
      </c>
      <c r="B370" s="28" t="s">
        <v>649</v>
      </c>
      <c r="C370" s="79">
        <v>410</v>
      </c>
      <c r="D370" s="79"/>
      <c r="E370" s="79"/>
      <c r="F370" s="79"/>
      <c r="G370" s="28" t="s">
        <v>656</v>
      </c>
      <c r="H370" s="79">
        <v>13</v>
      </c>
      <c r="I370" s="79"/>
      <c r="J370" s="79">
        <v>6</v>
      </c>
      <c r="K370" s="79">
        <v>4</v>
      </c>
      <c r="L370" s="791" t="s">
        <v>672</v>
      </c>
      <c r="M370" s="35"/>
      <c r="N370" s="36"/>
      <c r="O370" s="36"/>
      <c r="P370" s="35"/>
      <c r="Q370" s="36"/>
      <c r="R370" s="36"/>
      <c r="S370" s="792"/>
      <c r="T370" s="792"/>
      <c r="U370" s="781" t="s">
        <v>1581</v>
      </c>
      <c r="V370" s="77">
        <v>13</v>
      </c>
      <c r="W370" s="782" t="str">
        <f t="shared" si="11"/>
        <v>Handelsschule/KV Informatik</v>
      </c>
    </row>
    <row r="371" spans="1:23" ht="12.75" x14ac:dyDescent="0.2">
      <c r="A371" s="74" t="str">
        <f t="shared" si="12"/>
        <v>410O.12</v>
      </c>
      <c r="B371" s="28" t="s">
        <v>650</v>
      </c>
      <c r="C371" s="79">
        <v>410</v>
      </c>
      <c r="D371" s="79"/>
      <c r="E371" s="79"/>
      <c r="F371" s="79"/>
      <c r="G371" s="28" t="s">
        <v>657</v>
      </c>
      <c r="H371" s="79">
        <v>12</v>
      </c>
      <c r="I371" s="79"/>
      <c r="J371" s="79">
        <v>9.5</v>
      </c>
      <c r="K371" s="79">
        <v>3</v>
      </c>
      <c r="L371" s="791" t="s">
        <v>347</v>
      </c>
      <c r="M371" s="35"/>
      <c r="N371" s="36"/>
      <c r="O371" s="36"/>
      <c r="P371" s="35"/>
      <c r="Q371" s="36"/>
      <c r="R371" s="36"/>
      <c r="S371" s="792"/>
      <c r="T371" s="792"/>
      <c r="U371" s="781" t="s">
        <v>1582</v>
      </c>
      <c r="V371" s="77">
        <v>12</v>
      </c>
      <c r="W371" s="782" t="str">
        <f t="shared" si="11"/>
        <v>Handelsschule/KV Sport II</v>
      </c>
    </row>
    <row r="372" spans="1:23" ht="12.75" x14ac:dyDescent="0.2">
      <c r="A372" s="74" t="str">
        <f t="shared" si="12"/>
        <v>410O.13</v>
      </c>
      <c r="B372" s="28" t="s">
        <v>651</v>
      </c>
      <c r="C372" s="79">
        <v>410</v>
      </c>
      <c r="D372" s="79"/>
      <c r="E372" s="79"/>
      <c r="F372" s="79"/>
      <c r="G372" s="28" t="s">
        <v>658</v>
      </c>
      <c r="H372" s="79">
        <v>13</v>
      </c>
      <c r="I372" s="79"/>
      <c r="J372" s="79">
        <v>8</v>
      </c>
      <c r="K372" s="79">
        <v>3</v>
      </c>
      <c r="L372" s="791" t="s">
        <v>352</v>
      </c>
      <c r="M372" s="35"/>
      <c r="N372" s="36"/>
      <c r="O372" s="36"/>
      <c r="P372" s="35"/>
      <c r="Q372" s="36"/>
      <c r="R372" s="36"/>
      <c r="S372" s="792"/>
      <c r="T372" s="792"/>
      <c r="U372" s="781" t="s">
        <v>1583</v>
      </c>
      <c r="V372" s="77">
        <v>13</v>
      </c>
      <c r="W372" s="782" t="str">
        <f t="shared" si="11"/>
        <v>Handelsschule/KV Sport I</v>
      </c>
    </row>
    <row r="373" spans="1:23" ht="12.75" x14ac:dyDescent="0.2">
      <c r="A373" s="74" t="str">
        <f t="shared" si="12"/>
        <v>410O.14</v>
      </c>
      <c r="B373" s="28" t="s">
        <v>652</v>
      </c>
      <c r="C373" s="79">
        <v>410</v>
      </c>
      <c r="D373" s="79"/>
      <c r="E373" s="79"/>
      <c r="F373" s="79"/>
      <c r="G373" s="28" t="s">
        <v>659</v>
      </c>
      <c r="H373" s="79">
        <v>14</v>
      </c>
      <c r="I373" s="79"/>
      <c r="J373" s="79">
        <v>4</v>
      </c>
      <c r="K373" s="79">
        <v>3</v>
      </c>
      <c r="L373" s="791" t="s">
        <v>89</v>
      </c>
      <c r="M373" s="35"/>
      <c r="N373" s="36"/>
      <c r="O373" s="36"/>
      <c r="P373" s="35"/>
      <c r="Q373" s="36"/>
      <c r="R373" s="36"/>
      <c r="S373" s="792"/>
      <c r="T373" s="792"/>
      <c r="U373" s="781" t="s">
        <v>1584</v>
      </c>
      <c r="V373" s="77">
        <v>14</v>
      </c>
      <c r="W373" s="782" t="str">
        <f t="shared" si="11"/>
        <v>Handelsschule/KV Sportstud. &gt;3Sem</v>
      </c>
    </row>
    <row r="374" spans="1:23" ht="12.75" x14ac:dyDescent="0.2">
      <c r="A374" s="74" t="str">
        <f t="shared" si="12"/>
        <v>410O.15</v>
      </c>
      <c r="B374" s="25" t="s">
        <v>653</v>
      </c>
      <c r="C374" s="76">
        <v>410</v>
      </c>
      <c r="D374" s="76"/>
      <c r="E374" s="76"/>
      <c r="F374" s="76"/>
      <c r="G374" s="25" t="s">
        <v>660</v>
      </c>
      <c r="H374" s="76">
        <v>15</v>
      </c>
      <c r="I374" s="76"/>
      <c r="J374" s="76">
        <v>4</v>
      </c>
      <c r="K374" s="76">
        <v>3</v>
      </c>
      <c r="L374" s="804" t="s">
        <v>89</v>
      </c>
      <c r="M374" s="31"/>
      <c r="O374" s="32"/>
      <c r="P374" s="31"/>
      <c r="R374" s="32"/>
      <c r="S374" s="805"/>
      <c r="T374" s="805"/>
      <c r="U374" s="781" t="s">
        <v>1585</v>
      </c>
      <c r="V374" s="77">
        <v>15</v>
      </c>
      <c r="W374" s="782" t="str">
        <f t="shared" si="11"/>
        <v xml:space="preserve">Handelsschule/KV Sportstud. </v>
      </c>
    </row>
    <row r="375" spans="1:23" ht="12.75" x14ac:dyDescent="0.2">
      <c r="A375" s="74" t="str">
        <f t="shared" si="12"/>
        <v>411A.12</v>
      </c>
      <c r="B375" s="783" t="s">
        <v>260</v>
      </c>
      <c r="C375" s="79" t="s">
        <v>1586</v>
      </c>
      <c r="D375" s="79"/>
      <c r="E375" s="79"/>
      <c r="F375" s="79"/>
      <c r="G375" s="28" t="s">
        <v>555</v>
      </c>
      <c r="H375" s="79">
        <v>12</v>
      </c>
      <c r="I375" s="79">
        <v>497.2</v>
      </c>
      <c r="J375" s="79">
        <v>9.5</v>
      </c>
      <c r="K375" s="79">
        <v>2</v>
      </c>
      <c r="L375" s="791" t="s">
        <v>347</v>
      </c>
      <c r="M375" s="35"/>
      <c r="N375" s="36"/>
      <c r="O375" s="36"/>
      <c r="P375" s="35"/>
      <c r="Q375" s="36"/>
      <c r="R375" s="36"/>
      <c r="S375" s="792"/>
      <c r="T375" s="792" t="s">
        <v>65</v>
      </c>
      <c r="U375" s="781" t="s">
        <v>1587</v>
      </c>
      <c r="V375" s="77">
        <v>12</v>
      </c>
      <c r="W375" s="782" t="str">
        <f t="shared" si="11"/>
        <v>Musikunterricht (Liz./Master+Lehrpatent AGJM)</v>
      </c>
    </row>
    <row r="376" spans="1:23" ht="12.75" x14ac:dyDescent="0.2">
      <c r="A376" s="74" t="str">
        <f t="shared" si="12"/>
        <v>411A.13</v>
      </c>
      <c r="B376" s="28" t="s">
        <v>556</v>
      </c>
      <c r="C376" s="79" t="s">
        <v>1586</v>
      </c>
      <c r="D376" s="79"/>
      <c r="E376" s="79"/>
      <c r="F376" s="79"/>
      <c r="G376" s="28" t="s">
        <v>557</v>
      </c>
      <c r="H376" s="79">
        <v>13</v>
      </c>
      <c r="I376" s="79" t="s">
        <v>65</v>
      </c>
      <c r="J376" s="79">
        <v>8.5</v>
      </c>
      <c r="K376" s="79">
        <v>2</v>
      </c>
      <c r="L376" s="791" t="s">
        <v>90</v>
      </c>
      <c r="M376" s="35"/>
      <c r="N376" s="36"/>
      <c r="O376" s="36"/>
      <c r="P376" s="35"/>
      <c r="Q376" s="36"/>
      <c r="R376" s="36"/>
      <c r="S376" s="792"/>
      <c r="T376" s="792" t="s">
        <v>65</v>
      </c>
      <c r="U376" s="781" t="s">
        <v>1588</v>
      </c>
      <c r="V376" s="77">
        <v>13</v>
      </c>
      <c r="W376" s="782" t="str">
        <f t="shared" si="11"/>
        <v>Musikunterricht (Bachelor+Lehrpatent AGJM)</v>
      </c>
    </row>
    <row r="377" spans="1:23" ht="12.75" x14ac:dyDescent="0.2">
      <c r="A377" s="74" t="str">
        <f t="shared" si="12"/>
        <v>411A.15</v>
      </c>
      <c r="B377" s="28" t="s">
        <v>558</v>
      </c>
      <c r="C377" s="79" t="s">
        <v>1586</v>
      </c>
      <c r="D377" s="79"/>
      <c r="E377" s="79"/>
      <c r="F377" s="79"/>
      <c r="G377" s="28" t="s">
        <v>559</v>
      </c>
      <c r="H377" s="79">
        <v>15</v>
      </c>
      <c r="I377" s="79" t="s">
        <v>65</v>
      </c>
      <c r="J377" s="79">
        <v>8</v>
      </c>
      <c r="K377" s="79">
        <v>2</v>
      </c>
      <c r="L377" s="791" t="s">
        <v>352</v>
      </c>
      <c r="M377" s="35"/>
      <c r="N377" s="36"/>
      <c r="O377" s="36"/>
      <c r="P377" s="35"/>
      <c r="Q377" s="36"/>
      <c r="R377" s="36"/>
      <c r="S377" s="792"/>
      <c r="T377" s="792" t="s">
        <v>65</v>
      </c>
      <c r="U377" s="781" t="s">
        <v>1589</v>
      </c>
      <c r="V377" s="77">
        <v>15</v>
      </c>
      <c r="W377" s="782" t="str">
        <f t="shared" si="11"/>
        <v>Musikunterricht (Bachelor ohne Lehrpatent AGJM)</v>
      </c>
    </row>
    <row r="378" spans="1:23" ht="12.75" x14ac:dyDescent="0.2">
      <c r="A378" s="74" t="str">
        <f t="shared" si="12"/>
        <v>412A.10</v>
      </c>
      <c r="B378" s="783" t="s">
        <v>261</v>
      </c>
      <c r="C378" s="79" t="s">
        <v>1590</v>
      </c>
      <c r="D378" s="79"/>
      <c r="E378" s="79"/>
      <c r="F378" s="79"/>
      <c r="G378" s="28" t="s">
        <v>560</v>
      </c>
      <c r="H378" s="79">
        <v>10</v>
      </c>
      <c r="I378" s="79">
        <v>538.5</v>
      </c>
      <c r="J378" s="79">
        <v>8.5</v>
      </c>
      <c r="K378" s="79">
        <v>6</v>
      </c>
      <c r="L378" s="791" t="s">
        <v>90</v>
      </c>
      <c r="M378" s="35"/>
      <c r="N378" s="36"/>
      <c r="O378" s="36"/>
      <c r="P378" s="35"/>
      <c r="Q378" s="36"/>
      <c r="R378" s="36"/>
      <c r="S378" s="792"/>
      <c r="T378" s="792" t="s">
        <v>65</v>
      </c>
      <c r="U378" s="781" t="s">
        <v>1591</v>
      </c>
      <c r="V378" s="77">
        <v>10</v>
      </c>
      <c r="W378" s="782" t="str">
        <f t="shared" si="11"/>
        <v>KTSI (Bachelor + SIBP)</v>
      </c>
    </row>
    <row r="379" spans="1:23" ht="12.75" x14ac:dyDescent="0.2">
      <c r="A379" s="74" t="str">
        <f t="shared" si="12"/>
        <v>414A.13</v>
      </c>
      <c r="B379" s="783" t="s">
        <v>584</v>
      </c>
      <c r="C379" s="79">
        <v>414</v>
      </c>
      <c r="D379" s="28" t="s">
        <v>1233</v>
      </c>
      <c r="E379" s="79"/>
      <c r="F379" s="79">
        <v>414</v>
      </c>
      <c r="G379" s="28" t="s">
        <v>1235</v>
      </c>
      <c r="H379" s="79">
        <v>13</v>
      </c>
      <c r="I379" s="79">
        <v>461.9</v>
      </c>
      <c r="J379" s="79">
        <v>8</v>
      </c>
      <c r="K379" s="79">
        <v>2</v>
      </c>
      <c r="L379" s="791" t="s">
        <v>352</v>
      </c>
      <c r="M379" s="35"/>
      <c r="N379" s="36"/>
      <c r="O379" s="36"/>
      <c r="P379" s="35"/>
      <c r="Q379" s="36"/>
      <c r="R379" s="36"/>
      <c r="S379" s="792"/>
      <c r="T379" s="792"/>
      <c r="U379" s="781" t="s">
        <v>1807</v>
      </c>
      <c r="V379" s="77">
        <v>13</v>
      </c>
      <c r="W379" s="782" t="str">
        <f t="shared" si="11"/>
        <v>Logopädie für den Vorschul- und Schulbereich</v>
      </c>
    </row>
    <row r="380" spans="1:23" ht="12.75" x14ac:dyDescent="0.2">
      <c r="A380" s="74" t="str">
        <f t="shared" si="12"/>
        <v>414B.13</v>
      </c>
      <c r="B380" s="783" t="s">
        <v>583</v>
      </c>
      <c r="C380" s="79">
        <v>414</v>
      </c>
      <c r="D380" s="79"/>
      <c r="E380" s="79"/>
      <c r="F380" s="79"/>
      <c r="G380" s="28" t="s">
        <v>586</v>
      </c>
      <c r="H380" s="79">
        <v>13</v>
      </c>
      <c r="I380" s="79">
        <v>484.1</v>
      </c>
      <c r="J380" s="79">
        <v>8.5</v>
      </c>
      <c r="K380" s="79">
        <v>2</v>
      </c>
      <c r="L380" s="791" t="s">
        <v>90</v>
      </c>
      <c r="M380" s="35"/>
      <c r="N380" s="36"/>
      <c r="O380" s="36"/>
      <c r="P380" s="35"/>
      <c r="Q380" s="36"/>
      <c r="R380" s="36"/>
      <c r="S380" s="792"/>
      <c r="T380" s="792"/>
      <c r="U380" s="781" t="s">
        <v>1592</v>
      </c>
      <c r="V380" s="77">
        <v>13</v>
      </c>
      <c r="W380" s="782" t="str">
        <f t="shared" si="11"/>
        <v>Psychomotorik</v>
      </c>
    </row>
    <row r="381" spans="1:23" ht="12.75" x14ac:dyDescent="0.2">
      <c r="A381" s="74" t="str">
        <f t="shared" si="12"/>
        <v>415.15</v>
      </c>
      <c r="B381" s="783" t="s">
        <v>1241</v>
      </c>
      <c r="C381" s="79">
        <v>415</v>
      </c>
      <c r="D381" s="28" t="s">
        <v>1237</v>
      </c>
      <c r="E381" s="79"/>
      <c r="F381" s="79">
        <v>415</v>
      </c>
      <c r="G381" s="28" t="s">
        <v>1242</v>
      </c>
      <c r="H381" s="79">
        <v>15</v>
      </c>
      <c r="I381" s="79">
        <v>429.7</v>
      </c>
      <c r="J381" s="79">
        <v>8</v>
      </c>
      <c r="K381" s="79">
        <v>2</v>
      </c>
      <c r="L381" s="791" t="s">
        <v>352</v>
      </c>
      <c r="M381" s="35"/>
      <c r="N381" s="36"/>
      <c r="O381" s="36"/>
      <c r="P381" s="35"/>
      <c r="Q381" s="36"/>
      <c r="R381" s="36"/>
      <c r="S381" s="792"/>
      <c r="T381" s="792"/>
      <c r="U381" s="781" t="s">
        <v>1934</v>
      </c>
      <c r="V381" s="77">
        <v>15</v>
      </c>
      <c r="W381" s="782" t="str">
        <f t="shared" si="11"/>
        <v>Sozialpädagogik für den Vorschul- und Schulbereich</v>
      </c>
    </row>
    <row r="382" spans="1:23" ht="12.75" x14ac:dyDescent="0.2">
      <c r="A382" s="74" t="str">
        <f t="shared" si="12"/>
        <v>501.09</v>
      </c>
      <c r="B382" s="783" t="s">
        <v>690</v>
      </c>
      <c r="C382" s="79">
        <v>501</v>
      </c>
      <c r="D382" s="79"/>
      <c r="E382" s="79"/>
      <c r="F382" s="79">
        <v>501</v>
      </c>
      <c r="G382" s="28" t="s">
        <v>691</v>
      </c>
      <c r="H382" s="79">
        <v>9</v>
      </c>
      <c r="I382" s="79">
        <v>579.6</v>
      </c>
      <c r="J382" s="79">
        <v>10.5</v>
      </c>
      <c r="K382" s="79">
        <v>3</v>
      </c>
      <c r="L382" s="791" t="s">
        <v>353</v>
      </c>
      <c r="M382" s="35"/>
      <c r="N382" s="36"/>
      <c r="O382" s="36"/>
      <c r="P382" s="35"/>
      <c r="Q382" s="36"/>
      <c r="R382" s="36"/>
      <c r="S382" s="792"/>
      <c r="T382" s="792"/>
      <c r="U382" s="781" t="s">
        <v>1593</v>
      </c>
      <c r="V382" s="77">
        <v>9</v>
      </c>
      <c r="W382" s="782" t="str">
        <f t="shared" si="11"/>
        <v>Untersuchungsfunktion WK II</v>
      </c>
    </row>
    <row r="383" spans="1:23" ht="12.75" x14ac:dyDescent="0.2">
      <c r="A383" s="74" t="str">
        <f t="shared" si="12"/>
        <v>501.10</v>
      </c>
      <c r="B383" s="783" t="s">
        <v>692</v>
      </c>
      <c r="C383" s="76">
        <v>501</v>
      </c>
      <c r="D383" s="76"/>
      <c r="E383" s="76"/>
      <c r="F383" s="76">
        <v>501</v>
      </c>
      <c r="G383" s="25" t="s">
        <v>693</v>
      </c>
      <c r="H383" s="76">
        <v>10</v>
      </c>
      <c r="I383" s="76">
        <v>551.1</v>
      </c>
      <c r="J383" s="76">
        <v>10</v>
      </c>
      <c r="K383" s="76">
        <v>3</v>
      </c>
      <c r="L383" s="804" t="s">
        <v>348</v>
      </c>
      <c r="M383" s="31"/>
      <c r="O383" s="32"/>
      <c r="P383" s="31"/>
      <c r="R383" s="32"/>
      <c r="S383" s="805"/>
      <c r="T383" s="805"/>
      <c r="U383" s="781" t="s">
        <v>1594</v>
      </c>
      <c r="V383" s="77">
        <v>10</v>
      </c>
      <c r="W383" s="782" t="str">
        <f t="shared" si="11"/>
        <v>Untersuchungsfunktion III</v>
      </c>
    </row>
    <row r="384" spans="1:23" ht="12.75" x14ac:dyDescent="0.2">
      <c r="A384" s="74" t="str">
        <f t="shared" si="12"/>
        <v>501.10a</v>
      </c>
      <c r="B384" s="28" t="s">
        <v>1595</v>
      </c>
      <c r="C384" s="79">
        <v>501</v>
      </c>
      <c r="D384" s="79"/>
      <c r="E384" s="79" t="s">
        <v>1935</v>
      </c>
      <c r="F384" s="79">
        <v>501</v>
      </c>
      <c r="G384" s="28" t="s">
        <v>1596</v>
      </c>
      <c r="H384" s="79">
        <v>10</v>
      </c>
      <c r="I384" s="79"/>
      <c r="J384" s="79"/>
      <c r="K384" s="79"/>
      <c r="L384" s="791"/>
      <c r="M384" s="35"/>
      <c r="N384" s="36"/>
      <c r="O384" s="36"/>
      <c r="P384" s="35"/>
      <c r="Q384" s="36"/>
      <c r="R384" s="36"/>
      <c r="S384" s="792"/>
      <c r="T384" s="792"/>
      <c r="U384" s="781" t="s">
        <v>1597</v>
      </c>
      <c r="V384" s="77">
        <v>10</v>
      </c>
      <c r="W384" s="782" t="str">
        <f t="shared" si="11"/>
        <v>Untersuchungsfunktion 2</v>
      </c>
    </row>
    <row r="385" spans="1:23" ht="12.75" x14ac:dyDescent="0.2">
      <c r="A385" s="74" t="str">
        <f t="shared" si="12"/>
        <v>501.11</v>
      </c>
      <c r="B385" s="25" t="s">
        <v>180</v>
      </c>
      <c r="C385" s="76">
        <v>501</v>
      </c>
      <c r="D385" s="76"/>
      <c r="E385" s="76"/>
      <c r="F385" s="76">
        <v>501</v>
      </c>
      <c r="G385" s="25" t="s">
        <v>693</v>
      </c>
      <c r="H385" s="76">
        <v>11</v>
      </c>
      <c r="I385" s="76"/>
      <c r="J385" s="76">
        <v>10</v>
      </c>
      <c r="K385" s="76">
        <v>2</v>
      </c>
      <c r="L385" s="804" t="s">
        <v>348</v>
      </c>
      <c r="M385" s="31"/>
      <c r="O385" s="32"/>
      <c r="P385" s="31"/>
      <c r="R385" s="32"/>
      <c r="S385" s="805"/>
      <c r="T385" s="805"/>
      <c r="U385" s="781" t="s">
        <v>1598</v>
      </c>
      <c r="V385" s="77">
        <v>11</v>
      </c>
      <c r="W385" s="782" t="str">
        <f t="shared" si="11"/>
        <v>Untersuchungsfunktion III</v>
      </c>
    </row>
    <row r="386" spans="1:23" ht="12.75" x14ac:dyDescent="0.2">
      <c r="A386" s="74" t="str">
        <f t="shared" si="12"/>
        <v>501.12a</v>
      </c>
      <c r="B386" s="783" t="s">
        <v>262</v>
      </c>
      <c r="C386" s="76">
        <v>501</v>
      </c>
      <c r="D386" s="76" t="s">
        <v>66</v>
      </c>
      <c r="E386" s="76"/>
      <c r="F386" s="76">
        <v>501</v>
      </c>
      <c r="G386" s="25" t="s">
        <v>694</v>
      </c>
      <c r="H386" s="76">
        <v>12</v>
      </c>
      <c r="I386" s="76">
        <v>498.8</v>
      </c>
      <c r="J386" s="76">
        <v>10</v>
      </c>
      <c r="K386" s="76">
        <v>2</v>
      </c>
      <c r="L386" s="804" t="s">
        <v>348</v>
      </c>
      <c r="M386" s="31"/>
      <c r="O386" s="32"/>
      <c r="P386" s="31"/>
      <c r="R386" s="32"/>
      <c r="S386" s="805"/>
      <c r="T386" s="805"/>
      <c r="U386" s="781" t="s">
        <v>1599</v>
      </c>
      <c r="V386" s="77">
        <v>12</v>
      </c>
      <c r="W386" s="782" t="str">
        <f t="shared" si="11"/>
        <v>Untersuchungsfunktion II</v>
      </c>
    </row>
    <row r="387" spans="1:23" ht="12.75" x14ac:dyDescent="0.2">
      <c r="A387" s="74" t="str">
        <f t="shared" si="12"/>
        <v>501.12b</v>
      </c>
      <c r="B387" s="783" t="s">
        <v>263</v>
      </c>
      <c r="C387" s="76">
        <v>501</v>
      </c>
      <c r="D387" s="76" t="s">
        <v>67</v>
      </c>
      <c r="E387" s="76"/>
      <c r="F387" s="76">
        <v>501</v>
      </c>
      <c r="G387" s="25" t="s">
        <v>695</v>
      </c>
      <c r="H387" s="76">
        <v>12</v>
      </c>
      <c r="I387" s="76">
        <v>505</v>
      </c>
      <c r="J387" s="76">
        <v>9.5</v>
      </c>
      <c r="K387" s="76">
        <v>2</v>
      </c>
      <c r="L387" s="804" t="s">
        <v>347</v>
      </c>
      <c r="M387" s="31"/>
      <c r="O387" s="32"/>
      <c r="P387" s="31"/>
      <c r="R387" s="32"/>
      <c r="S387" s="805"/>
      <c r="T387" s="805"/>
      <c r="U387" s="781" t="s">
        <v>1600</v>
      </c>
      <c r="V387" s="77">
        <v>12</v>
      </c>
      <c r="W387" s="782" t="str">
        <f t="shared" ref="W387:W450" si="13">G387</f>
        <v>Untersuchungsfunktion WK I</v>
      </c>
    </row>
    <row r="388" spans="1:23" ht="12.75" x14ac:dyDescent="0.2">
      <c r="A388" s="74" t="str">
        <f t="shared" si="12"/>
        <v>501.13</v>
      </c>
      <c r="B388" s="25" t="s">
        <v>355</v>
      </c>
      <c r="C388" s="76">
        <v>501</v>
      </c>
      <c r="D388" s="76"/>
      <c r="E388" s="76"/>
      <c r="F388" s="76">
        <v>501</v>
      </c>
      <c r="G388" s="25" t="s">
        <v>694</v>
      </c>
      <c r="H388" s="76">
        <v>13</v>
      </c>
      <c r="I388" s="76"/>
      <c r="J388" s="76">
        <v>9.5</v>
      </c>
      <c r="K388" s="76">
        <v>1</v>
      </c>
      <c r="L388" s="804" t="s">
        <v>347</v>
      </c>
      <c r="M388" s="31"/>
      <c r="O388" s="32"/>
      <c r="P388" s="31"/>
      <c r="R388" s="32"/>
      <c r="S388" s="805"/>
      <c r="T388" s="805"/>
      <c r="U388" s="781" t="s">
        <v>1601</v>
      </c>
      <c r="V388" s="77">
        <v>13</v>
      </c>
      <c r="W388" s="782" t="str">
        <f t="shared" si="13"/>
        <v>Untersuchungsfunktion II</v>
      </c>
    </row>
    <row r="389" spans="1:23" ht="12.75" x14ac:dyDescent="0.2">
      <c r="A389" s="74" t="str">
        <f t="shared" si="12"/>
        <v>501.14</v>
      </c>
      <c r="B389" s="783" t="s">
        <v>689</v>
      </c>
      <c r="C389" s="76">
        <v>501</v>
      </c>
      <c r="D389" s="76"/>
      <c r="E389" s="76"/>
      <c r="F389" s="76">
        <v>501</v>
      </c>
      <c r="G389" s="25" t="s">
        <v>696</v>
      </c>
      <c r="H389" s="76">
        <v>14</v>
      </c>
      <c r="I389" s="76">
        <v>435.5</v>
      </c>
      <c r="J389" s="76">
        <v>9.5</v>
      </c>
      <c r="K389" s="76">
        <v>1</v>
      </c>
      <c r="L389" s="804" t="s">
        <v>347</v>
      </c>
      <c r="M389" s="31"/>
      <c r="O389" s="32"/>
      <c r="P389" s="31"/>
      <c r="R389" s="32"/>
      <c r="S389" s="805"/>
      <c r="T389" s="805"/>
      <c r="U389" s="781" t="s">
        <v>1602</v>
      </c>
      <c r="V389" s="77">
        <v>14</v>
      </c>
      <c r="W389" s="782" t="str">
        <f t="shared" si="13"/>
        <v>Untersuchungsfunktion I</v>
      </c>
    </row>
    <row r="390" spans="1:23" ht="12.75" x14ac:dyDescent="0.2">
      <c r="A390" s="74" t="str">
        <f t="shared" si="12"/>
        <v>504.06</v>
      </c>
      <c r="B390" s="28" t="s">
        <v>1603</v>
      </c>
      <c r="C390" s="79">
        <v>504</v>
      </c>
      <c r="D390" s="79"/>
      <c r="E390" s="79"/>
      <c r="F390" s="79">
        <v>504</v>
      </c>
      <c r="G390" s="28" t="s">
        <v>1604</v>
      </c>
      <c r="H390" s="79">
        <v>6</v>
      </c>
      <c r="I390" s="79"/>
      <c r="J390" s="79"/>
      <c r="K390" s="79"/>
      <c r="L390" s="791"/>
      <c r="M390" s="35"/>
      <c r="N390" s="36"/>
      <c r="O390" s="36"/>
      <c r="P390" s="35"/>
      <c r="Q390" s="36"/>
      <c r="R390" s="36"/>
      <c r="S390" s="792"/>
      <c r="T390" s="792"/>
      <c r="U390" s="781" t="s">
        <v>1605</v>
      </c>
      <c r="V390" s="77">
        <v>6</v>
      </c>
      <c r="W390" s="782" t="str">
        <f t="shared" si="13"/>
        <v>Staatsanwalt/-anwältin</v>
      </c>
    </row>
    <row r="391" spans="1:23" ht="12.75" x14ac:dyDescent="0.2">
      <c r="A391" s="74" t="str">
        <f t="shared" si="12"/>
        <v>504.07</v>
      </c>
      <c r="B391" s="28" t="s">
        <v>1606</v>
      </c>
      <c r="C391" s="79">
        <v>504</v>
      </c>
      <c r="D391" s="79"/>
      <c r="E391" s="79"/>
      <c r="F391" s="79">
        <v>504</v>
      </c>
      <c r="G391" s="28" t="s">
        <v>1604</v>
      </c>
      <c r="H391" s="79">
        <v>7</v>
      </c>
      <c r="I391" s="79"/>
      <c r="J391" s="79"/>
      <c r="K391" s="79"/>
      <c r="L391" s="791"/>
      <c r="M391" s="35"/>
      <c r="N391" s="36"/>
      <c r="O391" s="36"/>
      <c r="P391" s="35"/>
      <c r="Q391" s="36"/>
      <c r="R391" s="36"/>
      <c r="S391" s="792"/>
      <c r="T391" s="792"/>
      <c r="U391" s="781" t="s">
        <v>1607</v>
      </c>
      <c r="V391" s="77">
        <v>7</v>
      </c>
      <c r="W391" s="782" t="str">
        <f t="shared" si="13"/>
        <v>Staatsanwalt/-anwältin</v>
      </c>
    </row>
    <row r="392" spans="1:23" ht="12.75" x14ac:dyDescent="0.2">
      <c r="A392" s="74" t="str">
        <f t="shared" si="12"/>
        <v>504.07a</v>
      </c>
      <c r="B392" s="783" t="s">
        <v>697</v>
      </c>
      <c r="C392" s="78">
        <v>504</v>
      </c>
      <c r="D392" s="78" t="s">
        <v>66</v>
      </c>
      <c r="E392" s="78"/>
      <c r="F392" s="78">
        <v>504</v>
      </c>
      <c r="G392" s="27" t="s">
        <v>698</v>
      </c>
      <c r="H392" s="78">
        <v>7</v>
      </c>
      <c r="I392" s="78">
        <v>628.5</v>
      </c>
      <c r="J392" s="78">
        <v>10</v>
      </c>
      <c r="K392" s="78">
        <v>5</v>
      </c>
      <c r="L392" s="806" t="s">
        <v>348</v>
      </c>
      <c r="M392" s="33"/>
      <c r="N392" s="34"/>
      <c r="O392" s="34"/>
      <c r="P392" s="33"/>
      <c r="Q392" s="34"/>
      <c r="R392" s="34"/>
      <c r="S392" s="807"/>
      <c r="T392" s="807"/>
      <c r="U392" s="781" t="s">
        <v>1608</v>
      </c>
      <c r="V392" s="77">
        <v>7</v>
      </c>
      <c r="W392" s="782" t="str">
        <f t="shared" si="13"/>
        <v>Staatsanwalt/-anwältin III</v>
      </c>
    </row>
    <row r="393" spans="1:23" ht="12.75" x14ac:dyDescent="0.2">
      <c r="A393" s="74" t="str">
        <f t="shared" si="12"/>
        <v>504.07b</v>
      </c>
      <c r="B393" s="783" t="s">
        <v>699</v>
      </c>
      <c r="C393" s="79">
        <v>504</v>
      </c>
      <c r="D393" s="79" t="s">
        <v>67</v>
      </c>
      <c r="E393" s="79"/>
      <c r="F393" s="79">
        <v>504</v>
      </c>
      <c r="G393" s="28" t="s">
        <v>700</v>
      </c>
      <c r="H393" s="79">
        <v>7</v>
      </c>
      <c r="I393" s="79">
        <v>630.29999999999995</v>
      </c>
      <c r="J393" s="79">
        <v>10.5</v>
      </c>
      <c r="K393" s="79">
        <v>2</v>
      </c>
      <c r="L393" s="791" t="s">
        <v>353</v>
      </c>
      <c r="M393" s="35"/>
      <c r="N393" s="36"/>
      <c r="O393" s="36"/>
      <c r="P393" s="35"/>
      <c r="Q393" s="36"/>
      <c r="R393" s="36"/>
      <c r="S393" s="792"/>
      <c r="T393" s="792"/>
      <c r="U393" s="781" t="s">
        <v>1609</v>
      </c>
      <c r="V393" s="77">
        <v>7</v>
      </c>
      <c r="W393" s="782" t="str">
        <f t="shared" si="13"/>
        <v>Staatsanwalt/-anwältin WK</v>
      </c>
    </row>
    <row r="394" spans="1:23" ht="12.75" x14ac:dyDescent="0.2">
      <c r="A394" s="74" t="str">
        <f t="shared" si="12"/>
        <v>504.08</v>
      </c>
      <c r="B394" s="28" t="s">
        <v>1610</v>
      </c>
      <c r="C394" s="79">
        <v>504</v>
      </c>
      <c r="D394" s="79"/>
      <c r="E394" s="79"/>
      <c r="F394" s="79">
        <v>504</v>
      </c>
      <c r="G394" s="28" t="s">
        <v>1604</v>
      </c>
      <c r="H394" s="79">
        <v>8</v>
      </c>
      <c r="I394" s="79"/>
      <c r="J394" s="79"/>
      <c r="K394" s="79"/>
      <c r="L394" s="791"/>
      <c r="M394" s="35"/>
      <c r="N394" s="36"/>
      <c r="O394" s="36"/>
      <c r="P394" s="35"/>
      <c r="Q394" s="36"/>
      <c r="R394" s="36"/>
      <c r="S394" s="792"/>
      <c r="T394" s="792"/>
      <c r="U394" s="781" t="s">
        <v>1611</v>
      </c>
      <c r="V394" s="77">
        <v>8</v>
      </c>
      <c r="W394" s="782" t="str">
        <f t="shared" si="13"/>
        <v>Staatsanwalt/-anwältin</v>
      </c>
    </row>
    <row r="395" spans="1:23" ht="12.75" x14ac:dyDescent="0.2">
      <c r="A395" s="74" t="str">
        <f t="shared" si="12"/>
        <v>504.08a</v>
      </c>
      <c r="B395" s="783" t="s">
        <v>701</v>
      </c>
      <c r="C395" s="78">
        <v>504</v>
      </c>
      <c r="D395" s="78" t="s">
        <v>66</v>
      </c>
      <c r="E395" s="78"/>
      <c r="F395" s="78">
        <v>504</v>
      </c>
      <c r="G395" s="27" t="s">
        <v>702</v>
      </c>
      <c r="H395" s="78">
        <v>8</v>
      </c>
      <c r="I395" s="78">
        <v>606.70000000000005</v>
      </c>
      <c r="J395" s="78">
        <v>9.5</v>
      </c>
      <c r="K395" s="78">
        <v>4</v>
      </c>
      <c r="L395" s="806" t="s">
        <v>347</v>
      </c>
      <c r="M395" s="33"/>
      <c r="N395" s="34"/>
      <c r="O395" s="34"/>
      <c r="P395" s="33"/>
      <c r="Q395" s="34"/>
      <c r="R395" s="34"/>
      <c r="S395" s="807"/>
      <c r="T395" s="807"/>
      <c r="U395" s="781" t="s">
        <v>1612</v>
      </c>
      <c r="V395" s="77">
        <v>8</v>
      </c>
      <c r="W395" s="782" t="str">
        <f t="shared" si="13"/>
        <v>Staatsanwalt/-anwältin II</v>
      </c>
    </row>
    <row r="396" spans="1:23" ht="12.75" x14ac:dyDescent="0.2">
      <c r="A396" s="74" t="str">
        <f t="shared" si="12"/>
        <v>504.08c</v>
      </c>
      <c r="B396" s="783" t="s">
        <v>703</v>
      </c>
      <c r="C396" s="79">
        <v>504</v>
      </c>
      <c r="D396" s="79" t="s">
        <v>76</v>
      </c>
      <c r="E396" s="79"/>
      <c r="F396" s="79">
        <v>504</v>
      </c>
      <c r="G396" s="28" t="s">
        <v>704</v>
      </c>
      <c r="H396" s="79">
        <v>8</v>
      </c>
      <c r="I396" s="79">
        <v>595.70000000000005</v>
      </c>
      <c r="J396" s="79">
        <v>10</v>
      </c>
      <c r="K396" s="79">
        <v>3</v>
      </c>
      <c r="L396" s="791" t="s">
        <v>348</v>
      </c>
      <c r="M396" s="35"/>
      <c r="N396" s="36"/>
      <c r="O396" s="36"/>
      <c r="P396" s="35"/>
      <c r="Q396" s="36"/>
      <c r="R396" s="36"/>
      <c r="S396" s="792"/>
      <c r="T396" s="792"/>
      <c r="U396" s="781" t="s">
        <v>1613</v>
      </c>
      <c r="V396" s="77">
        <v>8</v>
      </c>
      <c r="W396" s="782" t="str">
        <f t="shared" si="13"/>
        <v>Staatsanwalt/-anwältin GK/RV/StB</v>
      </c>
    </row>
    <row r="397" spans="1:23" ht="12.75" x14ac:dyDescent="0.2">
      <c r="A397" s="74" t="str">
        <f t="shared" si="12"/>
        <v>504.09</v>
      </c>
      <c r="B397" s="783" t="s">
        <v>335</v>
      </c>
      <c r="C397" s="78">
        <v>504</v>
      </c>
      <c r="D397" s="78"/>
      <c r="E397" s="78"/>
      <c r="F397" s="78">
        <v>504</v>
      </c>
      <c r="G397" s="27" t="s">
        <v>705</v>
      </c>
      <c r="H397" s="78">
        <v>9</v>
      </c>
      <c r="I397" s="78">
        <v>571.9</v>
      </c>
      <c r="J397" s="78">
        <v>9.5</v>
      </c>
      <c r="K397" s="78">
        <v>2</v>
      </c>
      <c r="L397" s="806" t="s">
        <v>347</v>
      </c>
      <c r="M397" s="33"/>
      <c r="N397" s="34"/>
      <c r="O397" s="34"/>
      <c r="P397" s="33"/>
      <c r="Q397" s="34"/>
      <c r="R397" s="34"/>
      <c r="S397" s="807"/>
      <c r="T397" s="807"/>
      <c r="U397" s="781" t="s">
        <v>1614</v>
      </c>
      <c r="V397" s="77">
        <v>9</v>
      </c>
      <c r="W397" s="782" t="str">
        <f t="shared" si="13"/>
        <v>Staatsanwalt/-anwältin I</v>
      </c>
    </row>
    <row r="398" spans="1:23" ht="12.75" x14ac:dyDescent="0.2">
      <c r="A398" s="74" t="str">
        <f t="shared" si="12"/>
        <v>505.06</v>
      </c>
      <c r="B398" s="25" t="s">
        <v>319</v>
      </c>
      <c r="C398" s="76" t="s">
        <v>1615</v>
      </c>
      <c r="D398" s="76" t="s">
        <v>65</v>
      </c>
      <c r="E398" s="76"/>
      <c r="F398" s="76">
        <v>505</v>
      </c>
      <c r="G398" s="25" t="s">
        <v>58</v>
      </c>
      <c r="H398" s="76">
        <v>6</v>
      </c>
      <c r="I398" s="76">
        <v>644.5</v>
      </c>
      <c r="J398" s="76">
        <v>10.5</v>
      </c>
      <c r="K398" s="76">
        <v>7</v>
      </c>
      <c r="L398" s="804" t="s">
        <v>353</v>
      </c>
      <c r="M398" s="31"/>
      <c r="O398" s="32"/>
      <c r="P398" s="31"/>
      <c r="R398" s="32"/>
      <c r="S398" s="805"/>
      <c r="T398" s="805"/>
      <c r="U398" s="781" t="s">
        <v>1616</v>
      </c>
      <c r="V398" s="77">
        <v>6</v>
      </c>
      <c r="W398" s="782" t="str">
        <f t="shared" si="13"/>
        <v>Gerichtsschreiber/in 2. Instanz</v>
      </c>
    </row>
    <row r="399" spans="1:23" ht="12.75" x14ac:dyDescent="0.2">
      <c r="A399" s="74" t="str">
        <f t="shared" si="12"/>
        <v>505.07</v>
      </c>
      <c r="B399" s="783" t="s">
        <v>323</v>
      </c>
      <c r="C399" s="78" t="s">
        <v>1615</v>
      </c>
      <c r="D399" s="78" t="s">
        <v>65</v>
      </c>
      <c r="E399" s="78"/>
      <c r="F399" s="78">
        <v>505</v>
      </c>
      <c r="G399" s="27" t="s">
        <v>58</v>
      </c>
      <c r="H399" s="78">
        <v>7</v>
      </c>
      <c r="I399" s="78">
        <v>627.70000000000005</v>
      </c>
      <c r="J399" s="78">
        <v>10.5</v>
      </c>
      <c r="K399" s="78">
        <v>5</v>
      </c>
      <c r="L399" s="806" t="s">
        <v>353</v>
      </c>
      <c r="M399" s="33"/>
      <c r="N399" s="34"/>
      <c r="O399" s="34"/>
      <c r="P399" s="33"/>
      <c r="Q399" s="34"/>
      <c r="R399" s="34"/>
      <c r="S399" s="807"/>
      <c r="T399" s="807" t="s">
        <v>65</v>
      </c>
      <c r="U399" s="781" t="s">
        <v>1617</v>
      </c>
      <c r="V399" s="77">
        <v>7</v>
      </c>
      <c r="W399" s="782" t="str">
        <f t="shared" si="13"/>
        <v>Gerichtsschreiber/in 2. Instanz</v>
      </c>
    </row>
    <row r="400" spans="1:23" ht="12.75" x14ac:dyDescent="0.2">
      <c r="A400" s="74" t="str">
        <f t="shared" si="12"/>
        <v>505.08</v>
      </c>
      <c r="B400" s="28" t="s">
        <v>329</v>
      </c>
      <c r="C400" s="79" t="s">
        <v>1615</v>
      </c>
      <c r="D400" s="79" t="s">
        <v>65</v>
      </c>
      <c r="E400" s="79"/>
      <c r="F400" s="79">
        <v>505</v>
      </c>
      <c r="G400" s="28" t="s">
        <v>58</v>
      </c>
      <c r="H400" s="79">
        <v>8</v>
      </c>
      <c r="I400" s="79"/>
      <c r="J400" s="79">
        <v>9.5</v>
      </c>
      <c r="K400" s="79">
        <v>6</v>
      </c>
      <c r="L400" s="791" t="s">
        <v>347</v>
      </c>
      <c r="M400" s="35"/>
      <c r="N400" s="36"/>
      <c r="O400" s="36"/>
      <c r="P400" s="35"/>
      <c r="Q400" s="36"/>
      <c r="R400" s="36"/>
      <c r="S400" s="792"/>
      <c r="T400" s="792" t="s">
        <v>65</v>
      </c>
      <c r="U400" s="781" t="s">
        <v>1618</v>
      </c>
      <c r="V400" s="77">
        <v>8</v>
      </c>
      <c r="W400" s="782" t="str">
        <f t="shared" si="13"/>
        <v>Gerichtsschreiber/in 2. Instanz</v>
      </c>
    </row>
    <row r="401" spans="1:23" ht="12.75" x14ac:dyDescent="0.2">
      <c r="A401" s="74" t="str">
        <f t="shared" si="12"/>
        <v>505.09</v>
      </c>
      <c r="B401" s="783" t="s">
        <v>336</v>
      </c>
      <c r="C401" s="78" t="s">
        <v>1615</v>
      </c>
      <c r="D401" s="78" t="s">
        <v>65</v>
      </c>
      <c r="E401" s="78"/>
      <c r="F401" s="78">
        <v>505</v>
      </c>
      <c r="G401" s="27" t="s">
        <v>1936</v>
      </c>
      <c r="H401" s="78">
        <v>9</v>
      </c>
      <c r="I401" s="78">
        <v>564.4</v>
      </c>
      <c r="J401" s="78">
        <v>9.5</v>
      </c>
      <c r="K401" s="78">
        <v>4</v>
      </c>
      <c r="L401" s="806" t="s">
        <v>347</v>
      </c>
      <c r="M401" s="33"/>
      <c r="N401" s="34"/>
      <c r="O401" s="34"/>
      <c r="P401" s="33"/>
      <c r="Q401" s="34"/>
      <c r="R401" s="34"/>
      <c r="S401" s="807"/>
      <c r="T401" s="807" t="s">
        <v>65</v>
      </c>
      <c r="U401" s="781" t="s">
        <v>1619</v>
      </c>
      <c r="V401" s="77">
        <v>9</v>
      </c>
      <c r="W401" s="782" t="str">
        <f t="shared" si="13"/>
        <v>Gerichtsschreiber/in 2</v>
      </c>
    </row>
    <row r="402" spans="1:23" ht="12.75" x14ac:dyDescent="0.2">
      <c r="A402" s="74" t="str">
        <f t="shared" si="12"/>
        <v>505.10</v>
      </c>
      <c r="B402" s="28" t="s">
        <v>308</v>
      </c>
      <c r="C402" s="79" t="s">
        <v>1615</v>
      </c>
      <c r="D402" s="79" t="s">
        <v>65</v>
      </c>
      <c r="E402" s="79"/>
      <c r="F402" s="79">
        <v>505</v>
      </c>
      <c r="G402" s="28" t="s">
        <v>1936</v>
      </c>
      <c r="H402" s="79">
        <v>10</v>
      </c>
      <c r="I402" s="79"/>
      <c r="J402" s="79">
        <v>9.5</v>
      </c>
      <c r="K402" s="79">
        <v>3</v>
      </c>
      <c r="L402" s="791" t="s">
        <v>347</v>
      </c>
      <c r="M402" s="35"/>
      <c r="N402" s="36"/>
      <c r="O402" s="36"/>
      <c r="P402" s="35"/>
      <c r="Q402" s="36"/>
      <c r="R402" s="36"/>
      <c r="S402" s="792"/>
      <c r="T402" s="792"/>
      <c r="U402" s="781" t="s">
        <v>1620</v>
      </c>
      <c r="V402" s="77">
        <v>10</v>
      </c>
      <c r="W402" s="782" t="str">
        <f t="shared" si="13"/>
        <v>Gerichtsschreiber/in 2</v>
      </c>
    </row>
    <row r="403" spans="1:23" ht="12.75" x14ac:dyDescent="0.2">
      <c r="A403" s="74" t="str">
        <f t="shared" si="12"/>
        <v>505.11</v>
      </c>
      <c r="B403" s="783" t="s">
        <v>181</v>
      </c>
      <c r="C403" s="78" t="s">
        <v>1615</v>
      </c>
      <c r="D403" s="78" t="s">
        <v>65</v>
      </c>
      <c r="E403" s="78"/>
      <c r="F403" s="78">
        <v>505</v>
      </c>
      <c r="G403" s="27" t="s">
        <v>1937</v>
      </c>
      <c r="H403" s="78">
        <v>11</v>
      </c>
      <c r="I403" s="78">
        <v>523.9</v>
      </c>
      <c r="J403" s="78">
        <v>9.5</v>
      </c>
      <c r="K403" s="78">
        <v>2</v>
      </c>
      <c r="L403" s="806" t="s">
        <v>347</v>
      </c>
      <c r="M403" s="33"/>
      <c r="N403" s="34"/>
      <c r="O403" s="34"/>
      <c r="P403" s="33"/>
      <c r="Q403" s="34"/>
      <c r="R403" s="34"/>
      <c r="S403" s="807"/>
      <c r="T403" s="807" t="s">
        <v>65</v>
      </c>
      <c r="U403" s="781" t="s">
        <v>1621</v>
      </c>
      <c r="V403" s="77">
        <v>11</v>
      </c>
      <c r="W403" s="782" t="str">
        <f t="shared" si="13"/>
        <v>Gerichtsschreiber/in 1</v>
      </c>
    </row>
    <row r="404" spans="1:23" ht="12.75" x14ac:dyDescent="0.2">
      <c r="A404" s="74" t="str">
        <f t="shared" si="12"/>
        <v>506.03</v>
      </c>
      <c r="B404" s="28" t="s">
        <v>312</v>
      </c>
      <c r="C404" s="79" t="s">
        <v>1622</v>
      </c>
      <c r="D404" s="79" t="s">
        <v>65</v>
      </c>
      <c r="E404" s="79"/>
      <c r="F404" s="79">
        <v>506</v>
      </c>
      <c r="G404" s="28" t="s">
        <v>59</v>
      </c>
      <c r="H404" s="79">
        <v>3</v>
      </c>
      <c r="I404" s="79">
        <v>720.6</v>
      </c>
      <c r="J404" s="79">
        <v>10.5</v>
      </c>
      <c r="K404" s="79">
        <v>8</v>
      </c>
      <c r="L404" s="791" t="s">
        <v>353</v>
      </c>
      <c r="M404" s="35"/>
      <c r="N404" s="36"/>
      <c r="O404" s="36"/>
      <c r="P404" s="35"/>
      <c r="Q404" s="36"/>
      <c r="R404" s="36"/>
      <c r="S404" s="792"/>
      <c r="T404" s="792"/>
      <c r="U404" s="781" t="s">
        <v>1623</v>
      </c>
      <c r="V404" s="77">
        <v>3</v>
      </c>
      <c r="W404" s="782" t="str">
        <f t="shared" si="13"/>
        <v>Gerichtspräsident/in 1. Instanz</v>
      </c>
    </row>
    <row r="405" spans="1:23" ht="12.75" x14ac:dyDescent="0.2">
      <c r="A405" s="74" t="str">
        <f t="shared" si="12"/>
        <v>506.04</v>
      </c>
      <c r="B405" s="783" t="s">
        <v>314</v>
      </c>
      <c r="C405" s="78" t="s">
        <v>1622</v>
      </c>
      <c r="D405" s="78" t="s">
        <v>65</v>
      </c>
      <c r="E405" s="78"/>
      <c r="F405" s="78">
        <v>506</v>
      </c>
      <c r="G405" s="27" t="s">
        <v>59</v>
      </c>
      <c r="H405" s="78">
        <v>4</v>
      </c>
      <c r="I405" s="78">
        <v>704.6</v>
      </c>
      <c r="J405" s="78">
        <v>10.5</v>
      </c>
      <c r="K405" s="78">
        <v>6</v>
      </c>
      <c r="L405" s="806" t="s">
        <v>353</v>
      </c>
      <c r="M405" s="33"/>
      <c r="N405" s="34"/>
      <c r="O405" s="34"/>
      <c r="P405" s="33"/>
      <c r="Q405" s="34"/>
      <c r="R405" s="34"/>
      <c r="S405" s="807"/>
      <c r="T405" s="807" t="s">
        <v>65</v>
      </c>
      <c r="U405" s="781" t="s">
        <v>1624</v>
      </c>
      <c r="V405" s="77">
        <v>4</v>
      </c>
      <c r="W405" s="782" t="str">
        <f t="shared" si="13"/>
        <v>Gerichtspräsident/in 1. Instanz</v>
      </c>
    </row>
    <row r="406" spans="1:23" ht="12.75" x14ac:dyDescent="0.2">
      <c r="A406" s="74" t="str">
        <f t="shared" si="12"/>
        <v>601.19</v>
      </c>
      <c r="B406" s="783" t="s">
        <v>182</v>
      </c>
      <c r="C406" s="78" t="s">
        <v>1625</v>
      </c>
      <c r="D406" s="78" t="s">
        <v>65</v>
      </c>
      <c r="E406" s="78"/>
      <c r="F406" s="78">
        <v>601</v>
      </c>
      <c r="G406" s="27" t="s">
        <v>60</v>
      </c>
      <c r="H406" s="78">
        <v>19</v>
      </c>
      <c r="I406" s="78">
        <v>310.3</v>
      </c>
      <c r="J406" s="78">
        <v>5</v>
      </c>
      <c r="K406" s="78">
        <v>1</v>
      </c>
      <c r="L406" s="806" t="s">
        <v>87</v>
      </c>
      <c r="M406" s="33"/>
      <c r="N406" s="34"/>
      <c r="O406" s="34"/>
      <c r="P406" s="33"/>
      <c r="Q406" s="34"/>
      <c r="R406" s="34"/>
      <c r="S406" s="807"/>
      <c r="T406" s="807" t="s">
        <v>65</v>
      </c>
      <c r="U406" s="781" t="s">
        <v>1626</v>
      </c>
      <c r="V406" s="77">
        <v>19</v>
      </c>
      <c r="W406" s="782" t="str">
        <f t="shared" si="13"/>
        <v>Polizeiaspirant/in</v>
      </c>
    </row>
    <row r="407" spans="1:23" ht="12.75" x14ac:dyDescent="0.2">
      <c r="A407" s="74" t="str">
        <f t="shared" si="12"/>
        <v>602.14</v>
      </c>
      <c r="B407" s="783" t="s">
        <v>183</v>
      </c>
      <c r="C407" s="76" t="s">
        <v>1627</v>
      </c>
      <c r="D407" s="76" t="s">
        <v>65</v>
      </c>
      <c r="E407" s="76"/>
      <c r="F407" s="76">
        <v>602</v>
      </c>
      <c r="G407" s="25" t="s">
        <v>61</v>
      </c>
      <c r="H407" s="76">
        <v>14</v>
      </c>
      <c r="I407" s="76">
        <v>448.4</v>
      </c>
      <c r="J407" s="76">
        <v>5.5</v>
      </c>
      <c r="K407" s="76">
        <v>6</v>
      </c>
      <c r="L407" s="804" t="s">
        <v>671</v>
      </c>
      <c r="M407" s="31"/>
      <c r="O407" s="32"/>
      <c r="P407" s="31"/>
      <c r="R407" s="32"/>
      <c r="S407" s="805"/>
      <c r="T407" s="805" t="s">
        <v>65</v>
      </c>
      <c r="U407" s="781" t="s">
        <v>1628</v>
      </c>
      <c r="V407" s="77">
        <v>14</v>
      </c>
      <c r="W407" s="782" t="str">
        <f t="shared" si="13"/>
        <v>Pol. Sachbearbeitungsfunktion</v>
      </c>
    </row>
    <row r="408" spans="1:23" ht="12.75" x14ac:dyDescent="0.2">
      <c r="A408" s="74" t="str">
        <f t="shared" si="12"/>
        <v>602.15</v>
      </c>
      <c r="B408" s="783" t="s">
        <v>184</v>
      </c>
      <c r="C408" s="76" t="s">
        <v>1627</v>
      </c>
      <c r="D408" s="76" t="s">
        <v>65</v>
      </c>
      <c r="E408" s="76"/>
      <c r="F408" s="76">
        <v>602</v>
      </c>
      <c r="G408" s="25" t="s">
        <v>61</v>
      </c>
      <c r="H408" s="76">
        <v>15</v>
      </c>
      <c r="I408" s="76">
        <v>415.2</v>
      </c>
      <c r="J408" s="76">
        <v>5.5</v>
      </c>
      <c r="K408" s="76">
        <v>5</v>
      </c>
      <c r="L408" s="804" t="s">
        <v>671</v>
      </c>
      <c r="M408" s="31"/>
      <c r="O408" s="32"/>
      <c r="P408" s="31"/>
      <c r="R408" s="32"/>
      <c r="S408" s="805"/>
      <c r="T408" s="805" t="s">
        <v>65</v>
      </c>
      <c r="U408" s="781" t="s">
        <v>1629</v>
      </c>
      <c r="V408" s="77">
        <v>15</v>
      </c>
      <c r="W408" s="782" t="str">
        <f t="shared" si="13"/>
        <v>Pol. Sachbearbeitungsfunktion</v>
      </c>
    </row>
    <row r="409" spans="1:23" ht="12.75" x14ac:dyDescent="0.2">
      <c r="A409" s="74" t="str">
        <f t="shared" si="12"/>
        <v>602.16</v>
      </c>
      <c r="B409" s="783" t="s">
        <v>185</v>
      </c>
      <c r="C409" s="76" t="s">
        <v>1627</v>
      </c>
      <c r="D409" s="76" t="s">
        <v>65</v>
      </c>
      <c r="E409" s="76"/>
      <c r="F409" s="76">
        <v>602</v>
      </c>
      <c r="G409" s="25" t="s">
        <v>61</v>
      </c>
      <c r="H409" s="76">
        <v>16</v>
      </c>
      <c r="I409" s="76">
        <v>391.4</v>
      </c>
      <c r="J409" s="76">
        <v>5.5</v>
      </c>
      <c r="K409" s="76">
        <v>4</v>
      </c>
      <c r="L409" s="804" t="s">
        <v>671</v>
      </c>
      <c r="M409" s="31"/>
      <c r="O409" s="32"/>
      <c r="P409" s="31"/>
      <c r="R409" s="32"/>
      <c r="S409" s="805"/>
      <c r="T409" s="805" t="s">
        <v>65</v>
      </c>
      <c r="U409" s="781" t="s">
        <v>1630</v>
      </c>
      <c r="V409" s="77">
        <v>16</v>
      </c>
      <c r="W409" s="782" t="str">
        <f t="shared" si="13"/>
        <v>Pol. Sachbearbeitungsfunktion</v>
      </c>
    </row>
    <row r="410" spans="1:23" ht="12.75" x14ac:dyDescent="0.2">
      <c r="A410" s="74" t="str">
        <f t="shared" si="12"/>
        <v>602.17a</v>
      </c>
      <c r="B410" s="783" t="s">
        <v>679</v>
      </c>
      <c r="C410" s="76" t="s">
        <v>1627</v>
      </c>
      <c r="D410" s="76" t="s">
        <v>66</v>
      </c>
      <c r="E410" s="76"/>
      <c r="F410" s="76" t="s">
        <v>683</v>
      </c>
      <c r="G410" s="25" t="s">
        <v>61</v>
      </c>
      <c r="H410" s="76">
        <v>17</v>
      </c>
      <c r="I410" s="76">
        <v>376</v>
      </c>
      <c r="J410" s="76">
        <v>5.5</v>
      </c>
      <c r="K410" s="76">
        <v>3</v>
      </c>
      <c r="L410" s="804" t="s">
        <v>671</v>
      </c>
      <c r="M410" s="31"/>
      <c r="O410" s="32"/>
      <c r="P410" s="31"/>
      <c r="R410" s="32"/>
      <c r="S410" s="805"/>
      <c r="T410" s="805" t="s">
        <v>65</v>
      </c>
      <c r="U410" s="781" t="s">
        <v>1631</v>
      </c>
      <c r="V410" s="77">
        <v>17</v>
      </c>
      <c r="W410" s="782" t="str">
        <f t="shared" si="13"/>
        <v>Pol. Sachbearbeitungsfunktion</v>
      </c>
    </row>
    <row r="411" spans="1:23" ht="12.75" x14ac:dyDescent="0.2">
      <c r="A411" s="74" t="str">
        <f t="shared" si="12"/>
        <v>602.17b</v>
      </c>
      <c r="B411" s="783" t="s">
        <v>680</v>
      </c>
      <c r="C411" s="79" t="s">
        <v>1627</v>
      </c>
      <c r="D411" s="79" t="s">
        <v>67</v>
      </c>
      <c r="E411" s="79"/>
      <c r="F411" s="79" t="s">
        <v>684</v>
      </c>
      <c r="G411" s="28" t="s">
        <v>61</v>
      </c>
      <c r="H411" s="79">
        <v>17</v>
      </c>
      <c r="I411" s="79">
        <v>363.4</v>
      </c>
      <c r="J411" s="79">
        <v>5.5</v>
      </c>
      <c r="K411" s="79">
        <v>3</v>
      </c>
      <c r="L411" s="791" t="s">
        <v>671</v>
      </c>
      <c r="M411" s="35"/>
      <c r="N411" s="36"/>
      <c r="O411" s="36"/>
      <c r="P411" s="35"/>
      <c r="Q411" s="36"/>
      <c r="R411" s="36"/>
      <c r="S411" s="792"/>
      <c r="T411" s="792" t="s">
        <v>65</v>
      </c>
      <c r="U411" s="781" t="s">
        <v>1632</v>
      </c>
      <c r="V411" s="77">
        <v>17</v>
      </c>
      <c r="W411" s="782" t="str">
        <f t="shared" si="13"/>
        <v>Pol. Sachbearbeitungsfunktion</v>
      </c>
    </row>
    <row r="412" spans="1:23" ht="12.75" x14ac:dyDescent="0.2">
      <c r="A412" s="74" t="str">
        <f t="shared" si="12"/>
        <v>602.18a</v>
      </c>
      <c r="B412" s="783" t="s">
        <v>681</v>
      </c>
      <c r="C412" s="79" t="s">
        <v>1627</v>
      </c>
      <c r="D412" s="79" t="s">
        <v>66</v>
      </c>
      <c r="E412" s="79"/>
      <c r="F412" s="79" t="s">
        <v>683</v>
      </c>
      <c r="G412" s="28" t="s">
        <v>61</v>
      </c>
      <c r="H412" s="79">
        <v>18</v>
      </c>
      <c r="I412" s="79">
        <v>350.8</v>
      </c>
      <c r="J412" s="79">
        <v>5.5</v>
      </c>
      <c r="K412" s="79">
        <v>2</v>
      </c>
      <c r="L412" s="791" t="s">
        <v>671</v>
      </c>
      <c r="M412" s="35"/>
      <c r="N412" s="36"/>
      <c r="O412" s="36"/>
      <c r="P412" s="35"/>
      <c r="Q412" s="36"/>
      <c r="R412" s="36"/>
      <c r="S412" s="792"/>
      <c r="T412" s="792" t="s">
        <v>65</v>
      </c>
      <c r="U412" s="781" t="s">
        <v>1633</v>
      </c>
      <c r="V412" s="77">
        <v>18</v>
      </c>
      <c r="W412" s="782" t="str">
        <f t="shared" si="13"/>
        <v>Pol. Sachbearbeitungsfunktion</v>
      </c>
    </row>
    <row r="413" spans="1:23" ht="12.75" x14ac:dyDescent="0.2">
      <c r="A413" s="74" t="str">
        <f t="shared" si="12"/>
        <v>602.18b</v>
      </c>
      <c r="B413" s="783" t="s">
        <v>682</v>
      </c>
      <c r="C413" s="79" t="s">
        <v>1627</v>
      </c>
      <c r="D413" s="79" t="s">
        <v>67</v>
      </c>
      <c r="E413" s="79"/>
      <c r="F413" s="79" t="s">
        <v>684</v>
      </c>
      <c r="G413" s="28" t="s">
        <v>61</v>
      </c>
      <c r="H413" s="79">
        <v>18</v>
      </c>
      <c r="I413" s="79">
        <v>343.7</v>
      </c>
      <c r="J413" s="79">
        <v>5.5</v>
      </c>
      <c r="K413" s="79">
        <v>2</v>
      </c>
      <c r="L413" s="791" t="s">
        <v>671</v>
      </c>
      <c r="M413" s="35"/>
      <c r="N413" s="36"/>
      <c r="O413" s="36"/>
      <c r="P413" s="35"/>
      <c r="Q413" s="36"/>
      <c r="R413" s="36"/>
      <c r="S413" s="792"/>
      <c r="T413" s="792" t="s">
        <v>65</v>
      </c>
      <c r="U413" s="781" t="s">
        <v>1634</v>
      </c>
      <c r="V413" s="77">
        <v>18</v>
      </c>
      <c r="W413" s="782" t="str">
        <f t="shared" si="13"/>
        <v>Pol. Sachbearbeitungsfunktion</v>
      </c>
    </row>
    <row r="414" spans="1:23" ht="12.75" x14ac:dyDescent="0.2">
      <c r="A414" s="74" t="str">
        <f t="shared" si="12"/>
        <v>603.11</v>
      </c>
      <c r="B414" s="783" t="s">
        <v>186</v>
      </c>
      <c r="C414" s="79" t="s">
        <v>1635</v>
      </c>
      <c r="D414" s="79" t="s">
        <v>65</v>
      </c>
      <c r="E414" s="79"/>
      <c r="F414" s="79">
        <v>603</v>
      </c>
      <c r="G414" s="28" t="s">
        <v>62</v>
      </c>
      <c r="H414" s="79">
        <v>11</v>
      </c>
      <c r="I414" s="79">
        <v>512.5</v>
      </c>
      <c r="J414" s="79">
        <v>5.5</v>
      </c>
      <c r="K414" s="79">
        <v>10</v>
      </c>
      <c r="L414" s="791" t="s">
        <v>671</v>
      </c>
      <c r="M414" s="35"/>
      <c r="N414" s="36"/>
      <c r="O414" s="36"/>
      <c r="P414" s="35"/>
      <c r="Q414" s="36"/>
      <c r="R414" s="36"/>
      <c r="S414" s="792"/>
      <c r="T414" s="792" t="s">
        <v>65</v>
      </c>
      <c r="U414" s="781" t="s">
        <v>1636</v>
      </c>
      <c r="V414" s="77">
        <v>11</v>
      </c>
      <c r="W414" s="782" t="str">
        <f t="shared" si="13"/>
        <v>Pol. Führungsfunktion/Fachspez.</v>
      </c>
    </row>
    <row r="415" spans="1:23" ht="12.75" x14ac:dyDescent="0.2">
      <c r="A415" s="74" t="str">
        <f t="shared" si="12"/>
        <v>603.12</v>
      </c>
      <c r="B415" s="783" t="s">
        <v>187</v>
      </c>
      <c r="C415" s="79" t="s">
        <v>1635</v>
      </c>
      <c r="D415" s="79" t="s">
        <v>65</v>
      </c>
      <c r="E415" s="79"/>
      <c r="F415" s="79">
        <v>603</v>
      </c>
      <c r="G415" s="28" t="s">
        <v>62</v>
      </c>
      <c r="H415" s="79">
        <v>12</v>
      </c>
      <c r="I415" s="79">
        <v>493.2</v>
      </c>
      <c r="J415" s="79">
        <v>5.5</v>
      </c>
      <c r="K415" s="79">
        <v>9</v>
      </c>
      <c r="L415" s="791" t="s">
        <v>671</v>
      </c>
      <c r="M415" s="35"/>
      <c r="N415" s="36"/>
      <c r="O415" s="36"/>
      <c r="P415" s="35"/>
      <c r="Q415" s="36"/>
      <c r="R415" s="36"/>
      <c r="S415" s="792"/>
      <c r="T415" s="792" t="s">
        <v>65</v>
      </c>
      <c r="U415" s="781" t="s">
        <v>1637</v>
      </c>
      <c r="V415" s="77">
        <v>12</v>
      </c>
      <c r="W415" s="782" t="str">
        <f t="shared" si="13"/>
        <v>Pol. Führungsfunktion/Fachspez.</v>
      </c>
    </row>
    <row r="416" spans="1:23" ht="12.75" x14ac:dyDescent="0.2">
      <c r="A416" s="74" t="str">
        <f t="shared" si="12"/>
        <v>603.13</v>
      </c>
      <c r="B416" s="783" t="s">
        <v>188</v>
      </c>
      <c r="C416" s="79" t="s">
        <v>1635</v>
      </c>
      <c r="D416" s="79" t="s">
        <v>65</v>
      </c>
      <c r="E416" s="79"/>
      <c r="F416" s="79">
        <v>603</v>
      </c>
      <c r="G416" s="28" t="s">
        <v>62</v>
      </c>
      <c r="H416" s="79">
        <v>13</v>
      </c>
      <c r="I416" s="79">
        <v>479.2</v>
      </c>
      <c r="J416" s="79">
        <v>5.5</v>
      </c>
      <c r="K416" s="79">
        <v>8</v>
      </c>
      <c r="L416" s="791" t="s">
        <v>671</v>
      </c>
      <c r="M416" s="35"/>
      <c r="N416" s="36"/>
      <c r="O416" s="36"/>
      <c r="P416" s="35"/>
      <c r="Q416" s="36"/>
      <c r="R416" s="36"/>
      <c r="S416" s="792"/>
      <c r="T416" s="792" t="s">
        <v>65</v>
      </c>
      <c r="U416" s="781" t="s">
        <v>1638</v>
      </c>
      <c r="V416" s="77">
        <v>13</v>
      </c>
      <c r="W416" s="782" t="str">
        <f t="shared" si="13"/>
        <v>Pol. Führungsfunktion/Fachspez.</v>
      </c>
    </row>
    <row r="417" spans="1:23" ht="12.75" x14ac:dyDescent="0.2">
      <c r="A417" s="74" t="str">
        <f t="shared" si="12"/>
        <v>711.07</v>
      </c>
      <c r="B417" s="28" t="s">
        <v>324</v>
      </c>
      <c r="C417" s="79" t="s">
        <v>1639</v>
      </c>
      <c r="D417" s="79" t="s">
        <v>65</v>
      </c>
      <c r="E417" s="79"/>
      <c r="F417" s="79">
        <v>711</v>
      </c>
      <c r="G417" s="28" t="s">
        <v>63</v>
      </c>
      <c r="H417" s="79">
        <v>7</v>
      </c>
      <c r="I417" s="79">
        <v>619.4</v>
      </c>
      <c r="J417" s="79">
        <v>9.5</v>
      </c>
      <c r="K417" s="79">
        <v>9</v>
      </c>
      <c r="L417" s="791" t="s">
        <v>347</v>
      </c>
      <c r="M417" s="35"/>
      <c r="N417" s="36"/>
      <c r="O417" s="36"/>
      <c r="P417" s="35"/>
      <c r="Q417" s="36"/>
      <c r="R417" s="36"/>
      <c r="S417" s="792"/>
      <c r="T417" s="792"/>
      <c r="U417" s="781" t="s">
        <v>1640</v>
      </c>
      <c r="V417" s="77">
        <v>7</v>
      </c>
      <c r="W417" s="782" t="str">
        <f t="shared" si="13"/>
        <v>Allgemeine Führungsfunktion 2</v>
      </c>
    </row>
    <row r="418" spans="1:23" ht="12.75" x14ac:dyDescent="0.2">
      <c r="A418" s="74" t="str">
        <f t="shared" si="12"/>
        <v>711.08</v>
      </c>
      <c r="B418" s="783" t="s">
        <v>330</v>
      </c>
      <c r="C418" s="76" t="s">
        <v>1639</v>
      </c>
      <c r="D418" s="76" t="s">
        <v>65</v>
      </c>
      <c r="E418" s="76"/>
      <c r="F418" s="76">
        <v>711</v>
      </c>
      <c r="G418" s="25" t="s">
        <v>63</v>
      </c>
      <c r="H418" s="76">
        <v>8</v>
      </c>
      <c r="I418" s="76">
        <v>604.29999999999995</v>
      </c>
      <c r="J418" s="76">
        <v>9.5</v>
      </c>
      <c r="K418" s="76">
        <v>7</v>
      </c>
      <c r="L418" s="804" t="s">
        <v>347</v>
      </c>
      <c r="M418" s="31"/>
      <c r="O418" s="32"/>
      <c r="P418" s="31"/>
      <c r="R418" s="32"/>
      <c r="S418" s="805"/>
      <c r="T418" s="805" t="s">
        <v>65</v>
      </c>
      <c r="U418" s="781" t="s">
        <v>1641</v>
      </c>
      <c r="V418" s="77">
        <v>8</v>
      </c>
      <c r="W418" s="782" t="str">
        <f t="shared" si="13"/>
        <v>Allgemeine Führungsfunktion 2</v>
      </c>
    </row>
    <row r="419" spans="1:23" ht="12.75" x14ac:dyDescent="0.2">
      <c r="A419" s="74" t="str">
        <f t="shared" si="12"/>
        <v>711.08a</v>
      </c>
      <c r="B419" s="28" t="s">
        <v>1082</v>
      </c>
      <c r="C419" s="79" t="s">
        <v>1639</v>
      </c>
      <c r="D419" s="79" t="s">
        <v>66</v>
      </c>
      <c r="E419" s="79"/>
      <c r="F419" s="79" t="s">
        <v>1645</v>
      </c>
      <c r="G419" s="28" t="s">
        <v>1806</v>
      </c>
      <c r="H419" s="79">
        <v>8</v>
      </c>
      <c r="I419" s="79">
        <v>606.9</v>
      </c>
      <c r="J419" s="79">
        <v>8.5</v>
      </c>
      <c r="K419" s="79">
        <v>8</v>
      </c>
      <c r="L419" s="791" t="s">
        <v>90</v>
      </c>
      <c r="M419" s="35"/>
      <c r="N419" s="36"/>
      <c r="O419" s="36"/>
      <c r="P419" s="35"/>
      <c r="Q419" s="36"/>
      <c r="R419" s="36"/>
      <c r="S419" s="792"/>
      <c r="T419" s="792" t="s">
        <v>65</v>
      </c>
      <c r="U419" s="781" t="s">
        <v>1642</v>
      </c>
      <c r="V419" s="77">
        <v>8</v>
      </c>
      <c r="W419" s="782" t="str">
        <f t="shared" si="13"/>
        <v>Rektorat Volksschule (Primarstufe + Sekundarstufe I)</v>
      </c>
    </row>
    <row r="420" spans="1:23" ht="12.75" x14ac:dyDescent="0.2">
      <c r="A420" s="74" t="str">
        <f t="shared" si="12"/>
        <v>711.09</v>
      </c>
      <c r="B420" s="28" t="s">
        <v>337</v>
      </c>
      <c r="C420" s="79" t="s">
        <v>1639</v>
      </c>
      <c r="D420" s="79" t="s">
        <v>65</v>
      </c>
      <c r="E420" s="79"/>
      <c r="F420" s="79">
        <v>711</v>
      </c>
      <c r="G420" s="28" t="s">
        <v>63</v>
      </c>
      <c r="H420" s="79">
        <v>9</v>
      </c>
      <c r="I420" s="79"/>
      <c r="J420" s="79">
        <v>9.5</v>
      </c>
      <c r="K420" s="79">
        <v>6</v>
      </c>
      <c r="L420" s="791" t="s">
        <v>347</v>
      </c>
      <c r="M420" s="35"/>
      <c r="N420" s="36"/>
      <c r="O420" s="36"/>
      <c r="P420" s="35"/>
      <c r="Q420" s="36"/>
      <c r="R420" s="36"/>
      <c r="S420" s="792"/>
      <c r="T420" s="792" t="s">
        <v>65</v>
      </c>
      <c r="U420" s="781" t="s">
        <v>1643</v>
      </c>
      <c r="V420" s="77">
        <v>9</v>
      </c>
      <c r="W420" s="782" t="str">
        <f t="shared" si="13"/>
        <v>Allgemeine Führungsfunktion 2</v>
      </c>
    </row>
    <row r="421" spans="1:23" ht="12.75" x14ac:dyDescent="0.2">
      <c r="A421" s="74" t="str">
        <f t="shared" si="12"/>
        <v>711.09a</v>
      </c>
      <c r="B421" s="28" t="s">
        <v>1644</v>
      </c>
      <c r="C421" s="79">
        <v>711</v>
      </c>
      <c r="D421" s="79" t="s">
        <v>66</v>
      </c>
      <c r="E421" s="79"/>
      <c r="F421" s="79" t="s">
        <v>1645</v>
      </c>
      <c r="G421" s="28" t="s">
        <v>1646</v>
      </c>
      <c r="H421" s="79">
        <v>9</v>
      </c>
      <c r="I421" s="79"/>
      <c r="J421" s="79">
        <v>8.5</v>
      </c>
      <c r="K421" s="79">
        <v>5</v>
      </c>
      <c r="L421" s="791" t="s">
        <v>90</v>
      </c>
      <c r="M421" s="35"/>
      <c r="N421" s="36"/>
      <c r="O421" s="36"/>
      <c r="P421" s="35"/>
      <c r="Q421" s="36"/>
      <c r="R421" s="36"/>
      <c r="S421" s="792"/>
      <c r="T421" s="792"/>
      <c r="U421" s="781" t="s">
        <v>1647</v>
      </c>
      <c r="V421" s="77">
        <v>9</v>
      </c>
      <c r="W421" s="782" t="str">
        <f t="shared" si="13"/>
        <v>Schulleitung Sekundarstufe I</v>
      </c>
    </row>
    <row r="422" spans="1:23" ht="12.75" x14ac:dyDescent="0.2">
      <c r="A422" s="74" t="str">
        <f t="shared" si="12"/>
        <v>711.09b</v>
      </c>
      <c r="B422" s="28" t="s">
        <v>1648</v>
      </c>
      <c r="C422" s="79">
        <v>711</v>
      </c>
      <c r="D422" s="79" t="s">
        <v>67</v>
      </c>
      <c r="E422" s="79"/>
      <c r="F422" s="79" t="s">
        <v>1285</v>
      </c>
      <c r="G422" s="28" t="s">
        <v>1286</v>
      </c>
      <c r="H422" s="79">
        <v>9</v>
      </c>
      <c r="I422" s="79"/>
      <c r="J422" s="79">
        <v>8.5</v>
      </c>
      <c r="K422" s="79">
        <v>5</v>
      </c>
      <c r="L422" s="791" t="s">
        <v>90</v>
      </c>
      <c r="M422" s="35"/>
      <c r="N422" s="36"/>
      <c r="O422" s="36"/>
      <c r="P422" s="35"/>
      <c r="Q422" s="36"/>
      <c r="R422" s="36"/>
      <c r="S422" s="792"/>
      <c r="T422" s="792"/>
      <c r="U422" s="781" t="s">
        <v>1284</v>
      </c>
      <c r="V422" s="77">
        <v>9</v>
      </c>
      <c r="W422" s="782" t="str">
        <f t="shared" si="13"/>
        <v>Konrektorat Sekundarstufe I</v>
      </c>
    </row>
    <row r="423" spans="1:23" ht="12.75" x14ac:dyDescent="0.2">
      <c r="A423" s="74" t="str">
        <f t="shared" si="12"/>
        <v>711.10</v>
      </c>
      <c r="B423" s="783" t="s">
        <v>189</v>
      </c>
      <c r="C423" s="76" t="s">
        <v>1639</v>
      </c>
      <c r="D423" s="76" t="s">
        <v>65</v>
      </c>
      <c r="E423" s="76"/>
      <c r="F423" s="76">
        <v>711</v>
      </c>
      <c r="G423" s="25" t="s">
        <v>63</v>
      </c>
      <c r="H423" s="76">
        <v>10</v>
      </c>
      <c r="I423" s="76">
        <v>549</v>
      </c>
      <c r="J423" s="76">
        <v>9.5</v>
      </c>
      <c r="K423" s="76">
        <v>5</v>
      </c>
      <c r="L423" s="804" t="s">
        <v>347</v>
      </c>
      <c r="M423" s="31"/>
      <c r="O423" s="32"/>
      <c r="P423" s="31"/>
      <c r="R423" s="32"/>
      <c r="S423" s="805"/>
      <c r="T423" s="805" t="s">
        <v>65</v>
      </c>
      <c r="U423" s="781" t="s">
        <v>1649</v>
      </c>
      <c r="V423" s="77">
        <v>10</v>
      </c>
      <c r="W423" s="782" t="str">
        <f t="shared" si="13"/>
        <v>Allgemeine Führungsfunktion 2</v>
      </c>
    </row>
    <row r="424" spans="1:23" ht="12.75" x14ac:dyDescent="0.2">
      <c r="A424" s="74" t="str">
        <f t="shared" ref="A424:A487" si="14">RIGHT(B424,LEN(B424)-1)</f>
        <v>711.10a</v>
      </c>
      <c r="B424" s="783" t="s">
        <v>1083</v>
      </c>
      <c r="C424" s="76" t="s">
        <v>1639</v>
      </c>
      <c r="D424" s="76" t="s">
        <v>67</v>
      </c>
      <c r="E424" s="76"/>
      <c r="F424" s="76" t="s">
        <v>1285</v>
      </c>
      <c r="G424" s="25" t="s">
        <v>1086</v>
      </c>
      <c r="H424" s="76">
        <v>10</v>
      </c>
      <c r="I424" s="76">
        <v>546</v>
      </c>
      <c r="J424" s="76">
        <v>8.5</v>
      </c>
      <c r="K424" s="76">
        <v>5</v>
      </c>
      <c r="L424" s="804" t="s">
        <v>90</v>
      </c>
      <c r="M424" s="31"/>
      <c r="O424" s="32"/>
      <c r="P424" s="31"/>
      <c r="R424" s="32"/>
      <c r="S424" s="805"/>
      <c r="T424" s="805" t="s">
        <v>65</v>
      </c>
      <c r="U424" s="781" t="s">
        <v>1650</v>
      </c>
      <c r="V424" s="77">
        <v>10</v>
      </c>
      <c r="W424" s="782" t="str">
        <f t="shared" si="13"/>
        <v>Schulleitung Primarstufe</v>
      </c>
    </row>
    <row r="425" spans="1:23" ht="12.75" x14ac:dyDescent="0.2">
      <c r="A425" s="74" t="str">
        <f t="shared" si="14"/>
        <v>711.10b</v>
      </c>
      <c r="B425" s="783" t="s">
        <v>1085</v>
      </c>
      <c r="C425" s="79" t="s">
        <v>1639</v>
      </c>
      <c r="D425" s="79" t="s">
        <v>66</v>
      </c>
      <c r="E425" s="79"/>
      <c r="F425" s="79" t="s">
        <v>1645</v>
      </c>
      <c r="G425" s="28" t="s">
        <v>1084</v>
      </c>
      <c r="H425" s="79">
        <v>10</v>
      </c>
      <c r="I425" s="79">
        <v>546</v>
      </c>
      <c r="J425" s="79">
        <v>8.5</v>
      </c>
      <c r="K425" s="79">
        <v>5</v>
      </c>
      <c r="L425" s="791" t="s">
        <v>90</v>
      </c>
      <c r="M425" s="35"/>
      <c r="N425" s="36"/>
      <c r="O425" s="36"/>
      <c r="P425" s="35"/>
      <c r="Q425" s="36"/>
      <c r="R425" s="36"/>
      <c r="S425" s="792"/>
      <c r="T425" s="792" t="s">
        <v>65</v>
      </c>
      <c r="U425" s="781" t="s">
        <v>1651</v>
      </c>
      <c r="V425" s="77">
        <v>10</v>
      </c>
      <c r="W425" s="782" t="str">
        <f t="shared" si="13"/>
        <v>Konrektorat Primarstufe</v>
      </c>
    </row>
    <row r="426" spans="1:23" ht="12.75" x14ac:dyDescent="0.2">
      <c r="A426" s="74" t="str">
        <f t="shared" si="14"/>
        <v>711.11</v>
      </c>
      <c r="B426" s="25" t="s">
        <v>190</v>
      </c>
      <c r="C426" s="76" t="s">
        <v>1639</v>
      </c>
      <c r="D426" s="76" t="s">
        <v>65</v>
      </c>
      <c r="E426" s="76"/>
      <c r="F426" s="76">
        <v>711</v>
      </c>
      <c r="G426" s="25" t="s">
        <v>63</v>
      </c>
      <c r="H426" s="76">
        <v>11</v>
      </c>
      <c r="I426" s="76"/>
      <c r="J426" s="76">
        <v>8</v>
      </c>
      <c r="K426" s="76">
        <v>7</v>
      </c>
      <c r="L426" s="804" t="s">
        <v>352</v>
      </c>
      <c r="M426" s="31"/>
      <c r="N426" s="32">
        <v>9.5</v>
      </c>
      <c r="O426" s="32">
        <v>3</v>
      </c>
      <c r="P426" s="31"/>
      <c r="R426" s="32"/>
      <c r="S426" s="805" t="s">
        <v>347</v>
      </c>
      <c r="T426" s="805" t="s">
        <v>65</v>
      </c>
      <c r="U426" s="781" t="s">
        <v>1652</v>
      </c>
      <c r="V426" s="77">
        <v>11</v>
      </c>
      <c r="W426" s="782" t="str">
        <f t="shared" si="13"/>
        <v>Allgemeine Führungsfunktion 2</v>
      </c>
    </row>
    <row r="427" spans="1:23" ht="12.75" x14ac:dyDescent="0.2">
      <c r="A427" s="74" t="str">
        <f t="shared" si="14"/>
        <v>711.12</v>
      </c>
      <c r="B427" s="783" t="s">
        <v>191</v>
      </c>
      <c r="C427" s="79" t="s">
        <v>1639</v>
      </c>
      <c r="D427" s="79" t="s">
        <v>65</v>
      </c>
      <c r="E427" s="79"/>
      <c r="F427" s="79">
        <v>711</v>
      </c>
      <c r="G427" s="28" t="s">
        <v>63</v>
      </c>
      <c r="H427" s="79">
        <v>12</v>
      </c>
      <c r="I427" s="79">
        <v>489.9</v>
      </c>
      <c r="J427" s="79">
        <v>8</v>
      </c>
      <c r="K427" s="79">
        <v>5</v>
      </c>
      <c r="L427" s="791" t="s">
        <v>352</v>
      </c>
      <c r="M427" s="35"/>
      <c r="N427" s="36"/>
      <c r="O427" s="36"/>
      <c r="P427" s="35"/>
      <c r="Q427" s="36"/>
      <c r="R427" s="36"/>
      <c r="S427" s="792" t="s">
        <v>65</v>
      </c>
      <c r="T427" s="792" t="s">
        <v>65</v>
      </c>
      <c r="U427" s="781" t="s">
        <v>1653</v>
      </c>
      <c r="V427" s="77">
        <v>12</v>
      </c>
      <c r="W427" s="782" t="str">
        <f t="shared" si="13"/>
        <v>Allgemeine Führungsfunktion 2</v>
      </c>
    </row>
    <row r="428" spans="1:23" s="77" customFormat="1" ht="12.75" x14ac:dyDescent="0.2">
      <c r="A428" s="74" t="str">
        <f t="shared" si="14"/>
        <v>712.01</v>
      </c>
      <c r="B428" s="28" t="s">
        <v>309</v>
      </c>
      <c r="C428" s="79" t="s">
        <v>1654</v>
      </c>
      <c r="D428" s="79" t="s">
        <v>65</v>
      </c>
      <c r="E428" s="79"/>
      <c r="F428" s="79">
        <v>712</v>
      </c>
      <c r="G428" s="28" t="s">
        <v>64</v>
      </c>
      <c r="H428" s="79">
        <v>1</v>
      </c>
      <c r="I428" s="79"/>
      <c r="J428" s="79">
        <v>9.5</v>
      </c>
      <c r="K428" s="79">
        <v>16</v>
      </c>
      <c r="L428" s="791" t="s">
        <v>347</v>
      </c>
      <c r="M428" s="35"/>
      <c r="N428" s="36"/>
      <c r="O428" s="36"/>
      <c r="P428" s="35"/>
      <c r="Q428" s="36"/>
      <c r="R428" s="36"/>
      <c r="S428" s="792"/>
      <c r="T428" s="792"/>
      <c r="U428" s="781" t="s">
        <v>1655</v>
      </c>
      <c r="V428" s="77">
        <v>1</v>
      </c>
      <c r="W428" s="782" t="str">
        <f t="shared" si="13"/>
        <v>Allgemeine Führungsfunktion 1</v>
      </c>
    </row>
    <row r="429" spans="1:23" ht="12.75" x14ac:dyDescent="0.2">
      <c r="A429" s="74" t="str">
        <f t="shared" si="14"/>
        <v>712.02</v>
      </c>
      <c r="B429" s="28" t="s">
        <v>311</v>
      </c>
      <c r="C429" s="79" t="s">
        <v>1654</v>
      </c>
      <c r="D429" s="79" t="s">
        <v>65</v>
      </c>
      <c r="E429" s="79"/>
      <c r="F429" s="79">
        <v>712</v>
      </c>
      <c r="G429" s="28" t="s">
        <v>64</v>
      </c>
      <c r="H429" s="79">
        <v>2</v>
      </c>
      <c r="I429" s="79">
        <v>735.5</v>
      </c>
      <c r="J429" s="79">
        <v>9.5</v>
      </c>
      <c r="K429" s="79">
        <v>15</v>
      </c>
      <c r="L429" s="791" t="s">
        <v>347</v>
      </c>
      <c r="M429" s="35"/>
      <c r="N429" s="36"/>
      <c r="O429" s="36"/>
      <c r="P429" s="35"/>
      <c r="Q429" s="36"/>
      <c r="R429" s="36"/>
      <c r="S429" s="792"/>
      <c r="T429" s="792"/>
      <c r="U429" s="781" t="s">
        <v>1656</v>
      </c>
      <c r="V429" s="77">
        <v>2</v>
      </c>
      <c r="W429" s="782" t="str">
        <f t="shared" si="13"/>
        <v>Allgemeine Führungsfunktion 1</v>
      </c>
    </row>
    <row r="430" spans="1:23" ht="12.75" x14ac:dyDescent="0.2">
      <c r="A430" s="74" t="str">
        <f t="shared" si="14"/>
        <v>712.03</v>
      </c>
      <c r="B430" s="783" t="s">
        <v>313</v>
      </c>
      <c r="C430" s="79" t="s">
        <v>1654</v>
      </c>
      <c r="D430" s="79" t="s">
        <v>65</v>
      </c>
      <c r="E430" s="79"/>
      <c r="F430" s="79">
        <v>712</v>
      </c>
      <c r="G430" s="28" t="s">
        <v>64</v>
      </c>
      <c r="H430" s="79">
        <v>3</v>
      </c>
      <c r="I430" s="79">
        <v>724.2</v>
      </c>
      <c r="J430" s="79">
        <v>9.5</v>
      </c>
      <c r="K430" s="79">
        <v>12</v>
      </c>
      <c r="L430" s="791" t="s">
        <v>347</v>
      </c>
      <c r="M430" s="35"/>
      <c r="N430" s="36"/>
      <c r="O430" s="36"/>
      <c r="P430" s="35"/>
      <c r="Q430" s="36"/>
      <c r="R430" s="36"/>
      <c r="S430" s="792" t="s">
        <v>65</v>
      </c>
      <c r="T430" s="792" t="s">
        <v>65</v>
      </c>
      <c r="U430" s="781" t="s">
        <v>1657</v>
      </c>
      <c r="V430" s="77">
        <v>3</v>
      </c>
      <c r="W430" s="782" t="str">
        <f t="shared" si="13"/>
        <v>Allgemeine Führungsfunktion 1</v>
      </c>
    </row>
    <row r="431" spans="1:23" ht="12.75" x14ac:dyDescent="0.2">
      <c r="A431" s="74" t="str">
        <f t="shared" si="14"/>
        <v>712.04</v>
      </c>
      <c r="B431" s="28" t="s">
        <v>315</v>
      </c>
      <c r="C431" s="79" t="s">
        <v>1654</v>
      </c>
      <c r="D431" s="79" t="s">
        <v>65</v>
      </c>
      <c r="E431" s="79"/>
      <c r="F431" s="79">
        <v>712</v>
      </c>
      <c r="G431" s="28" t="s">
        <v>64</v>
      </c>
      <c r="H431" s="79">
        <v>4</v>
      </c>
      <c r="I431" s="79"/>
      <c r="J431" s="79">
        <v>9.5</v>
      </c>
      <c r="K431" s="79">
        <v>11</v>
      </c>
      <c r="L431" s="791" t="s">
        <v>347</v>
      </c>
      <c r="M431" s="35"/>
      <c r="N431" s="36"/>
      <c r="O431" s="36"/>
      <c r="P431" s="35"/>
      <c r="Q431" s="36"/>
      <c r="R431" s="36"/>
      <c r="S431" s="792" t="s">
        <v>65</v>
      </c>
      <c r="T431" s="792" t="s">
        <v>65</v>
      </c>
      <c r="U431" s="781" t="s">
        <v>1658</v>
      </c>
      <c r="V431" s="77">
        <v>4</v>
      </c>
      <c r="W431" s="782" t="str">
        <f t="shared" si="13"/>
        <v>Allgemeine Führungsfunktion 1</v>
      </c>
    </row>
    <row r="432" spans="1:23" ht="12.75" x14ac:dyDescent="0.2">
      <c r="A432" s="74" t="str">
        <f t="shared" si="14"/>
        <v>712.05</v>
      </c>
      <c r="B432" s="783" t="s">
        <v>317</v>
      </c>
      <c r="C432" s="79" t="s">
        <v>1654</v>
      </c>
      <c r="D432" s="79" t="s">
        <v>65</v>
      </c>
      <c r="E432" s="79"/>
      <c r="F432" s="79">
        <v>712</v>
      </c>
      <c r="G432" s="28" t="s">
        <v>64</v>
      </c>
      <c r="H432" s="79">
        <v>5</v>
      </c>
      <c r="I432" s="79">
        <v>668.5</v>
      </c>
      <c r="J432" s="79">
        <v>9.5</v>
      </c>
      <c r="K432" s="79">
        <v>10</v>
      </c>
      <c r="L432" s="791" t="s">
        <v>347</v>
      </c>
      <c r="M432" s="35"/>
      <c r="N432" s="36"/>
      <c r="O432" s="36"/>
      <c r="P432" s="35"/>
      <c r="Q432" s="36"/>
      <c r="R432" s="36"/>
      <c r="S432" s="792" t="s">
        <v>65</v>
      </c>
      <c r="T432" s="792" t="s">
        <v>65</v>
      </c>
      <c r="U432" s="781" t="s">
        <v>1659</v>
      </c>
      <c r="V432" s="77">
        <v>5</v>
      </c>
      <c r="W432" s="782" t="str">
        <f t="shared" si="13"/>
        <v>Allgemeine Führungsfunktion 1</v>
      </c>
    </row>
    <row r="433" spans="1:23" ht="12.75" x14ac:dyDescent="0.2">
      <c r="A433" s="74" t="str">
        <f t="shared" si="14"/>
        <v>712.06</v>
      </c>
      <c r="B433" s="28" t="s">
        <v>320</v>
      </c>
      <c r="C433" s="79" t="s">
        <v>1654</v>
      </c>
      <c r="D433" s="79" t="s">
        <v>65</v>
      </c>
      <c r="E433" s="79"/>
      <c r="F433" s="79">
        <v>712</v>
      </c>
      <c r="G433" s="28" t="s">
        <v>64</v>
      </c>
      <c r="H433" s="79">
        <v>6</v>
      </c>
      <c r="I433" s="79">
        <v>612.1</v>
      </c>
      <c r="J433" s="79">
        <v>9.5</v>
      </c>
      <c r="K433" s="79">
        <v>9</v>
      </c>
      <c r="L433" s="791" t="s">
        <v>347</v>
      </c>
      <c r="M433" s="35"/>
      <c r="N433" s="36"/>
      <c r="O433" s="36"/>
      <c r="P433" s="35"/>
      <c r="Q433" s="36"/>
      <c r="R433" s="36"/>
      <c r="S433" s="792" t="s">
        <v>65</v>
      </c>
      <c r="T433" s="792" t="s">
        <v>65</v>
      </c>
      <c r="U433" s="781" t="s">
        <v>1660</v>
      </c>
      <c r="V433" s="77">
        <v>6</v>
      </c>
      <c r="W433" s="782" t="str">
        <f t="shared" si="13"/>
        <v>Allgemeine Führungsfunktion 1</v>
      </c>
    </row>
    <row r="434" spans="1:23" ht="12.75" x14ac:dyDescent="0.2">
      <c r="A434" s="74" t="str">
        <f t="shared" si="14"/>
        <v>712.07</v>
      </c>
      <c r="B434" s="783" t="s">
        <v>325</v>
      </c>
      <c r="C434" s="79" t="s">
        <v>1654</v>
      </c>
      <c r="D434" s="79" t="s">
        <v>65</v>
      </c>
      <c r="E434" s="79"/>
      <c r="F434" s="79">
        <v>712</v>
      </c>
      <c r="G434" s="28" t="s">
        <v>64</v>
      </c>
      <c r="H434" s="79">
        <v>7</v>
      </c>
      <c r="I434" s="79">
        <v>612.1</v>
      </c>
      <c r="J434" s="79">
        <v>9.5</v>
      </c>
      <c r="K434" s="79">
        <v>8</v>
      </c>
      <c r="L434" s="791" t="s">
        <v>347</v>
      </c>
      <c r="M434" s="35"/>
      <c r="N434" s="36"/>
      <c r="O434" s="36"/>
      <c r="P434" s="35"/>
      <c r="Q434" s="36"/>
      <c r="R434" s="36"/>
      <c r="S434" s="792" t="s">
        <v>65</v>
      </c>
      <c r="T434" s="792" t="s">
        <v>65</v>
      </c>
      <c r="U434" s="781" t="s">
        <v>1661</v>
      </c>
      <c r="V434" s="77">
        <v>7</v>
      </c>
      <c r="W434" s="782" t="str">
        <f t="shared" si="13"/>
        <v>Allgemeine Führungsfunktion 1</v>
      </c>
    </row>
    <row r="435" spans="1:23" ht="12.75" x14ac:dyDescent="0.2">
      <c r="A435" s="74" t="str">
        <f t="shared" si="14"/>
        <v>901.DKiA</v>
      </c>
      <c r="B435" s="28" t="s">
        <v>1662</v>
      </c>
      <c r="C435" s="79">
        <v>901</v>
      </c>
      <c r="D435" s="79"/>
      <c r="E435" s="79"/>
      <c r="F435" s="79">
        <v>901</v>
      </c>
      <c r="G435" s="28" t="s">
        <v>1663</v>
      </c>
      <c r="H435" s="79">
        <v>20</v>
      </c>
      <c r="I435" s="79"/>
      <c r="J435" s="79"/>
      <c r="K435" s="79"/>
      <c r="L435" s="791"/>
      <c r="M435" s="35"/>
      <c r="N435" s="36"/>
      <c r="O435" s="36"/>
      <c r="P435" s="35"/>
      <c r="Q435" s="36"/>
      <c r="R435" s="36"/>
      <c r="S435" s="792"/>
      <c r="T435" s="792"/>
      <c r="U435" s="781" t="s">
        <v>1664</v>
      </c>
      <c r="V435" s="80">
        <v>20</v>
      </c>
      <c r="W435" s="782" t="str">
        <f t="shared" si="13"/>
        <v>Diätkoche und -köchinnen</v>
      </c>
    </row>
    <row r="436" spans="1:23" ht="12.75" x14ac:dyDescent="0.2">
      <c r="A436" s="74" t="str">
        <f t="shared" si="14"/>
        <v>901.EBA</v>
      </c>
      <c r="B436" s="28" t="s">
        <v>1665</v>
      </c>
      <c r="C436" s="79">
        <v>901</v>
      </c>
      <c r="D436" s="79"/>
      <c r="E436" s="79"/>
      <c r="F436" s="79">
        <v>901</v>
      </c>
      <c r="G436" s="28" t="s">
        <v>1666</v>
      </c>
      <c r="H436" s="79">
        <v>52</v>
      </c>
      <c r="I436" s="79"/>
      <c r="J436" s="79"/>
      <c r="K436" s="79"/>
      <c r="L436" s="791"/>
      <c r="M436" s="35"/>
      <c r="N436" s="36"/>
      <c r="O436" s="36"/>
      <c r="P436" s="35"/>
      <c r="Q436" s="36"/>
      <c r="R436" s="36"/>
      <c r="S436" s="792"/>
      <c r="T436" s="792"/>
      <c r="U436" s="781" t="s">
        <v>1667</v>
      </c>
      <c r="V436" s="80">
        <v>52</v>
      </c>
      <c r="W436" s="782" t="str">
        <f t="shared" si="13"/>
        <v>Attestausbildungen/-lehren EBA</v>
      </c>
    </row>
    <row r="437" spans="1:23" ht="12.75" x14ac:dyDescent="0.2">
      <c r="A437" s="74" t="str">
        <f t="shared" si="14"/>
        <v>901.EFZK</v>
      </c>
      <c r="B437" s="28" t="s">
        <v>1668</v>
      </c>
      <c r="C437" s="79">
        <v>901</v>
      </c>
      <c r="D437" s="79"/>
      <c r="E437" s="79"/>
      <c r="F437" s="79">
        <v>901</v>
      </c>
      <c r="G437" s="28" t="s">
        <v>1669</v>
      </c>
      <c r="H437" s="79">
        <v>50</v>
      </c>
      <c r="I437" s="79"/>
      <c r="J437" s="79"/>
      <c r="K437" s="79"/>
      <c r="L437" s="791"/>
      <c r="M437" s="35"/>
      <c r="N437" s="36"/>
      <c r="O437" s="36"/>
      <c r="P437" s="35"/>
      <c r="Q437" s="36"/>
      <c r="R437" s="36"/>
      <c r="S437" s="792"/>
      <c r="T437" s="792"/>
      <c r="U437" s="781" t="s">
        <v>1670</v>
      </c>
      <c r="V437" s="80">
        <v>50</v>
      </c>
      <c r="W437" s="782" t="str">
        <f t="shared" si="13"/>
        <v>Verk. Zusatzl. n. Erstausb. EFZ</v>
      </c>
    </row>
    <row r="438" spans="1:23" ht="12.75" x14ac:dyDescent="0.2">
      <c r="A438" s="74" t="str">
        <f t="shared" si="14"/>
        <v>901.EFZN</v>
      </c>
      <c r="B438" s="28" t="s">
        <v>1671</v>
      </c>
      <c r="C438" s="79">
        <v>901</v>
      </c>
      <c r="D438" s="79"/>
      <c r="E438" s="79"/>
      <c r="F438" s="79">
        <v>901</v>
      </c>
      <c r="G438" s="28" t="s">
        <v>1672</v>
      </c>
      <c r="H438" s="79">
        <v>50</v>
      </c>
      <c r="I438" s="79"/>
      <c r="J438" s="79"/>
      <c r="K438" s="79"/>
      <c r="L438" s="791"/>
      <c r="M438" s="35"/>
      <c r="N438" s="36"/>
      <c r="O438" s="36"/>
      <c r="P438" s="35"/>
      <c r="Q438" s="36"/>
      <c r="R438" s="36"/>
      <c r="S438" s="792"/>
      <c r="T438" s="792"/>
      <c r="U438" s="781" t="s">
        <v>1673</v>
      </c>
      <c r="V438" s="80">
        <v>50</v>
      </c>
      <c r="W438" s="782" t="str">
        <f t="shared" si="13"/>
        <v>Berufslehre EFZ</v>
      </c>
    </row>
    <row r="439" spans="1:23" ht="12.75" x14ac:dyDescent="0.2">
      <c r="A439" s="74" t="str">
        <f t="shared" si="14"/>
        <v>901.PA1J</v>
      </c>
      <c r="B439" s="28" t="s">
        <v>1674</v>
      </c>
      <c r="C439" s="79">
        <v>901</v>
      </c>
      <c r="D439" s="79"/>
      <c r="E439" s="79"/>
      <c r="F439" s="79">
        <v>901</v>
      </c>
      <c r="G439" s="28" t="s">
        <v>1675</v>
      </c>
      <c r="H439" s="79">
        <v>53</v>
      </c>
      <c r="I439" s="79"/>
      <c r="J439" s="79"/>
      <c r="K439" s="79"/>
      <c r="L439" s="791"/>
      <c r="M439" s="35"/>
      <c r="N439" s="36"/>
      <c r="O439" s="36"/>
      <c r="P439" s="35"/>
      <c r="Q439" s="36"/>
      <c r="R439" s="36"/>
      <c r="S439" s="792"/>
      <c r="T439" s="792"/>
      <c r="U439" s="781" t="s">
        <v>1676</v>
      </c>
      <c r="V439" s="80">
        <v>53</v>
      </c>
      <c r="W439" s="782" t="str">
        <f t="shared" si="13"/>
        <v>Pflegeassistent/in (nicht EBA, sondern 1-jährig)</v>
      </c>
    </row>
    <row r="440" spans="1:23" ht="12.75" x14ac:dyDescent="0.2">
      <c r="A440" s="74" t="str">
        <f t="shared" si="14"/>
        <v>901.PBV</v>
      </c>
      <c r="B440" s="28" t="s">
        <v>1677</v>
      </c>
      <c r="C440" s="79">
        <v>901</v>
      </c>
      <c r="D440" s="79"/>
      <c r="E440" s="79"/>
      <c r="F440" s="79">
        <v>901</v>
      </c>
      <c r="G440" s="28" t="s">
        <v>1678</v>
      </c>
      <c r="H440" s="79">
        <v>54</v>
      </c>
      <c r="I440" s="79"/>
      <c r="J440" s="79"/>
      <c r="K440" s="79"/>
      <c r="L440" s="791"/>
      <c r="M440" s="35"/>
      <c r="N440" s="36"/>
      <c r="O440" s="36"/>
      <c r="P440" s="35"/>
      <c r="Q440" s="36"/>
      <c r="R440" s="36"/>
      <c r="S440" s="792"/>
      <c r="T440" s="792"/>
      <c r="U440" s="781" t="s">
        <v>1679</v>
      </c>
      <c r="V440" s="80">
        <v>54</v>
      </c>
      <c r="W440" s="782" t="str">
        <f t="shared" si="13"/>
        <v>Praxiseinsatz Berufsvorb. (&lt;1J)</v>
      </c>
    </row>
    <row r="441" spans="1:23" ht="12.75" x14ac:dyDescent="0.2">
      <c r="A441" s="74" t="str">
        <f t="shared" si="14"/>
        <v>901.VRL</v>
      </c>
      <c r="B441" s="28" t="s">
        <v>1680</v>
      </c>
      <c r="C441" s="79">
        <v>901</v>
      </c>
      <c r="D441" s="79"/>
      <c r="E441" s="79"/>
      <c r="F441" s="79">
        <v>901</v>
      </c>
      <c r="G441" s="28" t="s">
        <v>1681</v>
      </c>
      <c r="H441" s="79">
        <v>50</v>
      </c>
      <c r="I441" s="79"/>
      <c r="J441" s="79"/>
      <c r="K441" s="79"/>
      <c r="L441" s="791"/>
      <c r="M441" s="35"/>
      <c r="N441" s="36"/>
      <c r="O441" s="36"/>
      <c r="P441" s="35"/>
      <c r="Q441" s="36"/>
      <c r="R441" s="36"/>
      <c r="S441" s="792"/>
      <c r="T441" s="792"/>
      <c r="U441" s="781" t="s">
        <v>1682</v>
      </c>
      <c r="V441" s="80">
        <v>50</v>
      </c>
      <c r="W441" s="782" t="str">
        <f t="shared" si="13"/>
        <v>Vorlehren</v>
      </c>
    </row>
    <row r="442" spans="1:23" ht="12.75" x14ac:dyDescent="0.2">
      <c r="A442" s="74" t="str">
        <f t="shared" si="14"/>
        <v>901.VWB</v>
      </c>
      <c r="B442" s="28" t="s">
        <v>1683</v>
      </c>
      <c r="C442" s="79">
        <v>901</v>
      </c>
      <c r="D442" s="79"/>
      <c r="E442" s="79"/>
      <c r="F442" s="79">
        <v>901</v>
      </c>
      <c r="G442" s="28" t="s">
        <v>1684</v>
      </c>
      <c r="H442" s="79">
        <v>51</v>
      </c>
      <c r="I442" s="79"/>
      <c r="J442" s="79"/>
      <c r="K442" s="79"/>
      <c r="L442" s="791"/>
      <c r="M442" s="35"/>
      <c r="N442" s="36"/>
      <c r="O442" s="36"/>
      <c r="P442" s="35"/>
      <c r="Q442" s="36"/>
      <c r="R442" s="36"/>
      <c r="S442" s="792"/>
      <c r="T442" s="792"/>
      <c r="U442" s="781" t="s">
        <v>1685</v>
      </c>
      <c r="V442" s="80">
        <v>51</v>
      </c>
      <c r="W442" s="782" t="str">
        <f t="shared" si="13"/>
        <v>Verkehrswegbauer/in</v>
      </c>
    </row>
    <row r="443" spans="1:23" ht="12.75" x14ac:dyDescent="0.2">
      <c r="A443" s="74" t="str">
        <f t="shared" si="14"/>
        <v>910.FSch</v>
      </c>
      <c r="B443" s="28" t="s">
        <v>1686</v>
      </c>
      <c r="C443" s="79">
        <v>910</v>
      </c>
      <c r="D443" s="79"/>
      <c r="E443" s="79"/>
      <c r="F443" s="79">
        <v>910</v>
      </c>
      <c r="G443" s="28" t="s">
        <v>1687</v>
      </c>
      <c r="H443" s="79">
        <v>60</v>
      </c>
      <c r="I443" s="79"/>
      <c r="J443" s="79"/>
      <c r="K443" s="79"/>
      <c r="L443" s="791"/>
      <c r="M443" s="35"/>
      <c r="N443" s="36"/>
      <c r="O443" s="36"/>
      <c r="P443" s="35"/>
      <c r="Q443" s="36"/>
      <c r="R443" s="36"/>
      <c r="S443" s="792"/>
      <c r="T443" s="792"/>
      <c r="U443" s="781" t="s">
        <v>1688</v>
      </c>
      <c r="V443" s="80">
        <v>60</v>
      </c>
      <c r="W443" s="782" t="str">
        <f t="shared" si="13"/>
        <v>Ferienbesch. von Schüler/-innen</v>
      </c>
    </row>
    <row r="444" spans="1:23" ht="12.75" x14ac:dyDescent="0.2">
      <c r="A444" s="74" t="str">
        <f t="shared" si="14"/>
        <v>910.FStT</v>
      </c>
      <c r="B444" s="28" t="s">
        <v>1689</v>
      </c>
      <c r="C444" s="79">
        <v>910</v>
      </c>
      <c r="D444" s="79"/>
      <c r="E444" s="79"/>
      <c r="F444" s="79">
        <v>910</v>
      </c>
      <c r="G444" s="28" t="s">
        <v>1690</v>
      </c>
      <c r="H444" s="79">
        <v>60</v>
      </c>
      <c r="I444" s="79"/>
      <c r="J444" s="79"/>
      <c r="K444" s="79"/>
      <c r="L444" s="791"/>
      <c r="M444" s="35"/>
      <c r="N444" s="36"/>
      <c r="O444" s="36"/>
      <c r="P444" s="35"/>
      <c r="Q444" s="36"/>
      <c r="R444" s="36"/>
      <c r="S444" s="792"/>
      <c r="T444" s="792"/>
      <c r="U444" s="781" t="s">
        <v>1691</v>
      </c>
      <c r="V444" s="80">
        <v>60</v>
      </c>
      <c r="W444" s="782" t="str">
        <f t="shared" si="13"/>
        <v>Ferienbesch. von Studierenden</v>
      </c>
    </row>
    <row r="445" spans="1:23" ht="12.75" x14ac:dyDescent="0.2">
      <c r="A445" s="74" t="str">
        <f t="shared" si="14"/>
        <v>911.PKurz</v>
      </c>
      <c r="B445" s="28" t="s">
        <v>1692</v>
      </c>
      <c r="C445" s="79">
        <v>911</v>
      </c>
      <c r="D445" s="79"/>
      <c r="E445" s="79"/>
      <c r="F445" s="79">
        <v>911</v>
      </c>
      <c r="G445" s="28" t="s">
        <v>1693</v>
      </c>
      <c r="H445" s="79">
        <v>61</v>
      </c>
      <c r="I445" s="79"/>
      <c r="J445" s="79"/>
      <c r="K445" s="79"/>
      <c r="L445" s="791"/>
      <c r="M445" s="35"/>
      <c r="N445" s="36"/>
      <c r="O445" s="36"/>
      <c r="P445" s="35"/>
      <c r="Q445" s="36"/>
      <c r="R445" s="36"/>
      <c r="S445" s="792"/>
      <c r="T445" s="792"/>
      <c r="U445" s="781" t="s">
        <v>1694</v>
      </c>
      <c r="V445" s="80">
        <v>61</v>
      </c>
      <c r="W445" s="782" t="str">
        <f t="shared" si="13"/>
        <v>SekII_Praktikum_bis_3Monate</v>
      </c>
    </row>
    <row r="446" spans="1:23" ht="12.75" x14ac:dyDescent="0.2">
      <c r="A446" s="74" t="str">
        <f t="shared" si="14"/>
        <v>911.PVK</v>
      </c>
      <c r="B446" s="28" t="s">
        <v>1695</v>
      </c>
      <c r="C446" s="79">
        <v>911</v>
      </c>
      <c r="D446" s="79"/>
      <c r="E446" s="79"/>
      <c r="F446" s="79">
        <v>911</v>
      </c>
      <c r="G446" s="28" t="s">
        <v>1696</v>
      </c>
      <c r="H446" s="79">
        <v>62</v>
      </c>
      <c r="I446" s="79"/>
      <c r="J446" s="79"/>
      <c r="K446" s="79"/>
      <c r="L446" s="791"/>
      <c r="M446" s="35"/>
      <c r="N446" s="36"/>
      <c r="O446" s="36"/>
      <c r="P446" s="35"/>
      <c r="Q446" s="36"/>
      <c r="R446" s="36"/>
      <c r="S446" s="792"/>
      <c r="T446" s="792"/>
      <c r="U446" s="781" t="s">
        <v>1697</v>
      </c>
      <c r="V446" s="80">
        <v>62</v>
      </c>
      <c r="W446" s="782" t="str">
        <f t="shared" si="13"/>
        <v>SekII_Praktikum_mehr_als_12Wo</v>
      </c>
    </row>
    <row r="447" spans="1:23" ht="12.75" x14ac:dyDescent="0.2">
      <c r="A447" s="74" t="str">
        <f t="shared" si="14"/>
        <v>912.PnAusb</v>
      </c>
      <c r="B447" s="28" t="s">
        <v>1698</v>
      </c>
      <c r="C447" s="79">
        <v>912</v>
      </c>
      <c r="D447" s="79"/>
      <c r="E447" s="79"/>
      <c r="F447" s="79">
        <v>912</v>
      </c>
      <c r="G447" s="28" t="s">
        <v>1699</v>
      </c>
      <c r="H447" s="79">
        <v>71</v>
      </c>
      <c r="I447" s="79"/>
      <c r="J447" s="79"/>
      <c r="K447" s="79"/>
      <c r="L447" s="791"/>
      <c r="M447" s="35"/>
      <c r="N447" s="36"/>
      <c r="O447" s="36"/>
      <c r="P447" s="35"/>
      <c r="Q447" s="36"/>
      <c r="R447" s="36"/>
      <c r="S447" s="792"/>
      <c r="T447" s="792"/>
      <c r="U447" s="781" t="s">
        <v>1700</v>
      </c>
      <c r="V447" s="80">
        <v>71</v>
      </c>
      <c r="W447" s="782" t="str">
        <f t="shared" si="13"/>
        <v>Berufsprakt. nach Ausbildung</v>
      </c>
    </row>
    <row r="448" spans="1:23" ht="12.75" x14ac:dyDescent="0.2">
      <c r="A448" s="74" t="str">
        <f t="shared" si="14"/>
        <v>912.PvATt</v>
      </c>
      <c r="B448" s="28" t="s">
        <v>1701</v>
      </c>
      <c r="C448" s="79">
        <v>912</v>
      </c>
      <c r="D448" s="79"/>
      <c r="E448" s="79"/>
      <c r="F448" s="79">
        <v>912</v>
      </c>
      <c r="G448" s="28" t="s">
        <v>1702</v>
      </c>
      <c r="H448" s="79">
        <v>63</v>
      </c>
      <c r="I448" s="79"/>
      <c r="J448" s="79"/>
      <c r="K448" s="79"/>
      <c r="L448" s="791"/>
      <c r="M448" s="35"/>
      <c r="N448" s="36"/>
      <c r="O448" s="36"/>
      <c r="P448" s="35"/>
      <c r="Q448" s="36"/>
      <c r="R448" s="36"/>
      <c r="S448" s="792"/>
      <c r="T448" s="792"/>
      <c r="U448" s="781" t="s">
        <v>1703</v>
      </c>
      <c r="V448" s="80">
        <v>63</v>
      </c>
      <c r="W448" s="782" t="str">
        <f t="shared" si="13"/>
        <v>Prakt.v. Ausb. Teritärbereich</v>
      </c>
    </row>
    <row r="449" spans="1:23" ht="12.75" x14ac:dyDescent="0.2">
      <c r="A449" s="74" t="str">
        <f t="shared" si="14"/>
        <v>913.Apr</v>
      </c>
      <c r="B449" s="28" t="s">
        <v>1704</v>
      </c>
      <c r="C449" s="79">
        <v>913</v>
      </c>
      <c r="D449" s="79"/>
      <c r="E449" s="79"/>
      <c r="F449" s="79">
        <v>913</v>
      </c>
      <c r="G449" s="28" t="s">
        <v>1705</v>
      </c>
      <c r="H449" s="79"/>
      <c r="I449" s="79"/>
      <c r="J449" s="79"/>
      <c r="K449" s="79"/>
      <c r="L449" s="791"/>
      <c r="M449" s="35"/>
      <c r="N449" s="36"/>
      <c r="O449" s="36"/>
      <c r="P449" s="35"/>
      <c r="Q449" s="36"/>
      <c r="R449" s="36"/>
      <c r="S449" s="792"/>
      <c r="T449" s="792"/>
      <c r="U449" s="781" t="s">
        <v>1706</v>
      </c>
      <c r="V449" s="80"/>
      <c r="W449" s="782" t="str">
        <f t="shared" si="13"/>
        <v>Anerkennungspraktika</v>
      </c>
    </row>
    <row r="450" spans="1:23" ht="12.75" x14ac:dyDescent="0.2">
      <c r="A450" s="74" t="str">
        <f t="shared" si="14"/>
        <v>913.Doc</v>
      </c>
      <c r="B450" s="28" t="s">
        <v>1707</v>
      </c>
      <c r="C450" s="79">
        <v>913</v>
      </c>
      <c r="D450" s="79"/>
      <c r="E450" s="79"/>
      <c r="F450" s="79">
        <v>913</v>
      </c>
      <c r="G450" s="28" t="s">
        <v>1708</v>
      </c>
      <c r="H450" s="79" t="s">
        <v>1709</v>
      </c>
      <c r="I450" s="79"/>
      <c r="J450" s="79"/>
      <c r="K450" s="79"/>
      <c r="L450" s="791"/>
      <c r="M450" s="35"/>
      <c r="N450" s="36"/>
      <c r="O450" s="36"/>
      <c r="P450" s="35"/>
      <c r="Q450" s="36"/>
      <c r="R450" s="36"/>
      <c r="S450" s="792"/>
      <c r="T450" s="792"/>
      <c r="U450" s="781" t="s">
        <v>1710</v>
      </c>
      <c r="V450" s="80" t="s">
        <v>1709</v>
      </c>
      <c r="W450" s="782" t="str">
        <f t="shared" si="13"/>
        <v>Doktor. Dissertation</v>
      </c>
    </row>
    <row r="451" spans="1:23" ht="12.75" x14ac:dyDescent="0.2">
      <c r="A451" s="74" t="str">
        <f t="shared" si="14"/>
        <v>913.GesHF</v>
      </c>
      <c r="B451" s="28" t="s">
        <v>1711</v>
      </c>
      <c r="C451" s="79">
        <v>913</v>
      </c>
      <c r="D451" s="79"/>
      <c r="E451" s="79"/>
      <c r="F451" s="79">
        <v>913</v>
      </c>
      <c r="G451" s="28" t="s">
        <v>1712</v>
      </c>
      <c r="H451" s="79">
        <v>67</v>
      </c>
      <c r="I451" s="79"/>
      <c r="J451" s="79"/>
      <c r="K451" s="79"/>
      <c r="L451" s="791"/>
      <c r="M451" s="35"/>
      <c r="N451" s="36"/>
      <c r="O451" s="36"/>
      <c r="P451" s="35"/>
      <c r="Q451" s="36"/>
      <c r="R451" s="36"/>
      <c r="S451" s="792"/>
      <c r="T451" s="792"/>
      <c r="U451" s="781" t="s">
        <v>1713</v>
      </c>
      <c r="V451" s="80">
        <v>67</v>
      </c>
      <c r="W451" s="782" t="str">
        <f t="shared" ref="W451:W514" si="15">G451</f>
        <v>Ausbildungsberufe im Bereich Gesundheit HF</v>
      </c>
    </row>
    <row r="452" spans="1:23" ht="12.75" x14ac:dyDescent="0.2">
      <c r="A452" s="74" t="str">
        <f t="shared" si="14"/>
        <v>913.PädHF</v>
      </c>
      <c r="B452" s="28" t="s">
        <v>1714</v>
      </c>
      <c r="C452" s="79">
        <v>913</v>
      </c>
      <c r="D452" s="79"/>
      <c r="E452" s="79"/>
      <c r="F452" s="79">
        <v>913</v>
      </c>
      <c r="G452" s="28" t="s">
        <v>1715</v>
      </c>
      <c r="H452" s="79">
        <v>68</v>
      </c>
      <c r="I452" s="79"/>
      <c r="J452" s="79"/>
      <c r="K452" s="79"/>
      <c r="L452" s="791"/>
      <c r="M452" s="35"/>
      <c r="N452" s="36"/>
      <c r="O452" s="36"/>
      <c r="P452" s="35"/>
      <c r="Q452" s="36"/>
      <c r="R452" s="36"/>
      <c r="S452" s="792"/>
      <c r="T452" s="792"/>
      <c r="U452" s="781" t="s">
        <v>1716</v>
      </c>
      <c r="V452" s="80">
        <v>68</v>
      </c>
      <c r="W452" s="782" t="str">
        <f t="shared" si="15"/>
        <v>HF Pädagogische Richtung</v>
      </c>
    </row>
    <row r="453" spans="1:23" ht="12.75" x14ac:dyDescent="0.2">
      <c r="A453" s="74" t="str">
        <f t="shared" si="14"/>
        <v>913.PädHS</v>
      </c>
      <c r="B453" s="28" t="s">
        <v>1717</v>
      </c>
      <c r="C453" s="79">
        <v>913</v>
      </c>
      <c r="D453" s="79"/>
      <c r="E453" s="79"/>
      <c r="F453" s="79">
        <v>913</v>
      </c>
      <c r="G453" s="28" t="s">
        <v>1718</v>
      </c>
      <c r="H453" s="79">
        <v>99</v>
      </c>
      <c r="I453" s="79"/>
      <c r="J453" s="79"/>
      <c r="K453" s="79"/>
      <c r="L453" s="791"/>
      <c r="M453" s="35"/>
      <c r="N453" s="36"/>
      <c r="O453" s="36"/>
      <c r="P453" s="35"/>
      <c r="Q453" s="36"/>
      <c r="R453" s="36"/>
      <c r="S453" s="792"/>
      <c r="T453" s="792"/>
      <c r="U453" s="781" t="s">
        <v>1719</v>
      </c>
      <c r="V453" s="80" t="s">
        <v>1709</v>
      </c>
      <c r="W453" s="782" t="str">
        <f t="shared" si="15"/>
        <v>Ausbildungspraktika der Päd. Hochschule (FHNW)</v>
      </c>
    </row>
    <row r="454" spans="1:23" ht="12.75" x14ac:dyDescent="0.2">
      <c r="A454" s="74" t="str">
        <f t="shared" si="14"/>
        <v>913.PädZ</v>
      </c>
      <c r="B454" s="28" t="s">
        <v>1720</v>
      </c>
      <c r="C454" s="79">
        <v>913</v>
      </c>
      <c r="D454" s="79"/>
      <c r="E454" s="79"/>
      <c r="F454" s="79">
        <v>913</v>
      </c>
      <c r="G454" s="28" t="s">
        <v>1721</v>
      </c>
      <c r="H454" s="79" t="s">
        <v>1722</v>
      </c>
      <c r="I454" s="79"/>
      <c r="J454" s="79"/>
      <c r="K454" s="79"/>
      <c r="L454" s="791"/>
      <c r="M454" s="35"/>
      <c r="N454" s="36"/>
      <c r="O454" s="36"/>
      <c r="P454" s="35"/>
      <c r="Q454" s="36"/>
      <c r="R454" s="36"/>
      <c r="S454" s="792"/>
      <c r="T454" s="792"/>
      <c r="U454" s="781" t="s">
        <v>1723</v>
      </c>
      <c r="V454" s="80" t="s">
        <v>1722</v>
      </c>
      <c r="W454" s="782" t="str">
        <f t="shared" si="15"/>
        <v>Zusatzausbildung z. dipl Berufsfachschullehrer/in</v>
      </c>
    </row>
    <row r="455" spans="1:23" ht="12.75" x14ac:dyDescent="0.2">
      <c r="A455" s="74" t="str">
        <f t="shared" si="14"/>
        <v>913.PDoc</v>
      </c>
      <c r="B455" s="28" t="s">
        <v>1724</v>
      </c>
      <c r="C455" s="79">
        <v>913</v>
      </c>
      <c r="D455" s="79"/>
      <c r="E455" s="79"/>
      <c r="F455" s="79">
        <v>913</v>
      </c>
      <c r="G455" s="28" t="s">
        <v>1725</v>
      </c>
      <c r="H455" s="79" t="s">
        <v>1709</v>
      </c>
      <c r="I455" s="79"/>
      <c r="J455" s="79"/>
      <c r="K455" s="79"/>
      <c r="L455" s="791"/>
      <c r="M455" s="35"/>
      <c r="N455" s="36"/>
      <c r="O455" s="36"/>
      <c r="P455" s="35"/>
      <c r="Q455" s="36"/>
      <c r="R455" s="36"/>
      <c r="S455" s="792"/>
      <c r="T455" s="792"/>
      <c r="U455" s="781" t="s">
        <v>1938</v>
      </c>
      <c r="V455" s="80" t="s">
        <v>1709</v>
      </c>
      <c r="W455" s="782" t="str">
        <f t="shared" si="15"/>
        <v>Doktor. Habilitation</v>
      </c>
    </row>
    <row r="456" spans="1:23" ht="12.75" x14ac:dyDescent="0.2">
      <c r="A456" s="74" t="str">
        <f t="shared" si="14"/>
        <v>913.PwBac</v>
      </c>
      <c r="B456" s="28" t="s">
        <v>1726</v>
      </c>
      <c r="C456" s="79">
        <v>913</v>
      </c>
      <c r="D456" s="79"/>
      <c r="E456" s="79"/>
      <c r="F456" s="79">
        <v>913</v>
      </c>
      <c r="G456" s="28" t="s">
        <v>1727</v>
      </c>
      <c r="H456" s="79">
        <v>64</v>
      </c>
      <c r="I456" s="79"/>
      <c r="J456" s="79"/>
      <c r="K456" s="79"/>
      <c r="L456" s="791"/>
      <c r="M456" s="35"/>
      <c r="N456" s="36"/>
      <c r="O456" s="36"/>
      <c r="P456" s="35"/>
      <c r="Q456" s="36"/>
      <c r="R456" s="36"/>
      <c r="S456" s="792"/>
      <c r="T456" s="792"/>
      <c r="U456" s="781" t="s">
        <v>1728</v>
      </c>
      <c r="V456" s="80">
        <v>64</v>
      </c>
      <c r="W456" s="782" t="str">
        <f t="shared" si="15"/>
        <v>Praktikum während Bachelor</v>
      </c>
    </row>
    <row r="457" spans="1:23" ht="12.75" x14ac:dyDescent="0.2">
      <c r="A457" s="74" t="str">
        <f t="shared" si="14"/>
        <v>913.PwMas</v>
      </c>
      <c r="B457" s="28" t="s">
        <v>1729</v>
      </c>
      <c r="C457" s="79">
        <v>913</v>
      </c>
      <c r="D457" s="79"/>
      <c r="E457" s="79"/>
      <c r="F457" s="79">
        <v>913</v>
      </c>
      <c r="G457" s="28" t="s">
        <v>1730</v>
      </c>
      <c r="H457" s="79">
        <v>64</v>
      </c>
      <c r="I457" s="79"/>
      <c r="J457" s="79"/>
      <c r="K457" s="79"/>
      <c r="L457" s="791"/>
      <c r="M457" s="35"/>
      <c r="N457" s="36"/>
      <c r="O457" s="36"/>
      <c r="P457" s="35"/>
      <c r="Q457" s="36"/>
      <c r="R457" s="36"/>
      <c r="S457" s="792"/>
      <c r="T457" s="792"/>
      <c r="U457" s="781" t="s">
        <v>1731</v>
      </c>
      <c r="V457" s="80">
        <v>64</v>
      </c>
      <c r="W457" s="782" t="str">
        <f t="shared" si="15"/>
        <v>Praktikum während Masterstudium</v>
      </c>
    </row>
    <row r="458" spans="1:23" ht="12.75" x14ac:dyDescent="0.2">
      <c r="A458" s="74" t="str">
        <f t="shared" si="14"/>
        <v>914.PnBac</v>
      </c>
      <c r="B458" s="28" t="s">
        <v>1732</v>
      </c>
      <c r="C458" s="79">
        <v>914</v>
      </c>
      <c r="D458" s="79"/>
      <c r="E458" s="79"/>
      <c r="F458" s="79">
        <v>914</v>
      </c>
      <c r="G458" s="28" t="s">
        <v>1733</v>
      </c>
      <c r="H458" s="79">
        <v>66</v>
      </c>
      <c r="I458" s="79"/>
      <c r="J458" s="79"/>
      <c r="K458" s="79"/>
      <c r="L458" s="791"/>
      <c r="M458" s="35"/>
      <c r="N458" s="36"/>
      <c r="O458" s="36"/>
      <c r="P458" s="35"/>
      <c r="Q458" s="36"/>
      <c r="R458" s="36"/>
      <c r="S458" s="792"/>
      <c r="T458" s="792"/>
      <c r="U458" s="781" t="s">
        <v>1734</v>
      </c>
      <c r="V458" s="80">
        <v>66</v>
      </c>
      <c r="W458" s="782" t="str">
        <f t="shared" si="15"/>
        <v>Praktika nach Bachelorstudium</v>
      </c>
    </row>
    <row r="459" spans="1:23" ht="12.75" x14ac:dyDescent="0.2">
      <c r="A459" s="74" t="str">
        <f t="shared" si="14"/>
        <v>914.PnMas</v>
      </c>
      <c r="B459" s="28" t="s">
        <v>1735</v>
      </c>
      <c r="C459" s="79">
        <v>914</v>
      </c>
      <c r="D459" s="79"/>
      <c r="E459" s="79"/>
      <c r="F459" s="79">
        <v>914</v>
      </c>
      <c r="G459" s="28" t="s">
        <v>1736</v>
      </c>
      <c r="H459" s="79">
        <v>65</v>
      </c>
      <c r="I459" s="79"/>
      <c r="J459" s="79"/>
      <c r="K459" s="79"/>
      <c r="L459" s="791"/>
      <c r="M459" s="35"/>
      <c r="N459" s="36"/>
      <c r="O459" s="36"/>
      <c r="P459" s="35"/>
      <c r="Q459" s="36"/>
      <c r="R459" s="36"/>
      <c r="S459" s="792"/>
      <c r="T459" s="792"/>
      <c r="U459" s="781" t="s">
        <v>1737</v>
      </c>
      <c r="V459" s="80">
        <v>65</v>
      </c>
      <c r="W459" s="782" t="str">
        <f t="shared" si="15"/>
        <v>Praktika nach Masterstudium</v>
      </c>
    </row>
    <row r="460" spans="1:23" ht="12.75" x14ac:dyDescent="0.2">
      <c r="A460" s="74" t="str">
        <f t="shared" si="14"/>
        <v>914.PsPG</v>
      </c>
      <c r="B460" s="28" t="s">
        <v>1738</v>
      </c>
      <c r="C460" s="79">
        <v>914</v>
      </c>
      <c r="D460" s="79"/>
      <c r="E460" s="79"/>
      <c r="F460" s="79">
        <v>914</v>
      </c>
      <c r="G460" s="28" t="s">
        <v>1739</v>
      </c>
      <c r="H460" s="79">
        <v>70</v>
      </c>
      <c r="I460" s="79"/>
      <c r="J460" s="79"/>
      <c r="K460" s="79"/>
      <c r="L460" s="791"/>
      <c r="M460" s="35"/>
      <c r="N460" s="36"/>
      <c r="O460" s="36"/>
      <c r="P460" s="35"/>
      <c r="Q460" s="36"/>
      <c r="R460" s="36"/>
      <c r="S460" s="792"/>
      <c r="T460" s="792"/>
      <c r="U460" s="781" t="s">
        <v>1740</v>
      </c>
      <c r="V460" s="80">
        <v>70</v>
      </c>
      <c r="W460" s="782" t="str">
        <f t="shared" si="15"/>
        <v>Psychologie Anerkennungspraktikum</v>
      </c>
    </row>
    <row r="461" spans="1:23" ht="12.75" x14ac:dyDescent="0.2">
      <c r="A461" s="74" t="str">
        <f t="shared" si="14"/>
        <v>920.00</v>
      </c>
      <c r="B461" s="28" t="s">
        <v>1741</v>
      </c>
      <c r="C461" s="79">
        <v>920</v>
      </c>
      <c r="D461" s="79"/>
      <c r="E461" s="79"/>
      <c r="F461" s="79">
        <v>920</v>
      </c>
      <c r="G461" s="28" t="s">
        <v>1742</v>
      </c>
      <c r="H461" s="79"/>
      <c r="I461" s="79"/>
      <c r="J461" s="79"/>
      <c r="K461" s="79"/>
      <c r="L461" s="791"/>
      <c r="M461" s="35"/>
      <c r="N461" s="36"/>
      <c r="O461" s="36"/>
      <c r="P461" s="35"/>
      <c r="Q461" s="36"/>
      <c r="R461" s="36"/>
      <c r="S461" s="792"/>
      <c r="T461" s="792"/>
      <c r="U461" s="781" t="s">
        <v>1743</v>
      </c>
      <c r="V461" s="77">
        <v>0</v>
      </c>
      <c r="W461" s="782" t="str">
        <f t="shared" si="15"/>
        <v>Dolmetscher</v>
      </c>
    </row>
    <row r="462" spans="1:23" ht="12.75" x14ac:dyDescent="0.2">
      <c r="A462" s="74" t="str">
        <f t="shared" si="14"/>
        <v>930.00</v>
      </c>
      <c r="B462" s="28" t="s">
        <v>1744</v>
      </c>
      <c r="C462" s="79">
        <v>930</v>
      </c>
      <c r="D462" s="79"/>
      <c r="E462" s="79"/>
      <c r="F462" s="79">
        <v>930</v>
      </c>
      <c r="G462" s="28" t="s">
        <v>1745</v>
      </c>
      <c r="H462" s="79"/>
      <c r="I462" s="79"/>
      <c r="J462" s="79"/>
      <c r="K462" s="79"/>
      <c r="L462" s="791"/>
      <c r="M462" s="35"/>
      <c r="N462" s="36"/>
      <c r="O462" s="36"/>
      <c r="P462" s="35"/>
      <c r="Q462" s="36"/>
      <c r="R462" s="36"/>
      <c r="S462" s="792"/>
      <c r="T462" s="792"/>
      <c r="U462" s="781" t="s">
        <v>1746</v>
      </c>
      <c r="V462" s="77">
        <v>0</v>
      </c>
      <c r="W462" s="782" t="str">
        <f t="shared" si="15"/>
        <v>Kursleiter</v>
      </c>
    </row>
    <row r="463" spans="1:23" ht="12.75" x14ac:dyDescent="0.2">
      <c r="A463" s="74" t="str">
        <f t="shared" si="14"/>
        <v>930.01</v>
      </c>
      <c r="B463" s="28" t="s">
        <v>1747</v>
      </c>
      <c r="C463" s="79">
        <v>930</v>
      </c>
      <c r="D463" s="79"/>
      <c r="E463" s="79"/>
      <c r="F463" s="79">
        <v>930</v>
      </c>
      <c r="G463" s="28" t="s">
        <v>1748</v>
      </c>
      <c r="H463" s="79"/>
      <c r="I463" s="79"/>
      <c r="J463" s="79"/>
      <c r="K463" s="79"/>
      <c r="L463" s="791"/>
      <c r="M463" s="35"/>
      <c r="N463" s="36"/>
      <c r="O463" s="36"/>
      <c r="P463" s="35"/>
      <c r="Q463" s="36"/>
      <c r="R463" s="36"/>
      <c r="S463" s="792"/>
      <c r="T463" s="792"/>
      <c r="U463" s="781" t="s">
        <v>1749</v>
      </c>
      <c r="V463" s="77">
        <v>0</v>
      </c>
      <c r="W463" s="782" t="str">
        <f t="shared" si="15"/>
        <v>Experten</v>
      </c>
    </row>
    <row r="464" spans="1:23" ht="12.75" x14ac:dyDescent="0.2">
      <c r="A464" s="74" t="str">
        <f t="shared" si="14"/>
        <v>930.03</v>
      </c>
      <c r="B464" s="28" t="s">
        <v>1750</v>
      </c>
      <c r="C464" s="79">
        <v>930</v>
      </c>
      <c r="D464" s="79"/>
      <c r="E464" s="79"/>
      <c r="F464" s="79">
        <v>930</v>
      </c>
      <c r="G464" s="28" t="s">
        <v>1751</v>
      </c>
      <c r="H464" s="79"/>
      <c r="I464" s="79"/>
      <c r="J464" s="79"/>
      <c r="K464" s="79"/>
      <c r="L464" s="791"/>
      <c r="M464" s="35"/>
      <c r="N464" s="36"/>
      <c r="O464" s="36"/>
      <c r="P464" s="35"/>
      <c r="Q464" s="36"/>
      <c r="R464" s="36"/>
      <c r="S464" s="792"/>
      <c r="T464" s="792"/>
      <c r="U464" s="781" t="s">
        <v>1752</v>
      </c>
      <c r="V464" s="77">
        <v>0</v>
      </c>
      <c r="W464" s="782" t="str">
        <f t="shared" si="15"/>
        <v>Nebenämter</v>
      </c>
    </row>
    <row r="465" spans="1:23" ht="12.75" x14ac:dyDescent="0.2">
      <c r="A465" s="74" t="str">
        <f t="shared" si="14"/>
        <v>930.04</v>
      </c>
      <c r="B465" s="28" t="s">
        <v>1753</v>
      </c>
      <c r="C465" s="79">
        <v>930</v>
      </c>
      <c r="D465" s="79"/>
      <c r="E465" s="79"/>
      <c r="F465" s="79">
        <v>930</v>
      </c>
      <c r="G465" s="28" t="s">
        <v>1754</v>
      </c>
      <c r="H465" s="79"/>
      <c r="I465" s="79"/>
      <c r="J465" s="79"/>
      <c r="K465" s="79"/>
      <c r="L465" s="791"/>
      <c r="M465" s="35"/>
      <c r="N465" s="36"/>
      <c r="O465" s="36"/>
      <c r="P465" s="35"/>
      <c r="Q465" s="36"/>
      <c r="R465" s="36"/>
      <c r="S465" s="792"/>
      <c r="T465" s="792"/>
      <c r="U465" s="781" t="s">
        <v>1755</v>
      </c>
      <c r="V465" s="77">
        <v>0</v>
      </c>
      <c r="W465" s="782" t="str">
        <f t="shared" si="15"/>
        <v>Künstler</v>
      </c>
    </row>
    <row r="466" spans="1:23" ht="12.75" x14ac:dyDescent="0.2">
      <c r="A466" s="74" t="str">
        <f t="shared" si="14"/>
        <v>996.00</v>
      </c>
      <c r="B466" s="28" t="s">
        <v>1756</v>
      </c>
      <c r="C466" s="79">
        <v>996</v>
      </c>
      <c r="D466" s="79"/>
      <c r="E466" s="79"/>
      <c r="F466" s="79">
        <v>996</v>
      </c>
      <c r="G466" s="28" t="s">
        <v>1757</v>
      </c>
      <c r="H466" s="79"/>
      <c r="I466" s="79"/>
      <c r="J466" s="79"/>
      <c r="K466" s="79"/>
      <c r="L466" s="791"/>
      <c r="M466" s="35"/>
      <c r="N466" s="36"/>
      <c r="O466" s="36"/>
      <c r="P466" s="35"/>
      <c r="Q466" s="36"/>
      <c r="R466" s="36"/>
      <c r="S466" s="792"/>
      <c r="T466" s="792"/>
      <c r="U466" s="781" t="s">
        <v>1758</v>
      </c>
      <c r="V466" s="77">
        <v>0</v>
      </c>
      <c r="W466" s="782" t="str">
        <f t="shared" si="15"/>
        <v>Präsident/-in Kantonsgericht</v>
      </c>
    </row>
    <row r="467" spans="1:23" ht="12.75" x14ac:dyDescent="0.2">
      <c r="A467" s="74" t="str">
        <f t="shared" si="14"/>
        <v>996.01</v>
      </c>
      <c r="B467" s="28" t="s">
        <v>1759</v>
      </c>
      <c r="C467" s="79">
        <v>996</v>
      </c>
      <c r="D467" s="79"/>
      <c r="E467" s="79"/>
      <c r="F467" s="79">
        <v>996</v>
      </c>
      <c r="G467" s="28" t="s">
        <v>1760</v>
      </c>
      <c r="H467" s="79"/>
      <c r="I467" s="79"/>
      <c r="J467" s="79"/>
      <c r="K467" s="79"/>
      <c r="L467" s="791"/>
      <c r="M467" s="35"/>
      <c r="N467" s="36"/>
      <c r="O467" s="36"/>
      <c r="P467" s="35"/>
      <c r="Q467" s="36"/>
      <c r="R467" s="36"/>
      <c r="S467" s="792"/>
      <c r="T467" s="792"/>
      <c r="U467" s="781" t="s">
        <v>1761</v>
      </c>
      <c r="V467" s="77">
        <v>0</v>
      </c>
      <c r="W467" s="782" t="str">
        <f t="shared" si="15"/>
        <v>Vizepräsident/-in Kantonsgericht</v>
      </c>
    </row>
    <row r="468" spans="1:23" ht="12.75" x14ac:dyDescent="0.2">
      <c r="A468" s="74" t="str">
        <f t="shared" si="14"/>
        <v>996.02</v>
      </c>
      <c r="B468" s="28" t="s">
        <v>1762</v>
      </c>
      <c r="C468" s="79">
        <v>996</v>
      </c>
      <c r="D468" s="79"/>
      <c r="E468" s="79"/>
      <c r="F468" s="79">
        <v>996</v>
      </c>
      <c r="G468" s="28" t="s">
        <v>1763</v>
      </c>
      <c r="H468" s="79"/>
      <c r="I468" s="79"/>
      <c r="J468" s="79"/>
      <c r="K468" s="79"/>
      <c r="L468" s="791"/>
      <c r="M468" s="35"/>
      <c r="N468" s="36"/>
      <c r="O468" s="36"/>
      <c r="P468" s="35"/>
      <c r="Q468" s="36"/>
      <c r="R468" s="36"/>
      <c r="S468" s="792"/>
      <c r="T468" s="792"/>
      <c r="U468" s="781" t="s">
        <v>1764</v>
      </c>
      <c r="V468" s="77">
        <v>0</v>
      </c>
      <c r="W468" s="782" t="str">
        <f t="shared" si="15"/>
        <v>Abt.präsident/-in Kantonsgericht</v>
      </c>
    </row>
    <row r="469" spans="1:23" ht="12.75" x14ac:dyDescent="0.2">
      <c r="A469" s="74" t="str">
        <f t="shared" si="14"/>
        <v>996.03</v>
      </c>
      <c r="B469" s="28" t="s">
        <v>1765</v>
      </c>
      <c r="C469" s="79">
        <v>996</v>
      </c>
      <c r="D469" s="79"/>
      <c r="E469" s="79"/>
      <c r="F469" s="79">
        <v>996</v>
      </c>
      <c r="G469" s="28" t="s">
        <v>1766</v>
      </c>
      <c r="H469" s="79"/>
      <c r="I469" s="79"/>
      <c r="J469" s="79"/>
      <c r="K469" s="79"/>
      <c r="L469" s="791"/>
      <c r="M469" s="35"/>
      <c r="N469" s="36"/>
      <c r="O469" s="36"/>
      <c r="P469" s="35"/>
      <c r="Q469" s="36"/>
      <c r="R469" s="36"/>
      <c r="S469" s="792"/>
      <c r="T469" s="792"/>
      <c r="U469" s="781" t="s">
        <v>1767</v>
      </c>
      <c r="V469" s="77">
        <v>0</v>
      </c>
      <c r="W469" s="782" t="str">
        <f t="shared" si="15"/>
        <v>Abt.-Vizepräs. Kantonsgericht</v>
      </c>
    </row>
    <row r="470" spans="1:23" ht="12.75" x14ac:dyDescent="0.2">
      <c r="A470" s="74" t="str">
        <f t="shared" si="14"/>
        <v>996.04</v>
      </c>
      <c r="B470" s="28" t="s">
        <v>1768</v>
      </c>
      <c r="C470" s="79">
        <v>996</v>
      </c>
      <c r="D470" s="79"/>
      <c r="E470" s="79"/>
      <c r="F470" s="79">
        <v>996</v>
      </c>
      <c r="G470" s="28" t="s">
        <v>1769</v>
      </c>
      <c r="H470" s="79"/>
      <c r="I470" s="79"/>
      <c r="J470" s="79"/>
      <c r="K470" s="79"/>
      <c r="L470" s="791"/>
      <c r="M470" s="35"/>
      <c r="N470" s="36"/>
      <c r="O470" s="36"/>
      <c r="P470" s="35"/>
      <c r="Q470" s="36"/>
      <c r="R470" s="36"/>
      <c r="S470" s="792"/>
      <c r="T470" s="792"/>
      <c r="U470" s="781" t="s">
        <v>1770</v>
      </c>
      <c r="V470" s="77">
        <v>0</v>
      </c>
      <c r="W470" s="782" t="str">
        <f t="shared" si="15"/>
        <v>Kantonsrichter</v>
      </c>
    </row>
    <row r="471" spans="1:23" ht="12.75" x14ac:dyDescent="0.2">
      <c r="A471" s="74" t="str">
        <f t="shared" si="14"/>
        <v>996.05</v>
      </c>
      <c r="B471" s="28" t="s">
        <v>1771</v>
      </c>
      <c r="C471" s="79">
        <v>996</v>
      </c>
      <c r="D471" s="79"/>
      <c r="E471" s="79"/>
      <c r="F471" s="79">
        <v>996</v>
      </c>
      <c r="G471" s="28" t="s">
        <v>1772</v>
      </c>
      <c r="H471" s="79"/>
      <c r="I471" s="79"/>
      <c r="J471" s="79"/>
      <c r="K471" s="79"/>
      <c r="L471" s="791"/>
      <c r="M471" s="35"/>
      <c r="N471" s="36"/>
      <c r="O471" s="36"/>
      <c r="P471" s="35"/>
      <c r="Q471" s="36"/>
      <c r="R471" s="36"/>
      <c r="S471" s="792"/>
      <c r="T471" s="792"/>
      <c r="U471" s="781" t="s">
        <v>1773</v>
      </c>
      <c r="V471" s="77">
        <v>0</v>
      </c>
      <c r="W471" s="782" t="str">
        <f t="shared" si="15"/>
        <v>Friedensrichter</v>
      </c>
    </row>
    <row r="472" spans="1:23" ht="12.75" x14ac:dyDescent="0.2">
      <c r="A472" s="74" t="str">
        <f t="shared" si="14"/>
        <v>996.06</v>
      </c>
      <c r="B472" s="28" t="s">
        <v>1774</v>
      </c>
      <c r="C472" s="79">
        <v>996</v>
      </c>
      <c r="D472" s="79"/>
      <c r="E472" s="79"/>
      <c r="F472" s="79">
        <v>996</v>
      </c>
      <c r="G472" s="28" t="s">
        <v>1775</v>
      </c>
      <c r="H472" s="79"/>
      <c r="I472" s="79"/>
      <c r="J472" s="79"/>
      <c r="K472" s="79"/>
      <c r="L472" s="791"/>
      <c r="M472" s="35"/>
      <c r="N472" s="36"/>
      <c r="O472" s="36"/>
      <c r="P472" s="35"/>
      <c r="Q472" s="36"/>
      <c r="R472" s="36"/>
      <c r="S472" s="792"/>
      <c r="T472" s="792"/>
      <c r="U472" s="781" t="s">
        <v>1776</v>
      </c>
      <c r="V472" s="77">
        <v>0</v>
      </c>
      <c r="W472" s="782" t="str">
        <f t="shared" si="15"/>
        <v>Erstinstanzpräsidium</v>
      </c>
    </row>
    <row r="473" spans="1:23" ht="12.75" x14ac:dyDescent="0.2">
      <c r="A473" s="74" t="str">
        <f t="shared" si="14"/>
        <v>996.07</v>
      </c>
      <c r="B473" s="28" t="s">
        <v>1777</v>
      </c>
      <c r="C473" s="79">
        <v>996</v>
      </c>
      <c r="D473" s="79"/>
      <c r="E473" s="79"/>
      <c r="F473" s="79">
        <v>996</v>
      </c>
      <c r="G473" s="28" t="s">
        <v>1778</v>
      </c>
      <c r="H473" s="79"/>
      <c r="I473" s="79"/>
      <c r="J473" s="79"/>
      <c r="K473" s="79"/>
      <c r="L473" s="791"/>
      <c r="M473" s="35"/>
      <c r="N473" s="36"/>
      <c r="O473" s="36"/>
      <c r="P473" s="35"/>
      <c r="Q473" s="36"/>
      <c r="R473" s="36"/>
      <c r="S473" s="792"/>
      <c r="T473" s="792"/>
      <c r="U473" s="781" t="s">
        <v>1779</v>
      </c>
      <c r="V473" s="77">
        <v>0</v>
      </c>
      <c r="W473" s="782" t="str">
        <f t="shared" si="15"/>
        <v>Erstinstanzrichter</v>
      </c>
    </row>
    <row r="474" spans="1:23" ht="12.75" x14ac:dyDescent="0.2">
      <c r="A474" s="74" t="str">
        <f t="shared" si="14"/>
        <v>997.00</v>
      </c>
      <c r="B474" s="28" t="s">
        <v>1780</v>
      </c>
      <c r="C474" s="79">
        <v>997</v>
      </c>
      <c r="D474" s="79"/>
      <c r="E474" s="79"/>
      <c r="F474" s="79">
        <v>997</v>
      </c>
      <c r="G474" s="28" t="s">
        <v>1781</v>
      </c>
      <c r="H474" s="79"/>
      <c r="I474" s="79"/>
      <c r="J474" s="79"/>
      <c r="K474" s="79"/>
      <c r="L474" s="791"/>
      <c r="M474" s="35"/>
      <c r="N474" s="36"/>
      <c r="O474" s="36"/>
      <c r="P474" s="35"/>
      <c r="Q474" s="36"/>
      <c r="R474" s="36"/>
      <c r="S474" s="792"/>
      <c r="T474" s="792"/>
      <c r="U474" s="781" t="s">
        <v>1782</v>
      </c>
      <c r="V474" s="77">
        <v>0</v>
      </c>
      <c r="W474" s="782" t="str">
        <f t="shared" si="15"/>
        <v>Erster Staatsanwalt/-anwältin</v>
      </c>
    </row>
    <row r="475" spans="1:23" ht="12.75" x14ac:dyDescent="0.2">
      <c r="A475" s="74" t="str">
        <f t="shared" si="14"/>
        <v>997.01</v>
      </c>
      <c r="B475" s="28" t="s">
        <v>1783</v>
      </c>
      <c r="C475" s="79">
        <v>997</v>
      </c>
      <c r="D475" s="79"/>
      <c r="E475" s="79"/>
      <c r="F475" s="79">
        <v>997</v>
      </c>
      <c r="G475" s="28" t="s">
        <v>1784</v>
      </c>
      <c r="H475" s="79"/>
      <c r="I475" s="79"/>
      <c r="J475" s="79"/>
      <c r="K475" s="79"/>
      <c r="L475" s="791"/>
      <c r="M475" s="35"/>
      <c r="N475" s="36"/>
      <c r="O475" s="36"/>
      <c r="P475" s="35"/>
      <c r="Q475" s="36"/>
      <c r="R475" s="36"/>
      <c r="S475" s="792"/>
      <c r="T475" s="792"/>
      <c r="U475" s="781" t="s">
        <v>1785</v>
      </c>
      <c r="V475" s="77">
        <v>0</v>
      </c>
      <c r="W475" s="782" t="str">
        <f t="shared" si="15"/>
        <v>Leiternder Staatsanwalt I</v>
      </c>
    </row>
    <row r="476" spans="1:23" ht="12.75" x14ac:dyDescent="0.2">
      <c r="A476" s="74" t="str">
        <f t="shared" si="14"/>
        <v>998.00</v>
      </c>
      <c r="B476" s="28" t="s">
        <v>1786</v>
      </c>
      <c r="C476" s="79">
        <v>998</v>
      </c>
      <c r="D476" s="79"/>
      <c r="E476" s="79"/>
      <c r="F476" s="79">
        <v>998</v>
      </c>
      <c r="G476" s="28" t="s">
        <v>1787</v>
      </c>
      <c r="H476" s="79"/>
      <c r="I476" s="79"/>
      <c r="J476" s="79"/>
      <c r="K476" s="79"/>
      <c r="L476" s="791"/>
      <c r="M476" s="35"/>
      <c r="N476" s="36"/>
      <c r="O476" s="36"/>
      <c r="P476" s="35"/>
      <c r="Q476" s="36"/>
      <c r="R476" s="36"/>
      <c r="S476" s="792"/>
      <c r="T476" s="792"/>
      <c r="U476" s="781" t="s">
        <v>1788</v>
      </c>
      <c r="V476" s="77">
        <v>0</v>
      </c>
      <c r="W476" s="782" t="str">
        <f t="shared" si="15"/>
        <v>Landschreiber</v>
      </c>
    </row>
    <row r="477" spans="1:23" ht="12.75" x14ac:dyDescent="0.2">
      <c r="A477" s="74" t="str">
        <f t="shared" si="14"/>
        <v>998.01</v>
      </c>
      <c r="B477" s="28" t="s">
        <v>1789</v>
      </c>
      <c r="C477" s="79">
        <v>998</v>
      </c>
      <c r="D477" s="79"/>
      <c r="E477" s="79"/>
      <c r="F477" s="79">
        <v>998</v>
      </c>
      <c r="G477" s="28" t="s">
        <v>1790</v>
      </c>
      <c r="H477" s="79"/>
      <c r="I477" s="79"/>
      <c r="J477" s="79"/>
      <c r="K477" s="79"/>
      <c r="L477" s="791"/>
      <c r="M477" s="35"/>
      <c r="N477" s="36"/>
      <c r="O477" s="36"/>
      <c r="P477" s="35"/>
      <c r="Q477" s="36"/>
      <c r="R477" s="36"/>
      <c r="S477" s="792"/>
      <c r="T477" s="792"/>
      <c r="U477" s="781" t="s">
        <v>1791</v>
      </c>
      <c r="V477" s="77">
        <v>0</v>
      </c>
      <c r="W477" s="782" t="str">
        <f t="shared" si="15"/>
        <v>Vorsteher Finanzkontrolle</v>
      </c>
    </row>
    <row r="478" spans="1:23" ht="12.75" x14ac:dyDescent="0.2">
      <c r="A478" s="74" t="str">
        <f t="shared" si="14"/>
        <v>998.02</v>
      </c>
      <c r="B478" s="28" t="s">
        <v>1792</v>
      </c>
      <c r="C478" s="79">
        <v>998</v>
      </c>
      <c r="D478" s="79"/>
      <c r="E478" s="79"/>
      <c r="F478" s="79">
        <v>998</v>
      </c>
      <c r="G478" s="28" t="s">
        <v>1793</v>
      </c>
      <c r="H478" s="79"/>
      <c r="I478" s="79"/>
      <c r="J478" s="79"/>
      <c r="K478" s="79"/>
      <c r="L478" s="791"/>
      <c r="M478" s="35"/>
      <c r="N478" s="36"/>
      <c r="O478" s="36"/>
      <c r="P478" s="35"/>
      <c r="Q478" s="36"/>
      <c r="R478" s="36"/>
      <c r="S478" s="792"/>
      <c r="T478" s="792"/>
      <c r="U478" s="781" t="s">
        <v>1794</v>
      </c>
      <c r="V478" s="77">
        <v>0</v>
      </c>
      <c r="W478" s="782" t="str">
        <f t="shared" si="15"/>
        <v>Vorsteher Datenschutzstelle</v>
      </c>
    </row>
    <row r="479" spans="1:23" ht="12.75" x14ac:dyDescent="0.2">
      <c r="A479" s="74" t="str">
        <f t="shared" si="14"/>
        <v>998.03</v>
      </c>
      <c r="B479" s="28" t="s">
        <v>1795</v>
      </c>
      <c r="C479" s="79">
        <v>998</v>
      </c>
      <c r="D479" s="79"/>
      <c r="E479" s="79"/>
      <c r="F479" s="79">
        <v>998</v>
      </c>
      <c r="G479" s="28" t="s">
        <v>1796</v>
      </c>
      <c r="H479" s="79"/>
      <c r="I479" s="79"/>
      <c r="J479" s="79"/>
      <c r="K479" s="79"/>
      <c r="L479" s="791"/>
      <c r="M479" s="35"/>
      <c r="N479" s="36"/>
      <c r="O479" s="36"/>
      <c r="P479" s="35"/>
      <c r="Q479" s="36"/>
      <c r="R479" s="36"/>
      <c r="S479" s="792"/>
      <c r="T479" s="792"/>
      <c r="U479" s="781" t="s">
        <v>1797</v>
      </c>
      <c r="V479" s="77">
        <v>0</v>
      </c>
      <c r="W479" s="782" t="str">
        <f t="shared" si="15"/>
        <v>Ombudsman</v>
      </c>
    </row>
    <row r="480" spans="1:23" ht="12.75" x14ac:dyDescent="0.2">
      <c r="A480" s="74" t="str">
        <f t="shared" si="14"/>
        <v>999.00</v>
      </c>
      <c r="B480" s="28" t="s">
        <v>1798</v>
      </c>
      <c r="C480" s="79">
        <v>999</v>
      </c>
      <c r="D480" s="79"/>
      <c r="E480" s="79"/>
      <c r="F480" s="79">
        <v>999</v>
      </c>
      <c r="G480" s="28" t="s">
        <v>1799</v>
      </c>
      <c r="H480" s="79"/>
      <c r="I480" s="79"/>
      <c r="J480" s="79"/>
      <c r="K480" s="79"/>
      <c r="L480" s="791"/>
      <c r="M480" s="35"/>
      <c r="N480" s="36"/>
      <c r="O480" s="36"/>
      <c r="P480" s="35"/>
      <c r="Q480" s="36"/>
      <c r="R480" s="36"/>
      <c r="S480" s="792"/>
      <c r="T480" s="792"/>
      <c r="U480" s="781" t="s">
        <v>1800</v>
      </c>
      <c r="V480" s="77">
        <v>0</v>
      </c>
      <c r="W480" s="782" t="str">
        <f t="shared" si="15"/>
        <v>Regierungsrat</v>
      </c>
    </row>
    <row r="481" spans="1:23" ht="12.75" x14ac:dyDescent="0.2">
      <c r="A481" s="74" t="str">
        <f t="shared" si="14"/>
        <v>999.03</v>
      </c>
      <c r="B481" s="28" t="s">
        <v>1801</v>
      </c>
      <c r="C481" s="79">
        <v>999</v>
      </c>
      <c r="D481" s="79"/>
      <c r="E481" s="79"/>
      <c r="F481" s="79">
        <v>999</v>
      </c>
      <c r="G481" s="28" t="s">
        <v>1802</v>
      </c>
      <c r="H481" s="79"/>
      <c r="I481" s="79"/>
      <c r="J481" s="79"/>
      <c r="K481" s="79"/>
      <c r="L481" s="791"/>
      <c r="M481" s="35"/>
      <c r="N481" s="36"/>
      <c r="O481" s="36"/>
      <c r="P481" s="35"/>
      <c r="Q481" s="36"/>
      <c r="R481" s="36"/>
      <c r="S481" s="792"/>
      <c r="T481" s="792"/>
      <c r="U481" s="781" t="s">
        <v>1803</v>
      </c>
      <c r="V481" s="77">
        <v>0</v>
      </c>
      <c r="W481" s="782" t="str">
        <f t="shared" si="15"/>
        <v>Landrat</v>
      </c>
    </row>
    <row r="482" spans="1:23" ht="12.75" x14ac:dyDescent="0.2">
      <c r="A482" s="74" t="str">
        <f t="shared" si="14"/>
        <v>deaktiviert</v>
      </c>
      <c r="B482" s="783" t="s">
        <v>1939</v>
      </c>
      <c r="C482" s="72" t="s">
        <v>1247</v>
      </c>
      <c r="D482" s="72" t="s">
        <v>66</v>
      </c>
      <c r="E482" s="72" t="s">
        <v>1248</v>
      </c>
      <c r="F482" s="72" t="s">
        <v>46</v>
      </c>
      <c r="G482" s="71" t="s">
        <v>47</v>
      </c>
      <c r="H482" s="72">
        <v>13</v>
      </c>
      <c r="I482" s="72"/>
      <c r="J482" s="72">
        <v>7</v>
      </c>
      <c r="K482" s="72">
        <v>6</v>
      </c>
      <c r="L482" s="779" t="s">
        <v>673</v>
      </c>
      <c r="M482" s="73"/>
      <c r="N482" s="30"/>
      <c r="O482" s="30"/>
      <c r="P482" s="73"/>
      <c r="Q482" s="30"/>
      <c r="R482" s="30"/>
      <c r="S482" s="780" t="s">
        <v>65</v>
      </c>
      <c r="T482" s="780" t="s">
        <v>65</v>
      </c>
      <c r="U482" s="781" t="s">
        <v>1940</v>
      </c>
      <c r="V482" s="782">
        <v>13</v>
      </c>
      <c r="W482" s="782" t="str">
        <f t="shared" si="15"/>
        <v>Sachbearbeitung 2 (mbA)</v>
      </c>
    </row>
    <row r="483" spans="1:23" ht="12.75" x14ac:dyDescent="0.2">
      <c r="A483" s="74" t="str">
        <f t="shared" si="14"/>
        <v>deaktiviert</v>
      </c>
      <c r="B483" s="71" t="s">
        <v>1939</v>
      </c>
      <c r="C483" s="72" t="s">
        <v>1247</v>
      </c>
      <c r="D483" s="72" t="s">
        <v>67</v>
      </c>
      <c r="E483" s="72" t="s">
        <v>1249</v>
      </c>
      <c r="F483" s="72" t="s">
        <v>46</v>
      </c>
      <c r="G483" s="71" t="s">
        <v>47</v>
      </c>
      <c r="H483" s="72">
        <v>13</v>
      </c>
      <c r="I483" s="72"/>
      <c r="J483" s="72">
        <v>7</v>
      </c>
      <c r="K483" s="72">
        <v>6</v>
      </c>
      <c r="L483" s="779" t="s">
        <v>673</v>
      </c>
      <c r="M483" s="73"/>
      <c r="N483" s="30"/>
      <c r="O483" s="30"/>
      <c r="P483" s="73"/>
      <c r="Q483" s="30"/>
      <c r="R483" s="30"/>
      <c r="S483" s="780" t="s">
        <v>65</v>
      </c>
      <c r="T483" s="780" t="s">
        <v>65</v>
      </c>
      <c r="U483" s="781" t="s">
        <v>1940</v>
      </c>
      <c r="V483" s="782">
        <v>13</v>
      </c>
      <c r="W483" s="782" t="str">
        <f t="shared" si="15"/>
        <v>Sachbearbeitung 2 (mbA)</v>
      </c>
    </row>
    <row r="484" spans="1:23" ht="12.75" x14ac:dyDescent="0.2">
      <c r="A484" s="74" t="str">
        <f t="shared" si="14"/>
        <v>deaktiviert</v>
      </c>
      <c r="B484" s="71" t="s">
        <v>1939</v>
      </c>
      <c r="C484" s="72" t="s">
        <v>1247</v>
      </c>
      <c r="D484" s="72" t="s">
        <v>66</v>
      </c>
      <c r="E484" s="72" t="s">
        <v>1252</v>
      </c>
      <c r="F484" s="72" t="s">
        <v>46</v>
      </c>
      <c r="G484" s="71" t="s">
        <v>47</v>
      </c>
      <c r="H484" s="72">
        <v>15</v>
      </c>
      <c r="I484" s="72"/>
      <c r="J484" s="72">
        <v>7</v>
      </c>
      <c r="K484" s="72">
        <v>2</v>
      </c>
      <c r="L484" s="779" t="s">
        <v>673</v>
      </c>
      <c r="M484" s="73"/>
      <c r="N484" s="30">
        <v>5.5</v>
      </c>
      <c r="O484" s="30">
        <v>6</v>
      </c>
      <c r="P484" s="73"/>
      <c r="Q484" s="30"/>
      <c r="R484" s="30"/>
      <c r="S484" s="780" t="s">
        <v>671</v>
      </c>
      <c r="T484" s="780" t="s">
        <v>65</v>
      </c>
      <c r="U484" s="781" t="s">
        <v>1940</v>
      </c>
      <c r="V484" s="782">
        <v>15</v>
      </c>
      <c r="W484" s="782" t="str">
        <f t="shared" si="15"/>
        <v>Sachbearbeitung 2 (mbA)</v>
      </c>
    </row>
    <row r="485" spans="1:23" ht="12.75" x14ac:dyDescent="0.2">
      <c r="A485" s="74" t="str">
        <f t="shared" si="14"/>
        <v>deaktiviert</v>
      </c>
      <c r="B485" s="71" t="s">
        <v>1939</v>
      </c>
      <c r="C485" s="72" t="s">
        <v>1247</v>
      </c>
      <c r="D485" s="72" t="s">
        <v>67</v>
      </c>
      <c r="E485" s="72" t="s">
        <v>1253</v>
      </c>
      <c r="F485" s="72" t="s">
        <v>46</v>
      </c>
      <c r="G485" s="71" t="s">
        <v>47</v>
      </c>
      <c r="H485" s="72">
        <v>15</v>
      </c>
      <c r="I485" s="72"/>
      <c r="J485" s="72">
        <v>7</v>
      </c>
      <c r="K485" s="72">
        <v>2</v>
      </c>
      <c r="L485" s="779" t="s">
        <v>673</v>
      </c>
      <c r="M485" s="73"/>
      <c r="N485" s="30">
        <v>5.5</v>
      </c>
      <c r="O485" s="30">
        <v>6</v>
      </c>
      <c r="P485" s="73"/>
      <c r="Q485" s="30"/>
      <c r="R485" s="30"/>
      <c r="S485" s="780" t="s">
        <v>671</v>
      </c>
      <c r="T485" s="780" t="s">
        <v>65</v>
      </c>
      <c r="U485" s="781" t="s">
        <v>1940</v>
      </c>
      <c r="V485" s="782">
        <v>15</v>
      </c>
      <c r="W485" s="782" t="str">
        <f t="shared" si="15"/>
        <v>Sachbearbeitung 2 (mbA)</v>
      </c>
    </row>
    <row r="486" spans="1:23" ht="12.75" x14ac:dyDescent="0.2">
      <c r="A486" s="74" t="str">
        <f t="shared" si="14"/>
        <v>deaktiviert</v>
      </c>
      <c r="B486" s="71" t="s">
        <v>1939</v>
      </c>
      <c r="C486" s="72" t="s">
        <v>1247</v>
      </c>
      <c r="D486" s="72" t="s">
        <v>66</v>
      </c>
      <c r="E486" s="72" t="s">
        <v>1256</v>
      </c>
      <c r="F486" s="72" t="s">
        <v>46</v>
      </c>
      <c r="G486" s="71" t="s">
        <v>47</v>
      </c>
      <c r="H486" s="72">
        <v>17</v>
      </c>
      <c r="I486" s="72"/>
      <c r="J486" s="72">
        <v>5</v>
      </c>
      <c r="K486" s="72">
        <v>5</v>
      </c>
      <c r="L486" s="779" t="s">
        <v>87</v>
      </c>
      <c r="M486" s="73"/>
      <c r="N486" s="30">
        <v>5.5</v>
      </c>
      <c r="O486" s="30">
        <v>2</v>
      </c>
      <c r="P486" s="73"/>
      <c r="Q486" s="30"/>
      <c r="R486" s="30"/>
      <c r="S486" s="780" t="s">
        <v>671</v>
      </c>
      <c r="T486" s="780" t="s">
        <v>65</v>
      </c>
      <c r="U486" s="781" t="s">
        <v>1940</v>
      </c>
      <c r="V486" s="782">
        <v>17</v>
      </c>
      <c r="W486" s="782" t="str">
        <f t="shared" si="15"/>
        <v>Sachbearbeitung 2 (mbA)</v>
      </c>
    </row>
    <row r="487" spans="1:23" ht="12.75" x14ac:dyDescent="0.2">
      <c r="A487" s="74" t="str">
        <f t="shared" si="14"/>
        <v>deaktiviert</v>
      </c>
      <c r="B487" s="71" t="s">
        <v>1939</v>
      </c>
      <c r="C487" s="72" t="s">
        <v>1247</v>
      </c>
      <c r="D487" s="72" t="s">
        <v>67</v>
      </c>
      <c r="E487" s="72" t="s">
        <v>1257</v>
      </c>
      <c r="F487" s="72" t="s">
        <v>46</v>
      </c>
      <c r="G487" s="71" t="s">
        <v>47</v>
      </c>
      <c r="H487" s="72">
        <v>17</v>
      </c>
      <c r="I487" s="72"/>
      <c r="J487" s="72">
        <v>5</v>
      </c>
      <c r="K487" s="72">
        <v>5</v>
      </c>
      <c r="L487" s="779" t="s">
        <v>87</v>
      </c>
      <c r="M487" s="73"/>
      <c r="N487" s="30">
        <v>5.5</v>
      </c>
      <c r="O487" s="30">
        <v>2</v>
      </c>
      <c r="P487" s="73"/>
      <c r="Q487" s="30"/>
      <c r="R487" s="30"/>
      <c r="S487" s="780" t="s">
        <v>671</v>
      </c>
      <c r="T487" s="780" t="s">
        <v>65</v>
      </c>
      <c r="U487" s="781" t="s">
        <v>1940</v>
      </c>
      <c r="V487" s="782">
        <v>17</v>
      </c>
      <c r="W487" s="782" t="str">
        <f t="shared" si="15"/>
        <v>Sachbearbeitung 2 (mbA)</v>
      </c>
    </row>
    <row r="488" spans="1:23" ht="12.75" x14ac:dyDescent="0.2">
      <c r="A488" s="74" t="str">
        <f t="shared" ref="A488:A529" si="16">RIGHT(B488,LEN(B488)-1)</f>
        <v>deaktiviert</v>
      </c>
      <c r="B488" s="71" t="s">
        <v>1939</v>
      </c>
      <c r="C488" s="72" t="s">
        <v>1247</v>
      </c>
      <c r="D488" s="72" t="s">
        <v>66</v>
      </c>
      <c r="E488" s="72" t="s">
        <v>1260</v>
      </c>
      <c r="F488" s="72" t="s">
        <v>46</v>
      </c>
      <c r="G488" s="71" t="s">
        <v>47</v>
      </c>
      <c r="H488" s="72">
        <v>19</v>
      </c>
      <c r="I488" s="72"/>
      <c r="J488" s="72">
        <v>5</v>
      </c>
      <c r="K488" s="72">
        <v>1</v>
      </c>
      <c r="L488" s="779" t="s">
        <v>87</v>
      </c>
      <c r="M488" s="73"/>
      <c r="N488" s="30"/>
      <c r="O488" s="30"/>
      <c r="P488" s="73"/>
      <c r="Q488" s="30"/>
      <c r="R488" s="30"/>
      <c r="S488" s="780" t="s">
        <v>65</v>
      </c>
      <c r="T488" s="780" t="s">
        <v>65</v>
      </c>
      <c r="U488" s="781" t="s">
        <v>1940</v>
      </c>
      <c r="V488" s="782">
        <v>19</v>
      </c>
      <c r="W488" s="782" t="str">
        <f t="shared" si="15"/>
        <v>Sachbearbeitung 2 (mbA)</v>
      </c>
    </row>
    <row r="489" spans="1:23" ht="12.75" x14ac:dyDescent="0.2">
      <c r="A489" s="74" t="str">
        <f t="shared" si="16"/>
        <v>deaktiviert</v>
      </c>
      <c r="B489" s="71" t="s">
        <v>1939</v>
      </c>
      <c r="C489" s="72" t="s">
        <v>1247</v>
      </c>
      <c r="D489" s="72" t="s">
        <v>67</v>
      </c>
      <c r="E489" s="72" t="s">
        <v>1261</v>
      </c>
      <c r="F489" s="72" t="s">
        <v>46</v>
      </c>
      <c r="G489" s="71" t="s">
        <v>47</v>
      </c>
      <c r="H489" s="72">
        <v>19</v>
      </c>
      <c r="I489" s="72"/>
      <c r="J489" s="72">
        <v>5</v>
      </c>
      <c r="K489" s="72">
        <v>1</v>
      </c>
      <c r="L489" s="779" t="s">
        <v>87</v>
      </c>
      <c r="M489" s="73"/>
      <c r="N489" s="30"/>
      <c r="O489" s="30"/>
      <c r="P489" s="73"/>
      <c r="Q489" s="30"/>
      <c r="R489" s="30"/>
      <c r="S489" s="780" t="s">
        <v>65</v>
      </c>
      <c r="T489" s="780" t="s">
        <v>65</v>
      </c>
      <c r="U489" s="781" t="s">
        <v>1940</v>
      </c>
      <c r="V489" s="782">
        <v>19</v>
      </c>
      <c r="W489" s="782" t="str">
        <f t="shared" si="15"/>
        <v>Sachbearbeitung 2 (mbA)</v>
      </c>
    </row>
    <row r="490" spans="1:23" ht="12.75" x14ac:dyDescent="0.2">
      <c r="A490" s="74" t="str">
        <f t="shared" si="16"/>
        <v>deaktiviert</v>
      </c>
      <c r="B490" s="71" t="s">
        <v>1939</v>
      </c>
      <c r="C490" s="72" t="s">
        <v>1262</v>
      </c>
      <c r="D490" s="72" t="s">
        <v>66</v>
      </c>
      <c r="E490" s="72" t="s">
        <v>1263</v>
      </c>
      <c r="F490" s="72" t="s">
        <v>48</v>
      </c>
      <c r="G490" s="71" t="s">
        <v>49</v>
      </c>
      <c r="H490" s="72">
        <v>7</v>
      </c>
      <c r="I490" s="72"/>
      <c r="J490" s="72">
        <v>9.5</v>
      </c>
      <c r="K490" s="72">
        <v>6</v>
      </c>
      <c r="L490" s="779" t="s">
        <v>347</v>
      </c>
      <c r="M490" s="73"/>
      <c r="N490" s="30"/>
      <c r="O490" s="30"/>
      <c r="P490" s="73"/>
      <c r="Q490" s="30"/>
      <c r="R490" s="30"/>
      <c r="S490" s="780" t="s">
        <v>65</v>
      </c>
      <c r="T490" s="780" t="s">
        <v>65</v>
      </c>
      <c r="U490" s="781" t="s">
        <v>1940</v>
      </c>
      <c r="V490" s="782">
        <v>7</v>
      </c>
      <c r="W490" s="782" t="str">
        <f t="shared" si="15"/>
        <v>Sachbearbeitung 1 (wiss.)</v>
      </c>
    </row>
    <row r="491" spans="1:23" ht="12.75" x14ac:dyDescent="0.2">
      <c r="A491" s="74" t="str">
        <f t="shared" si="16"/>
        <v>deaktiviert</v>
      </c>
      <c r="B491" s="71" t="s">
        <v>1939</v>
      </c>
      <c r="C491" s="72" t="s">
        <v>1262</v>
      </c>
      <c r="D491" s="72" t="s">
        <v>67</v>
      </c>
      <c r="E491" s="72" t="s">
        <v>1264</v>
      </c>
      <c r="F491" s="72" t="s">
        <v>48</v>
      </c>
      <c r="G491" s="71" t="s">
        <v>49</v>
      </c>
      <c r="H491" s="72">
        <v>7</v>
      </c>
      <c r="I491" s="72"/>
      <c r="J491" s="72">
        <v>9.5</v>
      </c>
      <c r="K491" s="72">
        <v>6</v>
      </c>
      <c r="L491" s="779" t="s">
        <v>347</v>
      </c>
      <c r="M491" s="73"/>
      <c r="N491" s="30"/>
      <c r="O491" s="30"/>
      <c r="P491" s="73"/>
      <c r="Q491" s="30"/>
      <c r="R491" s="30"/>
      <c r="S491" s="780" t="s">
        <v>65</v>
      </c>
      <c r="T491" s="780" t="s">
        <v>65</v>
      </c>
      <c r="U491" s="781" t="s">
        <v>1940</v>
      </c>
      <c r="V491" s="782">
        <v>7</v>
      </c>
      <c r="W491" s="782" t="str">
        <f t="shared" si="15"/>
        <v>Sachbearbeitung 1 (wiss.)</v>
      </c>
    </row>
    <row r="492" spans="1:23" ht="12.75" x14ac:dyDescent="0.2">
      <c r="A492" s="74" t="str">
        <f t="shared" si="16"/>
        <v>deaktiviert</v>
      </c>
      <c r="B492" s="783" t="s">
        <v>1939</v>
      </c>
      <c r="C492" s="72" t="s">
        <v>1262</v>
      </c>
      <c r="D492" s="72" t="s">
        <v>67</v>
      </c>
      <c r="E492" s="72" t="s">
        <v>1266</v>
      </c>
      <c r="F492" s="72" t="s">
        <v>48</v>
      </c>
      <c r="G492" s="71" t="s">
        <v>49</v>
      </c>
      <c r="H492" s="72">
        <v>8</v>
      </c>
      <c r="I492" s="72">
        <v>593.4</v>
      </c>
      <c r="J492" s="72">
        <v>9.5</v>
      </c>
      <c r="K492" s="72">
        <v>4</v>
      </c>
      <c r="L492" s="779" t="s">
        <v>347</v>
      </c>
      <c r="M492" s="73"/>
      <c r="N492" s="30"/>
      <c r="O492" s="30"/>
      <c r="P492" s="73"/>
      <c r="Q492" s="30"/>
      <c r="R492" s="30"/>
      <c r="S492" s="780" t="s">
        <v>65</v>
      </c>
      <c r="T492" s="780" t="s">
        <v>65</v>
      </c>
      <c r="U492" s="781" t="s">
        <v>1940</v>
      </c>
      <c r="V492" s="782">
        <v>8</v>
      </c>
      <c r="W492" s="782" t="str">
        <f t="shared" si="15"/>
        <v>Sachbearbeitung 1 (wiss.)</v>
      </c>
    </row>
    <row r="493" spans="1:23" ht="12.75" x14ac:dyDescent="0.2">
      <c r="A493" s="74" t="str">
        <f t="shared" si="16"/>
        <v>deaktiviert</v>
      </c>
      <c r="B493" s="71" t="s">
        <v>1939</v>
      </c>
      <c r="C493" s="72" t="s">
        <v>1262</v>
      </c>
      <c r="D493" s="72" t="s">
        <v>66</v>
      </c>
      <c r="E493" s="72" t="s">
        <v>1268</v>
      </c>
      <c r="F493" s="72" t="s">
        <v>48</v>
      </c>
      <c r="G493" s="71" t="s">
        <v>49</v>
      </c>
      <c r="H493" s="72">
        <v>9</v>
      </c>
      <c r="I493" s="72"/>
      <c r="J493" s="72">
        <v>9.5</v>
      </c>
      <c r="K493" s="72">
        <v>3</v>
      </c>
      <c r="L493" s="779" t="s">
        <v>347</v>
      </c>
      <c r="M493" s="73"/>
      <c r="N493" s="30"/>
      <c r="O493" s="30"/>
      <c r="P493" s="73"/>
      <c r="Q493" s="30"/>
      <c r="R493" s="30"/>
      <c r="S493" s="780" t="s">
        <v>65</v>
      </c>
      <c r="T493" s="780" t="s">
        <v>65</v>
      </c>
      <c r="U493" s="781" t="s">
        <v>1940</v>
      </c>
      <c r="V493" s="782">
        <v>9</v>
      </c>
      <c r="W493" s="782" t="str">
        <f t="shared" si="15"/>
        <v>Sachbearbeitung 1 (wiss.)</v>
      </c>
    </row>
    <row r="494" spans="1:23" ht="12.75" x14ac:dyDescent="0.2">
      <c r="A494" s="74" t="str">
        <f t="shared" si="16"/>
        <v>deaktiviert</v>
      </c>
      <c r="B494" s="71" t="s">
        <v>1939</v>
      </c>
      <c r="C494" s="72" t="s">
        <v>1262</v>
      </c>
      <c r="D494" s="72" t="s">
        <v>67</v>
      </c>
      <c r="E494" s="72" t="s">
        <v>1269</v>
      </c>
      <c r="F494" s="72" t="s">
        <v>48</v>
      </c>
      <c r="G494" s="71" t="s">
        <v>49</v>
      </c>
      <c r="H494" s="72">
        <v>9</v>
      </c>
      <c r="I494" s="72"/>
      <c r="J494" s="72">
        <v>9.5</v>
      </c>
      <c r="K494" s="72">
        <v>3</v>
      </c>
      <c r="L494" s="779" t="s">
        <v>347</v>
      </c>
      <c r="M494" s="73"/>
      <c r="N494" s="30"/>
      <c r="O494" s="30"/>
      <c r="P494" s="73"/>
      <c r="Q494" s="30"/>
      <c r="R494" s="30"/>
      <c r="S494" s="780" t="s">
        <v>65</v>
      </c>
      <c r="T494" s="780" t="s">
        <v>65</v>
      </c>
      <c r="U494" s="781" t="s">
        <v>1940</v>
      </c>
      <c r="V494" s="782">
        <v>9</v>
      </c>
      <c r="W494" s="782" t="str">
        <f t="shared" si="15"/>
        <v>Sachbearbeitung 1 (wiss.)</v>
      </c>
    </row>
    <row r="495" spans="1:23" ht="12.75" x14ac:dyDescent="0.2">
      <c r="A495" s="74" t="str">
        <f t="shared" si="16"/>
        <v>deaktiviert</v>
      </c>
      <c r="B495" s="71" t="s">
        <v>1939</v>
      </c>
      <c r="C495" s="72" t="s">
        <v>1262</v>
      </c>
      <c r="D495" s="72" t="s">
        <v>66</v>
      </c>
      <c r="E495" s="72" t="s">
        <v>1274</v>
      </c>
      <c r="F495" s="72" t="s">
        <v>48</v>
      </c>
      <c r="G495" s="71" t="s">
        <v>49</v>
      </c>
      <c r="H495" s="72">
        <v>11</v>
      </c>
      <c r="I495" s="72"/>
      <c r="J495" s="72">
        <v>9.5</v>
      </c>
      <c r="K495" s="72">
        <v>1</v>
      </c>
      <c r="L495" s="779" t="s">
        <v>347</v>
      </c>
      <c r="M495" s="73"/>
      <c r="N495" s="30"/>
      <c r="O495" s="30"/>
      <c r="P495" s="73"/>
      <c r="Q495" s="30"/>
      <c r="R495" s="30"/>
      <c r="S495" s="780" t="s">
        <v>65</v>
      </c>
      <c r="T495" s="780" t="s">
        <v>65</v>
      </c>
      <c r="U495" s="781" t="s">
        <v>1940</v>
      </c>
      <c r="V495" s="782">
        <v>11</v>
      </c>
      <c r="W495" s="782" t="str">
        <f t="shared" si="15"/>
        <v>Sachbearbeitung 1 (wiss.)</v>
      </c>
    </row>
    <row r="496" spans="1:23" ht="12.75" x14ac:dyDescent="0.2">
      <c r="A496" s="74" t="str">
        <f t="shared" si="16"/>
        <v>deaktiviert</v>
      </c>
      <c r="B496" s="71" t="s">
        <v>1939</v>
      </c>
      <c r="C496" s="72" t="s">
        <v>1262</v>
      </c>
      <c r="D496" s="72" t="s">
        <v>67</v>
      </c>
      <c r="E496" s="72" t="s">
        <v>1275</v>
      </c>
      <c r="F496" s="72" t="s">
        <v>48</v>
      </c>
      <c r="G496" s="71" t="s">
        <v>49</v>
      </c>
      <c r="H496" s="72">
        <v>11</v>
      </c>
      <c r="I496" s="72"/>
      <c r="J496" s="72">
        <v>9.5</v>
      </c>
      <c r="K496" s="72">
        <v>1</v>
      </c>
      <c r="L496" s="779" t="s">
        <v>347</v>
      </c>
      <c r="M496" s="73"/>
      <c r="N496" s="30"/>
      <c r="O496" s="30"/>
      <c r="P496" s="73"/>
      <c r="Q496" s="30"/>
      <c r="R496" s="30"/>
      <c r="S496" s="780" t="s">
        <v>65</v>
      </c>
      <c r="T496" s="780" t="s">
        <v>65</v>
      </c>
      <c r="U496" s="781" t="s">
        <v>1940</v>
      </c>
      <c r="V496" s="782">
        <v>11</v>
      </c>
      <c r="W496" s="782" t="str">
        <f t="shared" si="15"/>
        <v>Sachbearbeitung 1 (wiss.)</v>
      </c>
    </row>
    <row r="497" spans="1:23" ht="12.75" x14ac:dyDescent="0.2">
      <c r="A497" s="74" t="str">
        <f t="shared" si="16"/>
        <v>deaktiviert</v>
      </c>
      <c r="B497" s="71" t="s">
        <v>1939</v>
      </c>
      <c r="C497" s="72" t="s">
        <v>1262</v>
      </c>
      <c r="D497" s="72" t="s">
        <v>66</v>
      </c>
      <c r="E497" s="72" t="s">
        <v>1280</v>
      </c>
      <c r="F497" s="72" t="s">
        <v>48</v>
      </c>
      <c r="G497" s="71" t="s">
        <v>49</v>
      </c>
      <c r="H497" s="72">
        <v>13</v>
      </c>
      <c r="I497" s="72"/>
      <c r="J497" s="72">
        <v>8</v>
      </c>
      <c r="K497" s="72">
        <v>4</v>
      </c>
      <c r="L497" s="779" t="s">
        <v>352</v>
      </c>
      <c r="M497" s="73"/>
      <c r="N497" s="30">
        <v>9.5</v>
      </c>
      <c r="O497" s="30">
        <v>0</v>
      </c>
      <c r="P497" s="73"/>
      <c r="Q497" s="30"/>
      <c r="R497" s="30"/>
      <c r="S497" s="780" t="s">
        <v>347</v>
      </c>
      <c r="T497" s="780" t="s">
        <v>65</v>
      </c>
      <c r="U497" s="781" t="s">
        <v>1940</v>
      </c>
      <c r="V497" s="782">
        <v>13</v>
      </c>
      <c r="W497" s="782" t="str">
        <f t="shared" si="15"/>
        <v>Sachbearbeitung 1 (wiss.)</v>
      </c>
    </row>
    <row r="498" spans="1:23" ht="12.75" x14ac:dyDescent="0.2">
      <c r="A498" s="74" t="str">
        <f t="shared" si="16"/>
        <v>deaktiviert</v>
      </c>
      <c r="B498" s="71" t="s">
        <v>1939</v>
      </c>
      <c r="C498" s="72" t="s">
        <v>1262</v>
      </c>
      <c r="D498" s="72" t="s">
        <v>67</v>
      </c>
      <c r="E498" s="72" t="s">
        <v>1281</v>
      </c>
      <c r="F498" s="72" t="s">
        <v>48</v>
      </c>
      <c r="G498" s="71" t="s">
        <v>49</v>
      </c>
      <c r="H498" s="72">
        <v>13</v>
      </c>
      <c r="I498" s="72"/>
      <c r="J498" s="72">
        <v>8</v>
      </c>
      <c r="K498" s="72">
        <v>4</v>
      </c>
      <c r="L498" s="779" t="s">
        <v>352</v>
      </c>
      <c r="M498" s="73"/>
      <c r="N498" s="30">
        <v>9.5</v>
      </c>
      <c r="O498" s="30">
        <v>0</v>
      </c>
      <c r="P498" s="73"/>
      <c r="Q498" s="30"/>
      <c r="R498" s="30"/>
      <c r="S498" s="780" t="s">
        <v>347</v>
      </c>
      <c r="T498" s="780" t="s">
        <v>65</v>
      </c>
      <c r="U498" s="781" t="s">
        <v>1940</v>
      </c>
      <c r="V498" s="782">
        <v>13</v>
      </c>
      <c r="W498" s="782" t="str">
        <f t="shared" si="15"/>
        <v>Sachbearbeitung 1 (wiss.)</v>
      </c>
    </row>
    <row r="499" spans="1:23" ht="12.75" x14ac:dyDescent="0.2">
      <c r="A499" s="74" t="str">
        <f t="shared" si="16"/>
        <v>deaktiviert</v>
      </c>
      <c r="B499" s="71" t="s">
        <v>1939</v>
      </c>
      <c r="C499" s="72" t="s">
        <v>1290</v>
      </c>
      <c r="D499" s="72" t="s">
        <v>66</v>
      </c>
      <c r="E499" s="72" t="s">
        <v>1292</v>
      </c>
      <c r="F499" s="72" t="s">
        <v>1291</v>
      </c>
      <c r="G499" s="71" t="s">
        <v>54</v>
      </c>
      <c r="H499" s="72">
        <v>13</v>
      </c>
      <c r="I499" s="72">
        <v>465.3</v>
      </c>
      <c r="J499" s="72">
        <v>7</v>
      </c>
      <c r="K499" s="72">
        <v>6</v>
      </c>
      <c r="L499" s="779" t="s">
        <v>673</v>
      </c>
      <c r="M499" s="73"/>
      <c r="N499" s="30"/>
      <c r="O499" s="30"/>
      <c r="P499" s="73"/>
      <c r="Q499" s="30"/>
      <c r="R499" s="30"/>
      <c r="S499" s="780"/>
      <c r="T499" s="780"/>
      <c r="U499" s="781" t="s">
        <v>1940</v>
      </c>
      <c r="V499" s="782">
        <v>13</v>
      </c>
      <c r="W499" s="782" t="str">
        <f t="shared" si="15"/>
        <v>Handwerklich-Technische Angestellte</v>
      </c>
    </row>
    <row r="500" spans="1:23" ht="12.75" x14ac:dyDescent="0.2">
      <c r="A500" s="74" t="str">
        <f t="shared" si="16"/>
        <v>deaktiviert</v>
      </c>
      <c r="B500" s="71" t="s">
        <v>1939</v>
      </c>
      <c r="C500" s="72" t="s">
        <v>1290</v>
      </c>
      <c r="D500" s="72" t="s">
        <v>67</v>
      </c>
      <c r="E500" s="72" t="s">
        <v>1293</v>
      </c>
      <c r="F500" s="72" t="s">
        <v>1291</v>
      </c>
      <c r="G500" s="71" t="s">
        <v>54</v>
      </c>
      <c r="H500" s="72">
        <v>13</v>
      </c>
      <c r="I500" s="72">
        <v>465.3</v>
      </c>
      <c r="J500" s="72">
        <v>7</v>
      </c>
      <c r="K500" s="72">
        <v>6</v>
      </c>
      <c r="L500" s="779" t="s">
        <v>673</v>
      </c>
      <c r="M500" s="73"/>
      <c r="N500" s="30"/>
      <c r="O500" s="30"/>
      <c r="P500" s="73"/>
      <c r="Q500" s="30"/>
      <c r="R500" s="30"/>
      <c r="S500" s="780"/>
      <c r="T500" s="780"/>
      <c r="U500" s="781" t="s">
        <v>1940</v>
      </c>
      <c r="V500" s="782">
        <v>13</v>
      </c>
      <c r="W500" s="782" t="str">
        <f t="shared" si="15"/>
        <v>Handwerklich-Technische Angestellte</v>
      </c>
    </row>
    <row r="501" spans="1:23" ht="12.75" x14ac:dyDescent="0.2">
      <c r="A501" s="74" t="str">
        <f t="shared" si="16"/>
        <v>deaktiviert</v>
      </c>
      <c r="B501" s="71" t="s">
        <v>1939</v>
      </c>
      <c r="C501" s="72" t="s">
        <v>1290</v>
      </c>
      <c r="D501" s="72" t="s">
        <v>76</v>
      </c>
      <c r="E501" s="72" t="s">
        <v>1294</v>
      </c>
      <c r="F501" s="72" t="s">
        <v>1291</v>
      </c>
      <c r="G501" s="71" t="s">
        <v>54</v>
      </c>
      <c r="H501" s="72">
        <v>13</v>
      </c>
      <c r="I501" s="72">
        <v>465.3</v>
      </c>
      <c r="J501" s="72">
        <v>7</v>
      </c>
      <c r="K501" s="72">
        <v>6</v>
      </c>
      <c r="L501" s="779" t="s">
        <v>673</v>
      </c>
      <c r="M501" s="73"/>
      <c r="N501" s="30"/>
      <c r="O501" s="30"/>
      <c r="P501" s="73"/>
      <c r="Q501" s="30"/>
      <c r="R501" s="30"/>
      <c r="S501" s="780"/>
      <c r="T501" s="780"/>
      <c r="U501" s="781" t="s">
        <v>1940</v>
      </c>
      <c r="V501" s="782">
        <v>13</v>
      </c>
      <c r="W501" s="782" t="str">
        <f t="shared" si="15"/>
        <v>Handwerklich-Technische Angestellte</v>
      </c>
    </row>
    <row r="502" spans="1:23" ht="12.75" x14ac:dyDescent="0.2">
      <c r="A502" s="74" t="str">
        <f t="shared" si="16"/>
        <v>deaktiviert</v>
      </c>
      <c r="B502" s="71" t="s">
        <v>1939</v>
      </c>
      <c r="C502" s="72" t="s">
        <v>1290</v>
      </c>
      <c r="D502" s="72" t="s">
        <v>66</v>
      </c>
      <c r="E502" s="72" t="s">
        <v>1299</v>
      </c>
      <c r="F502" s="72">
        <v>202</v>
      </c>
      <c r="G502" s="71" t="s">
        <v>52</v>
      </c>
      <c r="H502" s="72">
        <v>15</v>
      </c>
      <c r="I502" s="72"/>
      <c r="J502" s="72">
        <v>5.5</v>
      </c>
      <c r="K502" s="72">
        <v>6</v>
      </c>
      <c r="L502" s="779" t="s">
        <v>671</v>
      </c>
      <c r="M502" s="73"/>
      <c r="N502" s="30">
        <v>7</v>
      </c>
      <c r="O502" s="30">
        <v>2</v>
      </c>
      <c r="P502" s="73"/>
      <c r="Q502" s="30"/>
      <c r="R502" s="30"/>
      <c r="S502" s="780" t="s">
        <v>673</v>
      </c>
      <c r="T502" s="780" t="s">
        <v>65</v>
      </c>
      <c r="U502" s="781" t="s">
        <v>1940</v>
      </c>
      <c r="V502" s="782">
        <v>15</v>
      </c>
      <c r="W502" s="782" t="str">
        <f t="shared" si="15"/>
        <v>Hw.-Tech. und Hauswirtschaftliche Ang.</v>
      </c>
    </row>
    <row r="503" spans="1:23" ht="12.75" x14ac:dyDescent="0.2">
      <c r="A503" s="74" t="str">
        <f t="shared" si="16"/>
        <v>deaktiviert</v>
      </c>
      <c r="B503" s="71" t="s">
        <v>1939</v>
      </c>
      <c r="C503" s="72" t="s">
        <v>1290</v>
      </c>
      <c r="D503" s="72" t="s">
        <v>67</v>
      </c>
      <c r="E503" s="72" t="s">
        <v>1300</v>
      </c>
      <c r="F503" s="72">
        <v>202</v>
      </c>
      <c r="G503" s="71" t="s">
        <v>54</v>
      </c>
      <c r="H503" s="72">
        <v>15</v>
      </c>
      <c r="I503" s="72"/>
      <c r="J503" s="72">
        <v>5.5</v>
      </c>
      <c r="K503" s="72">
        <v>6</v>
      </c>
      <c r="L503" s="779" t="s">
        <v>671</v>
      </c>
      <c r="M503" s="73"/>
      <c r="N503" s="30">
        <v>7</v>
      </c>
      <c r="O503" s="30">
        <v>2</v>
      </c>
      <c r="P503" s="73"/>
      <c r="Q503" s="30"/>
      <c r="R503" s="30"/>
      <c r="S503" s="780" t="s">
        <v>673</v>
      </c>
      <c r="T503" s="780" t="s">
        <v>65</v>
      </c>
      <c r="U503" s="781" t="s">
        <v>1940</v>
      </c>
      <c r="V503" s="782">
        <v>15</v>
      </c>
      <c r="W503" s="782" t="str">
        <f t="shared" si="15"/>
        <v>Handwerklich-Technische Angestellte</v>
      </c>
    </row>
    <row r="504" spans="1:23" ht="12.75" x14ac:dyDescent="0.2">
      <c r="A504" s="74" t="str">
        <f t="shared" si="16"/>
        <v>deaktiviert</v>
      </c>
      <c r="B504" s="71" t="s">
        <v>1939</v>
      </c>
      <c r="C504" s="72" t="s">
        <v>1290</v>
      </c>
      <c r="D504" s="72" t="s">
        <v>76</v>
      </c>
      <c r="E504" s="72" t="s">
        <v>1301</v>
      </c>
      <c r="F504" s="72">
        <v>202</v>
      </c>
      <c r="G504" s="71" t="s">
        <v>54</v>
      </c>
      <c r="H504" s="72">
        <v>15</v>
      </c>
      <c r="I504" s="72"/>
      <c r="J504" s="72">
        <v>5.5</v>
      </c>
      <c r="K504" s="72">
        <v>6</v>
      </c>
      <c r="L504" s="779" t="s">
        <v>671</v>
      </c>
      <c r="M504" s="73"/>
      <c r="N504" s="30">
        <v>7</v>
      </c>
      <c r="O504" s="30">
        <v>2</v>
      </c>
      <c r="P504" s="73"/>
      <c r="Q504" s="30"/>
      <c r="R504" s="30"/>
      <c r="S504" s="780" t="s">
        <v>673</v>
      </c>
      <c r="T504" s="780" t="s">
        <v>65</v>
      </c>
      <c r="U504" s="781" t="s">
        <v>1940</v>
      </c>
      <c r="V504" s="782">
        <v>15</v>
      </c>
      <c r="W504" s="782" t="str">
        <f t="shared" si="15"/>
        <v>Handwerklich-Technische Angestellte</v>
      </c>
    </row>
    <row r="505" spans="1:23" ht="12.75" x14ac:dyDescent="0.2">
      <c r="A505" s="74" t="str">
        <f t="shared" si="16"/>
        <v>deaktiviert</v>
      </c>
      <c r="B505" s="71" t="s">
        <v>1939</v>
      </c>
      <c r="C505" s="72" t="s">
        <v>1290</v>
      </c>
      <c r="D505" s="72" t="s">
        <v>77</v>
      </c>
      <c r="E505" s="72" t="s">
        <v>1302</v>
      </c>
      <c r="F505" s="72">
        <v>202</v>
      </c>
      <c r="G505" s="71" t="s">
        <v>54</v>
      </c>
      <c r="H505" s="72">
        <v>15</v>
      </c>
      <c r="I505" s="72"/>
      <c r="J505" s="72">
        <v>5.5</v>
      </c>
      <c r="K505" s="72">
        <v>6</v>
      </c>
      <c r="L505" s="779" t="s">
        <v>671</v>
      </c>
      <c r="M505" s="73"/>
      <c r="N505" s="30">
        <v>7</v>
      </c>
      <c r="O505" s="30">
        <v>2</v>
      </c>
      <c r="P505" s="73"/>
      <c r="Q505" s="30"/>
      <c r="R505" s="30"/>
      <c r="S505" s="780" t="s">
        <v>673</v>
      </c>
      <c r="T505" s="780" t="s">
        <v>65</v>
      </c>
      <c r="U505" s="781" t="s">
        <v>1940</v>
      </c>
      <c r="V505" s="782">
        <v>15</v>
      </c>
      <c r="W505" s="782" t="str">
        <f t="shared" si="15"/>
        <v>Handwerklich-Technische Angestellte</v>
      </c>
    </row>
    <row r="506" spans="1:23" ht="12.75" x14ac:dyDescent="0.2">
      <c r="A506" s="74" t="str">
        <f t="shared" si="16"/>
        <v>deaktiviert</v>
      </c>
      <c r="B506" s="71" t="s">
        <v>1939</v>
      </c>
      <c r="C506" s="72" t="s">
        <v>1290</v>
      </c>
      <c r="D506" s="72" t="s">
        <v>66</v>
      </c>
      <c r="E506" s="72" t="s">
        <v>1307</v>
      </c>
      <c r="F506" s="72">
        <v>202</v>
      </c>
      <c r="G506" s="71" t="s">
        <v>52</v>
      </c>
      <c r="H506" s="72">
        <v>17</v>
      </c>
      <c r="I506" s="72"/>
      <c r="J506" s="72">
        <v>5</v>
      </c>
      <c r="K506" s="72">
        <v>5</v>
      </c>
      <c r="L506" s="779" t="s">
        <v>87</v>
      </c>
      <c r="M506" s="73"/>
      <c r="N506" s="30">
        <v>7</v>
      </c>
      <c r="O506" s="30">
        <v>0</v>
      </c>
      <c r="P506" s="73"/>
      <c r="Q506" s="30"/>
      <c r="R506" s="30"/>
      <c r="S506" s="780" t="s">
        <v>673</v>
      </c>
      <c r="T506" s="780" t="s">
        <v>65</v>
      </c>
      <c r="U506" s="781" t="s">
        <v>1940</v>
      </c>
      <c r="V506" s="782">
        <v>17</v>
      </c>
      <c r="W506" s="782" t="str">
        <f t="shared" si="15"/>
        <v>Hw.-Tech. und Hauswirtschaftliche Ang.</v>
      </c>
    </row>
    <row r="507" spans="1:23" ht="12.75" x14ac:dyDescent="0.2">
      <c r="A507" s="74" t="str">
        <f t="shared" si="16"/>
        <v>deaktiviert</v>
      </c>
      <c r="B507" s="71" t="s">
        <v>1939</v>
      </c>
      <c r="C507" s="72" t="s">
        <v>1290</v>
      </c>
      <c r="D507" s="72" t="s">
        <v>67</v>
      </c>
      <c r="E507" s="72" t="s">
        <v>1308</v>
      </c>
      <c r="F507" s="72">
        <v>202</v>
      </c>
      <c r="G507" s="71" t="s">
        <v>54</v>
      </c>
      <c r="H507" s="72">
        <v>17</v>
      </c>
      <c r="I507" s="72"/>
      <c r="J507" s="72">
        <v>5</v>
      </c>
      <c r="K507" s="72">
        <v>5</v>
      </c>
      <c r="L507" s="779" t="s">
        <v>87</v>
      </c>
      <c r="M507" s="73"/>
      <c r="N507" s="30">
        <v>7</v>
      </c>
      <c r="O507" s="30">
        <v>0</v>
      </c>
      <c r="P507" s="73"/>
      <c r="Q507" s="30"/>
      <c r="R507" s="30"/>
      <c r="S507" s="780" t="s">
        <v>673</v>
      </c>
      <c r="T507" s="780" t="s">
        <v>65</v>
      </c>
      <c r="U507" s="781" t="s">
        <v>1940</v>
      </c>
      <c r="V507" s="782">
        <v>17</v>
      </c>
      <c r="W507" s="782" t="str">
        <f t="shared" si="15"/>
        <v>Handwerklich-Technische Angestellte</v>
      </c>
    </row>
    <row r="508" spans="1:23" ht="12.75" x14ac:dyDescent="0.2">
      <c r="A508" s="74" t="str">
        <f t="shared" si="16"/>
        <v>deaktiviert</v>
      </c>
      <c r="B508" s="71" t="s">
        <v>1939</v>
      </c>
      <c r="C508" s="72" t="s">
        <v>1290</v>
      </c>
      <c r="D508" s="72" t="s">
        <v>76</v>
      </c>
      <c r="E508" s="72" t="s">
        <v>1309</v>
      </c>
      <c r="F508" s="72">
        <v>202</v>
      </c>
      <c r="G508" s="71" t="s">
        <v>54</v>
      </c>
      <c r="H508" s="72">
        <v>17</v>
      </c>
      <c r="I508" s="72"/>
      <c r="J508" s="72">
        <v>5</v>
      </c>
      <c r="K508" s="72">
        <v>5</v>
      </c>
      <c r="L508" s="779" t="s">
        <v>87</v>
      </c>
      <c r="M508" s="73"/>
      <c r="N508" s="30">
        <v>7</v>
      </c>
      <c r="O508" s="30">
        <v>0</v>
      </c>
      <c r="P508" s="73"/>
      <c r="Q508" s="30"/>
      <c r="R508" s="30"/>
      <c r="S508" s="780" t="s">
        <v>673</v>
      </c>
      <c r="T508" s="780" t="s">
        <v>65</v>
      </c>
      <c r="U508" s="781" t="s">
        <v>1940</v>
      </c>
      <c r="V508" s="782">
        <v>17</v>
      </c>
      <c r="W508" s="782" t="str">
        <f t="shared" si="15"/>
        <v>Handwerklich-Technische Angestellte</v>
      </c>
    </row>
    <row r="509" spans="1:23" ht="12.75" x14ac:dyDescent="0.2">
      <c r="A509" s="74" t="str">
        <f t="shared" si="16"/>
        <v>deaktiviert</v>
      </c>
      <c r="B509" s="71" t="s">
        <v>1939</v>
      </c>
      <c r="C509" s="72" t="s">
        <v>1290</v>
      </c>
      <c r="D509" s="72" t="s">
        <v>66</v>
      </c>
      <c r="E509" s="72" t="s">
        <v>1313</v>
      </c>
      <c r="F509" s="72" t="s">
        <v>1291</v>
      </c>
      <c r="G509" s="71" t="s">
        <v>52</v>
      </c>
      <c r="H509" s="72">
        <v>19</v>
      </c>
      <c r="I509" s="72"/>
      <c r="J509" s="72">
        <v>5</v>
      </c>
      <c r="K509" s="72">
        <v>3</v>
      </c>
      <c r="L509" s="779" t="s">
        <v>87</v>
      </c>
      <c r="M509" s="73"/>
      <c r="N509" s="30"/>
      <c r="O509" s="30"/>
      <c r="P509" s="73"/>
      <c r="Q509" s="30"/>
      <c r="R509" s="30"/>
      <c r="S509" s="780" t="s">
        <v>65</v>
      </c>
      <c r="T509" s="780" t="s">
        <v>65</v>
      </c>
      <c r="U509" s="781" t="s">
        <v>1940</v>
      </c>
      <c r="V509" s="782">
        <v>19</v>
      </c>
      <c r="W509" s="782" t="str">
        <f t="shared" si="15"/>
        <v>Hw.-Tech. und Hauswirtschaftliche Ang.</v>
      </c>
    </row>
    <row r="510" spans="1:23" ht="12.75" x14ac:dyDescent="0.2">
      <c r="A510" s="74" t="str">
        <f t="shared" si="16"/>
        <v>deaktiviert</v>
      </c>
      <c r="B510" s="71" t="s">
        <v>1939</v>
      </c>
      <c r="C510" s="72" t="s">
        <v>1290</v>
      </c>
      <c r="D510" s="72" t="s">
        <v>67</v>
      </c>
      <c r="E510" s="72" t="s">
        <v>1314</v>
      </c>
      <c r="F510" s="72" t="s">
        <v>1291</v>
      </c>
      <c r="G510" s="71" t="s">
        <v>54</v>
      </c>
      <c r="H510" s="72">
        <v>19</v>
      </c>
      <c r="I510" s="72"/>
      <c r="J510" s="72">
        <v>5</v>
      </c>
      <c r="K510" s="72">
        <v>3</v>
      </c>
      <c r="L510" s="779" t="s">
        <v>87</v>
      </c>
      <c r="M510" s="73"/>
      <c r="N510" s="30"/>
      <c r="O510" s="30"/>
      <c r="P510" s="73"/>
      <c r="Q510" s="30"/>
      <c r="R510" s="30"/>
      <c r="S510" s="780" t="s">
        <v>65</v>
      </c>
      <c r="T510" s="780" t="s">
        <v>65</v>
      </c>
      <c r="U510" s="781" t="s">
        <v>1940</v>
      </c>
      <c r="V510" s="782">
        <v>19</v>
      </c>
      <c r="W510" s="782" t="str">
        <f t="shared" si="15"/>
        <v>Handwerklich-Technische Angestellte</v>
      </c>
    </row>
    <row r="511" spans="1:23" ht="12.75" x14ac:dyDescent="0.2">
      <c r="A511" s="74" t="str">
        <f t="shared" si="16"/>
        <v>deaktiviert</v>
      </c>
      <c r="B511" s="71" t="s">
        <v>1939</v>
      </c>
      <c r="C511" s="72" t="s">
        <v>1290</v>
      </c>
      <c r="D511" s="72" t="s">
        <v>76</v>
      </c>
      <c r="E511" s="72" t="s">
        <v>1315</v>
      </c>
      <c r="F511" s="72" t="s">
        <v>1291</v>
      </c>
      <c r="G511" s="71" t="s">
        <v>54</v>
      </c>
      <c r="H511" s="72">
        <v>19</v>
      </c>
      <c r="I511" s="72"/>
      <c r="J511" s="72">
        <v>5</v>
      </c>
      <c r="K511" s="72">
        <v>3</v>
      </c>
      <c r="L511" s="779" t="s">
        <v>87</v>
      </c>
      <c r="M511" s="73"/>
      <c r="N511" s="30"/>
      <c r="O511" s="30"/>
      <c r="P511" s="73"/>
      <c r="Q511" s="30"/>
      <c r="R511" s="30"/>
      <c r="S511" s="780" t="s">
        <v>65</v>
      </c>
      <c r="T511" s="780" t="s">
        <v>65</v>
      </c>
      <c r="U511" s="781" t="s">
        <v>1940</v>
      </c>
      <c r="V511" s="782">
        <v>19</v>
      </c>
      <c r="W511" s="782" t="str">
        <f t="shared" si="15"/>
        <v>Handwerklich-Technische Angestellte</v>
      </c>
    </row>
    <row r="512" spans="1:23" ht="12.75" x14ac:dyDescent="0.2">
      <c r="A512" s="74" t="str">
        <f t="shared" si="16"/>
        <v>deaktiviert</v>
      </c>
      <c r="B512" s="71" t="s">
        <v>1939</v>
      </c>
      <c r="C512" s="72" t="s">
        <v>1318</v>
      </c>
      <c r="D512" s="72" t="s">
        <v>66</v>
      </c>
      <c r="E512" s="72" t="s">
        <v>1319</v>
      </c>
      <c r="F512" s="72" t="s">
        <v>687</v>
      </c>
      <c r="G512" s="71" t="s">
        <v>57</v>
      </c>
      <c r="H512" s="72">
        <v>7</v>
      </c>
      <c r="I512" s="72">
        <v>614.20000000000005</v>
      </c>
      <c r="J512" s="72">
        <v>10.5</v>
      </c>
      <c r="K512" s="72">
        <v>5</v>
      </c>
      <c r="L512" s="779" t="s">
        <v>353</v>
      </c>
      <c r="M512" s="73">
        <v>589.9</v>
      </c>
      <c r="N512" s="30">
        <v>9</v>
      </c>
      <c r="O512" s="30">
        <v>8</v>
      </c>
      <c r="P512" s="73"/>
      <c r="Q512" s="30"/>
      <c r="R512" s="30"/>
      <c r="S512" s="780" t="s">
        <v>351</v>
      </c>
      <c r="T512" s="780"/>
      <c r="U512" s="781" t="s">
        <v>1940</v>
      </c>
      <c r="V512" s="782">
        <v>7</v>
      </c>
      <c r="W512" s="782" t="str">
        <f t="shared" si="15"/>
        <v>Technisch-Wissenschaftliche Angestellte</v>
      </c>
    </row>
    <row r="513" spans="1:23" ht="12.75" x14ac:dyDescent="0.2">
      <c r="A513" s="74" t="str">
        <f t="shared" si="16"/>
        <v>deaktiviert</v>
      </c>
      <c r="B513" s="71" t="s">
        <v>1939</v>
      </c>
      <c r="C513" s="72" t="s">
        <v>1318</v>
      </c>
      <c r="D513" s="72" t="s">
        <v>67</v>
      </c>
      <c r="E513" s="72" t="s">
        <v>1320</v>
      </c>
      <c r="F513" s="72" t="s">
        <v>687</v>
      </c>
      <c r="G513" s="71" t="s">
        <v>57</v>
      </c>
      <c r="H513" s="72">
        <v>7</v>
      </c>
      <c r="I513" s="72">
        <v>614.20000000000005</v>
      </c>
      <c r="J513" s="72">
        <v>10.5</v>
      </c>
      <c r="K513" s="72">
        <v>5</v>
      </c>
      <c r="L513" s="779" t="s">
        <v>353</v>
      </c>
      <c r="M513" s="73">
        <v>589.9</v>
      </c>
      <c r="N513" s="30">
        <v>9</v>
      </c>
      <c r="O513" s="30">
        <v>8</v>
      </c>
      <c r="P513" s="73"/>
      <c r="Q513" s="30"/>
      <c r="R513" s="30"/>
      <c r="S513" s="780" t="s">
        <v>351</v>
      </c>
      <c r="T513" s="780"/>
      <c r="U513" s="781" t="s">
        <v>1940</v>
      </c>
      <c r="V513" s="782">
        <v>7</v>
      </c>
      <c r="W513" s="782" t="str">
        <f t="shared" si="15"/>
        <v>Technisch-Wissenschaftliche Angestellte</v>
      </c>
    </row>
    <row r="514" spans="1:23" ht="12.75" x14ac:dyDescent="0.2">
      <c r="A514" s="74" t="str">
        <f t="shared" si="16"/>
        <v>deaktiviert</v>
      </c>
      <c r="B514" s="793" t="s">
        <v>1939</v>
      </c>
      <c r="C514" s="72" t="s">
        <v>1318</v>
      </c>
      <c r="D514" s="72" t="s">
        <v>66</v>
      </c>
      <c r="E514" s="72" t="s">
        <v>1321</v>
      </c>
      <c r="F514" s="72" t="s">
        <v>687</v>
      </c>
      <c r="G514" s="71" t="s">
        <v>57</v>
      </c>
      <c r="H514" s="72">
        <v>8</v>
      </c>
      <c r="I514" s="72">
        <v>605.29999999999995</v>
      </c>
      <c r="J514" s="72">
        <v>10.5</v>
      </c>
      <c r="K514" s="72">
        <v>4</v>
      </c>
      <c r="L514" s="779" t="s">
        <v>353</v>
      </c>
      <c r="M514" s="73">
        <v>589.9</v>
      </c>
      <c r="N514" s="30">
        <v>9</v>
      </c>
      <c r="O514" s="30">
        <v>5</v>
      </c>
      <c r="P514" s="73"/>
      <c r="Q514" s="30"/>
      <c r="R514" s="30"/>
      <c r="S514" s="780" t="s">
        <v>351</v>
      </c>
      <c r="T514" s="780" t="s">
        <v>65</v>
      </c>
      <c r="U514" s="781" t="s">
        <v>1940</v>
      </c>
      <c r="V514" s="782">
        <v>8</v>
      </c>
      <c r="W514" s="782" t="str">
        <f t="shared" si="15"/>
        <v>Technisch-Wissenschaftliche Angestellte</v>
      </c>
    </row>
    <row r="515" spans="1:23" ht="12.75" x14ac:dyDescent="0.2">
      <c r="A515" s="74" t="str">
        <f t="shared" si="16"/>
        <v>deaktiviert</v>
      </c>
      <c r="B515" s="793" t="s">
        <v>1939</v>
      </c>
      <c r="C515" s="72" t="s">
        <v>1318</v>
      </c>
      <c r="D515" s="72" t="s">
        <v>67</v>
      </c>
      <c r="E515" s="72" t="s">
        <v>1322</v>
      </c>
      <c r="F515" s="72" t="s">
        <v>687</v>
      </c>
      <c r="G515" s="71" t="s">
        <v>57</v>
      </c>
      <c r="H515" s="72">
        <v>8</v>
      </c>
      <c r="I515" s="72">
        <v>605.29999999999995</v>
      </c>
      <c r="J515" s="72">
        <v>10.5</v>
      </c>
      <c r="K515" s="72">
        <v>4</v>
      </c>
      <c r="L515" s="779" t="s">
        <v>353</v>
      </c>
      <c r="M515" s="73">
        <v>589.9</v>
      </c>
      <c r="N515" s="30">
        <v>9</v>
      </c>
      <c r="O515" s="30">
        <v>5</v>
      </c>
      <c r="P515" s="73"/>
      <c r="Q515" s="30"/>
      <c r="R515" s="30"/>
      <c r="S515" s="780" t="s">
        <v>351</v>
      </c>
      <c r="T515" s="780" t="s">
        <v>65</v>
      </c>
      <c r="U515" s="781" t="s">
        <v>1940</v>
      </c>
      <c r="V515" s="782">
        <v>8</v>
      </c>
      <c r="W515" s="782" t="str">
        <f t="shared" ref="W515:W528" si="17">G515</f>
        <v>Technisch-Wissenschaftliche Angestellte</v>
      </c>
    </row>
    <row r="516" spans="1:23" ht="12.75" x14ac:dyDescent="0.2">
      <c r="A516" s="74" t="str">
        <f t="shared" si="16"/>
        <v>deaktiviert</v>
      </c>
      <c r="B516" s="71" t="s">
        <v>1939</v>
      </c>
      <c r="C516" s="72" t="s">
        <v>1318</v>
      </c>
      <c r="D516" s="72" t="s">
        <v>66</v>
      </c>
      <c r="E516" s="72" t="s">
        <v>1323</v>
      </c>
      <c r="F516" s="72" t="s">
        <v>687</v>
      </c>
      <c r="G516" s="71" t="s">
        <v>57</v>
      </c>
      <c r="H516" s="72">
        <v>9</v>
      </c>
      <c r="I516" s="72">
        <v>553.29999999999995</v>
      </c>
      <c r="J516" s="72">
        <v>9.5</v>
      </c>
      <c r="K516" s="72">
        <v>4</v>
      </c>
      <c r="L516" s="779" t="s">
        <v>347</v>
      </c>
      <c r="M516" s="73"/>
      <c r="N516" s="30"/>
      <c r="O516" s="30"/>
      <c r="P516" s="73"/>
      <c r="Q516" s="30"/>
      <c r="R516" s="30"/>
      <c r="S516" s="780" t="s">
        <v>65</v>
      </c>
      <c r="T516" s="780" t="s">
        <v>65</v>
      </c>
      <c r="U516" s="781" t="s">
        <v>1940</v>
      </c>
      <c r="V516" s="782">
        <v>9</v>
      </c>
      <c r="W516" s="782" t="str">
        <f t="shared" si="17"/>
        <v>Technisch-Wissenschaftliche Angestellte</v>
      </c>
    </row>
    <row r="517" spans="1:23" ht="12.75" x14ac:dyDescent="0.2">
      <c r="A517" s="74" t="str">
        <f t="shared" si="16"/>
        <v>deaktiviert</v>
      </c>
      <c r="B517" s="71" t="s">
        <v>1939</v>
      </c>
      <c r="C517" s="72" t="s">
        <v>1318</v>
      </c>
      <c r="D517" s="72" t="s">
        <v>67</v>
      </c>
      <c r="E517" s="72" t="s">
        <v>1324</v>
      </c>
      <c r="F517" s="72" t="s">
        <v>687</v>
      </c>
      <c r="G517" s="71" t="s">
        <v>57</v>
      </c>
      <c r="H517" s="72">
        <v>9</v>
      </c>
      <c r="I517" s="72">
        <v>553.29999999999995</v>
      </c>
      <c r="J517" s="72">
        <v>9.5</v>
      </c>
      <c r="K517" s="72">
        <v>4</v>
      </c>
      <c r="L517" s="779" t="s">
        <v>347</v>
      </c>
      <c r="M517" s="73"/>
      <c r="N517" s="30"/>
      <c r="O517" s="30"/>
      <c r="P517" s="73"/>
      <c r="Q517" s="30"/>
      <c r="R517" s="30"/>
      <c r="S517" s="780" t="s">
        <v>65</v>
      </c>
      <c r="T517" s="780" t="s">
        <v>65</v>
      </c>
      <c r="U517" s="781" t="s">
        <v>1940</v>
      </c>
      <c r="V517" s="782">
        <v>9</v>
      </c>
      <c r="W517" s="782" t="str">
        <f t="shared" si="17"/>
        <v>Technisch-Wissenschaftliche Angestellte</v>
      </c>
    </row>
    <row r="518" spans="1:23" ht="12.75" x14ac:dyDescent="0.2">
      <c r="A518" s="74" t="str">
        <f t="shared" si="16"/>
        <v>deaktiviert</v>
      </c>
      <c r="B518" s="71" t="s">
        <v>1939</v>
      </c>
      <c r="C518" s="794">
        <v>203</v>
      </c>
      <c r="D518" s="794" t="s">
        <v>66</v>
      </c>
      <c r="E518" s="794" t="s">
        <v>1325</v>
      </c>
      <c r="F518" s="794" t="s">
        <v>687</v>
      </c>
      <c r="G518" s="793" t="s">
        <v>57</v>
      </c>
      <c r="H518" s="794">
        <v>10</v>
      </c>
      <c r="I518" s="794">
        <v>553.29999999999995</v>
      </c>
      <c r="J518" s="794">
        <v>9.5</v>
      </c>
      <c r="K518" s="794">
        <v>2</v>
      </c>
      <c r="L518" s="795" t="s">
        <v>347</v>
      </c>
      <c r="M518" s="796">
        <v>557.20000000000005</v>
      </c>
      <c r="N518" s="30">
        <v>9</v>
      </c>
      <c r="O518" s="30">
        <v>5</v>
      </c>
      <c r="P518" s="796"/>
      <c r="Q518" s="30"/>
      <c r="R518" s="30"/>
      <c r="S518" s="797" t="s">
        <v>351</v>
      </c>
      <c r="T518" s="797" t="s">
        <v>65</v>
      </c>
      <c r="U518" s="781" t="s">
        <v>1940</v>
      </c>
      <c r="V518" s="782">
        <v>10</v>
      </c>
      <c r="W518" s="782" t="str">
        <f t="shared" si="17"/>
        <v>Technisch-Wissenschaftliche Angestellte</v>
      </c>
    </row>
    <row r="519" spans="1:23" ht="12.75" x14ac:dyDescent="0.2">
      <c r="A519" s="74" t="str">
        <f t="shared" si="16"/>
        <v>deaktiviert</v>
      </c>
      <c r="B519" s="71" t="s">
        <v>1939</v>
      </c>
      <c r="C519" s="794" t="s">
        <v>1318</v>
      </c>
      <c r="D519" s="794" t="s">
        <v>67</v>
      </c>
      <c r="E519" s="794" t="s">
        <v>1326</v>
      </c>
      <c r="F519" s="794" t="s">
        <v>687</v>
      </c>
      <c r="G519" s="793" t="s">
        <v>57</v>
      </c>
      <c r="H519" s="794">
        <v>10</v>
      </c>
      <c r="I519" s="794">
        <v>553.29999999999995</v>
      </c>
      <c r="J519" s="794">
        <v>9.5</v>
      </c>
      <c r="K519" s="794">
        <v>2</v>
      </c>
      <c r="L519" s="795" t="s">
        <v>347</v>
      </c>
      <c r="M519" s="796">
        <v>557.20000000000005</v>
      </c>
      <c r="N519" s="30">
        <v>9</v>
      </c>
      <c r="O519" s="30">
        <v>5</v>
      </c>
      <c r="P519" s="796"/>
      <c r="Q519" s="30"/>
      <c r="R519" s="30"/>
      <c r="S519" s="797" t="s">
        <v>351</v>
      </c>
      <c r="T519" s="797" t="s">
        <v>65</v>
      </c>
      <c r="U519" s="781" t="s">
        <v>1940</v>
      </c>
      <c r="V519" s="782">
        <v>10</v>
      </c>
      <c r="W519" s="782" t="str">
        <f t="shared" si="17"/>
        <v>Technisch-Wissenschaftliche Angestellte</v>
      </c>
    </row>
    <row r="520" spans="1:23" ht="12.75" x14ac:dyDescent="0.2">
      <c r="A520" s="74" t="str">
        <f t="shared" si="16"/>
        <v>deaktiviert</v>
      </c>
      <c r="B520" s="71" t="s">
        <v>1939</v>
      </c>
      <c r="C520" s="72" t="s">
        <v>1318</v>
      </c>
      <c r="D520" s="72" t="s">
        <v>66</v>
      </c>
      <c r="E520" s="72" t="s">
        <v>1327</v>
      </c>
      <c r="F520" s="72" t="s">
        <v>687</v>
      </c>
      <c r="G520" s="71" t="s">
        <v>57</v>
      </c>
      <c r="H520" s="72">
        <v>11</v>
      </c>
      <c r="I520" s="72"/>
      <c r="J520" s="72">
        <v>8</v>
      </c>
      <c r="K520" s="72">
        <v>5</v>
      </c>
      <c r="L520" s="779" t="s">
        <v>352</v>
      </c>
      <c r="M520" s="73"/>
      <c r="N520" s="30">
        <v>9.5</v>
      </c>
      <c r="O520" s="30">
        <v>0</v>
      </c>
      <c r="P520" s="73"/>
      <c r="Q520" s="30"/>
      <c r="R520" s="30"/>
      <c r="S520" s="780" t="s">
        <v>347</v>
      </c>
      <c r="T520" s="780" t="s">
        <v>65</v>
      </c>
      <c r="U520" s="781" t="s">
        <v>1940</v>
      </c>
      <c r="V520" s="782">
        <v>11</v>
      </c>
      <c r="W520" s="782" t="str">
        <f t="shared" si="17"/>
        <v>Technisch-Wissenschaftliche Angestellte</v>
      </c>
    </row>
    <row r="521" spans="1:23" ht="12.75" x14ac:dyDescent="0.2">
      <c r="A521" s="74" t="str">
        <f t="shared" si="16"/>
        <v>deaktiviert</v>
      </c>
      <c r="B521" s="71" t="s">
        <v>1939</v>
      </c>
      <c r="C521" s="72" t="s">
        <v>1318</v>
      </c>
      <c r="D521" s="72" t="s">
        <v>67</v>
      </c>
      <c r="E521" s="72" t="s">
        <v>1328</v>
      </c>
      <c r="F521" s="72" t="s">
        <v>687</v>
      </c>
      <c r="G521" s="71" t="s">
        <v>57</v>
      </c>
      <c r="H521" s="72">
        <v>11</v>
      </c>
      <c r="I521" s="72"/>
      <c r="J521" s="72">
        <v>8</v>
      </c>
      <c r="K521" s="72">
        <v>5</v>
      </c>
      <c r="L521" s="779" t="s">
        <v>352</v>
      </c>
      <c r="M521" s="73"/>
      <c r="N521" s="30">
        <v>9.5</v>
      </c>
      <c r="O521" s="30">
        <v>0</v>
      </c>
      <c r="P521" s="73"/>
      <c r="Q521" s="30"/>
      <c r="R521" s="30"/>
      <c r="S521" s="780" t="s">
        <v>347</v>
      </c>
      <c r="T521" s="780" t="s">
        <v>65</v>
      </c>
      <c r="U521" s="781" t="s">
        <v>1940</v>
      </c>
      <c r="V521" s="782">
        <v>11</v>
      </c>
      <c r="W521" s="782" t="str">
        <f t="shared" si="17"/>
        <v>Technisch-Wissenschaftliche Angestellte</v>
      </c>
    </row>
    <row r="522" spans="1:23" ht="12.75" x14ac:dyDescent="0.2">
      <c r="A522" s="74" t="str">
        <f t="shared" si="16"/>
        <v>deaktiviert</v>
      </c>
      <c r="B522" s="71" t="s">
        <v>1939</v>
      </c>
      <c r="C522" s="72" t="s">
        <v>1318</v>
      </c>
      <c r="D522" s="72" t="s">
        <v>66</v>
      </c>
      <c r="E522" s="72" t="s">
        <v>1329</v>
      </c>
      <c r="F522" s="72" t="s">
        <v>687</v>
      </c>
      <c r="G522" s="71" t="s">
        <v>57</v>
      </c>
      <c r="H522" s="72">
        <v>13</v>
      </c>
      <c r="I522" s="72"/>
      <c r="J522" s="72">
        <v>8</v>
      </c>
      <c r="K522" s="72">
        <v>3</v>
      </c>
      <c r="L522" s="779" t="s">
        <v>352</v>
      </c>
      <c r="M522" s="73"/>
      <c r="N522" s="30"/>
      <c r="O522" s="30"/>
      <c r="P522" s="73"/>
      <c r="Q522" s="30"/>
      <c r="R522" s="30"/>
      <c r="S522" s="780" t="s">
        <v>65</v>
      </c>
      <c r="T522" s="780" t="s">
        <v>65</v>
      </c>
      <c r="U522" s="781" t="s">
        <v>1940</v>
      </c>
      <c r="V522" s="782">
        <v>13</v>
      </c>
      <c r="W522" s="782" t="str">
        <f t="shared" si="17"/>
        <v>Technisch-Wissenschaftliche Angestellte</v>
      </c>
    </row>
    <row r="523" spans="1:23" ht="12.75" x14ac:dyDescent="0.2">
      <c r="A523" s="74" t="str">
        <f t="shared" si="16"/>
        <v>deaktiviert</v>
      </c>
      <c r="B523" s="71" t="s">
        <v>1939</v>
      </c>
      <c r="C523" s="72" t="s">
        <v>1318</v>
      </c>
      <c r="D523" s="72" t="s">
        <v>67</v>
      </c>
      <c r="E523" s="72" t="s">
        <v>1330</v>
      </c>
      <c r="F523" s="72" t="s">
        <v>687</v>
      </c>
      <c r="G523" s="71" t="s">
        <v>57</v>
      </c>
      <c r="H523" s="72">
        <v>13</v>
      </c>
      <c r="I523" s="72"/>
      <c r="J523" s="72">
        <v>8</v>
      </c>
      <c r="K523" s="72">
        <v>3</v>
      </c>
      <c r="L523" s="779" t="s">
        <v>352</v>
      </c>
      <c r="M523" s="73"/>
      <c r="N523" s="30"/>
      <c r="O523" s="30"/>
      <c r="P523" s="73"/>
      <c r="Q523" s="30"/>
      <c r="R523" s="30"/>
      <c r="S523" s="780" t="s">
        <v>65</v>
      </c>
      <c r="T523" s="780" t="s">
        <v>65</v>
      </c>
      <c r="U523" s="781" t="s">
        <v>1940</v>
      </c>
      <c r="V523" s="782">
        <v>13</v>
      </c>
      <c r="W523" s="782" t="str">
        <f t="shared" si="17"/>
        <v>Technisch-Wissenschaftliche Angestellte</v>
      </c>
    </row>
    <row r="524" spans="1:23" ht="12.75" x14ac:dyDescent="0.2">
      <c r="A524" s="74" t="str">
        <f t="shared" si="16"/>
        <v>inaktiv</v>
      </c>
      <c r="B524" s="783" t="s">
        <v>1229</v>
      </c>
      <c r="C524" s="79">
        <v>408</v>
      </c>
      <c r="D524" s="79" t="s">
        <v>1804</v>
      </c>
      <c r="E524" s="79"/>
      <c r="F524" s="79"/>
      <c r="G524" s="28" t="s">
        <v>1805</v>
      </c>
      <c r="H524" s="79">
        <v>11</v>
      </c>
      <c r="I524" s="79"/>
      <c r="J524" s="79">
        <v>10.5</v>
      </c>
      <c r="K524" s="79">
        <v>1</v>
      </c>
      <c r="L524" s="791" t="s">
        <v>353</v>
      </c>
      <c r="M524" s="35"/>
      <c r="N524" s="36"/>
      <c r="O524" s="36"/>
      <c r="P524" s="35"/>
      <c r="Q524" s="36"/>
      <c r="R524" s="36"/>
      <c r="S524" s="792"/>
      <c r="T524" s="792"/>
      <c r="U524" s="781" t="s">
        <v>1941</v>
      </c>
      <c r="V524" s="77">
        <v>11</v>
      </c>
      <c r="W524" s="782" t="str">
        <f t="shared" si="17"/>
        <v>Lehrperson Sek. II Individual- und Gruppenunterricht</v>
      </c>
    </row>
    <row r="525" spans="1:23" ht="12.75" x14ac:dyDescent="0.2">
      <c r="A525" s="74" t="str">
        <f t="shared" si="16"/>
        <v>inaktiv</v>
      </c>
      <c r="B525" s="783" t="s">
        <v>1229</v>
      </c>
      <c r="C525" s="76">
        <v>711</v>
      </c>
      <c r="D525" s="76" t="s">
        <v>1642</v>
      </c>
      <c r="E525" s="76"/>
      <c r="F525" s="76" t="s">
        <v>1645</v>
      </c>
      <c r="G525" s="25" t="s">
        <v>1806</v>
      </c>
      <c r="H525" s="76">
        <v>8</v>
      </c>
      <c r="I525" s="76"/>
      <c r="J525" s="76">
        <v>8.5</v>
      </c>
      <c r="K525" s="76">
        <v>8</v>
      </c>
      <c r="L525" s="804" t="s">
        <v>90</v>
      </c>
      <c r="M525" s="31"/>
      <c r="O525" s="32"/>
      <c r="P525" s="31"/>
      <c r="R525" s="32"/>
      <c r="S525" s="805"/>
      <c r="T525" s="805"/>
      <c r="U525" s="781" t="s">
        <v>1941</v>
      </c>
      <c r="V525" s="77">
        <v>8</v>
      </c>
      <c r="W525" s="782" t="str">
        <f t="shared" si="17"/>
        <v>Rektorat Volksschule (Primarstufe + Sekundarstufe I)</v>
      </c>
    </row>
    <row r="526" spans="1:23" ht="12.75" x14ac:dyDescent="0.2">
      <c r="A526" s="74" t="str">
        <f t="shared" si="16"/>
        <v>inaktiv</v>
      </c>
      <c r="B526" s="783" t="s">
        <v>1229</v>
      </c>
      <c r="C526" s="79">
        <v>414</v>
      </c>
      <c r="D526" s="79" t="s">
        <v>1807</v>
      </c>
      <c r="E526" s="79"/>
      <c r="F526" s="79"/>
      <c r="G526" s="28" t="s">
        <v>585</v>
      </c>
      <c r="H526" s="79">
        <v>13</v>
      </c>
      <c r="I526" s="79">
        <v>484.1</v>
      </c>
      <c r="J526" s="79">
        <v>8.5</v>
      </c>
      <c r="K526" s="79">
        <v>2</v>
      </c>
      <c r="L526" s="791" t="s">
        <v>90</v>
      </c>
      <c r="M526" s="35"/>
      <c r="N526" s="36"/>
      <c r="O526" s="36"/>
      <c r="P526" s="35"/>
      <c r="Q526" s="36"/>
      <c r="R526" s="36"/>
      <c r="S526" s="792"/>
      <c r="T526" s="792"/>
      <c r="U526" s="781" t="s">
        <v>1941</v>
      </c>
      <c r="V526" s="77">
        <v>13</v>
      </c>
      <c r="W526" s="782" t="str">
        <f t="shared" si="17"/>
        <v>Logopädie</v>
      </c>
    </row>
    <row r="527" spans="1:23" ht="12.75" x14ac:dyDescent="0.2">
      <c r="A527" s="74" t="str">
        <f t="shared" si="16"/>
        <v>inaktiv</v>
      </c>
      <c r="B527" s="809" t="s">
        <v>1229</v>
      </c>
      <c r="C527" s="72" t="s">
        <v>1318</v>
      </c>
      <c r="D527" s="72" t="s">
        <v>1808</v>
      </c>
      <c r="E527" s="72"/>
      <c r="F527" s="72" t="s">
        <v>687</v>
      </c>
      <c r="G527" s="71" t="s">
        <v>57</v>
      </c>
      <c r="H527" s="72">
        <v>12</v>
      </c>
      <c r="I527" s="72">
        <v>497.9</v>
      </c>
      <c r="J527" s="72">
        <v>8</v>
      </c>
      <c r="K527" s="72">
        <v>3</v>
      </c>
      <c r="L527" s="779" t="s">
        <v>352</v>
      </c>
      <c r="M527" s="73">
        <v>504.2</v>
      </c>
      <c r="N527" s="30">
        <v>9</v>
      </c>
      <c r="O527" s="30">
        <v>2</v>
      </c>
      <c r="P527" s="73">
        <v>502.2</v>
      </c>
      <c r="Q527" s="30">
        <v>9.5</v>
      </c>
      <c r="R527" s="30">
        <v>1</v>
      </c>
      <c r="S527" s="780" t="s">
        <v>351</v>
      </c>
      <c r="T527" s="780" t="s">
        <v>347</v>
      </c>
      <c r="U527" s="781" t="s">
        <v>1941</v>
      </c>
      <c r="V527" s="782">
        <v>12</v>
      </c>
      <c r="W527" s="782" t="str">
        <f t="shared" si="17"/>
        <v>Technisch-Wissenschaftliche Angestellte</v>
      </c>
    </row>
    <row r="528" spans="1:23" ht="12.75" x14ac:dyDescent="0.2">
      <c r="A528" s="74" t="str">
        <f t="shared" si="16"/>
        <v>inaktiv</v>
      </c>
      <c r="B528" s="783" t="s">
        <v>1229</v>
      </c>
      <c r="C528" s="79" t="s">
        <v>1367</v>
      </c>
      <c r="D528" s="79" t="s">
        <v>1232</v>
      </c>
      <c r="E528" s="79"/>
      <c r="F528" s="79"/>
      <c r="G528" s="28" t="s">
        <v>357</v>
      </c>
      <c r="H528" s="79">
        <v>12</v>
      </c>
      <c r="I528" s="79">
        <v>486.5</v>
      </c>
      <c r="J528" s="79">
        <v>7.5</v>
      </c>
      <c r="K528" s="79">
        <v>4</v>
      </c>
      <c r="L528" s="791" t="s">
        <v>674</v>
      </c>
      <c r="M528" s="35"/>
      <c r="N528" s="36"/>
      <c r="O528" s="36"/>
      <c r="P528" s="35"/>
      <c r="Q528" s="36"/>
      <c r="R528" s="36"/>
      <c r="S528" s="792"/>
      <c r="T528" s="792" t="s">
        <v>65</v>
      </c>
      <c r="U528" s="781" t="s">
        <v>1941</v>
      </c>
      <c r="V528" s="782">
        <v>12</v>
      </c>
      <c r="W528" s="782" t="str">
        <f t="shared" si="17"/>
        <v>Vorschulheilpädagogischer Dienst</v>
      </c>
    </row>
    <row r="529" spans="1:23" ht="12.75" x14ac:dyDescent="0.2">
      <c r="A529" s="74" t="str">
        <f t="shared" si="16"/>
        <v>zzzz</v>
      </c>
      <c r="B529" s="28" t="s">
        <v>341</v>
      </c>
      <c r="C529" s="79" t="s">
        <v>342</v>
      </c>
      <c r="D529" s="79"/>
      <c r="E529" s="79"/>
      <c r="F529" s="79"/>
      <c r="G529" s="28" t="s">
        <v>92</v>
      </c>
      <c r="H529" s="79" t="s">
        <v>342</v>
      </c>
      <c r="I529" s="79"/>
      <c r="J529" s="79">
        <v>12.5</v>
      </c>
      <c r="K529" s="79">
        <v>99</v>
      </c>
      <c r="L529" s="791"/>
      <c r="M529" s="35"/>
      <c r="N529" s="36"/>
      <c r="O529" s="36"/>
      <c r="P529" s="35"/>
      <c r="Q529" s="36"/>
      <c r="R529" s="36"/>
      <c r="S529" s="792"/>
      <c r="T529" s="792"/>
      <c r="U529" s="781" t="s">
        <v>1942</v>
      </c>
      <c r="V529" s="80" t="s">
        <v>1809</v>
      </c>
      <c r="W529" s="782"/>
    </row>
  </sheetData>
  <sheetProtection selectLockedCells="1" selectUnlockedCells="1"/>
  <autoFilter ref="A1:T428" xr:uid="{00000000-0009-0000-0000-00001C000000}">
    <sortState xmlns:xlrd2="http://schemas.microsoft.com/office/spreadsheetml/2017/richdata2" ref="A2:T427">
      <sortCondition ref="A1:A427"/>
    </sortState>
  </autoFilter>
  <phoneticPr fontId="12" type="noConversion"/>
  <conditionalFormatting sqref="A1:A529">
    <cfRule type="duplicateValues" dxfId="0" priority="1"/>
  </conditionalFormatting>
  <pageMargins left="0.39370078740157483" right="0.39370078740157483" top="0.39370078740157483" bottom="0.39370078740157483" header="0.19685039370078741" footer="0.11811023622047245"/>
  <pageSetup paperSize="9" scale="32" fitToHeight="99" orientation="landscape" horizontalDpi="1200" verticalDpi="120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5">
    <tabColor theme="6" tint="0.39997558519241921"/>
    <pageSetUpPr fitToPage="1"/>
  </sheetPr>
  <dimension ref="A1:R115"/>
  <sheetViews>
    <sheetView topLeftCell="A7" zoomScaleNormal="100" workbookViewId="0">
      <selection activeCell="G38" sqref="G38:H38"/>
    </sheetView>
  </sheetViews>
  <sheetFormatPr baseColWidth="10" defaultColWidth="11.5703125" defaultRowHeight="12.75" x14ac:dyDescent="0.2"/>
  <cols>
    <col min="1" max="1" width="3.5703125" style="91" customWidth="1"/>
    <col min="2" max="2" width="1.42578125" style="235" customWidth="1"/>
    <col min="3" max="3" width="0.5703125" style="235" customWidth="1"/>
    <col min="4" max="4" width="3.5703125" style="91" customWidth="1"/>
    <col min="5" max="6" width="10.5703125" style="91" customWidth="1"/>
    <col min="7" max="7" width="14.5703125" style="91" customWidth="1"/>
    <col min="8" max="8" width="13.42578125" style="91" customWidth="1"/>
    <col min="9" max="9" width="3.7109375" style="91" customWidth="1"/>
    <col min="10" max="10" width="14.5703125" style="91" customWidth="1"/>
    <col min="11" max="11" width="6.7109375" style="91" customWidth="1"/>
    <col min="12" max="12" width="13.28515625" style="91" customWidth="1"/>
    <col min="13" max="13" width="3.5703125" style="91" customWidth="1"/>
    <col min="14" max="14" width="2.28515625" style="91" customWidth="1"/>
    <col min="15" max="15" width="18" style="91" customWidth="1"/>
    <col min="16" max="16" width="11.5703125" style="91"/>
    <col min="17" max="17" width="42.140625" style="91" customWidth="1"/>
    <col min="18" max="18" width="4.85546875" style="91" hidden="1" customWidth="1"/>
    <col min="19" max="19" width="0" style="91" hidden="1" customWidth="1"/>
    <col min="20" max="16384" width="11.5703125" style="91"/>
  </cols>
  <sheetData>
    <row r="1" spans="1:17" s="244" customFormat="1" ht="5.0999999999999996" customHeight="1" x14ac:dyDescent="0.2">
      <c r="B1" s="235"/>
      <c r="C1" s="235"/>
    </row>
    <row r="2" spans="1:17" s="244" customFormat="1" ht="45" customHeight="1" x14ac:dyDescent="0.2">
      <c r="B2" s="333"/>
      <c r="C2" s="235"/>
      <c r="D2" s="1144" t="s">
        <v>848</v>
      </c>
      <c r="E2" s="1144"/>
      <c r="F2" s="1144"/>
      <c r="G2" s="1144"/>
      <c r="H2" s="1144"/>
      <c r="I2" s="319"/>
      <c r="J2" s="319"/>
      <c r="K2" s="319"/>
      <c r="L2" s="319"/>
    </row>
    <row r="3" spans="1:17" s="235" customFormat="1" ht="21" customHeight="1" x14ac:dyDescent="0.2">
      <c r="B3" s="236"/>
      <c r="D3" s="318" t="s">
        <v>945</v>
      </c>
      <c r="F3" s="318"/>
      <c r="H3" s="237"/>
      <c r="I3" s="237"/>
      <c r="J3" s="237"/>
      <c r="M3" s="994" t="str">
        <f>CONCATENATE(LohntabelleM!G1," / ",LohntabelleM!I1)</f>
        <v>V6.0 / 2026</v>
      </c>
      <c r="N3" s="237"/>
    </row>
    <row r="4" spans="1:17" s="244" customFormat="1" ht="6.75" customHeight="1" x14ac:dyDescent="0.2">
      <c r="A4" s="239"/>
      <c r="B4" s="240"/>
      <c r="C4" s="240"/>
      <c r="D4" s="240"/>
      <c r="E4" s="240"/>
      <c r="F4" s="241"/>
      <c r="G4" s="240"/>
      <c r="H4" s="242"/>
      <c r="I4" s="243"/>
      <c r="J4" s="242"/>
      <c r="K4" s="242"/>
      <c r="L4" s="242"/>
      <c r="M4" s="242"/>
      <c r="N4" s="237"/>
    </row>
    <row r="5" spans="1:17" s="244" customFormat="1" ht="6" customHeight="1" x14ac:dyDescent="0.2">
      <c r="A5" s="239"/>
      <c r="B5" s="240"/>
      <c r="C5" s="239"/>
      <c r="D5" s="239"/>
      <c r="E5" s="239"/>
      <c r="F5" s="318"/>
      <c r="G5" s="239"/>
      <c r="H5" s="245"/>
      <c r="I5" s="246"/>
      <c r="J5" s="245"/>
      <c r="K5" s="245"/>
      <c r="L5" s="245"/>
      <c r="M5" s="245"/>
      <c r="N5" s="239"/>
    </row>
    <row r="6" spans="1:17" s="244" customFormat="1" ht="5.0999999999999996" customHeight="1" x14ac:dyDescent="0.2">
      <c r="B6" s="240"/>
      <c r="D6" s="59"/>
      <c r="E6" s="315"/>
      <c r="F6" s="316"/>
      <c r="G6" s="317"/>
      <c r="H6" s="315"/>
      <c r="I6" s="315"/>
      <c r="J6" s="315"/>
      <c r="K6" s="315"/>
      <c r="L6" s="315"/>
      <c r="M6" s="60"/>
    </row>
    <row r="7" spans="1:17" s="244" customFormat="1" x14ac:dyDescent="0.2">
      <c r="B7" s="240"/>
      <c r="D7" s="61"/>
      <c r="E7" s="434" t="s">
        <v>770</v>
      </c>
      <c r="F7" s="439"/>
      <c r="G7" s="553"/>
      <c r="H7" s="439"/>
      <c r="I7" s="439"/>
      <c r="J7" s="439"/>
      <c r="K7" s="439"/>
      <c r="L7" s="439"/>
      <c r="M7" s="62"/>
    </row>
    <row r="8" spans="1:17" s="244" customFormat="1" ht="12.6" customHeight="1" x14ac:dyDescent="0.2">
      <c r="B8" s="240"/>
      <c r="C8" s="239"/>
      <c r="D8" s="61"/>
      <c r="E8" s="432"/>
      <c r="F8" s="432"/>
      <c r="G8" s="433"/>
      <c r="H8" s="432"/>
      <c r="I8" s="432"/>
      <c r="J8" s="432"/>
      <c r="K8" s="432"/>
      <c r="L8" s="432"/>
      <c r="M8" s="62"/>
      <c r="O8" s="1149" t="s">
        <v>1029</v>
      </c>
      <c r="P8" s="1150"/>
      <c r="Q8" s="675"/>
    </row>
    <row r="9" spans="1:17" s="244" customFormat="1" ht="12.6" customHeight="1" x14ac:dyDescent="0.2">
      <c r="B9" s="247"/>
      <c r="C9" s="235"/>
      <c r="D9" s="61"/>
      <c r="E9" s="432" t="s">
        <v>967</v>
      </c>
      <c r="F9" s="432"/>
      <c r="G9" s="554" t="str">
        <f>IF(MAAnrede&lt;&gt;"",MAAnrede,"")</f>
        <v/>
      </c>
      <c r="H9" s="432"/>
      <c r="I9" s="432"/>
      <c r="J9" s="432"/>
      <c r="K9" s="432"/>
      <c r="L9" s="432"/>
      <c r="M9" s="62"/>
      <c r="O9" s="1151"/>
      <c r="P9" s="1152"/>
      <c r="Q9" s="675"/>
    </row>
    <row r="10" spans="1:17" s="244" customFormat="1" x14ac:dyDescent="0.2">
      <c r="B10" s="240"/>
      <c r="C10" s="239"/>
      <c r="D10" s="61"/>
      <c r="E10" s="432"/>
      <c r="F10" s="432"/>
      <c r="G10" s="433"/>
      <c r="H10" s="432"/>
      <c r="I10" s="432"/>
      <c r="J10" s="432"/>
      <c r="K10" s="432"/>
      <c r="L10" s="432"/>
      <c r="M10" s="62"/>
    </row>
    <row r="11" spans="1:17" s="244" customFormat="1" x14ac:dyDescent="0.2">
      <c r="B11" s="247"/>
      <c r="C11" s="235"/>
      <c r="D11" s="61"/>
      <c r="E11" s="432" t="s">
        <v>756</v>
      </c>
      <c r="F11" s="432"/>
      <c r="G11" s="1145" t="str">
        <f>IF(MAName&lt;&gt;"",MAName,"")</f>
        <v/>
      </c>
      <c r="H11" s="1145"/>
      <c r="I11" s="432"/>
      <c r="J11" s="432" t="s">
        <v>757</v>
      </c>
      <c r="K11" s="1145" t="str">
        <f>IF(MAVorname&lt;&gt;"",MAVorname,"")</f>
        <v/>
      </c>
      <c r="L11" s="1145"/>
      <c r="M11" s="62"/>
    </row>
    <row r="12" spans="1:17" s="244" customFormat="1" x14ac:dyDescent="0.2">
      <c r="B12" s="247"/>
      <c r="C12" s="235"/>
      <c r="D12" s="61"/>
      <c r="E12" s="432"/>
      <c r="F12" s="432"/>
      <c r="G12" s="432"/>
      <c r="H12" s="432"/>
      <c r="I12" s="432"/>
      <c r="J12" s="432"/>
      <c r="K12" s="432"/>
      <c r="L12" s="432"/>
      <c r="M12" s="62"/>
    </row>
    <row r="13" spans="1:17" s="244" customFormat="1" x14ac:dyDescent="0.2">
      <c r="B13" s="247"/>
      <c r="C13" s="235"/>
      <c r="D13" s="61"/>
      <c r="E13" s="432" t="s">
        <v>762</v>
      </c>
      <c r="F13" s="432"/>
      <c r="G13" s="1145" t="str">
        <f>IF(MAPersID&lt;&gt;"",MAPersID,"")</f>
        <v/>
      </c>
      <c r="H13" s="1145"/>
      <c r="I13" s="438"/>
      <c r="J13" s="431"/>
      <c r="K13" s="431"/>
      <c r="L13" s="431"/>
      <c r="M13" s="62"/>
    </row>
    <row r="14" spans="1:17" s="244" customFormat="1" x14ac:dyDescent="0.2">
      <c r="B14" s="247"/>
      <c r="C14" s="235"/>
      <c r="D14" s="61"/>
      <c r="E14" s="432"/>
      <c r="F14" s="432"/>
      <c r="G14" s="433"/>
      <c r="H14" s="432"/>
      <c r="I14" s="432"/>
      <c r="J14" s="432"/>
      <c r="K14" s="432"/>
      <c r="L14" s="432"/>
      <c r="M14" s="62"/>
      <c r="O14" s="675"/>
      <c r="P14" s="675"/>
      <c r="Q14" s="675"/>
    </row>
    <row r="15" spans="1:17" s="244" customFormat="1" x14ac:dyDescent="0.2">
      <c r="B15" s="247"/>
      <c r="C15" s="235"/>
      <c r="D15" s="61"/>
      <c r="E15" s="432" t="s">
        <v>755</v>
      </c>
      <c r="F15" s="432"/>
      <c r="G15" s="1138"/>
      <c r="H15" s="1138"/>
      <c r="I15" s="1138"/>
      <c r="J15" s="1138"/>
      <c r="K15" s="1138"/>
      <c r="L15" s="1138"/>
      <c r="M15" s="62"/>
      <c r="O15" s="675"/>
      <c r="P15" s="675"/>
      <c r="Q15" s="675"/>
    </row>
    <row r="16" spans="1:17" s="244" customFormat="1" x14ac:dyDescent="0.2">
      <c r="B16" s="247"/>
      <c r="C16" s="235"/>
      <c r="D16" s="61"/>
      <c r="E16" s="432"/>
      <c r="F16" s="432"/>
      <c r="G16" s="433"/>
      <c r="H16" s="432"/>
      <c r="I16" s="432"/>
      <c r="J16" s="432"/>
      <c r="K16" s="432"/>
      <c r="L16" s="432"/>
      <c r="M16" s="62"/>
    </row>
    <row r="17" spans="2:16" s="244" customFormat="1" x14ac:dyDescent="0.2">
      <c r="B17" s="247"/>
      <c r="C17" s="235"/>
      <c r="D17" s="61"/>
      <c r="E17" s="432" t="s">
        <v>758</v>
      </c>
      <c r="F17" s="432"/>
      <c r="G17" s="555"/>
      <c r="H17" s="432"/>
      <c r="I17" s="432"/>
      <c r="J17" s="432" t="s">
        <v>759</v>
      </c>
      <c r="K17" s="1138"/>
      <c r="L17" s="1138"/>
      <c r="M17" s="62"/>
      <c r="O17" s="672"/>
      <c r="P17" s="92"/>
    </row>
    <row r="18" spans="2:16" s="244" customFormat="1" x14ac:dyDescent="0.2">
      <c r="B18" s="247"/>
      <c r="C18" s="235"/>
      <c r="D18" s="61"/>
      <c r="E18" s="432"/>
      <c r="F18" s="432"/>
      <c r="G18" s="433"/>
      <c r="H18" s="432"/>
      <c r="I18" s="432"/>
      <c r="J18" s="432"/>
      <c r="K18" s="432"/>
      <c r="L18" s="433"/>
      <c r="M18" s="62"/>
      <c r="O18" s="672"/>
      <c r="P18" s="92"/>
    </row>
    <row r="19" spans="2:16" s="244" customFormat="1" x14ac:dyDescent="0.2">
      <c r="B19" s="247"/>
      <c r="C19" s="235"/>
      <c r="D19" s="61"/>
      <c r="E19" s="432" t="s">
        <v>760</v>
      </c>
      <c r="F19" s="432"/>
      <c r="G19" s="556" t="str">
        <f>IF(MAGeburtsdatum="","",MAGeburtsdatum)</f>
        <v/>
      </c>
      <c r="H19" s="432"/>
      <c r="I19" s="432"/>
      <c r="J19" s="432"/>
      <c r="K19" s="433"/>
      <c r="L19" s="433"/>
      <c r="M19" s="62"/>
      <c r="O19" s="672"/>
      <c r="P19" s="92"/>
    </row>
    <row r="20" spans="2:16" s="244" customFormat="1" x14ac:dyDescent="0.2">
      <c r="B20" s="247"/>
      <c r="C20" s="235"/>
      <c r="D20" s="61"/>
      <c r="E20" s="432"/>
      <c r="F20" s="432"/>
      <c r="G20" s="432"/>
      <c r="H20" s="432"/>
      <c r="I20" s="432"/>
      <c r="J20" s="432"/>
      <c r="K20" s="432"/>
      <c r="L20" s="433"/>
      <c r="M20" s="62"/>
    </row>
    <row r="21" spans="2:16" s="244" customFormat="1" ht="13.15" customHeight="1" x14ac:dyDescent="0.2">
      <c r="B21" s="240"/>
      <c r="D21" s="61"/>
      <c r="E21" s="435" t="s">
        <v>825</v>
      </c>
      <c r="F21" s="1134" t="s">
        <v>1072</v>
      </c>
      <c r="G21" s="1134"/>
      <c r="H21" s="1134"/>
      <c r="I21" s="1134"/>
      <c r="J21" s="1134"/>
      <c r="K21" s="1134"/>
      <c r="L21" s="431"/>
      <c r="M21" s="62"/>
    </row>
    <row r="22" spans="2:16" s="244" customFormat="1" ht="13.15" customHeight="1" x14ac:dyDescent="0.2">
      <c r="B22" s="240"/>
      <c r="D22" s="61"/>
      <c r="E22" s="435"/>
      <c r="F22" s="1134" t="s">
        <v>1070</v>
      </c>
      <c r="G22" s="1134"/>
      <c r="H22" s="1134"/>
      <c r="I22" s="1134"/>
      <c r="J22" s="1134"/>
      <c r="K22" s="1134"/>
      <c r="L22" s="1134"/>
      <c r="M22" s="62"/>
    </row>
    <row r="23" spans="2:16" s="244" customFormat="1" ht="12.6" customHeight="1" x14ac:dyDescent="0.2">
      <c r="B23" s="240"/>
      <c r="D23" s="61"/>
      <c r="E23" s="435"/>
      <c r="F23" s="1134" t="s">
        <v>1071</v>
      </c>
      <c r="G23" s="1134"/>
      <c r="H23" s="1134"/>
      <c r="I23" s="1134"/>
      <c r="J23" s="1134"/>
      <c r="K23" s="557"/>
      <c r="L23" s="431"/>
      <c r="M23" s="62"/>
    </row>
    <row r="24" spans="2:16" s="244" customFormat="1" ht="12.6" customHeight="1" x14ac:dyDescent="0.2">
      <c r="B24" s="240"/>
      <c r="D24" s="61"/>
      <c r="E24" s="435"/>
      <c r="F24" s="1134" t="s">
        <v>1073</v>
      </c>
      <c r="G24" s="1134"/>
      <c r="H24" s="557"/>
      <c r="I24" s="557"/>
      <c r="J24" s="557"/>
      <c r="K24" s="557"/>
      <c r="L24" s="431"/>
      <c r="M24" s="62"/>
    </row>
    <row r="25" spans="2:16" s="244" customFormat="1" ht="8.1" customHeight="1" x14ac:dyDescent="0.2">
      <c r="B25" s="247"/>
      <c r="C25" s="235"/>
      <c r="D25" s="63"/>
      <c r="E25" s="64"/>
      <c r="F25" s="64"/>
      <c r="G25" s="65"/>
      <c r="H25" s="64"/>
      <c r="I25" s="64"/>
      <c r="J25" s="64"/>
      <c r="K25" s="64"/>
      <c r="L25" s="64"/>
      <c r="M25" s="66"/>
    </row>
    <row r="26" spans="2:16" s="244" customFormat="1" ht="6" customHeight="1" x14ac:dyDescent="0.2">
      <c r="B26" s="247"/>
      <c r="C26" s="235"/>
      <c r="D26" s="431"/>
      <c r="E26" s="432"/>
      <c r="F26" s="432"/>
      <c r="G26" s="433"/>
      <c r="H26" s="432"/>
      <c r="I26" s="432"/>
      <c r="J26" s="432"/>
      <c r="K26" s="432"/>
      <c r="L26" s="432"/>
      <c r="M26" s="431"/>
    </row>
    <row r="27" spans="2:16" s="244" customFormat="1" ht="5.0999999999999996" customHeight="1" x14ac:dyDescent="0.2">
      <c r="B27" s="247"/>
      <c r="C27" s="235"/>
      <c r="D27" s="59"/>
      <c r="E27" s="269"/>
      <c r="F27" s="269"/>
      <c r="G27" s="270"/>
      <c r="H27" s="269"/>
      <c r="I27" s="269"/>
      <c r="J27" s="269"/>
      <c r="K27" s="269"/>
      <c r="L27" s="269"/>
      <c r="M27" s="60"/>
    </row>
    <row r="28" spans="2:16" s="244" customFormat="1" x14ac:dyDescent="0.2">
      <c r="B28" s="247"/>
      <c r="C28" s="235"/>
      <c r="D28" s="61"/>
      <c r="E28" s="434" t="s">
        <v>931</v>
      </c>
      <c r="F28" s="432"/>
      <c r="G28" s="433"/>
      <c r="H28" s="432"/>
      <c r="I28" s="432"/>
      <c r="J28" s="432"/>
      <c r="K28" s="432"/>
      <c r="L28" s="432"/>
      <c r="M28" s="62"/>
    </row>
    <row r="29" spans="2:16" s="244" customFormat="1" x14ac:dyDescent="0.2">
      <c r="B29" s="247"/>
      <c r="C29" s="235"/>
      <c r="D29" s="61"/>
      <c r="E29" s="432"/>
      <c r="F29" s="432"/>
      <c r="G29" s="433"/>
      <c r="H29" s="432"/>
      <c r="I29" s="432"/>
      <c r="J29" s="432"/>
      <c r="K29" s="432"/>
      <c r="L29" s="432"/>
      <c r="M29" s="62"/>
    </row>
    <row r="30" spans="2:16" s="244" customFormat="1" x14ac:dyDescent="0.2">
      <c r="B30" s="247"/>
      <c r="C30" s="235"/>
      <c r="D30" s="61"/>
      <c r="E30" s="432" t="s">
        <v>1074</v>
      </c>
      <c r="F30" s="432"/>
      <c r="G30" s="616"/>
      <c r="H30" s="1154" t="s">
        <v>826</v>
      </c>
      <c r="I30" s="1154"/>
      <c r="J30" s="1138"/>
      <c r="K30" s="1138"/>
      <c r="L30" s="1138"/>
      <c r="M30" s="62"/>
      <c r="O30" s="867">
        <f>YEAR(G30)</f>
        <v>1900</v>
      </c>
    </row>
    <row r="31" spans="2:16" s="244" customFormat="1" ht="16.5" x14ac:dyDescent="0.2">
      <c r="B31" s="247"/>
      <c r="C31" s="235"/>
      <c r="D31" s="61"/>
      <c r="E31" s="439"/>
      <c r="F31" s="440"/>
      <c r="G31" s="553"/>
      <c r="H31" s="439"/>
      <c r="I31" s="439"/>
      <c r="J31" s="432"/>
      <c r="K31" s="432"/>
      <c r="L31" s="432"/>
      <c r="M31" s="62"/>
    </row>
    <row r="32" spans="2:16" s="244" customFormat="1" ht="13.35" customHeight="1" x14ac:dyDescent="0.2">
      <c r="B32" s="247"/>
      <c r="C32" s="235"/>
      <c r="D32" s="61"/>
      <c r="E32" s="432" t="s">
        <v>988</v>
      </c>
      <c r="F32" s="440"/>
      <c r="G32" s="1139"/>
      <c r="H32" s="1139"/>
      <c r="I32" s="439"/>
      <c r="J32" s="1158" t="s">
        <v>1130</v>
      </c>
      <c r="K32" s="1158"/>
      <c r="L32" s="1158"/>
      <c r="M32" s="1159"/>
    </row>
    <row r="33" spans="2:13" s="244" customFormat="1" ht="16.5" x14ac:dyDescent="0.2">
      <c r="B33" s="247"/>
      <c r="C33" s="235"/>
      <c r="D33" s="61"/>
      <c r="E33" s="439"/>
      <c r="F33" s="440"/>
      <c r="G33" s="440"/>
      <c r="H33" s="439"/>
      <c r="I33" s="439"/>
      <c r="J33" s="432"/>
      <c r="K33" s="432"/>
      <c r="L33" s="432"/>
      <c r="M33" s="62"/>
    </row>
    <row r="34" spans="2:13" s="244" customFormat="1" x14ac:dyDescent="0.2">
      <c r="B34" s="247"/>
      <c r="C34" s="235"/>
      <c r="D34" s="61"/>
      <c r="E34" s="441" t="s">
        <v>2009</v>
      </c>
      <c r="F34" s="433"/>
      <c r="G34" s="616"/>
      <c r="H34" s="1155" t="s">
        <v>989</v>
      </c>
      <c r="I34" s="1155"/>
      <c r="J34" s="1153"/>
      <c r="K34" s="1153"/>
      <c r="L34" s="1153"/>
      <c r="M34" s="989">
        <f>IF(AND(G34&lt;&gt;"",J34=""),1,0)</f>
        <v>0</v>
      </c>
    </row>
    <row r="35" spans="2:13" s="244" customFormat="1" ht="13.5" customHeight="1" x14ac:dyDescent="0.2">
      <c r="B35" s="247"/>
      <c r="C35" s="235"/>
      <c r="D35" s="61"/>
      <c r="F35" s="440"/>
      <c r="G35" s="440"/>
      <c r="H35" s="439"/>
      <c r="I35" s="439"/>
      <c r="J35" s="1147" t="str">
        <f>IF(M34=1,"(Befristungsgrund zwingend angeben)","")</f>
        <v/>
      </c>
      <c r="K35" s="1147"/>
      <c r="L35" s="1147"/>
      <c r="M35" s="62"/>
    </row>
    <row r="36" spans="2:13" s="244" customFormat="1" ht="13.35" customHeight="1" x14ac:dyDescent="0.2">
      <c r="B36" s="247"/>
      <c r="C36" s="235"/>
      <c r="D36" s="61"/>
      <c r="E36" s="1156" t="s">
        <v>2015</v>
      </c>
      <c r="F36" s="1156"/>
      <c r="G36" s="1138"/>
      <c r="H36" s="1138"/>
      <c r="I36" s="1157" t="s">
        <v>2010</v>
      </c>
      <c r="J36" s="1157"/>
      <c r="K36" s="1138"/>
      <c r="L36" s="1138"/>
      <c r="M36" s="62"/>
    </row>
    <row r="37" spans="2:13" s="244" customFormat="1" x14ac:dyDescent="0.2">
      <c r="B37" s="240"/>
      <c r="C37" s="239"/>
      <c r="D37" s="61"/>
      <c r="E37" s="949" t="s">
        <v>2004</v>
      </c>
      <c r="F37" s="432"/>
      <c r="G37" s="433"/>
      <c r="H37" s="432"/>
      <c r="I37" s="557"/>
      <c r="J37" s="557"/>
      <c r="K37" s="432"/>
      <c r="L37" s="432"/>
      <c r="M37" s="62"/>
    </row>
    <row r="38" spans="2:13" s="244" customFormat="1" x14ac:dyDescent="0.2">
      <c r="B38" s="247"/>
      <c r="C38" s="268"/>
      <c r="D38" s="61"/>
      <c r="E38" s="432" t="s">
        <v>849</v>
      </c>
      <c r="F38" s="558"/>
      <c r="G38" s="1138"/>
      <c r="H38" s="1138"/>
      <c r="I38" s="439"/>
      <c r="J38" s="963" t="s">
        <v>947</v>
      </c>
      <c r="K38" s="1138"/>
      <c r="L38" s="1138"/>
      <c r="M38" s="62"/>
    </row>
    <row r="39" spans="2:13" s="244" customFormat="1" x14ac:dyDescent="0.2">
      <c r="B39" s="240"/>
      <c r="C39" s="239"/>
      <c r="D39" s="61"/>
      <c r="E39" s="977" t="str">
        <f>IF(G38="","(zwingend auszufüllen)","")</f>
        <v>(zwingend auszufüllen)</v>
      </c>
      <c r="F39" s="432"/>
      <c r="G39" s="1148"/>
      <c r="H39" s="1148"/>
      <c r="I39" s="559"/>
      <c r="J39" s="1160" t="str">
        <f>IF(K38="","(zwingend auszufüllen)","")</f>
        <v>(zwingend auszufüllen)</v>
      </c>
      <c r="K39" s="1160"/>
      <c r="L39" s="977"/>
      <c r="M39" s="62"/>
    </row>
    <row r="40" spans="2:13" s="244" customFormat="1" x14ac:dyDescent="0.2">
      <c r="B40" s="240"/>
      <c r="C40" s="239"/>
      <c r="D40" s="61"/>
      <c r="E40" s="432" t="s">
        <v>908</v>
      </c>
      <c r="F40" s="432"/>
      <c r="G40" s="1138"/>
      <c r="H40" s="1138"/>
      <c r="I40" s="439"/>
      <c r="J40" s="431"/>
      <c r="K40" s="431"/>
      <c r="L40" s="431"/>
      <c r="M40" s="62"/>
    </row>
    <row r="41" spans="2:13" s="244" customFormat="1" x14ac:dyDescent="0.2">
      <c r="B41" s="240"/>
      <c r="C41" s="239"/>
      <c r="D41" s="61"/>
      <c r="E41" s="977" t="str">
        <f>IF(G40="","(zwingend auszufüllen)","")</f>
        <v>(zwingend auszufüllen)</v>
      </c>
      <c r="F41" s="432"/>
      <c r="G41" s="1148"/>
      <c r="H41" s="1148"/>
      <c r="I41" s="559"/>
      <c r="J41" s="431"/>
      <c r="K41" s="431"/>
      <c r="L41" s="431"/>
      <c r="M41" s="62"/>
    </row>
    <row r="42" spans="2:13" s="244" customFormat="1" x14ac:dyDescent="0.2">
      <c r="B42" s="240"/>
      <c r="C42" s="239"/>
      <c r="D42" s="61"/>
      <c r="E42" s="432" t="s">
        <v>2011</v>
      </c>
      <c r="F42" s="432"/>
      <c r="G42" s="1139"/>
      <c r="H42" s="1139"/>
      <c r="I42" s="432"/>
      <c r="J42" s="963" t="s">
        <v>827</v>
      </c>
      <c r="K42" s="432"/>
      <c r="L42" s="763"/>
      <c r="M42" s="62"/>
    </row>
    <row r="43" spans="2:13" s="244" customFormat="1" x14ac:dyDescent="0.2">
      <c r="B43" s="240"/>
      <c r="C43" s="239"/>
      <c r="D43" s="61"/>
      <c r="E43" s="432"/>
      <c r="F43" s="432"/>
      <c r="G43" s="433"/>
      <c r="H43" s="432"/>
      <c r="I43" s="432"/>
      <c r="J43" s="432"/>
      <c r="K43" s="432"/>
      <c r="L43" s="432"/>
      <c r="M43" s="62"/>
    </row>
    <row r="44" spans="2:13" s="244" customFormat="1" x14ac:dyDescent="0.2">
      <c r="B44" s="240"/>
      <c r="C44" s="239"/>
      <c r="D44" s="61"/>
      <c r="E44" s="432"/>
      <c r="F44" s="560"/>
      <c r="G44" s="560" t="s">
        <v>828</v>
      </c>
      <c r="H44" s="569">
        <f>SUM(L42:L42)</f>
        <v>0</v>
      </c>
      <c r="I44" s="432"/>
      <c r="J44" s="432" t="s">
        <v>823</v>
      </c>
      <c r="K44" s="432"/>
      <c r="L44" s="432"/>
      <c r="M44" s="62"/>
    </row>
    <row r="45" spans="2:13" s="244" customFormat="1" x14ac:dyDescent="0.2">
      <c r="B45" s="240"/>
      <c r="C45" s="239"/>
      <c r="D45" s="61"/>
      <c r="E45" s="432"/>
      <c r="F45" s="432"/>
      <c r="G45" s="433"/>
      <c r="H45" s="432"/>
      <c r="I45" s="432"/>
      <c r="J45" s="432"/>
      <c r="K45" s="432"/>
      <c r="L45" s="432"/>
      <c r="M45" s="62"/>
    </row>
    <row r="46" spans="2:13" s="244" customFormat="1" x14ac:dyDescent="0.2">
      <c r="B46" s="240"/>
      <c r="C46" s="239"/>
      <c r="D46" s="61"/>
      <c r="E46" s="432"/>
      <c r="F46" s="560"/>
      <c r="G46" s="432" t="s">
        <v>822</v>
      </c>
      <c r="H46" s="561"/>
      <c r="I46" s="561"/>
      <c r="J46" s="764"/>
      <c r="K46" s="433" t="s">
        <v>7</v>
      </c>
      <c r="L46" s="765"/>
      <c r="M46" s="62"/>
    </row>
    <row r="47" spans="2:13" s="244" customFormat="1" x14ac:dyDescent="0.2">
      <c r="B47" s="240"/>
      <c r="C47" s="239"/>
      <c r="D47" s="61"/>
      <c r="E47" s="549"/>
      <c r="F47" s="549"/>
      <c r="G47" s="551" t="s">
        <v>824</v>
      </c>
      <c r="H47" s="552"/>
      <c r="I47" s="552"/>
      <c r="J47" s="552"/>
      <c r="K47" s="550"/>
      <c r="L47" s="552"/>
      <c r="M47" s="62"/>
    </row>
    <row r="48" spans="2:13" s="244" customFormat="1" x14ac:dyDescent="0.2">
      <c r="B48" s="240"/>
      <c r="C48" s="239"/>
      <c r="D48" s="61"/>
      <c r="E48" s="549"/>
      <c r="F48" s="549"/>
      <c r="G48" s="551"/>
      <c r="H48" s="552"/>
      <c r="I48" s="552"/>
      <c r="J48" s="552"/>
      <c r="K48" s="550"/>
      <c r="L48" s="552"/>
      <c r="M48" s="62"/>
    </row>
    <row r="49" spans="1:18" s="244" customFormat="1" x14ac:dyDescent="0.2">
      <c r="B49" s="240"/>
      <c r="C49" s="235"/>
      <c r="D49" s="61"/>
      <c r="E49" s="1140" t="s">
        <v>972</v>
      </c>
      <c r="F49" s="1140"/>
      <c r="G49" s="1140"/>
      <c r="H49" s="439"/>
      <c r="I49" s="439"/>
      <c r="J49" s="439"/>
      <c r="K49" s="439"/>
      <c r="L49" s="439"/>
      <c r="M49" s="62"/>
    </row>
    <row r="50" spans="1:18" s="244" customFormat="1" x14ac:dyDescent="0.2">
      <c r="B50" s="240"/>
      <c r="C50" s="235"/>
      <c r="D50" s="61"/>
      <c r="E50" s="432"/>
      <c r="F50" s="432"/>
      <c r="G50" s="433"/>
      <c r="H50" s="432"/>
      <c r="I50" s="432"/>
      <c r="J50" s="432"/>
      <c r="K50" s="432"/>
      <c r="L50" s="432"/>
      <c r="M50" s="62"/>
      <c r="R50" s="244" t="s">
        <v>973</v>
      </c>
    </row>
    <row r="51" spans="1:18" s="244" customFormat="1" x14ac:dyDescent="0.2">
      <c r="B51" s="240"/>
      <c r="C51" s="235"/>
      <c r="D51" s="61"/>
      <c r="E51" s="1146"/>
      <c r="F51" s="1146"/>
      <c r="G51" s="1146"/>
      <c r="H51" s="1146"/>
      <c r="I51" s="1146"/>
      <c r="J51" s="1146"/>
      <c r="K51" s="1146"/>
      <c r="L51" s="1146"/>
      <c r="M51" s="62"/>
      <c r="R51" s="349">
        <f>E51</f>
        <v>0</v>
      </c>
    </row>
    <row r="52" spans="1:18" s="244" customFormat="1" x14ac:dyDescent="0.2">
      <c r="B52" s="240"/>
      <c r="C52" s="235"/>
      <c r="D52" s="61"/>
      <c r="E52" s="1146"/>
      <c r="F52" s="1146"/>
      <c r="G52" s="1146"/>
      <c r="H52" s="1146"/>
      <c r="I52" s="1146"/>
      <c r="J52" s="1146"/>
      <c r="K52" s="1146"/>
      <c r="L52" s="1146"/>
      <c r="M52" s="62"/>
      <c r="R52" s="349"/>
    </row>
    <row r="53" spans="1:18" s="244" customFormat="1" x14ac:dyDescent="0.2">
      <c r="B53" s="240"/>
      <c r="C53" s="235"/>
      <c r="D53" s="61"/>
      <c r="E53" s="1146"/>
      <c r="F53" s="1146"/>
      <c r="G53" s="1146"/>
      <c r="H53" s="1146"/>
      <c r="I53" s="1146"/>
      <c r="J53" s="1146"/>
      <c r="K53" s="1146"/>
      <c r="L53" s="1146"/>
      <c r="M53" s="62"/>
      <c r="R53" s="349">
        <f>E53</f>
        <v>0</v>
      </c>
    </row>
    <row r="54" spans="1:18" s="244" customFormat="1" x14ac:dyDescent="0.2">
      <c r="B54" s="240"/>
      <c r="C54" s="239"/>
      <c r="D54" s="61"/>
      <c r="E54" s="561"/>
      <c r="F54" s="432"/>
      <c r="G54" s="432"/>
      <c r="H54" s="432"/>
      <c r="I54" s="432"/>
      <c r="J54" s="432"/>
      <c r="K54" s="549"/>
      <c r="L54" s="549"/>
      <c r="M54" s="62"/>
    </row>
    <row r="55" spans="1:18" s="244" customFormat="1" x14ac:dyDescent="0.2">
      <c r="B55" s="240"/>
      <c r="C55" s="235"/>
      <c r="D55" s="61"/>
      <c r="H55" s="1140" t="s">
        <v>1122</v>
      </c>
      <c r="I55" s="1140"/>
      <c r="J55" s="1140"/>
      <c r="K55" s="439"/>
      <c r="L55" s="616"/>
      <c r="M55" s="62"/>
    </row>
    <row r="56" spans="1:18" s="244" customFormat="1" ht="7.15" customHeight="1" x14ac:dyDescent="0.2">
      <c r="B56" s="240"/>
      <c r="C56" s="239"/>
      <c r="D56" s="63"/>
      <c r="E56" s="64"/>
      <c r="F56" s="64"/>
      <c r="G56" s="64"/>
      <c r="H56" s="64"/>
      <c r="I56" s="64"/>
      <c r="J56" s="64"/>
      <c r="K56" s="347"/>
      <c r="L56" s="348"/>
      <c r="M56" s="66"/>
    </row>
    <row r="57" spans="1:18" s="244" customFormat="1" x14ac:dyDescent="0.2">
      <c r="C57" s="239"/>
      <c r="E57" s="245"/>
      <c r="F57" s="245"/>
      <c r="G57" s="246"/>
      <c r="H57" s="245"/>
      <c r="I57" s="245"/>
      <c r="J57" s="245"/>
      <c r="K57" s="245"/>
      <c r="L57" s="245"/>
    </row>
    <row r="58" spans="1:18" s="244" customFormat="1" ht="10.5" customHeight="1" x14ac:dyDescent="0.2">
      <c r="C58" s="239"/>
      <c r="D58" s="318" t="s">
        <v>1221</v>
      </c>
      <c r="F58" s="245"/>
      <c r="G58" s="246"/>
      <c r="H58" s="245"/>
      <c r="I58" s="245"/>
      <c r="J58" s="245"/>
      <c r="K58" s="245"/>
      <c r="L58" s="245"/>
      <c r="P58" s="850"/>
      <c r="Q58" s="850"/>
    </row>
    <row r="59" spans="1:18" s="244" customFormat="1" ht="5.25" customHeight="1" x14ac:dyDescent="0.2">
      <c r="C59" s="239"/>
      <c r="D59" s="318"/>
      <c r="F59" s="245"/>
      <c r="G59" s="246"/>
      <c r="H59" s="245"/>
      <c r="I59" s="245"/>
      <c r="J59" s="245"/>
      <c r="K59" s="245"/>
      <c r="L59" s="245"/>
      <c r="O59" s="850"/>
      <c r="P59" s="850"/>
      <c r="Q59" s="850"/>
    </row>
    <row r="60" spans="1:18" s="244" customFormat="1" ht="6.75" customHeight="1" x14ac:dyDescent="0.2">
      <c r="A60" s="239"/>
      <c r="B60" s="240"/>
      <c r="C60" s="240"/>
      <c r="D60" s="240"/>
      <c r="E60" s="240"/>
      <c r="F60" s="241"/>
      <c r="G60" s="240"/>
      <c r="H60" s="242"/>
      <c r="I60" s="243"/>
      <c r="J60" s="242"/>
      <c r="K60" s="242"/>
      <c r="L60" s="242"/>
      <c r="M60" s="242"/>
      <c r="N60" s="237"/>
      <c r="O60" s="1161" t="s">
        <v>2000</v>
      </c>
      <c r="P60" s="1161"/>
      <c r="Q60" s="1161"/>
    </row>
    <row r="61" spans="1:18" s="244" customFormat="1" ht="6" customHeight="1" x14ac:dyDescent="0.2">
      <c r="A61" s="239"/>
      <c r="B61" s="240"/>
      <c r="C61" s="239"/>
      <c r="D61" s="239"/>
      <c r="E61" s="239"/>
      <c r="F61" s="318"/>
      <c r="G61" s="239"/>
      <c r="H61" s="245"/>
      <c r="I61" s="246"/>
      <c r="J61" s="245"/>
      <c r="K61" s="245"/>
      <c r="L61" s="245"/>
      <c r="M61" s="245"/>
      <c r="N61" s="237"/>
      <c r="O61" s="1161"/>
      <c r="P61" s="1161"/>
      <c r="Q61" s="1161"/>
    </row>
    <row r="62" spans="1:18" s="244" customFormat="1" ht="5.0999999999999996" customHeight="1" x14ac:dyDescent="0.2">
      <c r="B62" s="240"/>
      <c r="C62" s="239"/>
      <c r="D62" s="59"/>
      <c r="E62" s="269"/>
      <c r="F62" s="269"/>
      <c r="G62" s="270"/>
      <c r="H62" s="269"/>
      <c r="I62" s="269"/>
      <c r="J62" s="269"/>
      <c r="K62" s="269"/>
      <c r="L62" s="269"/>
      <c r="M62" s="271"/>
      <c r="O62" s="1161"/>
      <c r="P62" s="1161"/>
      <c r="Q62" s="1161"/>
    </row>
    <row r="63" spans="1:18" s="244" customFormat="1" x14ac:dyDescent="0.2">
      <c r="B63" s="240"/>
      <c r="C63" s="239"/>
      <c r="D63" s="61"/>
      <c r="E63" s="272" t="s">
        <v>941</v>
      </c>
      <c r="F63" s="319"/>
      <c r="G63" s="320"/>
      <c r="H63" s="319"/>
      <c r="I63" s="319"/>
      <c r="J63" s="319"/>
      <c r="K63" s="319"/>
      <c r="L63" s="319"/>
      <c r="M63" s="62"/>
      <c r="O63" s="1161"/>
      <c r="P63" s="1161"/>
      <c r="Q63" s="1161"/>
    </row>
    <row r="64" spans="1:18" s="244" customFormat="1" x14ac:dyDescent="0.2">
      <c r="B64" s="240"/>
      <c r="C64" s="239"/>
      <c r="D64" s="61"/>
      <c r="E64" s="245"/>
      <c r="F64" s="245"/>
      <c r="G64" s="246"/>
      <c r="H64" s="245"/>
      <c r="I64" s="245"/>
      <c r="J64" s="245"/>
      <c r="K64" s="245"/>
      <c r="L64" s="245"/>
      <c r="M64" s="62"/>
      <c r="O64" s="1161"/>
      <c r="P64" s="1161"/>
      <c r="Q64" s="1161"/>
    </row>
    <row r="65" spans="2:18" s="244" customFormat="1" x14ac:dyDescent="0.2">
      <c r="B65" s="240"/>
      <c r="C65" s="239"/>
      <c r="D65" s="61"/>
      <c r="E65" s="245" t="s">
        <v>955</v>
      </c>
      <c r="F65" s="319"/>
      <c r="H65" s="754"/>
      <c r="I65" s="245"/>
      <c r="J65" s="245" t="s">
        <v>971</v>
      </c>
      <c r="K65" s="245"/>
      <c r="L65" s="753"/>
      <c r="M65" s="62"/>
      <c r="O65" s="1161"/>
      <c r="P65" s="1161"/>
      <c r="Q65" s="1161"/>
    </row>
    <row r="66" spans="2:18" s="244" customFormat="1" x14ac:dyDescent="0.2">
      <c r="B66" s="240"/>
      <c r="C66" s="239"/>
      <c r="D66" s="61"/>
      <c r="E66" s="344" t="s">
        <v>956</v>
      </c>
      <c r="F66" s="319"/>
      <c r="G66" s="346"/>
      <c r="H66" s="245"/>
      <c r="I66" s="245"/>
      <c r="K66" s="245"/>
      <c r="L66" s="246"/>
      <c r="M66" s="62"/>
      <c r="O66" s="1161"/>
      <c r="P66" s="1161"/>
      <c r="Q66" s="1161"/>
    </row>
    <row r="67" spans="2:18" s="244" customFormat="1" x14ac:dyDescent="0.2">
      <c r="B67" s="240"/>
      <c r="D67" s="61"/>
      <c r="E67" s="245"/>
      <c r="G67" s="246"/>
      <c r="H67" s="245"/>
      <c r="I67" s="245"/>
      <c r="J67" s="245"/>
      <c r="K67" s="246"/>
      <c r="L67" s="246"/>
      <c r="M67" s="62"/>
      <c r="O67" s="1161"/>
      <c r="P67" s="1161"/>
      <c r="Q67" s="1161"/>
    </row>
    <row r="68" spans="2:18" s="244" customFormat="1" x14ac:dyDescent="0.2">
      <c r="B68" s="240"/>
      <c r="C68" s="239"/>
      <c r="D68" s="61"/>
      <c r="E68" s="245" t="s">
        <v>996</v>
      </c>
      <c r="F68" s="245"/>
      <c r="G68" s="756" t="str">
        <f>IF(MULohnberechnung&lt;&gt;"",MULohnberechnung,"")</f>
        <v/>
      </c>
      <c r="H68" s="733" t="s">
        <v>998</v>
      </c>
      <c r="I68" s="245"/>
      <c r="J68" s="245" t="s">
        <v>1032</v>
      </c>
      <c r="K68" s="245"/>
      <c r="L68" s="755"/>
      <c r="M68" s="62"/>
      <c r="O68" s="1161"/>
      <c r="P68" s="1161"/>
      <c r="Q68" s="1161"/>
    </row>
    <row r="69" spans="2:18" s="244" customFormat="1" ht="14.1" customHeight="1" x14ac:dyDescent="0.2">
      <c r="B69" s="240"/>
      <c r="C69" s="235"/>
      <c r="D69" s="61"/>
      <c r="E69" s="245"/>
      <c r="F69" s="245"/>
      <c r="G69" s="246"/>
      <c r="H69" s="245"/>
      <c r="I69" s="245"/>
      <c r="J69" s="245"/>
      <c r="K69" s="245"/>
      <c r="L69" s="245"/>
      <c r="M69" s="62"/>
      <c r="O69" s="1161"/>
      <c r="P69" s="1161"/>
      <c r="Q69" s="1161"/>
    </row>
    <row r="70" spans="2:18" s="244" customFormat="1" ht="13.5" customHeight="1" x14ac:dyDescent="0.2">
      <c r="B70" s="240"/>
      <c r="C70" s="239"/>
      <c r="D70" s="61"/>
      <c r="E70" s="245" t="s">
        <v>966</v>
      </c>
      <c r="F70" s="245"/>
      <c r="G70" s="755"/>
      <c r="H70" s="1142" t="s">
        <v>1069</v>
      </c>
      <c r="I70" s="1142"/>
      <c r="J70" s="1141" t="str">
        <f>_xlfn.IFNA(VLOOKUP(G70,Stammdaten_DropDown!$B$14:$C$55,2,FALSE),"")</f>
        <v/>
      </c>
      <c r="K70" s="1141"/>
      <c r="L70" s="1141"/>
      <c r="M70" s="266"/>
      <c r="O70" s="1161"/>
      <c r="P70" s="1161"/>
      <c r="Q70" s="1161"/>
    </row>
    <row r="71" spans="2:18" s="244" customFormat="1" x14ac:dyDescent="0.2">
      <c r="B71" s="240"/>
      <c r="C71" s="239"/>
      <c r="D71" s="61"/>
      <c r="E71" s="245"/>
      <c r="F71" s="245"/>
      <c r="G71" s="413"/>
      <c r="H71" s="234"/>
      <c r="I71" s="234"/>
      <c r="J71" s="848"/>
      <c r="K71" s="848"/>
      <c r="L71" s="848"/>
      <c r="M71" s="266"/>
      <c r="O71" s="1161"/>
      <c r="P71" s="1161"/>
      <c r="Q71" s="1161"/>
    </row>
    <row r="72" spans="2:18" s="244" customFormat="1" x14ac:dyDescent="0.2">
      <c r="B72" s="240"/>
      <c r="C72" s="239"/>
      <c r="D72" s="61"/>
      <c r="E72" s="245" t="s">
        <v>1982</v>
      </c>
      <c r="F72" s="245"/>
      <c r="G72" s="413"/>
      <c r="H72" s="1137"/>
      <c r="I72" s="1137"/>
      <c r="J72" s="1137"/>
      <c r="K72" s="1137"/>
      <c r="L72" s="1137"/>
      <c r="M72" s="266"/>
      <c r="O72" s="1161"/>
      <c r="P72" s="1161"/>
      <c r="Q72" s="1161"/>
    </row>
    <row r="73" spans="2:18" s="244" customFormat="1" x14ac:dyDescent="0.2">
      <c r="B73" s="240"/>
      <c r="C73" s="239"/>
      <c r="D73" s="61"/>
      <c r="E73" s="986" t="s">
        <v>2023</v>
      </c>
      <c r="F73" s="245"/>
      <c r="G73" s="245"/>
      <c r="H73" s="245"/>
      <c r="I73" s="245"/>
      <c r="J73" s="245"/>
      <c r="K73" s="245"/>
      <c r="L73" s="245"/>
      <c r="M73" s="266"/>
      <c r="O73" s="1161"/>
      <c r="P73" s="1161"/>
      <c r="Q73" s="1161"/>
    </row>
    <row r="74" spans="2:18" s="244" customFormat="1" x14ac:dyDescent="0.2">
      <c r="B74" s="240"/>
      <c r="D74" s="61"/>
      <c r="E74" s="1164" t="s">
        <v>946</v>
      </c>
      <c r="F74" s="1164"/>
      <c r="G74" s="1135"/>
      <c r="H74" s="1135"/>
      <c r="I74" s="1135"/>
      <c r="J74" s="1135"/>
      <c r="K74" s="1135"/>
      <c r="L74" s="1135"/>
      <c r="M74" s="62"/>
      <c r="O74" s="1161"/>
      <c r="P74" s="1161"/>
      <c r="Q74" s="1161"/>
    </row>
    <row r="75" spans="2:18" s="244" customFormat="1" ht="8.1" customHeight="1" x14ac:dyDescent="0.2">
      <c r="B75" s="240"/>
      <c r="C75" s="239"/>
      <c r="D75" s="63"/>
      <c r="E75" s="267"/>
      <c r="F75" s="267"/>
      <c r="G75" s="267"/>
      <c r="H75" s="267"/>
      <c r="I75" s="267"/>
      <c r="J75" s="267"/>
      <c r="K75" s="267"/>
      <c r="L75" s="267"/>
      <c r="M75" s="66"/>
      <c r="O75" s="1161"/>
      <c r="P75" s="1161"/>
      <c r="Q75" s="1161"/>
    </row>
    <row r="76" spans="2:18" s="244" customFormat="1" ht="6" customHeight="1" x14ac:dyDescent="0.2">
      <c r="B76" s="240"/>
      <c r="C76" s="239"/>
      <c r="E76" s="268"/>
      <c r="F76" s="268"/>
      <c r="G76" s="268"/>
      <c r="H76" s="268"/>
      <c r="I76" s="268"/>
      <c r="J76" s="268"/>
      <c r="K76" s="268"/>
      <c r="L76" s="268"/>
      <c r="O76" s="1161"/>
      <c r="P76" s="1161"/>
      <c r="Q76" s="1161"/>
    </row>
    <row r="77" spans="2:18" s="244" customFormat="1" ht="5.0999999999999996" customHeight="1" x14ac:dyDescent="0.2">
      <c r="B77" s="240"/>
      <c r="C77" s="239"/>
      <c r="D77" s="59"/>
      <c r="E77" s="67"/>
      <c r="F77" s="67"/>
      <c r="G77" s="68"/>
      <c r="H77" s="67"/>
      <c r="I77" s="67"/>
      <c r="J77" s="67"/>
      <c r="K77" s="67"/>
      <c r="L77" s="67"/>
      <c r="M77" s="60"/>
      <c r="O77" s="1161"/>
      <c r="P77" s="1161"/>
      <c r="Q77" s="1161"/>
    </row>
    <row r="78" spans="2:18" s="244" customFormat="1" x14ac:dyDescent="0.2">
      <c r="B78" s="240"/>
      <c r="C78" s="239"/>
      <c r="D78" s="61"/>
      <c r="E78" s="1165" t="s">
        <v>978</v>
      </c>
      <c r="F78" s="1165"/>
      <c r="G78" s="1165"/>
      <c r="H78" s="1165"/>
      <c r="I78" s="1165"/>
      <c r="J78" s="1165"/>
      <c r="K78" s="1165"/>
      <c r="L78" s="319"/>
      <c r="M78" s="62"/>
      <c r="O78" s="1161"/>
      <c r="P78" s="1161"/>
      <c r="Q78" s="1161"/>
    </row>
    <row r="79" spans="2:18" s="244" customFormat="1" x14ac:dyDescent="0.2">
      <c r="B79" s="240"/>
      <c r="C79" s="239"/>
      <c r="D79" s="61"/>
      <c r="E79" s="245"/>
      <c r="F79" s="245"/>
      <c r="G79" s="246"/>
      <c r="H79" s="245"/>
      <c r="I79" s="245"/>
      <c r="J79" s="245"/>
      <c r="K79" s="245"/>
      <c r="L79" s="245"/>
      <c r="M79" s="62"/>
      <c r="O79" s="1161"/>
      <c r="P79" s="1161"/>
      <c r="Q79" s="1161"/>
    </row>
    <row r="80" spans="2:18" s="244" customFormat="1" x14ac:dyDescent="0.2">
      <c r="B80" s="240"/>
      <c r="C80" s="239"/>
      <c r="D80" s="61"/>
      <c r="E80" s="1136"/>
      <c r="F80" s="1136"/>
      <c r="G80" s="1136"/>
      <c r="H80" s="1136"/>
      <c r="I80" s="1136"/>
      <c r="J80" s="1136"/>
      <c r="K80" s="1136"/>
      <c r="L80" s="1136"/>
      <c r="M80" s="62"/>
      <c r="O80" s="1161"/>
      <c r="P80" s="1161"/>
      <c r="Q80" s="1161"/>
      <c r="R80" s="349">
        <f>E80</f>
        <v>0</v>
      </c>
    </row>
    <row r="81" spans="2:18" s="244" customFormat="1" x14ac:dyDescent="0.2">
      <c r="B81" s="240"/>
      <c r="C81" s="239"/>
      <c r="D81" s="61"/>
      <c r="E81" s="1136"/>
      <c r="F81" s="1136"/>
      <c r="G81" s="1136"/>
      <c r="H81" s="1136"/>
      <c r="I81" s="1136"/>
      <c r="J81" s="1136"/>
      <c r="K81" s="1136"/>
      <c r="L81" s="1136"/>
      <c r="M81" s="62"/>
      <c r="O81" s="1161"/>
      <c r="P81" s="1161"/>
      <c r="Q81" s="1161"/>
      <c r="R81" s="349">
        <f>E81</f>
        <v>0</v>
      </c>
    </row>
    <row r="82" spans="2:18" s="244" customFormat="1" x14ac:dyDescent="0.2">
      <c r="B82" s="240"/>
      <c r="C82" s="239"/>
      <c r="D82" s="61"/>
      <c r="E82" s="1136"/>
      <c r="F82" s="1136"/>
      <c r="G82" s="1136"/>
      <c r="H82" s="1136"/>
      <c r="I82" s="1136"/>
      <c r="J82" s="1136"/>
      <c r="K82" s="1136"/>
      <c r="L82" s="1136"/>
      <c r="M82" s="62"/>
      <c r="O82" s="1161"/>
      <c r="P82" s="1161"/>
      <c r="Q82" s="1161"/>
      <c r="R82" s="349">
        <f>E82</f>
        <v>0</v>
      </c>
    </row>
    <row r="83" spans="2:18" s="244" customFormat="1" ht="8.1" customHeight="1" x14ac:dyDescent="0.2">
      <c r="B83" s="240"/>
      <c r="C83" s="239"/>
      <c r="D83" s="63"/>
      <c r="E83" s="64"/>
      <c r="F83" s="64"/>
      <c r="G83" s="65"/>
      <c r="H83" s="64"/>
      <c r="I83" s="64"/>
      <c r="J83" s="64"/>
      <c r="K83" s="64"/>
      <c r="L83" s="64"/>
      <c r="M83" s="66"/>
      <c r="O83" s="1161"/>
      <c r="P83" s="1161"/>
      <c r="Q83" s="1161"/>
    </row>
    <row r="84" spans="2:18" s="244" customFormat="1" ht="6" customHeight="1" x14ac:dyDescent="0.2">
      <c r="B84" s="240"/>
      <c r="C84" s="235"/>
      <c r="E84" s="245"/>
      <c r="F84" s="245"/>
      <c r="G84" s="246"/>
      <c r="H84" s="245"/>
      <c r="I84" s="245"/>
      <c r="J84" s="245"/>
      <c r="K84" s="245"/>
      <c r="L84" s="245"/>
      <c r="O84" s="850"/>
      <c r="P84" s="850"/>
      <c r="Q84" s="850"/>
    </row>
    <row r="85" spans="2:18" s="244" customFormat="1" ht="5.0999999999999996" customHeight="1" x14ac:dyDescent="0.2">
      <c r="B85" s="240"/>
      <c r="C85" s="239"/>
      <c r="D85" s="59"/>
      <c r="E85" s="67"/>
      <c r="F85" s="67"/>
      <c r="G85" s="68"/>
      <c r="H85" s="67"/>
      <c r="I85" s="67"/>
      <c r="J85" s="67"/>
      <c r="K85" s="67"/>
      <c r="L85" s="67"/>
      <c r="M85" s="203"/>
      <c r="O85" s="850"/>
      <c r="P85" s="850"/>
      <c r="Q85" s="850"/>
    </row>
    <row r="86" spans="2:18" s="244" customFormat="1" x14ac:dyDescent="0.2">
      <c r="B86" s="240"/>
      <c r="C86" s="239"/>
      <c r="D86" s="61"/>
      <c r="E86" s="210" t="s">
        <v>929</v>
      </c>
      <c r="F86" s="210"/>
      <c r="G86" s="320"/>
      <c r="H86" s="319"/>
      <c r="I86" s="319"/>
      <c r="J86" s="319"/>
      <c r="K86" s="319"/>
      <c r="L86" s="319"/>
      <c r="M86" s="321"/>
      <c r="O86" s="1167" t="str">
        <f>Stammdaten_DropDown!A114</f>
        <v>Lohnentwicklung</v>
      </c>
      <c r="P86" s="1167"/>
      <c r="Q86" s="1167"/>
    </row>
    <row r="87" spans="2:18" s="244" customFormat="1" ht="6" customHeight="1" x14ac:dyDescent="0.2">
      <c r="B87" s="240"/>
      <c r="C87" s="239"/>
      <c r="D87" s="61"/>
      <c r="E87" s="245"/>
      <c r="F87" s="245"/>
      <c r="G87" s="246"/>
      <c r="H87" s="245"/>
      <c r="I87" s="245"/>
      <c r="J87" s="245"/>
      <c r="K87" s="245"/>
      <c r="L87" s="245"/>
      <c r="M87" s="266"/>
      <c r="O87" s="855"/>
      <c r="P87" s="855"/>
      <c r="Q87" s="855"/>
    </row>
    <row r="88" spans="2:18" s="244" customFormat="1" ht="14.25" customHeight="1" x14ac:dyDescent="0.2">
      <c r="B88" s="240"/>
      <c r="C88" s="239"/>
      <c r="D88" s="61"/>
      <c r="E88" s="245" t="s">
        <v>940</v>
      </c>
      <c r="F88" s="245"/>
      <c r="G88" s="246"/>
      <c r="H88" s="245"/>
      <c r="I88" s="245"/>
      <c r="J88" s="245"/>
      <c r="K88" s="1166"/>
      <c r="L88" s="1166"/>
      <c r="M88" s="266"/>
      <c r="O88" s="1168" t="str">
        <f>Stammdaten_DropDown!A115</f>
        <v>Bitte angeben, ob eine individuelle Lohnentwicklung gewährt werden soll.</v>
      </c>
      <c r="P88" s="1168"/>
      <c r="Q88" s="1168"/>
    </row>
    <row r="89" spans="2:18" s="244" customFormat="1" x14ac:dyDescent="0.2">
      <c r="B89" s="240"/>
      <c r="C89" s="239"/>
      <c r="D89" s="61"/>
      <c r="E89" s="245"/>
      <c r="F89" s="245"/>
      <c r="G89" s="246"/>
      <c r="H89" s="245"/>
      <c r="I89" s="245"/>
      <c r="J89" s="245"/>
      <c r="K89" s="245"/>
      <c r="L89" s="245"/>
      <c r="M89" s="266"/>
      <c r="O89" s="1168" t="str">
        <f>Stammdaten_DropDown!A116</f>
        <v>Bei einem Neueintritt nach dem 01.07.2026 ist keine individuelle Lohnentwicklung vorgesehen.</v>
      </c>
      <c r="P89" s="1168"/>
      <c r="Q89" s="1168"/>
    </row>
    <row r="90" spans="2:18" s="244" customFormat="1" x14ac:dyDescent="0.2">
      <c r="B90" s="240"/>
      <c r="C90" s="239"/>
      <c r="D90" s="61"/>
      <c r="E90" s="275" t="s">
        <v>764</v>
      </c>
      <c r="G90" s="334" t="str">
        <f>IF(ISBLANK($K$88),IF(BandLohnBer="",IF(BandLohnRechner="","",BandLohnRechner),IF(BandLohnRechner="",BandLohnBer,"FEHLER")),"-")</f>
        <v/>
      </c>
      <c r="H90" s="245"/>
      <c r="I90" s="275" t="s">
        <v>808</v>
      </c>
      <c r="L90" s="756" t="str">
        <f>IF(ISBLANK($K$88),IF(EWLohnBer="",IF(EWLohnRechner="","",EWLohnRechner),IF(EWLohnRechner="",EWLohnBer,"FEHLER")),"-")</f>
        <v/>
      </c>
      <c r="M90" s="266"/>
      <c r="O90" s="1168" t="str">
        <f>Stammdaten_DropDown!A117</f>
        <v>In dem Fall ist das Prädikat auf dem Wert «NA» (keine Beurteilung) zu belassen.</v>
      </c>
      <c r="P90" s="1168"/>
      <c r="Q90" s="1168"/>
    </row>
    <row r="91" spans="2:18" s="244" customFormat="1" x14ac:dyDescent="0.2">
      <c r="B91" s="240"/>
      <c r="C91" s="239"/>
      <c r="D91" s="61"/>
      <c r="E91" s="429" t="b">
        <f>AND(BandLohnBer&lt;&gt;"",BandLohnRechner&lt;&gt;"")</f>
        <v>0</v>
      </c>
      <c r="F91" s="245"/>
      <c r="G91" s="430" t="str">
        <f>IF(E91,"2 Lohnbänder gefunden","")</f>
        <v/>
      </c>
      <c r="H91" s="245"/>
      <c r="I91" s="429" t="b">
        <f>AND(EWLohnBer&lt;&gt;"",EWLohnRechner&lt;&gt;"")</f>
        <v>0</v>
      </c>
      <c r="J91" s="245"/>
      <c r="K91" s="538" t="str">
        <f>IF(I91,"2 Erfahrungswerte gefunden","")</f>
        <v/>
      </c>
      <c r="L91" s="538"/>
      <c r="M91" s="266"/>
      <c r="O91" s="856"/>
      <c r="P91" s="856"/>
      <c r="Q91" s="856"/>
    </row>
    <row r="92" spans="2:18" s="244" customFormat="1" x14ac:dyDescent="0.2">
      <c r="B92" s="240"/>
      <c r="C92" s="239"/>
      <c r="D92" s="61"/>
      <c r="E92" s="731"/>
      <c r="I92" s="275" t="s">
        <v>1100</v>
      </c>
      <c r="K92" s="1163" t="str">
        <f>IF(ISBLANK($K$88),IF(LohnLohnBer="",IF(LohnLohnRechner="","",LohnLohnRechner),IF(LohnLohnRechner="",LohnLohnBer,"FEHLER")),"-")</f>
        <v/>
      </c>
      <c r="L92" s="1163"/>
      <c r="M92" s="266"/>
      <c r="O92" s="1168" t="str">
        <f>Stammdaten_DropDown!A118</f>
        <v xml:space="preserve">Falls eine individuelle  Lohnentwicklung gewährt werden soll, ist das entsprechende Prädikat aus der relevanten MAG-Phase im Dropdown-Menu auszuwählen. </v>
      </c>
      <c r="P92" s="1168"/>
      <c r="Q92" s="1168"/>
    </row>
    <row r="93" spans="2:18" s="244" customFormat="1" ht="12.75" customHeight="1" x14ac:dyDescent="0.2">
      <c r="B93" s="240"/>
      <c r="C93" s="239"/>
      <c r="D93" s="61"/>
      <c r="E93" s="840"/>
      <c r="I93" s="429" t="b">
        <f>AND(LohnLohnBer&lt;&gt;"",LohnLohnRechner&lt;&gt;"")</f>
        <v>0</v>
      </c>
      <c r="K93" s="1162" t="str">
        <f>IF(I93,"2 Löhne gefunden","")</f>
        <v/>
      </c>
      <c r="L93" s="1162"/>
      <c r="M93" s="266"/>
      <c r="O93" s="1168"/>
      <c r="P93" s="1168"/>
      <c r="Q93" s="1168"/>
    </row>
    <row r="94" spans="2:18" s="244" customFormat="1" x14ac:dyDescent="0.2">
      <c r="B94" s="240"/>
      <c r="C94" s="239"/>
      <c r="D94" s="61"/>
      <c r="E94" s="841" t="str">
        <f>CONCATENATE("Lohnentwicklung per 01.01.",LohntabelleM!I1+1," gewähren?")</f>
        <v>Lohnentwicklung per 01.01.2027 gewähren?</v>
      </c>
      <c r="H94" s="839"/>
      <c r="I94" s="245"/>
      <c r="J94" s="239"/>
      <c r="K94" s="851" t="s">
        <v>1948</v>
      </c>
      <c r="L94" s="868" t="str">
        <f>M94</f>
        <v/>
      </c>
      <c r="M94" s="266" t="str">
        <f>IF(H94="Ja","A",IF(H94="Nein","NA",""))</f>
        <v/>
      </c>
      <c r="O94" s="1133" t="str">
        <f>Stammdaten_DropDown!A119</f>
        <v>Ist noch keine Beurteilung hinterlegt, so ist das Prädikat auf «A» zu belassen.</v>
      </c>
      <c r="P94" s="1133"/>
      <c r="Q94" s="1133"/>
    </row>
    <row r="95" spans="2:18" s="244" customFormat="1" ht="8.1" customHeight="1" x14ac:dyDescent="0.2">
      <c r="B95" s="240"/>
      <c r="C95" s="239"/>
      <c r="D95" s="63"/>
      <c r="E95" s="64"/>
      <c r="F95" s="64"/>
      <c r="G95" s="65"/>
      <c r="H95" s="64"/>
      <c r="I95" s="64"/>
      <c r="J95" s="64"/>
      <c r="K95" s="64"/>
      <c r="L95" s="64"/>
      <c r="M95" s="279"/>
      <c r="O95" s="850"/>
      <c r="P95" s="850"/>
      <c r="Q95" s="850"/>
    </row>
    <row r="96" spans="2:18" s="244" customFormat="1" ht="10.9" customHeight="1" x14ac:dyDescent="0.2">
      <c r="B96" s="240"/>
      <c r="C96" s="239"/>
      <c r="E96" s="239"/>
      <c r="F96" s="239"/>
      <c r="G96" s="280"/>
      <c r="H96" s="239"/>
      <c r="I96" s="239"/>
      <c r="J96" s="239"/>
      <c r="K96" s="239"/>
      <c r="L96" s="239"/>
      <c r="O96" s="850"/>
      <c r="P96" s="850"/>
      <c r="Q96" s="850"/>
    </row>
    <row r="97" spans="2:17" s="244" customFormat="1" ht="64.349999999999994" customHeight="1" x14ac:dyDescent="0.2">
      <c r="B97" s="240"/>
      <c r="C97" s="235"/>
      <c r="D97" s="1143" t="s">
        <v>959</v>
      </c>
      <c r="E97" s="1143"/>
      <c r="F97" s="1143"/>
      <c r="G97" s="1143"/>
      <c r="H97" s="1143"/>
      <c r="I97" s="1143"/>
      <c r="J97" s="1143"/>
      <c r="K97" s="1143"/>
      <c r="L97" s="1143"/>
      <c r="O97" s="850"/>
      <c r="P97" s="850"/>
      <c r="Q97" s="850"/>
    </row>
    <row r="98" spans="2:17" s="244" customFormat="1" ht="17.25" customHeight="1" x14ac:dyDescent="0.2">
      <c r="B98" s="240"/>
      <c r="C98" s="235"/>
      <c r="D98" s="1143"/>
      <c r="E98" s="1143"/>
      <c r="F98" s="1143"/>
      <c r="G98" s="1143"/>
      <c r="H98" s="1143"/>
      <c r="I98" s="1143"/>
      <c r="J98" s="1143"/>
      <c r="K98" s="1143"/>
      <c r="L98" s="1143"/>
    </row>
    <row r="99" spans="2:17" s="244" customFormat="1" x14ac:dyDescent="0.2">
      <c r="B99" s="91"/>
      <c r="C99" s="235"/>
    </row>
    <row r="100" spans="2:17" s="244" customFormat="1" x14ac:dyDescent="0.2">
      <c r="B100" s="91"/>
      <c r="C100" s="235"/>
    </row>
    <row r="101" spans="2:17" s="244" customFormat="1" x14ac:dyDescent="0.2">
      <c r="B101" s="91"/>
      <c r="C101" s="235"/>
    </row>
    <row r="102" spans="2:17" s="244" customFormat="1" x14ac:dyDescent="0.2">
      <c r="B102" s="91"/>
      <c r="C102" s="235"/>
    </row>
    <row r="103" spans="2:17" s="244" customFormat="1" x14ac:dyDescent="0.2">
      <c r="B103" s="91"/>
      <c r="C103" s="235"/>
    </row>
    <row r="104" spans="2:17" s="244" customFormat="1" x14ac:dyDescent="0.2">
      <c r="B104" s="91"/>
      <c r="C104" s="235"/>
    </row>
    <row r="105" spans="2:17" s="244" customFormat="1" x14ac:dyDescent="0.2">
      <c r="B105" s="91"/>
      <c r="C105" s="235"/>
    </row>
    <row r="106" spans="2:17" s="244" customFormat="1" x14ac:dyDescent="0.2">
      <c r="B106" s="91"/>
      <c r="C106" s="235"/>
      <c r="E106" s="239"/>
      <c r="F106" s="239"/>
      <c r="G106" s="280"/>
      <c r="H106" s="239"/>
      <c r="I106" s="239"/>
      <c r="J106" s="239"/>
      <c r="K106" s="239"/>
      <c r="L106" s="239"/>
    </row>
    <row r="107" spans="2:17" s="244" customFormat="1" x14ac:dyDescent="0.2">
      <c r="B107" s="91"/>
      <c r="C107" s="235"/>
      <c r="D107" s="91"/>
      <c r="E107" s="91"/>
      <c r="F107" s="91"/>
      <c r="G107" s="91"/>
      <c r="H107" s="91"/>
      <c r="I107" s="91"/>
      <c r="J107" s="91"/>
      <c r="K107" s="91"/>
      <c r="L107" s="91"/>
      <c r="M107" s="91"/>
    </row>
    <row r="108" spans="2:17" x14ac:dyDescent="0.2">
      <c r="B108" s="91"/>
    </row>
    <row r="109" spans="2:17" x14ac:dyDescent="0.2">
      <c r="B109" s="91"/>
    </row>
    <row r="110" spans="2:17" x14ac:dyDescent="0.2">
      <c r="B110" s="91"/>
    </row>
    <row r="111" spans="2:17" x14ac:dyDescent="0.2">
      <c r="B111" s="91"/>
    </row>
    <row r="112" spans="2:17" x14ac:dyDescent="0.2">
      <c r="B112" s="91"/>
    </row>
    <row r="113" spans="2:2" x14ac:dyDescent="0.2">
      <c r="B113" s="91"/>
    </row>
    <row r="114" spans="2:2" x14ac:dyDescent="0.2">
      <c r="B114" s="91"/>
    </row>
    <row r="115" spans="2:2" x14ac:dyDescent="0.2">
      <c r="B115" s="91"/>
    </row>
  </sheetData>
  <sheetProtection algorithmName="SHA-512" hashValue="+OvYC+j/2J9AN9LDVqbv6ioGGUePf8ORYPcDk+JjZnnDgH6uJJuYtxVCUZoiLppkqCV+Opx3G4sP85Hf5Idlpg==" saltValue="hOkc++AZY8XOS+Ps4h6lrQ==" spinCount="100000" sheet="1" objects="1" scenarios="1"/>
  <mergeCells count="54">
    <mergeCell ref="O60:Q83"/>
    <mergeCell ref="K93:L93"/>
    <mergeCell ref="K92:L92"/>
    <mergeCell ref="E74:F74"/>
    <mergeCell ref="E78:K78"/>
    <mergeCell ref="E82:L82"/>
    <mergeCell ref="K88:L88"/>
    <mergeCell ref="O86:Q86"/>
    <mergeCell ref="O88:Q88"/>
    <mergeCell ref="O89:Q89"/>
    <mergeCell ref="O90:Q90"/>
    <mergeCell ref="O92:Q93"/>
    <mergeCell ref="O8:P9"/>
    <mergeCell ref="J34:L34"/>
    <mergeCell ref="G36:H36"/>
    <mergeCell ref="E49:G49"/>
    <mergeCell ref="H30:I30"/>
    <mergeCell ref="F22:L22"/>
    <mergeCell ref="H34:I34"/>
    <mergeCell ref="E36:F36"/>
    <mergeCell ref="I36:J36"/>
    <mergeCell ref="J32:M32"/>
    <mergeCell ref="J39:K39"/>
    <mergeCell ref="D97:L98"/>
    <mergeCell ref="D2:H2"/>
    <mergeCell ref="G11:H11"/>
    <mergeCell ref="K11:L11"/>
    <mergeCell ref="G13:H13"/>
    <mergeCell ref="F21:K21"/>
    <mergeCell ref="G15:L15"/>
    <mergeCell ref="K17:L17"/>
    <mergeCell ref="E51:L51"/>
    <mergeCell ref="E52:L52"/>
    <mergeCell ref="E53:L53"/>
    <mergeCell ref="K36:L36"/>
    <mergeCell ref="J35:L35"/>
    <mergeCell ref="G39:H39"/>
    <mergeCell ref="G41:H41"/>
    <mergeCell ref="O94:Q94"/>
    <mergeCell ref="F23:J23"/>
    <mergeCell ref="F24:G24"/>
    <mergeCell ref="G74:L74"/>
    <mergeCell ref="E80:L80"/>
    <mergeCell ref="E81:L81"/>
    <mergeCell ref="H72:L72"/>
    <mergeCell ref="K38:L38"/>
    <mergeCell ref="G38:H38"/>
    <mergeCell ref="G40:H40"/>
    <mergeCell ref="G42:H42"/>
    <mergeCell ref="H55:J55"/>
    <mergeCell ref="J70:L70"/>
    <mergeCell ref="H70:I70"/>
    <mergeCell ref="J30:L30"/>
    <mergeCell ref="G32:H32"/>
  </mergeCells>
  <conditionalFormatting sqref="G90">
    <cfRule type="expression" dxfId="202" priority="9">
      <formula>E91</formula>
    </cfRule>
  </conditionalFormatting>
  <conditionalFormatting sqref="L90">
    <cfRule type="expression" dxfId="201" priority="8">
      <formula>I91</formula>
    </cfRule>
  </conditionalFormatting>
  <conditionalFormatting sqref="K92:L92 K93">
    <cfRule type="expression" dxfId="200" priority="187">
      <formula>#REF!</formula>
    </cfRule>
  </conditionalFormatting>
  <conditionalFormatting sqref="O86:Q94">
    <cfRule type="expression" dxfId="199" priority="4">
      <formula>$H$72=""</formula>
    </cfRule>
  </conditionalFormatting>
  <conditionalFormatting sqref="J94:L94 O90:Q94">
    <cfRule type="expression" dxfId="198" priority="3">
      <formula>$H$94=""</formula>
    </cfRule>
  </conditionalFormatting>
  <conditionalFormatting sqref="E74:L74">
    <cfRule type="expression" dxfId="197" priority="2">
      <formula>$H$72=""</formula>
    </cfRule>
  </conditionalFormatting>
  <conditionalFormatting sqref="E86:L94">
    <cfRule type="expression" dxfId="196" priority="1">
      <formula>$H$72=""</formula>
    </cfRule>
  </conditionalFormatting>
  <dataValidations count="12">
    <dataValidation type="list" allowBlank="1" showInputMessage="1" showErrorMessage="1" sqref="G32" xr:uid="{00000000-0002-0000-0200-000000000000}">
      <formula1>Anstellung</formula1>
    </dataValidation>
    <dataValidation type="list" operator="greaterThan" showInputMessage="1" showErrorMessage="1" errorTitle="Fehler" sqref="K38" xr:uid="{00000000-0002-0000-0200-000001000000}">
      <formula1>"1./2. Klasse, 3. Klasse, 4./5/.6. Klasse"</formula1>
    </dataValidation>
    <dataValidation operator="greaterThan" allowBlank="1" showInputMessage="1" showErrorMessage="1" errorTitle="Fehler" error="Pensum als Ganzzahl angeben" sqref="K92:K93" xr:uid="{00000000-0002-0000-0200-000002000000}"/>
    <dataValidation type="whole" operator="greaterThan" allowBlank="1" showInputMessage="1" showErrorMessage="1" errorTitle="Fehler" error="Ungültige Postleitzahl" sqref="G17" xr:uid="{00000000-0002-0000-0200-000003000000}">
      <formula1>0</formula1>
    </dataValidation>
    <dataValidation type="date" operator="greaterThan" allowBlank="1" showInputMessage="1" showErrorMessage="1" errorTitle="Fehler" error="Geben Sie ein gültiges Datum dd.mm.yyyy ein!" sqref="G30 G19:G20 H65 G66" xr:uid="{00000000-0002-0000-0200-000004000000}">
      <formula1>1</formula1>
    </dataValidation>
    <dataValidation operator="greaterThan" showInputMessage="1" showErrorMessage="1" errorTitle="Fehler" error="Geben Sie ein gültiges Datum dd.mm.yyyy ein!" sqref="L42 G42 L46:L48 H46:I48 H44" xr:uid="{00000000-0002-0000-0200-000005000000}"/>
    <dataValidation type="list" allowBlank="1" showInputMessage="1" sqref="J34" xr:uid="{00000000-0002-0000-0200-000006000000}">
      <formula1>BegründungFürBefristung</formula1>
    </dataValidation>
    <dataValidation type="list" allowBlank="1" showInputMessage="1" showErrorMessage="1" sqref="G38" xr:uid="{00000000-0002-0000-0200-000007000000}">
      <formula1>SchulKindergartenTyp</formula1>
    </dataValidation>
    <dataValidation type="list" allowBlank="1" showInputMessage="1" showErrorMessage="1" sqref="K36" xr:uid="{00000000-0002-0000-0200-000008000000}">
      <formula1>KompetenzDerSchulleitung</formula1>
    </dataValidation>
    <dataValidation type="list" allowBlank="1" showInputMessage="1" showErrorMessage="1" sqref="G40" xr:uid="{00000000-0002-0000-0200-000009000000}">
      <formula1>INDIRECT("UArt" &amp; $G$38)</formula1>
    </dataValidation>
    <dataValidation allowBlank="1" showInputMessage="1" sqref="J70:L71" xr:uid="{00000000-0002-0000-0200-00000A000000}"/>
    <dataValidation operator="greaterThan" allowBlank="1" showInputMessage="1" showErrorMessage="1" errorTitle="Fehler" error="Geben Sie ein gültiges Datum dd.mm.yyyy ein!" sqref="L65" xr:uid="{00000000-0002-0000-0200-00000B000000}"/>
  </dataValidations>
  <hyperlinks>
    <hyperlink ref="O8:P9" location="Grunddaten!E9" display="Zurück zu Grunddaten" xr:uid="{00000000-0004-0000-0200-000000000000}"/>
  </hyperlinks>
  <pageMargins left="0.70866141732283472" right="0.70866141732283472" top="0.78740157480314965" bottom="0.78740157480314965" header="0.31496062992125984" footer="0.31496062992125984"/>
  <pageSetup paperSize="9" scale="89" fitToHeight="0" orientation="portrait" r:id="rId1"/>
  <headerFooter>
    <oddFooter>Seite &amp;P von &amp;N</oddFooter>
  </headerFooter>
  <rowBreaks count="1" manualBreakCount="1">
    <brk id="56" max="16383" man="1"/>
  </rowBreaks>
  <ignoredErrors>
    <ignoredError sqref="L9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77861" r:id="rId4" name="Check Box 5">
              <controlPr defaultSize="0" autoFill="0" autoLine="0" autoPict="0">
                <anchor>
                  <from>
                    <xdr:col>8</xdr:col>
                    <xdr:colOff>19050</xdr:colOff>
                    <xdr:row>30</xdr:row>
                    <xdr:rowOff>171450</xdr:rowOff>
                  </from>
                  <to>
                    <xdr:col>11</xdr:col>
                    <xdr:colOff>781050</xdr:colOff>
                    <xdr:row>32</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xr:uid="{00000000-0002-0000-0200-00000C000000}">
          <x14:formula1>
            <xm:f>Stammdaten_DropDown!$E$93:$E$100</xm:f>
          </x14:formula1>
          <xm:sqref>H72</xm:sqref>
        </x14:dataValidation>
        <x14:dataValidation type="list" allowBlank="1" showInputMessage="1" showErrorMessage="1" xr:uid="{00000000-0002-0000-0200-00000D000000}">
          <x14:formula1>
            <xm:f>Stammdaten_DropDown!$E$103:$E$104</xm:f>
          </x14:formula1>
          <xm:sqref>H94</xm:sqref>
        </x14:dataValidation>
        <x14:dataValidation type="list" allowBlank="1" showInputMessage="1" showErrorMessage="1" xr:uid="{00000000-0002-0000-0200-00000E000000}">
          <x14:formula1>
            <xm:f>Stammdaten_DropDown!$E$107:$E$110</xm:f>
          </x14:formula1>
          <xm:sqref>L94</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Tabelle5">
    <tabColor indexed="22"/>
  </sheetPr>
  <dimension ref="A1:F56"/>
  <sheetViews>
    <sheetView workbookViewId="0">
      <selection activeCell="I31" sqref="I31"/>
    </sheetView>
  </sheetViews>
  <sheetFormatPr baseColWidth="10" defaultColWidth="11.42578125" defaultRowHeight="12.75" x14ac:dyDescent="0.2"/>
  <cols>
    <col min="1" max="1" width="19.42578125" style="10" customWidth="1"/>
    <col min="2" max="2" width="23.5703125" style="10" customWidth="1"/>
    <col min="3" max="3" width="31.5703125" style="10" customWidth="1"/>
    <col min="4" max="4" width="23.42578125" style="10" customWidth="1"/>
    <col min="5" max="5" width="25" style="10" customWidth="1"/>
    <col min="6" max="6" width="11.42578125" style="10"/>
    <col min="7" max="16384" width="11.42578125" style="1"/>
  </cols>
  <sheetData>
    <row r="1" spans="1:4" x14ac:dyDescent="0.2">
      <c r="A1" s="11" t="s">
        <v>283</v>
      </c>
      <c r="B1" s="12" t="s">
        <v>73</v>
      </c>
      <c r="C1" s="12" t="s">
        <v>10</v>
      </c>
      <c r="D1" s="11" t="s">
        <v>284</v>
      </c>
    </row>
    <row r="2" spans="1:4" x14ac:dyDescent="0.2">
      <c r="A2" s="13">
        <v>0</v>
      </c>
      <c r="B2" s="14">
        <v>0</v>
      </c>
      <c r="C2" s="14">
        <v>0</v>
      </c>
      <c r="D2" s="13">
        <v>0</v>
      </c>
    </row>
    <row r="3" spans="1:4" x14ac:dyDescent="0.2">
      <c r="A3" s="15">
        <v>0.5</v>
      </c>
      <c r="B3" s="16">
        <v>4</v>
      </c>
      <c r="C3" s="16">
        <v>5.2</v>
      </c>
      <c r="D3" s="15">
        <v>0.5</v>
      </c>
    </row>
    <row r="4" spans="1:4" x14ac:dyDescent="0.2">
      <c r="A4" s="15">
        <v>1</v>
      </c>
      <c r="B4" s="16">
        <v>9.1</v>
      </c>
      <c r="C4" s="16">
        <v>10.199999999999999</v>
      </c>
      <c r="D4" s="15">
        <v>1</v>
      </c>
    </row>
    <row r="5" spans="1:4" x14ac:dyDescent="0.2">
      <c r="A5" s="15">
        <v>1.5</v>
      </c>
      <c r="B5" s="16">
        <v>14.8</v>
      </c>
      <c r="C5" s="16">
        <v>15.2</v>
      </c>
      <c r="D5" s="15">
        <v>1.5</v>
      </c>
    </row>
    <row r="6" spans="1:4" x14ac:dyDescent="0.2">
      <c r="A6" s="15">
        <v>2</v>
      </c>
      <c r="B6" s="16">
        <v>20.7</v>
      </c>
      <c r="C6" s="16">
        <v>20.2</v>
      </c>
      <c r="D6" s="15">
        <v>2</v>
      </c>
    </row>
    <row r="7" spans="1:4" x14ac:dyDescent="0.2">
      <c r="A7" s="15">
        <v>2.5</v>
      </c>
      <c r="B7" s="16">
        <v>27</v>
      </c>
      <c r="C7" s="16">
        <v>25</v>
      </c>
      <c r="D7" s="15">
        <v>2.5</v>
      </c>
    </row>
    <row r="8" spans="1:4" x14ac:dyDescent="0.2">
      <c r="A8" s="15">
        <v>3</v>
      </c>
      <c r="B8" s="16">
        <v>33.4</v>
      </c>
      <c r="C8" s="16">
        <v>29.8</v>
      </c>
      <c r="D8" s="15">
        <v>3</v>
      </c>
    </row>
    <row r="9" spans="1:4" x14ac:dyDescent="0.2">
      <c r="A9" s="15">
        <v>3.5</v>
      </c>
      <c r="B9" s="16">
        <v>40.1</v>
      </c>
      <c r="C9" s="16">
        <v>34.5</v>
      </c>
      <c r="D9" s="15">
        <v>3.5</v>
      </c>
    </row>
    <row r="10" spans="1:4" x14ac:dyDescent="0.2">
      <c r="A10" s="15">
        <v>4</v>
      </c>
      <c r="B10" s="16">
        <v>46.9</v>
      </c>
      <c r="C10" s="16">
        <v>39.1</v>
      </c>
      <c r="D10" s="15">
        <v>4</v>
      </c>
    </row>
    <row r="11" spans="1:4" x14ac:dyDescent="0.2">
      <c r="A11" s="15">
        <v>4.5</v>
      </c>
      <c r="B11" s="16">
        <v>53.9</v>
      </c>
      <c r="C11" s="16">
        <v>43.6</v>
      </c>
      <c r="D11" s="15">
        <v>4.5</v>
      </c>
    </row>
    <row r="12" spans="1:4" x14ac:dyDescent="0.2">
      <c r="A12" s="15">
        <v>5</v>
      </c>
      <c r="B12" s="16">
        <v>61.1</v>
      </c>
      <c r="C12" s="16">
        <v>48</v>
      </c>
      <c r="D12" s="15">
        <v>5</v>
      </c>
    </row>
    <row r="13" spans="1:4" x14ac:dyDescent="0.2">
      <c r="A13" s="15">
        <v>5.5</v>
      </c>
      <c r="B13" s="16">
        <v>68.3</v>
      </c>
      <c r="C13" s="16">
        <v>52.3</v>
      </c>
      <c r="D13" s="15">
        <v>5.5</v>
      </c>
    </row>
    <row r="14" spans="1:4" x14ac:dyDescent="0.2">
      <c r="A14" s="15">
        <v>6</v>
      </c>
      <c r="B14" s="16">
        <v>75.7</v>
      </c>
      <c r="C14" s="16">
        <v>56.6</v>
      </c>
      <c r="D14" s="15">
        <v>6</v>
      </c>
    </row>
    <row r="15" spans="1:4" x14ac:dyDescent="0.2">
      <c r="A15" s="15">
        <v>6.5</v>
      </c>
      <c r="B15" s="16">
        <v>83.2</v>
      </c>
      <c r="C15" s="16">
        <v>60.7</v>
      </c>
      <c r="D15" s="15">
        <v>6.5</v>
      </c>
    </row>
    <row r="16" spans="1:4" x14ac:dyDescent="0.2">
      <c r="A16" s="15">
        <v>7</v>
      </c>
      <c r="B16" s="16">
        <v>90.8</v>
      </c>
      <c r="C16" s="16">
        <v>64.8</v>
      </c>
      <c r="D16" s="15">
        <v>7</v>
      </c>
    </row>
    <row r="17" spans="1:4" x14ac:dyDescent="0.2">
      <c r="A17" s="15">
        <v>7.5</v>
      </c>
      <c r="B17" s="16">
        <v>98.5</v>
      </c>
      <c r="C17" s="16">
        <v>68.7</v>
      </c>
      <c r="D17" s="15">
        <v>7.5</v>
      </c>
    </row>
    <row r="18" spans="1:4" x14ac:dyDescent="0.2">
      <c r="A18" s="15">
        <v>8</v>
      </c>
      <c r="B18" s="16">
        <v>106.3</v>
      </c>
      <c r="C18" s="16">
        <v>72.599999999999994</v>
      </c>
      <c r="D18" s="15">
        <v>8</v>
      </c>
    </row>
    <row r="19" spans="1:4" x14ac:dyDescent="0.2">
      <c r="A19" s="15">
        <v>8.5</v>
      </c>
      <c r="B19" s="16">
        <v>114.2</v>
      </c>
      <c r="C19" s="16">
        <v>76.3</v>
      </c>
      <c r="D19" s="15">
        <v>8.5</v>
      </c>
    </row>
    <row r="20" spans="1:4" x14ac:dyDescent="0.2">
      <c r="A20" s="15">
        <v>9</v>
      </c>
      <c r="B20" s="16">
        <v>122.2</v>
      </c>
      <c r="C20" s="16">
        <v>79.900000000000006</v>
      </c>
      <c r="D20" s="15">
        <v>9</v>
      </c>
    </row>
    <row r="21" spans="1:4" x14ac:dyDescent="0.2">
      <c r="A21" s="15">
        <v>9.5</v>
      </c>
      <c r="B21" s="16">
        <v>130.19999999999999</v>
      </c>
      <c r="C21" s="16">
        <v>83.4</v>
      </c>
      <c r="D21" s="15">
        <v>9.5</v>
      </c>
    </row>
    <row r="22" spans="1:4" x14ac:dyDescent="0.2">
      <c r="A22" s="15">
        <v>10</v>
      </c>
      <c r="B22" s="16">
        <v>138.30000000000001</v>
      </c>
      <c r="C22" s="16">
        <v>86.7</v>
      </c>
      <c r="D22" s="15">
        <v>10</v>
      </c>
    </row>
    <row r="23" spans="1:4" x14ac:dyDescent="0.2">
      <c r="A23" s="15">
        <v>10.5</v>
      </c>
      <c r="B23" s="16">
        <v>146.5</v>
      </c>
      <c r="C23" s="16">
        <v>90</v>
      </c>
      <c r="D23" s="15">
        <v>10.5</v>
      </c>
    </row>
    <row r="24" spans="1:4" x14ac:dyDescent="0.2">
      <c r="A24" s="15">
        <v>11</v>
      </c>
      <c r="B24" s="16">
        <v>154.80000000000001</v>
      </c>
      <c r="C24" s="16">
        <v>93</v>
      </c>
      <c r="D24" s="15">
        <v>11</v>
      </c>
    </row>
    <row r="25" spans="1:4" x14ac:dyDescent="0.2">
      <c r="A25" s="15">
        <v>11.5</v>
      </c>
      <c r="B25" s="16">
        <v>163.1</v>
      </c>
      <c r="C25" s="16">
        <v>96</v>
      </c>
      <c r="D25" s="15">
        <v>11.5</v>
      </c>
    </row>
    <row r="26" spans="1:4" x14ac:dyDescent="0.2">
      <c r="A26" s="15">
        <v>12</v>
      </c>
      <c r="B26" s="16">
        <v>171.5</v>
      </c>
      <c r="C26" s="16">
        <v>98.7</v>
      </c>
      <c r="D26" s="15">
        <v>12</v>
      </c>
    </row>
    <row r="27" spans="1:4" x14ac:dyDescent="0.2">
      <c r="A27" s="15">
        <v>12.5</v>
      </c>
      <c r="B27" s="16">
        <v>180</v>
      </c>
      <c r="C27" s="16">
        <v>101.3</v>
      </c>
      <c r="D27" s="15">
        <v>12.5</v>
      </c>
    </row>
    <row r="28" spans="1:4" x14ac:dyDescent="0.2">
      <c r="A28" s="15">
        <v>13</v>
      </c>
      <c r="B28" s="16"/>
      <c r="C28" s="16">
        <v>103.6</v>
      </c>
      <c r="D28" s="15">
        <v>13</v>
      </c>
    </row>
    <row r="29" spans="1:4" x14ac:dyDescent="0.2">
      <c r="A29" s="17">
        <v>13.5</v>
      </c>
      <c r="B29" s="16"/>
      <c r="C29" s="18">
        <f>(C28+C30)/2</f>
        <v>105.6</v>
      </c>
      <c r="D29" s="17">
        <v>13.5</v>
      </c>
    </row>
    <row r="30" spans="1:4" x14ac:dyDescent="0.2">
      <c r="A30" s="15">
        <v>14</v>
      </c>
      <c r="B30" s="16"/>
      <c r="C30" s="16">
        <v>107.6</v>
      </c>
      <c r="D30" s="15">
        <v>14</v>
      </c>
    </row>
    <row r="31" spans="1:4" x14ac:dyDescent="0.2">
      <c r="A31" s="17">
        <v>14.5</v>
      </c>
      <c r="B31" s="16"/>
      <c r="C31" s="18">
        <f>(C30+C32)/2</f>
        <v>108.8</v>
      </c>
      <c r="D31" s="17">
        <v>14.5</v>
      </c>
    </row>
    <row r="32" spans="1:4" x14ac:dyDescent="0.2">
      <c r="A32" s="15">
        <v>15</v>
      </c>
      <c r="B32" s="16"/>
      <c r="C32" s="16">
        <v>110</v>
      </c>
      <c r="D32" s="15">
        <v>15</v>
      </c>
    </row>
    <row r="33" spans="1:4" x14ac:dyDescent="0.2">
      <c r="A33" s="19">
        <v>15.5</v>
      </c>
      <c r="C33" s="19">
        <f>C32+3</f>
        <v>113</v>
      </c>
      <c r="D33" s="20">
        <v>15.5</v>
      </c>
    </row>
    <row r="34" spans="1:4" x14ac:dyDescent="0.2">
      <c r="A34" s="19">
        <v>16</v>
      </c>
      <c r="C34" s="19">
        <f t="shared" ref="C34:C56" si="0">C33+3</f>
        <v>116</v>
      </c>
      <c r="D34" s="20">
        <v>16</v>
      </c>
    </row>
    <row r="35" spans="1:4" x14ac:dyDescent="0.2">
      <c r="A35" s="19">
        <v>16.5</v>
      </c>
      <c r="C35" s="19">
        <f t="shared" si="0"/>
        <v>119</v>
      </c>
      <c r="D35" s="20">
        <v>16.5</v>
      </c>
    </row>
    <row r="36" spans="1:4" x14ac:dyDescent="0.2">
      <c r="A36" s="19">
        <v>17</v>
      </c>
      <c r="C36" s="19">
        <f t="shared" si="0"/>
        <v>122</v>
      </c>
      <c r="D36" s="20">
        <v>17</v>
      </c>
    </row>
    <row r="37" spans="1:4" x14ac:dyDescent="0.2">
      <c r="A37" s="19">
        <v>17.5</v>
      </c>
      <c r="C37" s="19">
        <f t="shared" si="0"/>
        <v>125</v>
      </c>
      <c r="D37" s="20">
        <v>17.5</v>
      </c>
    </row>
    <row r="38" spans="1:4" x14ac:dyDescent="0.2">
      <c r="A38" s="19">
        <v>18</v>
      </c>
      <c r="C38" s="19">
        <f t="shared" si="0"/>
        <v>128</v>
      </c>
      <c r="D38" s="20">
        <v>18</v>
      </c>
    </row>
    <row r="39" spans="1:4" x14ac:dyDescent="0.2">
      <c r="A39" s="19">
        <v>18.5</v>
      </c>
      <c r="C39" s="19">
        <f t="shared" si="0"/>
        <v>131</v>
      </c>
      <c r="D39" s="20">
        <v>18.5</v>
      </c>
    </row>
    <row r="40" spans="1:4" x14ac:dyDescent="0.2">
      <c r="A40" s="19">
        <v>19</v>
      </c>
      <c r="C40" s="19">
        <f t="shared" si="0"/>
        <v>134</v>
      </c>
      <c r="D40" s="20">
        <v>19</v>
      </c>
    </row>
    <row r="41" spans="1:4" x14ac:dyDescent="0.2">
      <c r="A41" s="19">
        <v>19.5</v>
      </c>
      <c r="C41" s="19">
        <f t="shared" si="0"/>
        <v>137</v>
      </c>
      <c r="D41" s="20">
        <v>19.5</v>
      </c>
    </row>
    <row r="42" spans="1:4" x14ac:dyDescent="0.2">
      <c r="A42" s="19">
        <v>20</v>
      </c>
      <c r="C42" s="19">
        <f t="shared" si="0"/>
        <v>140</v>
      </c>
      <c r="D42" s="20">
        <v>20</v>
      </c>
    </row>
    <row r="43" spans="1:4" x14ac:dyDescent="0.2">
      <c r="A43" s="19">
        <v>20.5</v>
      </c>
      <c r="C43" s="19">
        <f t="shared" si="0"/>
        <v>143</v>
      </c>
      <c r="D43" s="20">
        <v>20.5</v>
      </c>
    </row>
    <row r="44" spans="1:4" x14ac:dyDescent="0.2">
      <c r="A44" s="19">
        <v>21</v>
      </c>
      <c r="C44" s="19">
        <f t="shared" si="0"/>
        <v>146</v>
      </c>
      <c r="D44" s="20">
        <v>21</v>
      </c>
    </row>
    <row r="45" spans="1:4" x14ac:dyDescent="0.2">
      <c r="A45" s="19">
        <v>21.5</v>
      </c>
      <c r="C45" s="19">
        <f t="shared" si="0"/>
        <v>149</v>
      </c>
      <c r="D45" s="20">
        <v>21.5</v>
      </c>
    </row>
    <row r="46" spans="1:4" x14ac:dyDescent="0.2">
      <c r="A46" s="19">
        <v>22</v>
      </c>
      <c r="C46" s="19">
        <f t="shared" si="0"/>
        <v>152</v>
      </c>
      <c r="D46" s="20">
        <v>22</v>
      </c>
    </row>
    <row r="47" spans="1:4" x14ac:dyDescent="0.2">
      <c r="A47" s="19">
        <v>22.5</v>
      </c>
      <c r="C47" s="19">
        <f t="shared" si="0"/>
        <v>155</v>
      </c>
      <c r="D47" s="20">
        <v>22.5</v>
      </c>
    </row>
    <row r="48" spans="1:4" x14ac:dyDescent="0.2">
      <c r="A48" s="19">
        <v>23</v>
      </c>
      <c r="C48" s="19">
        <f t="shared" si="0"/>
        <v>158</v>
      </c>
      <c r="D48" s="20">
        <v>23</v>
      </c>
    </row>
    <row r="49" spans="1:4" x14ac:dyDescent="0.2">
      <c r="A49" s="19">
        <v>23.5</v>
      </c>
      <c r="C49" s="19">
        <f t="shared" si="0"/>
        <v>161</v>
      </c>
      <c r="D49" s="20">
        <v>23.5</v>
      </c>
    </row>
    <row r="50" spans="1:4" x14ac:dyDescent="0.2">
      <c r="A50" s="19">
        <v>24</v>
      </c>
      <c r="C50" s="19">
        <f t="shared" si="0"/>
        <v>164</v>
      </c>
      <c r="D50" s="20">
        <v>24</v>
      </c>
    </row>
    <row r="51" spans="1:4" x14ac:dyDescent="0.2">
      <c r="A51" s="19">
        <v>24.5</v>
      </c>
      <c r="C51" s="19">
        <f t="shared" si="0"/>
        <v>167</v>
      </c>
      <c r="D51" s="20">
        <v>24.5</v>
      </c>
    </row>
    <row r="52" spans="1:4" x14ac:dyDescent="0.2">
      <c r="A52" s="19">
        <v>25</v>
      </c>
      <c r="C52" s="19">
        <f t="shared" si="0"/>
        <v>170</v>
      </c>
      <c r="D52" s="20">
        <v>25</v>
      </c>
    </row>
    <row r="53" spans="1:4" x14ac:dyDescent="0.2">
      <c r="A53" s="19">
        <v>25.5</v>
      </c>
      <c r="C53" s="19">
        <f t="shared" si="0"/>
        <v>173</v>
      </c>
      <c r="D53" s="20">
        <v>25.5</v>
      </c>
    </row>
    <row r="54" spans="1:4" x14ac:dyDescent="0.2">
      <c r="A54" s="19">
        <v>26</v>
      </c>
      <c r="C54" s="19">
        <f t="shared" si="0"/>
        <v>176</v>
      </c>
      <c r="D54" s="20">
        <v>26</v>
      </c>
    </row>
    <row r="55" spans="1:4" x14ac:dyDescent="0.2">
      <c r="A55" s="19">
        <v>26.5</v>
      </c>
      <c r="C55" s="19">
        <f t="shared" si="0"/>
        <v>179</v>
      </c>
      <c r="D55" s="20">
        <v>26.5</v>
      </c>
    </row>
    <row r="56" spans="1:4" x14ac:dyDescent="0.2">
      <c r="A56" s="19">
        <v>27</v>
      </c>
      <c r="C56" s="19">
        <f t="shared" si="0"/>
        <v>182</v>
      </c>
      <c r="D56" s="20">
        <v>27</v>
      </c>
    </row>
  </sheetData>
  <sheetProtection selectLockedCells="1" selectUnlockedCells="1"/>
  <phoneticPr fontId="12" type="noConversion"/>
  <pageMargins left="0.78740157499999996" right="0.78740157499999996" top="0.984251969" bottom="0.984251969" header="0.4921259845" footer="0.4921259845"/>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9">
    <tabColor theme="6" tint="0.39997558519241921"/>
    <pageSetUpPr fitToPage="1"/>
  </sheetPr>
  <dimension ref="A1:R98"/>
  <sheetViews>
    <sheetView zoomScaleNormal="100" workbookViewId="0">
      <selection activeCell="G37" sqref="G37:H37"/>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7.42578125" style="91" customWidth="1"/>
    <col min="10" max="10" width="5.5703125" style="91" customWidth="1"/>
    <col min="11" max="11" width="12.5703125" style="91" customWidth="1"/>
    <col min="12" max="12" width="3.5703125" style="91" customWidth="1"/>
    <col min="13" max="13" width="1.85546875" style="91" customWidth="1"/>
    <col min="14" max="14" width="14.140625" style="91" customWidth="1"/>
    <col min="15" max="15" width="11.5703125" style="91"/>
    <col min="16" max="16" width="46.42578125" style="91" customWidth="1"/>
    <col min="17" max="17" width="11.5703125" style="91"/>
    <col min="18" max="18" width="69.42578125" style="91" hidden="1" customWidth="1"/>
    <col min="19" max="16384" width="11.5703125" style="91"/>
  </cols>
  <sheetData>
    <row r="1" spans="1:16" x14ac:dyDescent="0.2">
      <c r="C1" s="239"/>
      <c r="D1" s="239"/>
      <c r="E1" s="239"/>
      <c r="F1" s="239"/>
      <c r="G1" s="239"/>
      <c r="H1" s="239"/>
      <c r="I1" s="239"/>
      <c r="J1" s="239"/>
      <c r="K1" s="239"/>
      <c r="L1" s="239"/>
    </row>
    <row r="2" spans="1:16" ht="45" customHeight="1" x14ac:dyDescent="0.2">
      <c r="C2" s="239"/>
      <c r="D2" s="1169" t="s">
        <v>939</v>
      </c>
      <c r="E2" s="1169"/>
      <c r="F2" s="1169"/>
      <c r="G2" s="1169"/>
      <c r="H2" s="1169"/>
      <c r="I2" s="1169"/>
      <c r="J2" s="245"/>
      <c r="K2" s="245"/>
      <c r="L2" s="239"/>
    </row>
    <row r="3" spans="1:16" s="235" customFormat="1" ht="21" customHeight="1" x14ac:dyDescent="0.2">
      <c r="B3" s="236"/>
      <c r="D3" s="238" t="s">
        <v>945</v>
      </c>
      <c r="F3" s="238"/>
      <c r="H3" s="237"/>
      <c r="I3" s="237"/>
      <c r="K3" s="237"/>
      <c r="L3" s="994" t="str">
        <f>CONCATENATE(LohntabelleM!G1," / ",LohntabelleM!I1)</f>
        <v>V6.0 / 2026</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246"/>
      <c r="J5" s="245"/>
      <c r="K5" s="245"/>
      <c r="L5" s="245"/>
      <c r="M5" s="245"/>
      <c r="N5" s="239"/>
    </row>
    <row r="6" spans="1:16" s="244" customFormat="1" ht="5.0999999999999996" customHeight="1" x14ac:dyDescent="0.2">
      <c r="B6" s="240"/>
      <c r="C6" s="239"/>
      <c r="D6" s="202"/>
      <c r="E6" s="269"/>
      <c r="F6" s="370"/>
      <c r="G6" s="270"/>
      <c r="H6" s="269"/>
      <c r="I6" s="269"/>
      <c r="J6" s="269"/>
      <c r="K6" s="269"/>
      <c r="L6" s="203"/>
    </row>
    <row r="7" spans="1:16" s="244" customFormat="1" x14ac:dyDescent="0.2">
      <c r="B7" s="240"/>
      <c r="C7" s="239"/>
      <c r="D7" s="204"/>
      <c r="E7" s="434" t="s">
        <v>770</v>
      </c>
      <c r="F7" s="432"/>
      <c r="G7" s="433"/>
      <c r="H7" s="432"/>
      <c r="I7" s="432"/>
      <c r="J7" s="432"/>
      <c r="K7" s="432"/>
      <c r="L7" s="205"/>
    </row>
    <row r="8" spans="1:16" s="244" customFormat="1" x14ac:dyDescent="0.2">
      <c r="B8" s="240"/>
      <c r="C8" s="239"/>
      <c r="D8" s="204"/>
      <c r="E8" s="432"/>
      <c r="F8" s="432"/>
      <c r="G8" s="433"/>
      <c r="H8" s="432"/>
      <c r="I8" s="432"/>
      <c r="J8" s="432"/>
      <c r="K8" s="432"/>
      <c r="L8" s="205"/>
    </row>
    <row r="9" spans="1:16" s="244" customFormat="1" x14ac:dyDescent="0.2">
      <c r="B9" s="247"/>
      <c r="C9" s="235"/>
      <c r="D9" s="61"/>
      <c r="E9" s="432" t="s">
        <v>967</v>
      </c>
      <c r="F9" s="432"/>
      <c r="G9" s="1003" t="str">
        <f>IF(MAAnrede&lt;&gt;"",MAAnrede,"")</f>
        <v/>
      </c>
      <c r="H9" s="432"/>
      <c r="I9" s="432"/>
      <c r="J9" s="432"/>
      <c r="K9" s="432"/>
      <c r="L9" s="62"/>
    </row>
    <row r="10" spans="1:16" s="244" customFormat="1" x14ac:dyDescent="0.2">
      <c r="B10" s="240"/>
      <c r="C10" s="239"/>
      <c r="D10" s="204"/>
      <c r="E10" s="432"/>
      <c r="F10" s="432"/>
      <c r="G10" s="433"/>
      <c r="H10" s="432"/>
      <c r="I10" s="432"/>
      <c r="J10" s="432"/>
      <c r="K10" s="432"/>
      <c r="L10" s="205"/>
    </row>
    <row r="11" spans="1:16" s="244" customFormat="1" ht="12.6" customHeight="1" x14ac:dyDescent="0.2">
      <c r="B11" s="247"/>
      <c r="C11" s="235"/>
      <c r="D11" s="61"/>
      <c r="E11" s="432" t="s">
        <v>756</v>
      </c>
      <c r="F11" s="432"/>
      <c r="G11" s="1145" t="str">
        <f>IF(MAName&lt;&gt;"",MAName,"")</f>
        <v/>
      </c>
      <c r="H11" s="1145"/>
      <c r="I11" s="432" t="s">
        <v>757</v>
      </c>
      <c r="J11" s="1145" t="str">
        <f>IF(MAVorname&lt;&gt;"",MAVorname,"")</f>
        <v/>
      </c>
      <c r="K11" s="1145"/>
      <c r="L11" s="62"/>
      <c r="N11" s="1149" t="s">
        <v>1029</v>
      </c>
      <c r="O11" s="1150"/>
      <c r="P11" s="675"/>
    </row>
    <row r="12" spans="1:16" s="244" customFormat="1" ht="12.6" customHeight="1" x14ac:dyDescent="0.2">
      <c r="B12" s="247"/>
      <c r="C12" s="235"/>
      <c r="D12" s="61"/>
      <c r="E12" s="432"/>
      <c r="F12" s="432"/>
      <c r="G12" s="432"/>
      <c r="H12" s="432"/>
      <c r="I12" s="432"/>
      <c r="J12" s="432"/>
      <c r="K12" s="432"/>
      <c r="L12" s="62"/>
      <c r="N12" s="1151"/>
      <c r="O12" s="1152"/>
      <c r="P12" s="675"/>
    </row>
    <row r="13" spans="1:16" s="244" customFormat="1" x14ac:dyDescent="0.2">
      <c r="B13" s="247"/>
      <c r="C13" s="235"/>
      <c r="D13" s="61"/>
      <c r="E13" s="432" t="s">
        <v>763</v>
      </c>
      <c r="F13" s="432"/>
      <c r="G13" s="1170" t="str">
        <f>IF(MAVertragsNr&lt;&gt;"",MAVertragsNr,"")</f>
        <v/>
      </c>
      <c r="H13" s="1170"/>
      <c r="I13" s="432" t="s">
        <v>762</v>
      </c>
      <c r="J13" s="1145" t="str">
        <f>IF(MAPersID&lt;&gt;"",MAPersID,"")</f>
        <v/>
      </c>
      <c r="K13" s="1145"/>
      <c r="L13" s="62"/>
    </row>
    <row r="14" spans="1:16" s="244" customFormat="1" x14ac:dyDescent="0.2">
      <c r="B14" s="247"/>
      <c r="C14" s="235"/>
      <c r="D14" s="61"/>
      <c r="E14" s="432"/>
      <c r="F14" s="432"/>
      <c r="G14" s="433"/>
      <c r="H14" s="432"/>
      <c r="I14" s="432"/>
      <c r="J14" s="432"/>
      <c r="K14" s="432"/>
      <c r="L14" s="266"/>
    </row>
    <row r="15" spans="1:16" s="244" customFormat="1" x14ac:dyDescent="0.2">
      <c r="B15" s="247"/>
      <c r="C15" s="235"/>
      <c r="D15" s="61"/>
      <c r="E15" s="432" t="s">
        <v>755</v>
      </c>
      <c r="F15" s="432"/>
      <c r="G15" s="1138"/>
      <c r="H15" s="1138"/>
      <c r="I15" s="1138"/>
      <c r="J15" s="1138"/>
      <c r="K15" s="1138"/>
      <c r="L15" s="62"/>
    </row>
    <row r="16" spans="1:16" s="244" customFormat="1" x14ac:dyDescent="0.2">
      <c r="B16" s="247"/>
      <c r="C16" s="235"/>
      <c r="D16" s="61"/>
      <c r="E16" s="432"/>
      <c r="F16" s="432"/>
      <c r="G16" s="433"/>
      <c r="H16" s="432"/>
      <c r="I16" s="432"/>
      <c r="J16" s="432"/>
      <c r="K16" s="432"/>
      <c r="L16" s="266"/>
    </row>
    <row r="17" spans="2:14" s="244" customFormat="1" x14ac:dyDescent="0.2">
      <c r="B17" s="247"/>
      <c r="C17" s="235"/>
      <c r="D17" s="61"/>
      <c r="E17" s="432" t="s">
        <v>758</v>
      </c>
      <c r="F17" s="432"/>
      <c r="G17" s="555"/>
      <c r="H17" s="432"/>
      <c r="I17" s="432" t="s">
        <v>759</v>
      </c>
      <c r="J17" s="1138"/>
      <c r="K17" s="1138"/>
      <c r="L17" s="62"/>
    </row>
    <row r="18" spans="2:14" s="244" customFormat="1" x14ac:dyDescent="0.2">
      <c r="B18" s="247"/>
      <c r="C18" s="235"/>
      <c r="D18" s="61"/>
      <c r="E18" s="432"/>
      <c r="F18" s="432"/>
      <c r="G18" s="433"/>
      <c r="H18" s="432"/>
      <c r="I18" s="432"/>
      <c r="J18" s="432"/>
      <c r="K18" s="433"/>
      <c r="L18" s="62"/>
    </row>
    <row r="19" spans="2:14" s="244" customFormat="1" x14ac:dyDescent="0.2">
      <c r="B19" s="247"/>
      <c r="C19" s="235"/>
      <c r="D19" s="61"/>
      <c r="E19" s="432" t="s">
        <v>760</v>
      </c>
      <c r="F19" s="432"/>
      <c r="G19" s="556" t="str">
        <f>IF(MAGeburtsdatum="","",MAGeburtsdatum)</f>
        <v/>
      </c>
      <c r="H19" s="432"/>
      <c r="I19" s="432"/>
      <c r="J19" s="432"/>
      <c r="K19" s="432"/>
      <c r="L19" s="62"/>
    </row>
    <row r="20" spans="2:14" s="244" customFormat="1" x14ac:dyDescent="0.2">
      <c r="B20" s="247"/>
      <c r="C20" s="235"/>
      <c r="D20" s="61"/>
      <c r="E20" s="432"/>
      <c r="F20" s="432"/>
      <c r="G20" s="432"/>
      <c r="H20" s="432"/>
      <c r="I20" s="432"/>
      <c r="J20" s="432"/>
      <c r="K20" s="433"/>
      <c r="L20" s="62"/>
    </row>
    <row r="21" spans="2:14" s="244" customFormat="1" ht="13.15" customHeight="1" x14ac:dyDescent="0.2">
      <c r="B21" s="240"/>
      <c r="D21" s="61"/>
      <c r="E21" s="435" t="s">
        <v>825</v>
      </c>
      <c r="F21" s="1134" t="s">
        <v>1072</v>
      </c>
      <c r="G21" s="1134"/>
      <c r="H21" s="1134"/>
      <c r="I21" s="1134"/>
      <c r="J21" s="1134"/>
      <c r="K21" s="557"/>
      <c r="L21" s="62"/>
    </row>
    <row r="22" spans="2:14" s="244" customFormat="1" ht="13.15" customHeight="1" x14ac:dyDescent="0.2">
      <c r="B22" s="240"/>
      <c r="D22" s="61"/>
      <c r="E22" s="435"/>
      <c r="F22" s="1134" t="s">
        <v>1070</v>
      </c>
      <c r="G22" s="1134"/>
      <c r="H22" s="1134"/>
      <c r="I22" s="1134"/>
      <c r="J22" s="1134"/>
      <c r="K22" s="1134"/>
      <c r="L22" s="834"/>
    </row>
    <row r="23" spans="2:14" s="244" customFormat="1" ht="13.15" customHeight="1" x14ac:dyDescent="0.2">
      <c r="B23" s="240"/>
      <c r="D23" s="61"/>
      <c r="E23" s="435"/>
      <c r="F23" s="1134" t="s">
        <v>1071</v>
      </c>
      <c r="G23" s="1134"/>
      <c r="H23" s="1134"/>
      <c r="I23" s="1134"/>
      <c r="J23" s="557"/>
      <c r="K23" s="557"/>
      <c r="L23" s="62"/>
    </row>
    <row r="24" spans="2:14" s="244" customFormat="1" ht="13.15" customHeight="1" x14ac:dyDescent="0.2">
      <c r="B24" s="240"/>
      <c r="D24" s="61"/>
      <c r="E24" s="435"/>
      <c r="F24" s="1134" t="s">
        <v>1073</v>
      </c>
      <c r="G24" s="1134"/>
      <c r="H24" s="557"/>
      <c r="I24" s="557"/>
      <c r="J24" s="557"/>
      <c r="K24" s="557"/>
      <c r="L24" s="62"/>
    </row>
    <row r="25" spans="2:14" s="244" customFormat="1" ht="8.1" customHeight="1" x14ac:dyDescent="0.2">
      <c r="B25" s="240"/>
      <c r="C25" s="239"/>
      <c r="D25" s="206"/>
      <c r="E25" s="64"/>
      <c r="F25" s="64"/>
      <c r="G25" s="65"/>
      <c r="H25" s="64"/>
      <c r="I25" s="64"/>
      <c r="J25" s="64"/>
      <c r="K25" s="64"/>
      <c r="L25" s="207"/>
    </row>
    <row r="26" spans="2:14" ht="6" customHeight="1" x14ac:dyDescent="0.2">
      <c r="B26" s="240"/>
      <c r="C26" s="239"/>
      <c r="D26" s="245"/>
      <c r="E26" s="343"/>
      <c r="F26" s="246"/>
      <c r="G26" s="245"/>
      <c r="H26" s="245"/>
      <c r="I26" s="245"/>
      <c r="J26" s="245"/>
      <c r="K26" s="239"/>
      <c r="L26" s="239"/>
    </row>
    <row r="27" spans="2:14" ht="5.0999999999999996" customHeight="1" x14ac:dyDescent="0.2">
      <c r="B27" s="240"/>
      <c r="C27" s="239"/>
      <c r="D27" s="371"/>
      <c r="E27" s="370"/>
      <c r="F27" s="270"/>
      <c r="G27" s="269"/>
      <c r="H27" s="269"/>
      <c r="I27" s="269"/>
      <c r="J27" s="269"/>
      <c r="K27" s="67"/>
      <c r="L27" s="203"/>
    </row>
    <row r="28" spans="2:14" x14ac:dyDescent="0.2">
      <c r="B28" s="240"/>
      <c r="C28" s="239"/>
      <c r="D28" s="204"/>
      <c r="E28" s="318" t="s">
        <v>975</v>
      </c>
      <c r="F28" s="343"/>
      <c r="G28" s="246"/>
      <c r="H28" s="245"/>
      <c r="I28" s="245"/>
      <c r="J28" s="245"/>
      <c r="K28" s="245"/>
      <c r="L28" s="205"/>
    </row>
    <row r="29" spans="2:14" ht="7.9" customHeight="1" x14ac:dyDescent="0.2">
      <c r="B29" s="240"/>
      <c r="C29" s="239"/>
      <c r="D29" s="204"/>
      <c r="E29" s="318"/>
      <c r="F29" s="343"/>
      <c r="G29" s="246"/>
      <c r="H29" s="245"/>
      <c r="I29" s="245"/>
      <c r="J29" s="245"/>
      <c r="K29" s="245"/>
      <c r="L29" s="205"/>
    </row>
    <row r="30" spans="2:14" s="244" customFormat="1" x14ac:dyDescent="0.2">
      <c r="B30" s="247"/>
      <c r="C30" s="421"/>
      <c r="D30" s="61"/>
      <c r="E30" s="245" t="s">
        <v>826</v>
      </c>
      <c r="G30" s="1135"/>
      <c r="H30" s="1135"/>
      <c r="I30" s="1135"/>
      <c r="J30" s="1135"/>
      <c r="K30" s="1135"/>
      <c r="L30" s="62"/>
    </row>
    <row r="31" spans="2:14" x14ac:dyDescent="0.2">
      <c r="B31" s="240"/>
      <c r="C31" s="239"/>
      <c r="D31" s="204"/>
      <c r="E31" s="343"/>
      <c r="F31" s="343"/>
      <c r="G31" s="246"/>
      <c r="H31" s="245"/>
      <c r="I31" s="245"/>
      <c r="J31" s="245"/>
      <c r="K31" s="245"/>
      <c r="L31" s="205"/>
    </row>
    <row r="32" spans="2:14" x14ac:dyDescent="0.2">
      <c r="B32" s="240"/>
      <c r="C32" s="239"/>
      <c r="D32" s="204"/>
      <c r="E32" s="245" t="s">
        <v>841</v>
      </c>
      <c r="F32" s="428"/>
      <c r="G32" s="246"/>
      <c r="H32" s="246" t="s">
        <v>938</v>
      </c>
      <c r="I32" s="233"/>
      <c r="J32" s="246" t="s">
        <v>7</v>
      </c>
      <c r="K32" s="233"/>
      <c r="L32" s="205"/>
      <c r="N32" s="860">
        <f>YEAR(I32)</f>
        <v>1900</v>
      </c>
    </row>
    <row r="33" spans="2:18" x14ac:dyDescent="0.2">
      <c r="B33" s="240"/>
      <c r="C33" s="239"/>
      <c r="D33" s="204"/>
      <c r="E33" s="949" t="s">
        <v>2004</v>
      </c>
      <c r="L33" s="205"/>
    </row>
    <row r="34" spans="2:18" x14ac:dyDescent="0.2">
      <c r="B34" s="240"/>
      <c r="C34" s="239"/>
      <c r="D34" s="204"/>
      <c r="E34" s="245" t="s">
        <v>832</v>
      </c>
      <c r="F34" s="245"/>
      <c r="G34" s="1135"/>
      <c r="H34" s="1135"/>
      <c r="I34" s="1135"/>
      <c r="J34" s="1135"/>
      <c r="K34" s="1135"/>
      <c r="L34" s="205"/>
    </row>
    <row r="35" spans="2:18" x14ac:dyDescent="0.2">
      <c r="B35" s="240"/>
      <c r="C35" s="239"/>
      <c r="D35" s="204"/>
      <c r="E35" s="949" t="s">
        <v>2004</v>
      </c>
      <c r="F35" s="343"/>
      <c r="G35" s="246"/>
      <c r="H35" s="245"/>
      <c r="I35" s="245"/>
      <c r="J35" s="245"/>
      <c r="K35" s="245"/>
      <c r="L35" s="205"/>
    </row>
    <row r="36" spans="2:18" s="244" customFormat="1" x14ac:dyDescent="0.2">
      <c r="B36" s="247"/>
      <c r="C36" s="235"/>
      <c r="D36" s="61"/>
      <c r="E36" s="245"/>
      <c r="F36" s="245"/>
      <c r="H36" s="342"/>
      <c r="I36" s="342"/>
      <c r="L36" s="62"/>
    </row>
    <row r="37" spans="2:18" s="244" customFormat="1" x14ac:dyDescent="0.2">
      <c r="B37" s="240"/>
      <c r="C37" s="239"/>
      <c r="D37" s="61"/>
      <c r="E37" s="245" t="s">
        <v>849</v>
      </c>
      <c r="F37" s="341"/>
      <c r="G37" s="1135"/>
      <c r="H37" s="1135"/>
      <c r="I37" s="859" t="s">
        <v>947</v>
      </c>
      <c r="J37" s="1135"/>
      <c r="K37" s="1135"/>
      <c r="L37" s="62"/>
    </row>
    <row r="38" spans="2:18" s="244" customFormat="1" x14ac:dyDescent="0.2">
      <c r="B38" s="240"/>
      <c r="C38" s="239"/>
      <c r="D38" s="61"/>
      <c r="E38" s="978" t="str">
        <f>IF(G37="","(zwingend auszufüllen)","")</f>
        <v>(zwingend auszufüllen)</v>
      </c>
      <c r="F38" s="245"/>
      <c r="G38" s="1171"/>
      <c r="H38" s="1171"/>
      <c r="I38" s="1172" t="str">
        <f>IF(J37="","(zwingend auszufüllen)","")</f>
        <v>(zwingend auszufüllen)</v>
      </c>
      <c r="J38" s="1172"/>
      <c r="K38" s="978"/>
      <c r="L38" s="62"/>
    </row>
    <row r="39" spans="2:18" s="244" customFormat="1" x14ac:dyDescent="0.2">
      <c r="B39" s="240"/>
      <c r="C39" s="239"/>
      <c r="D39" s="61"/>
      <c r="E39" s="245" t="s">
        <v>908</v>
      </c>
      <c r="F39" s="245"/>
      <c r="G39" s="1135"/>
      <c r="H39" s="1135"/>
      <c r="I39" s="319"/>
      <c r="L39" s="62"/>
    </row>
    <row r="40" spans="2:18" s="244" customFormat="1" x14ac:dyDescent="0.2">
      <c r="B40" s="240"/>
      <c r="C40" s="239"/>
      <c r="D40" s="61"/>
      <c r="E40" s="978" t="str">
        <f>IF(G39="","(zwingend auszufüllen)","")</f>
        <v>(zwingend auszufüllen)</v>
      </c>
      <c r="F40" s="245"/>
      <c r="G40" s="1171"/>
      <c r="H40" s="1171"/>
      <c r="I40" s="342"/>
      <c r="L40" s="62"/>
    </row>
    <row r="41" spans="2:18" s="244" customFormat="1" x14ac:dyDescent="0.2">
      <c r="B41" s="240"/>
      <c r="C41" s="235"/>
      <c r="D41" s="61"/>
      <c r="E41" s="1165" t="s">
        <v>972</v>
      </c>
      <c r="F41" s="1165"/>
      <c r="G41" s="1165"/>
      <c r="H41" s="319"/>
      <c r="I41" s="319"/>
      <c r="J41" s="319"/>
      <c r="K41" s="319"/>
      <c r="L41" s="321"/>
    </row>
    <row r="42" spans="2:18" s="244" customFormat="1" x14ac:dyDescent="0.2">
      <c r="B42" s="240"/>
      <c r="C42" s="235"/>
      <c r="D42" s="61"/>
      <c r="E42" s="245"/>
      <c r="F42" s="245"/>
      <c r="G42" s="246"/>
      <c r="H42" s="245"/>
      <c r="I42" s="245"/>
      <c r="J42" s="245"/>
      <c r="K42" s="245"/>
      <c r="L42" s="266"/>
      <c r="R42" s="244" t="s">
        <v>973</v>
      </c>
    </row>
    <row r="43" spans="2:18" s="244" customFormat="1" x14ac:dyDescent="0.2">
      <c r="B43" s="240"/>
      <c r="C43" s="235"/>
      <c r="D43" s="61"/>
      <c r="E43" s="1136"/>
      <c r="F43" s="1136"/>
      <c r="G43" s="1136"/>
      <c r="H43" s="1136"/>
      <c r="I43" s="1136"/>
      <c r="J43" s="1136"/>
      <c r="K43" s="1136"/>
      <c r="L43" s="62"/>
      <c r="R43" s="349">
        <f>E43</f>
        <v>0</v>
      </c>
    </row>
    <row r="44" spans="2:18" s="244" customFormat="1" x14ac:dyDescent="0.2">
      <c r="B44" s="240"/>
      <c r="C44" s="235"/>
      <c r="D44" s="61"/>
      <c r="E44" s="1136"/>
      <c r="F44" s="1136"/>
      <c r="G44" s="1136"/>
      <c r="H44" s="1136"/>
      <c r="I44" s="1136"/>
      <c r="J44" s="1136"/>
      <c r="K44" s="1136"/>
      <c r="L44" s="62"/>
      <c r="R44" s="349">
        <f>E44</f>
        <v>0</v>
      </c>
    </row>
    <row r="45" spans="2:18" s="244" customFormat="1" x14ac:dyDescent="0.2">
      <c r="B45" s="240"/>
      <c r="C45" s="235"/>
      <c r="D45" s="61"/>
      <c r="E45" s="1136"/>
      <c r="F45" s="1136"/>
      <c r="G45" s="1136"/>
      <c r="H45" s="1136"/>
      <c r="I45" s="1136"/>
      <c r="J45" s="1136"/>
      <c r="K45" s="1136"/>
      <c r="L45" s="62"/>
      <c r="M45" s="61"/>
      <c r="N45" s="431"/>
      <c r="R45" s="349">
        <f>E45</f>
        <v>0</v>
      </c>
    </row>
    <row r="46" spans="2:18" s="244" customFormat="1" x14ac:dyDescent="0.2">
      <c r="B46" s="240"/>
      <c r="C46" s="239"/>
      <c r="D46" s="61"/>
      <c r="E46" s="561"/>
      <c r="F46" s="432"/>
      <c r="G46" s="432"/>
      <c r="H46" s="432"/>
      <c r="I46" s="432"/>
      <c r="J46" s="432"/>
      <c r="K46" s="549"/>
      <c r="L46" s="205"/>
      <c r="M46" s="61"/>
      <c r="N46" s="431"/>
    </row>
    <row r="47" spans="2:18" s="244" customFormat="1" x14ac:dyDescent="0.2">
      <c r="B47" s="240"/>
      <c r="C47" s="235"/>
      <c r="D47" s="61"/>
      <c r="G47" s="571" t="s">
        <v>1122</v>
      </c>
      <c r="H47" s="571"/>
      <c r="I47" s="571"/>
      <c r="K47" s="1004"/>
      <c r="L47" s="62"/>
      <c r="M47" s="61"/>
      <c r="N47" s="431"/>
    </row>
    <row r="48" spans="2:18" ht="8.1" customHeight="1" x14ac:dyDescent="0.2">
      <c r="B48" s="240"/>
      <c r="C48" s="239"/>
      <c r="D48" s="206"/>
      <c r="E48" s="348"/>
      <c r="F48" s="348"/>
      <c r="G48" s="348"/>
      <c r="H48" s="373"/>
      <c r="I48" s="373"/>
      <c r="J48" s="374"/>
      <c r="K48" s="373"/>
      <c r="L48" s="207"/>
    </row>
    <row r="49" spans="1:16" s="244" customFormat="1" ht="6" customHeight="1" x14ac:dyDescent="0.2">
      <c r="C49" s="239"/>
      <c r="D49" s="239"/>
      <c r="E49" s="245"/>
      <c r="F49" s="245"/>
      <c r="G49" s="246"/>
      <c r="H49" s="245"/>
      <c r="I49" s="245"/>
      <c r="J49" s="245"/>
      <c r="K49" s="245"/>
      <c r="L49" s="245"/>
    </row>
    <row r="50" spans="1:16" s="235" customFormat="1" ht="21" customHeight="1" x14ac:dyDescent="0.2">
      <c r="B50" s="236"/>
      <c r="D50" s="238" t="s">
        <v>1221</v>
      </c>
      <c r="F50" s="238"/>
      <c r="H50" s="237"/>
      <c r="I50" s="237"/>
      <c r="J50" s="237"/>
      <c r="K50" s="237"/>
      <c r="L50" s="237"/>
      <c r="M50" s="237"/>
    </row>
    <row r="51" spans="1:16" s="244" customFormat="1" ht="6.75" customHeight="1" x14ac:dyDescent="0.2">
      <c r="A51" s="239"/>
      <c r="B51" s="240"/>
      <c r="C51" s="240"/>
      <c r="D51" s="240"/>
      <c r="E51" s="240"/>
      <c r="F51" s="241"/>
      <c r="G51" s="240"/>
      <c r="H51" s="242"/>
      <c r="I51" s="243"/>
      <c r="J51" s="242"/>
      <c r="K51" s="242"/>
      <c r="L51" s="242"/>
      <c r="N51" s="1161" t="s">
        <v>2000</v>
      </c>
      <c r="O51" s="1161"/>
      <c r="P51" s="1161"/>
    </row>
    <row r="52" spans="1:16" s="244" customFormat="1" ht="6" customHeight="1" x14ac:dyDescent="0.2">
      <c r="A52" s="239"/>
      <c r="B52" s="240"/>
      <c r="C52" s="239"/>
      <c r="D52" s="239"/>
      <c r="E52" s="239"/>
      <c r="F52" s="318"/>
      <c r="G52" s="239"/>
      <c r="H52" s="245"/>
      <c r="I52" s="246"/>
      <c r="J52" s="245"/>
      <c r="K52" s="245"/>
      <c r="L52" s="245"/>
      <c r="M52" s="245"/>
      <c r="N52" s="1161"/>
      <c r="O52" s="1161"/>
      <c r="P52" s="1161"/>
    </row>
    <row r="53" spans="1:16" s="244" customFormat="1" ht="5.0999999999999996" customHeight="1" x14ac:dyDescent="0.2">
      <c r="B53" s="240"/>
      <c r="C53" s="239"/>
      <c r="D53" s="202"/>
      <c r="E53" s="269"/>
      <c r="F53" s="269"/>
      <c r="G53" s="270"/>
      <c r="H53" s="269"/>
      <c r="I53" s="269"/>
      <c r="J53" s="269"/>
      <c r="K53" s="269"/>
      <c r="L53" s="271"/>
      <c r="N53" s="1161"/>
      <c r="O53" s="1161"/>
      <c r="P53" s="1161"/>
    </row>
    <row r="54" spans="1:16" s="244" customFormat="1" ht="12.75" customHeight="1" x14ac:dyDescent="0.2">
      <c r="B54" s="240"/>
      <c r="C54" s="239"/>
      <c r="D54" s="204"/>
      <c r="E54" s="272" t="s">
        <v>941</v>
      </c>
      <c r="F54" s="245"/>
      <c r="G54" s="246"/>
      <c r="H54" s="245"/>
      <c r="I54" s="245"/>
      <c r="J54" s="245"/>
      <c r="K54" s="245"/>
      <c r="L54" s="205"/>
      <c r="N54" s="1161"/>
      <c r="O54" s="1161"/>
      <c r="P54" s="1161"/>
    </row>
    <row r="55" spans="1:16" s="244" customFormat="1" x14ac:dyDescent="0.2">
      <c r="B55" s="240"/>
      <c r="C55" s="239"/>
      <c r="D55" s="204"/>
      <c r="L55" s="205"/>
      <c r="N55" s="1161"/>
      <c r="O55" s="1161"/>
      <c r="P55" s="1161"/>
    </row>
    <row r="56" spans="1:16" s="244" customFormat="1" x14ac:dyDescent="0.2">
      <c r="B56" s="240"/>
      <c r="C56" s="239"/>
      <c r="D56" s="204"/>
      <c r="E56" s="245" t="s">
        <v>971</v>
      </c>
      <c r="F56" s="1166"/>
      <c r="G56" s="1166"/>
      <c r="L56" s="205"/>
      <c r="N56" s="1161"/>
      <c r="O56" s="1161"/>
      <c r="P56" s="1161"/>
    </row>
    <row r="57" spans="1:16" s="244" customFormat="1" x14ac:dyDescent="0.2">
      <c r="B57" s="240"/>
      <c r="C57" s="239"/>
      <c r="D57" s="204"/>
      <c r="E57" s="245"/>
      <c r="F57" s="245"/>
      <c r="G57" s="346"/>
      <c r="H57" s="245"/>
      <c r="I57" s="245"/>
      <c r="J57" s="245"/>
      <c r="K57" s="246"/>
      <c r="L57" s="205"/>
      <c r="N57" s="1161"/>
      <c r="O57" s="1161"/>
      <c r="P57" s="1161"/>
    </row>
    <row r="58" spans="1:16" s="244" customFormat="1" x14ac:dyDescent="0.2">
      <c r="B58" s="240"/>
      <c r="C58" s="239"/>
      <c r="D58" s="204"/>
      <c r="E58" s="245" t="s">
        <v>996</v>
      </c>
      <c r="F58" s="245"/>
      <c r="G58" s="1006">
        <f>MULohnberechnung</f>
        <v>0</v>
      </c>
      <c r="H58" s="246" t="s">
        <v>998</v>
      </c>
      <c r="I58" s="239" t="s">
        <v>1032</v>
      </c>
      <c r="K58" s="1005"/>
      <c r="L58" s="205"/>
      <c r="N58" s="1161"/>
      <c r="O58" s="1161"/>
      <c r="P58" s="1161"/>
    </row>
    <row r="59" spans="1:16" s="244" customFormat="1" x14ac:dyDescent="0.2">
      <c r="B59" s="240"/>
      <c r="D59" s="61"/>
      <c r="L59" s="62"/>
      <c r="N59" s="1161"/>
      <c r="O59" s="1161"/>
      <c r="P59" s="1161"/>
    </row>
    <row r="60" spans="1:16" s="244" customFormat="1" x14ac:dyDescent="0.2">
      <c r="B60" s="240"/>
      <c r="C60" s="239"/>
      <c r="D60" s="204"/>
      <c r="E60" s="245" t="s">
        <v>966</v>
      </c>
      <c r="F60" s="245"/>
      <c r="G60" s="1005"/>
      <c r="I60" s="245" t="s">
        <v>1069</v>
      </c>
      <c r="J60" s="1141" t="str">
        <f>_xlfn.IFNA(VLOOKUP(G60,Stammdaten_DropDown!$B$14:$C$55,2,FALSE),"")</f>
        <v/>
      </c>
      <c r="K60" s="1141"/>
      <c r="L60" s="266"/>
      <c r="N60" s="1161"/>
      <c r="O60" s="1161"/>
      <c r="P60" s="1161"/>
    </row>
    <row r="61" spans="1:16" s="244" customFormat="1" x14ac:dyDescent="0.2">
      <c r="B61" s="240"/>
      <c r="C61" s="239"/>
      <c r="D61" s="204"/>
      <c r="E61" s="245"/>
      <c r="F61" s="245"/>
      <c r="G61" s="234"/>
      <c r="H61" s="46"/>
      <c r="I61" s="97"/>
      <c r="J61" s="857"/>
      <c r="K61" s="857"/>
      <c r="L61" s="266"/>
      <c r="N61" s="1161"/>
      <c r="O61" s="1161"/>
      <c r="P61" s="1161"/>
    </row>
    <row r="62" spans="1:16" s="244" customFormat="1" x14ac:dyDescent="0.2">
      <c r="B62" s="240"/>
      <c r="C62" s="239"/>
      <c r="D62" s="204"/>
      <c r="E62" s="245" t="str">
        <f>IF(G13&lt;&gt;"","LOGIB Code bereits vorhanden","Höchstausbildung LOGIB*")</f>
        <v>Höchstausbildung LOGIB*</v>
      </c>
      <c r="F62" s="245"/>
      <c r="G62" s="234"/>
      <c r="H62" s="1135"/>
      <c r="I62" s="1135"/>
      <c r="J62" s="1135"/>
      <c r="K62" s="1135"/>
      <c r="L62" s="266"/>
      <c r="N62" s="1161"/>
      <c r="O62" s="1161"/>
      <c r="P62" s="1161"/>
    </row>
    <row r="63" spans="1:16" s="244" customFormat="1" x14ac:dyDescent="0.2">
      <c r="B63" s="240"/>
      <c r="C63" s="239"/>
      <c r="D63" s="204"/>
      <c r="E63" s="986" t="s">
        <v>2023</v>
      </c>
      <c r="L63" s="266"/>
      <c r="N63" s="1161"/>
      <c r="O63" s="1161"/>
      <c r="P63" s="1161"/>
    </row>
    <row r="64" spans="1:16" s="244" customFormat="1" x14ac:dyDescent="0.2">
      <c r="B64" s="240"/>
      <c r="C64" s="239"/>
      <c r="D64" s="204"/>
      <c r="E64" s="1164" t="s">
        <v>946</v>
      </c>
      <c r="F64" s="1164"/>
      <c r="G64" s="1135"/>
      <c r="H64" s="1135"/>
      <c r="I64" s="1135"/>
      <c r="J64" s="1135"/>
      <c r="K64" s="1135"/>
      <c r="L64" s="205"/>
      <c r="N64" s="1161"/>
      <c r="O64" s="1161"/>
      <c r="P64" s="1161"/>
    </row>
    <row r="65" spans="2:18" s="244" customFormat="1" ht="8.1" customHeight="1" x14ac:dyDescent="0.2">
      <c r="B65" s="240"/>
      <c r="C65" s="239"/>
      <c r="D65" s="206"/>
      <c r="E65" s="267"/>
      <c r="F65" s="267"/>
      <c r="G65" s="267"/>
      <c r="H65" s="267"/>
      <c r="I65" s="267"/>
      <c r="J65" s="267"/>
      <c r="K65" s="267"/>
      <c r="L65" s="207"/>
      <c r="N65" s="1161"/>
      <c r="O65" s="1161"/>
      <c r="P65" s="1161"/>
    </row>
    <row r="66" spans="2:18" s="244" customFormat="1" ht="6" customHeight="1" x14ac:dyDescent="0.2">
      <c r="B66" s="240"/>
      <c r="C66" s="239"/>
      <c r="D66" s="239"/>
      <c r="E66" s="268"/>
      <c r="F66" s="268"/>
      <c r="G66" s="268"/>
      <c r="H66" s="268"/>
      <c r="I66" s="268"/>
      <c r="J66" s="268"/>
      <c r="K66" s="268"/>
      <c r="L66" s="239"/>
      <c r="N66" s="1161"/>
      <c r="O66" s="1161"/>
      <c r="P66" s="1161"/>
    </row>
    <row r="67" spans="2:18" s="244" customFormat="1" ht="5.0999999999999996" customHeight="1" x14ac:dyDescent="0.2">
      <c r="B67" s="240"/>
      <c r="C67" s="239"/>
      <c r="D67" s="202"/>
      <c r="E67" s="67"/>
      <c r="F67" s="67"/>
      <c r="G67" s="68"/>
      <c r="H67" s="67"/>
      <c r="I67" s="67"/>
      <c r="J67" s="67"/>
      <c r="K67" s="67"/>
      <c r="L67" s="203"/>
      <c r="N67" s="1161"/>
      <c r="O67" s="1161"/>
      <c r="P67" s="1161"/>
    </row>
    <row r="68" spans="2:18" s="244" customFormat="1" x14ac:dyDescent="0.2">
      <c r="B68" s="240"/>
      <c r="C68" s="239"/>
      <c r="D68" s="204"/>
      <c r="E68" s="1165" t="s">
        <v>978</v>
      </c>
      <c r="F68" s="1165"/>
      <c r="G68" s="1165"/>
      <c r="H68" s="1165"/>
      <c r="I68" s="1165"/>
      <c r="J68" s="1165"/>
      <c r="K68" s="245"/>
      <c r="L68" s="205"/>
      <c r="N68" s="1161"/>
      <c r="O68" s="1161"/>
      <c r="P68" s="1161"/>
    </row>
    <row r="69" spans="2:18" s="244" customFormat="1" x14ac:dyDescent="0.2">
      <c r="B69" s="240"/>
      <c r="C69" s="239"/>
      <c r="D69" s="204"/>
      <c r="E69" s="245"/>
      <c r="F69" s="245"/>
      <c r="G69" s="246"/>
      <c r="H69" s="245"/>
      <c r="I69" s="245"/>
      <c r="J69" s="245"/>
      <c r="K69" s="245"/>
      <c r="L69" s="205"/>
      <c r="N69" s="1161"/>
      <c r="O69" s="1161"/>
      <c r="P69" s="1161"/>
      <c r="R69" s="244" t="s">
        <v>973</v>
      </c>
    </row>
    <row r="70" spans="2:18" s="244" customFormat="1" x14ac:dyDescent="0.2">
      <c r="B70" s="240"/>
      <c r="C70" s="239"/>
      <c r="D70" s="204"/>
      <c r="E70" s="1136"/>
      <c r="F70" s="1136"/>
      <c r="G70" s="1136"/>
      <c r="H70" s="1136"/>
      <c r="I70" s="1136"/>
      <c r="J70" s="1136"/>
      <c r="K70" s="1136"/>
      <c r="L70" s="205"/>
      <c r="N70" s="1161"/>
      <c r="O70" s="1161"/>
      <c r="P70" s="1161"/>
      <c r="R70" s="349">
        <f>E70</f>
        <v>0</v>
      </c>
    </row>
    <row r="71" spans="2:18" s="244" customFormat="1" x14ac:dyDescent="0.2">
      <c r="B71" s="240"/>
      <c r="C71" s="239"/>
      <c r="D71" s="204"/>
      <c r="E71" s="1136"/>
      <c r="F71" s="1136"/>
      <c r="G71" s="1136"/>
      <c r="H71" s="1136"/>
      <c r="I71" s="1136"/>
      <c r="J71" s="1136"/>
      <c r="K71" s="1136"/>
      <c r="L71" s="205"/>
      <c r="N71" s="1161"/>
      <c r="O71" s="1161"/>
      <c r="P71" s="1161"/>
      <c r="R71" s="349"/>
    </row>
    <row r="72" spans="2:18" s="244" customFormat="1" x14ac:dyDescent="0.2">
      <c r="B72" s="240"/>
      <c r="C72" s="239"/>
      <c r="D72" s="204"/>
      <c r="E72" s="1136"/>
      <c r="F72" s="1136"/>
      <c r="G72" s="1136"/>
      <c r="H72" s="1136"/>
      <c r="I72" s="1136"/>
      <c r="J72" s="1136"/>
      <c r="K72" s="1136"/>
      <c r="L72" s="205"/>
      <c r="N72" s="1161"/>
      <c r="O72" s="1161"/>
      <c r="P72" s="1161"/>
      <c r="R72" s="349">
        <f>E72</f>
        <v>0</v>
      </c>
    </row>
    <row r="73" spans="2:18" s="244" customFormat="1" ht="8.1" customHeight="1" x14ac:dyDescent="0.2">
      <c r="B73" s="240"/>
      <c r="C73" s="239"/>
      <c r="D73" s="206"/>
      <c r="E73" s="64"/>
      <c r="F73" s="64"/>
      <c r="G73" s="65"/>
      <c r="H73" s="64"/>
      <c r="I73" s="64"/>
      <c r="J73" s="64"/>
      <c r="K73" s="64"/>
      <c r="L73" s="207"/>
      <c r="N73" s="1161"/>
      <c r="O73" s="1161"/>
      <c r="P73" s="1161"/>
    </row>
    <row r="74" spans="2:18" s="244" customFormat="1" ht="6" customHeight="1" x14ac:dyDescent="0.2">
      <c r="B74" s="240"/>
      <c r="C74" s="239"/>
      <c r="D74" s="239"/>
      <c r="E74" s="245"/>
      <c r="F74" s="245"/>
      <c r="G74" s="246"/>
      <c r="H74" s="245"/>
      <c r="I74" s="245"/>
      <c r="J74" s="245"/>
      <c r="K74" s="245"/>
      <c r="L74" s="239"/>
      <c r="N74" s="1161"/>
      <c r="O74" s="1161"/>
      <c r="P74" s="1161"/>
    </row>
    <row r="75" spans="2:18" s="244" customFormat="1" ht="5.0999999999999996" customHeight="1" x14ac:dyDescent="0.2">
      <c r="B75" s="240"/>
      <c r="C75" s="239"/>
      <c r="D75" s="202"/>
      <c r="E75" s="67"/>
      <c r="F75" s="67"/>
      <c r="G75" s="68"/>
      <c r="H75" s="67"/>
      <c r="I75" s="67"/>
      <c r="J75" s="67"/>
      <c r="K75" s="67"/>
      <c r="L75" s="203"/>
    </row>
    <row r="76" spans="2:18" s="244" customFormat="1" x14ac:dyDescent="0.2">
      <c r="B76" s="240"/>
      <c r="C76" s="239"/>
      <c r="D76" s="204"/>
      <c r="E76" s="210" t="s">
        <v>929</v>
      </c>
      <c r="F76" s="210"/>
      <c r="G76" s="320"/>
      <c r="H76" s="319"/>
      <c r="I76" s="319"/>
      <c r="J76" s="319"/>
      <c r="K76" s="319"/>
      <c r="L76" s="266"/>
      <c r="N76" s="1176" t="str">
        <f>Stammdaten_DropDown!A114</f>
        <v>Lohnentwicklung</v>
      </c>
      <c r="O76" s="1176"/>
      <c r="P76" s="1176"/>
    </row>
    <row r="77" spans="2:18" s="244" customFormat="1" ht="6" customHeight="1" x14ac:dyDescent="0.2">
      <c r="B77" s="240"/>
      <c r="C77" s="239"/>
      <c r="D77" s="204"/>
      <c r="E77" s="245"/>
      <c r="F77" s="245"/>
      <c r="G77" s="246"/>
      <c r="H77" s="245"/>
      <c r="I77" s="245"/>
      <c r="J77" s="245"/>
      <c r="K77" s="245"/>
      <c r="L77" s="266"/>
      <c r="N77" s="239"/>
    </row>
    <row r="78" spans="2:18" s="244" customFormat="1" x14ac:dyDescent="0.2">
      <c r="B78" s="240"/>
      <c r="C78" s="239"/>
      <c r="D78" s="204"/>
      <c r="E78" s="245" t="s">
        <v>940</v>
      </c>
      <c r="F78" s="245"/>
      <c r="G78" s="246"/>
      <c r="H78" s="245"/>
      <c r="I78" s="245"/>
      <c r="J78" s="1166"/>
      <c r="K78" s="1166"/>
      <c r="L78" s="266"/>
      <c r="N78" s="1175" t="str">
        <f>Stammdaten_DropDown!A115</f>
        <v>Bitte angeben, ob eine individuelle Lohnentwicklung gewährt werden soll.</v>
      </c>
      <c r="O78" s="1175"/>
      <c r="P78" s="1175"/>
    </row>
    <row r="79" spans="2:18" s="244" customFormat="1" x14ac:dyDescent="0.2">
      <c r="B79" s="240"/>
      <c r="C79" s="239"/>
      <c r="D79" s="204"/>
      <c r="E79" s="245"/>
      <c r="F79" s="245"/>
      <c r="G79" s="246"/>
      <c r="H79" s="245"/>
      <c r="I79" s="245"/>
      <c r="J79" s="245"/>
      <c r="K79" s="245"/>
      <c r="L79" s="266"/>
      <c r="N79" s="1175" t="str">
        <f>Stammdaten_DropDown!A116</f>
        <v>Bei einem Neueintritt nach dem 01.07.2026 ist keine individuelle Lohnentwicklung vorgesehen.</v>
      </c>
      <c r="O79" s="1175"/>
      <c r="P79" s="1175"/>
    </row>
    <row r="80" spans="2:18" s="244" customFormat="1" x14ac:dyDescent="0.2">
      <c r="B80" s="240"/>
      <c r="C80" s="239"/>
      <c r="D80" s="204"/>
      <c r="E80" s="275" t="s">
        <v>764</v>
      </c>
      <c r="G80" s="1011" t="str">
        <f>IF(ISBLANK($J$78),IF(BandLohnBer="",IF(BandLohnRechner="","",BandLohnRechner),IF(BandLohnRechner="",BandLohnBer,"FEHLER")),"-")</f>
        <v/>
      </c>
      <c r="H80" s="681" t="s">
        <v>808</v>
      </c>
      <c r="K80" s="1006" t="str">
        <f>IF(ISBLANK($J$78),IF(EWLohnBer="",IF(EWLohnRechner="","",EWLohnRechner),IF(EWLohnRechner="",EWLohnBer,"FEHLER")),"-")</f>
        <v/>
      </c>
      <c r="L80" s="266"/>
      <c r="N80" s="856" t="str">
        <f>Stammdaten_DropDown!A117</f>
        <v>In dem Fall ist das Prädikat auf dem Wert «NA» (keine Beurteilung) zu belassen.</v>
      </c>
    </row>
    <row r="81" spans="2:16" s="244" customFormat="1" x14ac:dyDescent="0.2">
      <c r="B81" s="240"/>
      <c r="C81" s="239"/>
      <c r="D81" s="204"/>
      <c r="E81" s="429" t="b">
        <f>AND(BandLohnBer&lt;&gt;"",BandLohnRechner&lt;&gt;"")</f>
        <v>0</v>
      </c>
      <c r="F81" s="245"/>
      <c r="G81" s="430" t="str">
        <f>IF(E81,"2 Lohnbänder gefunden","")</f>
        <v/>
      </c>
      <c r="H81" s="245"/>
      <c r="I81" s="429" t="b">
        <f>AND(EWLohnBer&lt;&gt;"",EWLohnRechner&lt;&gt;"")</f>
        <v>0</v>
      </c>
      <c r="J81" s="538" t="str">
        <f>IF(I81,"2 Erfahrungswerte gefunden","")</f>
        <v/>
      </c>
      <c r="K81" s="538"/>
      <c r="L81" s="266"/>
      <c r="N81" s="856"/>
    </row>
    <row r="82" spans="2:16" s="244" customFormat="1" ht="13.35" customHeight="1" x14ac:dyDescent="0.2">
      <c r="B82" s="240"/>
      <c r="C82" s="239"/>
      <c r="D82" s="204"/>
      <c r="H82" s="681" t="s">
        <v>1100</v>
      </c>
      <c r="J82" s="1163" t="str">
        <f>IF(ISBLANK($J$78),IF(LohnLohnBer="",IF(LohnLohnRechner="","",LohnLohnRechner),IF(LohnLohnRechner="",LohnLohnBer,"FEHLER")),"-")</f>
        <v/>
      </c>
      <c r="K82" s="1163"/>
      <c r="L82" s="62"/>
      <c r="N82" s="1174" t="str">
        <f>Stammdaten_DropDown!A118</f>
        <v xml:space="preserve">Falls eine individuelle  Lohnentwicklung gewährt werden soll, ist das entsprechende Prädikat aus der relevanten MAG-Phase im Dropdown-Menu auszuwählen. </v>
      </c>
      <c r="O82" s="1174"/>
      <c r="P82" s="1174"/>
    </row>
    <row r="83" spans="2:16" s="244" customFormat="1" x14ac:dyDescent="0.2">
      <c r="B83" s="240"/>
      <c r="C83" s="239"/>
      <c r="D83" s="204"/>
      <c r="E83" s="245"/>
      <c r="F83" s="245"/>
      <c r="G83" s="245"/>
      <c r="H83" s="245"/>
      <c r="I83" s="429" t="b">
        <f>AND(LohnLohnBer&lt;&gt;"",LohnLohnRechner&lt;&gt;"")</f>
        <v>0</v>
      </c>
      <c r="J83" s="1173" t="str">
        <f>IF(I83,"2 Löhne gefunden","")</f>
        <v/>
      </c>
      <c r="K83" s="1173"/>
      <c r="L83" s="266"/>
      <c r="N83" s="1174"/>
      <c r="O83" s="1174"/>
      <c r="P83" s="1174"/>
    </row>
    <row r="84" spans="2:16" s="244" customFormat="1" x14ac:dyDescent="0.2">
      <c r="B84" s="240"/>
      <c r="C84" s="239"/>
      <c r="D84" s="204"/>
      <c r="E84" s="841" t="str">
        <f>CONCATENATE("Lohnentwicklung per 01.01.",LohntabelleM!I1+1," gewähren?")</f>
        <v>Lohnentwicklung per 01.01.2027 gewähren?</v>
      </c>
      <c r="F84" s="245"/>
      <c r="G84" s="245"/>
      <c r="H84" s="1005"/>
      <c r="I84" s="245"/>
      <c r="J84" s="859" t="s">
        <v>1948</v>
      </c>
      <c r="K84" s="869" t="str">
        <f>L84</f>
        <v/>
      </c>
      <c r="L84" s="858" t="str">
        <f>IF(H84="Ja","A",IF(H84="Nein","NA",""))</f>
        <v/>
      </c>
      <c r="N84" s="856" t="str">
        <f>Stammdaten_DropDown!A119</f>
        <v>Ist noch keine Beurteilung hinterlegt, so ist das Prädikat auf «A» zu belassen.</v>
      </c>
    </row>
    <row r="85" spans="2:16" s="244" customFormat="1" ht="8.1" customHeight="1" x14ac:dyDescent="0.2">
      <c r="B85" s="240"/>
      <c r="C85" s="239"/>
      <c r="D85" s="206"/>
      <c r="E85" s="64"/>
      <c r="F85" s="64"/>
      <c r="G85" s="65"/>
      <c r="H85" s="64"/>
      <c r="I85" s="64"/>
      <c r="J85" s="64"/>
      <c r="K85" s="64"/>
      <c r="L85" s="279"/>
    </row>
    <row r="86" spans="2:16" s="244" customFormat="1" ht="10.9" customHeight="1" x14ac:dyDescent="0.2">
      <c r="B86" s="240"/>
      <c r="C86" s="239"/>
      <c r="D86" s="239"/>
      <c r="E86" s="245"/>
      <c r="F86" s="245"/>
      <c r="G86" s="246"/>
      <c r="H86" s="245"/>
      <c r="I86" s="245"/>
      <c r="J86" s="245"/>
      <c r="K86" s="245"/>
      <c r="L86" s="245"/>
    </row>
    <row r="87" spans="2:16" s="244" customFormat="1" ht="50.85" customHeight="1" x14ac:dyDescent="0.2">
      <c r="B87" s="240"/>
      <c r="C87" s="239"/>
      <c r="D87" s="1143" t="s">
        <v>959</v>
      </c>
      <c r="E87" s="1143"/>
      <c r="F87" s="1143"/>
      <c r="G87" s="1143"/>
      <c r="H87" s="1143"/>
      <c r="I87" s="1143"/>
      <c r="J87" s="1143"/>
      <c r="K87" s="1143"/>
      <c r="L87" s="1143"/>
    </row>
    <row r="88" spans="2:16" s="244" customFormat="1" ht="26.25" customHeight="1" x14ac:dyDescent="0.2">
      <c r="B88" s="240"/>
      <c r="C88" s="239"/>
      <c r="D88" s="1143"/>
      <c r="E88" s="1143"/>
      <c r="F88" s="1143"/>
      <c r="G88" s="1143"/>
      <c r="H88" s="1143"/>
      <c r="I88" s="1143"/>
      <c r="J88" s="1143"/>
      <c r="K88" s="1143"/>
      <c r="L88" s="1143"/>
    </row>
    <row r="89" spans="2:16" s="244" customFormat="1" x14ac:dyDescent="0.2">
      <c r="C89" s="239"/>
      <c r="L89" s="239"/>
    </row>
    <row r="90" spans="2:16" s="244" customFormat="1" x14ac:dyDescent="0.2">
      <c r="C90" s="239"/>
      <c r="L90" s="239"/>
    </row>
    <row r="91" spans="2:16" x14ac:dyDescent="0.2">
      <c r="D91" s="244"/>
      <c r="E91" s="244"/>
      <c r="F91" s="244"/>
      <c r="G91" s="244"/>
      <c r="H91" s="244"/>
      <c r="I91" s="244"/>
      <c r="J91" s="244"/>
      <c r="K91" s="244"/>
      <c r="L91" s="244"/>
    </row>
    <row r="92" spans="2:16" x14ac:dyDescent="0.2">
      <c r="D92" s="244"/>
      <c r="E92" s="244"/>
      <c r="F92" s="244"/>
      <c r="G92" s="244"/>
      <c r="H92" s="244"/>
      <c r="I92" s="244"/>
      <c r="J92" s="244"/>
      <c r="K92" s="244"/>
      <c r="L92" s="244"/>
    </row>
    <row r="93" spans="2:16" x14ac:dyDescent="0.2">
      <c r="D93" s="244"/>
      <c r="E93" s="244"/>
      <c r="F93" s="244"/>
      <c r="G93" s="244"/>
      <c r="H93" s="244"/>
      <c r="I93" s="244"/>
      <c r="J93" s="244"/>
      <c r="K93" s="244"/>
      <c r="L93" s="244"/>
    </row>
    <row r="94" spans="2:16" x14ac:dyDescent="0.2">
      <c r="D94" s="244"/>
      <c r="E94" s="244"/>
      <c r="F94" s="244"/>
      <c r="G94" s="244"/>
      <c r="H94" s="244"/>
      <c r="I94" s="244"/>
      <c r="J94" s="244"/>
      <c r="K94" s="244"/>
      <c r="L94" s="244"/>
    </row>
    <row r="95" spans="2:16" x14ac:dyDescent="0.2">
      <c r="D95" s="244"/>
      <c r="E95" s="244"/>
      <c r="F95" s="244"/>
      <c r="G95" s="244"/>
      <c r="H95" s="244"/>
      <c r="I95" s="244"/>
      <c r="J95" s="244"/>
      <c r="K95" s="244"/>
      <c r="L95" s="244"/>
    </row>
    <row r="96" spans="2:16" x14ac:dyDescent="0.2">
      <c r="D96" s="244"/>
      <c r="E96" s="244"/>
      <c r="F96" s="244"/>
      <c r="G96" s="244"/>
      <c r="H96" s="244"/>
      <c r="I96" s="244"/>
      <c r="J96" s="244"/>
      <c r="K96" s="244"/>
      <c r="L96" s="244"/>
    </row>
    <row r="97" spans="4:12" x14ac:dyDescent="0.2">
      <c r="D97" s="244"/>
      <c r="E97" s="244"/>
      <c r="F97" s="244"/>
      <c r="G97" s="244"/>
      <c r="H97" s="244"/>
      <c r="I97" s="244"/>
      <c r="J97" s="244"/>
      <c r="K97" s="244"/>
      <c r="L97" s="244"/>
    </row>
    <row r="98" spans="4:12" x14ac:dyDescent="0.2">
      <c r="D98" s="244"/>
      <c r="E98" s="244"/>
      <c r="F98" s="244"/>
      <c r="G98" s="244"/>
      <c r="H98" s="244"/>
      <c r="I98" s="244"/>
      <c r="J98" s="244"/>
      <c r="K98" s="244"/>
      <c r="L98" s="244"/>
    </row>
  </sheetData>
  <sheetProtection algorithmName="SHA-512" hashValue="mKS1Sh+4ZXFUVCUXKJwtcQhg4ClLqoJdhKbu4CnrxF2pMlU01T1M++r24Wc/V+ouO0+8t0hOhi19mzVkEmdK5w==" saltValue="n4mkeVXS6pnrQqUvymkDXw==" spinCount="100000" sheet="1" objects="1" scenarios="1"/>
  <mergeCells count="42">
    <mergeCell ref="N11:O12"/>
    <mergeCell ref="N82:P83"/>
    <mergeCell ref="N78:P78"/>
    <mergeCell ref="N79:P79"/>
    <mergeCell ref="N51:P74"/>
    <mergeCell ref="N76:P76"/>
    <mergeCell ref="D87:L88"/>
    <mergeCell ref="J83:K83"/>
    <mergeCell ref="J82:K82"/>
    <mergeCell ref="E43:K43"/>
    <mergeCell ref="E44:K44"/>
    <mergeCell ref="E45:K45"/>
    <mergeCell ref="E64:F64"/>
    <mergeCell ref="G64:K64"/>
    <mergeCell ref="F56:G56"/>
    <mergeCell ref="J60:K60"/>
    <mergeCell ref="J78:K78"/>
    <mergeCell ref="E68:J68"/>
    <mergeCell ref="E70:K70"/>
    <mergeCell ref="E71:K71"/>
    <mergeCell ref="E72:K72"/>
    <mergeCell ref="H62:K62"/>
    <mergeCell ref="G37:H37"/>
    <mergeCell ref="J37:K37"/>
    <mergeCell ref="G39:H39"/>
    <mergeCell ref="E41:G41"/>
    <mergeCell ref="G34:K34"/>
    <mergeCell ref="G38:H38"/>
    <mergeCell ref="G40:H40"/>
    <mergeCell ref="I38:J38"/>
    <mergeCell ref="G15:K15"/>
    <mergeCell ref="J17:K17"/>
    <mergeCell ref="G30:K30"/>
    <mergeCell ref="F21:J21"/>
    <mergeCell ref="F22:K22"/>
    <mergeCell ref="F23:I23"/>
    <mergeCell ref="F24:G24"/>
    <mergeCell ref="D2:I2"/>
    <mergeCell ref="G11:H11"/>
    <mergeCell ref="J11:K11"/>
    <mergeCell ref="G13:H13"/>
    <mergeCell ref="J13:K13"/>
  </mergeCells>
  <conditionalFormatting sqref="G80">
    <cfRule type="expression" dxfId="195" priority="12">
      <formula>E81</formula>
    </cfRule>
  </conditionalFormatting>
  <conditionalFormatting sqref="K80">
    <cfRule type="expression" dxfId="194" priority="11">
      <formula>$I$81</formula>
    </cfRule>
  </conditionalFormatting>
  <conditionalFormatting sqref="J82:K82">
    <cfRule type="expression" dxfId="193" priority="10">
      <formula>$I$83</formula>
    </cfRule>
  </conditionalFormatting>
  <conditionalFormatting sqref="J84:K84 N80:P84">
    <cfRule type="expression" dxfId="192" priority="7">
      <formula>$H$84=""</formula>
    </cfRule>
  </conditionalFormatting>
  <conditionalFormatting sqref="E64:K64 E76:K84 N76:P84">
    <cfRule type="expression" dxfId="191" priority="2">
      <formula>AND($H$62="",$G$13="")</formula>
    </cfRule>
  </conditionalFormatting>
  <conditionalFormatting sqref="H62:K62 E63">
    <cfRule type="expression" dxfId="190" priority="1">
      <formula>$G$13&lt;&gt;""</formula>
    </cfRule>
  </conditionalFormatting>
  <dataValidations count="9">
    <dataValidation type="list" operator="greaterThan" showInputMessage="1" showErrorMessage="1" errorTitle="Fehler" sqref="J37:K37" xr:uid="{00000000-0002-0000-0300-000000000000}">
      <formula1>"1./2. Klasse, 3. Klasse, 4./5/.6. Klasse"</formula1>
    </dataValidation>
    <dataValidation type="date" operator="greaterThan" allowBlank="1" showInputMessage="1" showErrorMessage="1" sqref="I32" xr:uid="{00000000-0002-0000-0300-000001000000}">
      <formula1>1</formula1>
    </dataValidation>
    <dataValidation operator="greaterThan" allowBlank="1" showInputMessage="1" showErrorMessage="1" errorTitle="Fehler" error="Pensum als Ganzzahl angeben" sqref="J82" xr:uid="{00000000-0002-0000-0300-000002000000}"/>
    <dataValidation type="date" operator="greaterThan" allowBlank="1" showInputMessage="1" showErrorMessage="1" errorTitle="Fehler" error="Geben Sie ein gültiges Datum dd.mm.yyyy ein!" sqref="G57 G19:G20" xr:uid="{00000000-0002-0000-0300-000003000000}">
      <formula1>1</formula1>
    </dataValidation>
    <dataValidation type="whole" operator="greaterThan" allowBlank="1" showInputMessage="1" showErrorMessage="1" errorTitle="Fehler" error="Ungültige Postleitzahl" sqref="G17" xr:uid="{00000000-0002-0000-0300-000004000000}">
      <formula1>0</formula1>
    </dataValidation>
    <dataValidation operator="greaterThan" showInputMessage="1" showErrorMessage="1" errorTitle="Fehler" error="Geben Sie ein gültiges Datum dd.mm.yyyy ein!" sqref="G32 K48 H48" xr:uid="{00000000-0002-0000-0300-000005000000}"/>
    <dataValidation type="list" allowBlank="1" showInputMessage="1" showErrorMessage="1" sqref="G37:H37" xr:uid="{00000000-0002-0000-0300-000006000000}">
      <formula1>SchulKindergartenTyp</formula1>
    </dataValidation>
    <dataValidation allowBlank="1" showInputMessage="1" sqref="L60:L62 J60:J61" xr:uid="{00000000-0002-0000-0300-000007000000}"/>
    <dataValidation type="list" allowBlank="1" showInputMessage="1" showErrorMessage="1" sqref="G39:H39" xr:uid="{00000000-0002-0000-0300-000008000000}">
      <formula1>INDIRECT("UArt" &amp; $G$37)</formula1>
    </dataValidation>
  </dataValidations>
  <hyperlinks>
    <hyperlink ref="N11:O12" location="Grunddaten!E9" display="Zurück zu Grunddaten" xr:uid="{00000000-0004-0000-0300-000000000000}"/>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48" max="16383" man="1"/>
  </rowBreaks>
  <ignoredErrors>
    <ignoredError sqref="K84"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9000000}">
          <x14:formula1>
            <xm:f>Stammdaten_DropDown!$E$93:$E$100</xm:f>
          </x14:formula1>
          <xm:sqref>H62:K62</xm:sqref>
        </x14:dataValidation>
        <x14:dataValidation type="list" allowBlank="1" showInputMessage="1" showErrorMessage="1" xr:uid="{00000000-0002-0000-0300-00000A000000}">
          <x14:formula1>
            <xm:f>Stammdaten_DropDown!$E$103:$E$104</xm:f>
          </x14:formula1>
          <xm:sqref>H84</xm:sqref>
        </x14:dataValidation>
        <x14:dataValidation type="list" allowBlank="1" showInputMessage="1" showErrorMessage="1" xr:uid="{00000000-0002-0000-0300-00000B000000}">
          <x14:formula1>
            <xm:f>Stammdaten_DropDown!$E$107:$E$110</xm:f>
          </x14:formula1>
          <xm:sqref>K84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6">
    <tabColor theme="4" tint="0.39997558519241921"/>
    <pageSetUpPr fitToPage="1"/>
  </sheetPr>
  <dimension ref="A1:R107"/>
  <sheetViews>
    <sheetView zoomScaleNormal="100" workbookViewId="0">
      <selection activeCell="G15" sqref="G15:L15"/>
    </sheetView>
  </sheetViews>
  <sheetFormatPr baseColWidth="10" defaultColWidth="11.5703125" defaultRowHeight="12.75" x14ac:dyDescent="0.2"/>
  <cols>
    <col min="1" max="1" width="1.5703125" style="244" customWidth="1"/>
    <col min="2" max="3" width="1.42578125" style="244" customWidth="1"/>
    <col min="4" max="4" width="3.5703125" style="244" customWidth="1"/>
    <col min="5" max="7" width="11.5703125" style="244"/>
    <col min="8" max="8" width="10.42578125" style="244" customWidth="1"/>
    <col min="9" max="9" width="6.5703125" style="244" customWidth="1"/>
    <col min="10" max="10" width="13.42578125" style="244" customWidth="1"/>
    <col min="11" max="11" width="6.5703125" style="244" customWidth="1"/>
    <col min="12" max="12" width="16" style="244" customWidth="1"/>
    <col min="13" max="13" width="2" style="244" customWidth="1"/>
    <col min="14" max="14" width="1.7109375" style="244" customWidth="1"/>
    <col min="15" max="16" width="11.5703125" style="244"/>
    <col min="17" max="17" width="46.140625" style="244" customWidth="1"/>
    <col min="18" max="18" width="78.42578125" style="244" hidden="1" customWidth="1"/>
    <col min="19" max="16384" width="11.5703125" style="244"/>
  </cols>
  <sheetData>
    <row r="1" spans="1:17" ht="5.0999999999999996" customHeight="1" x14ac:dyDescent="0.2"/>
    <row r="2" spans="1:17" ht="45" customHeight="1" x14ac:dyDescent="0.2">
      <c r="D2" s="390" t="s">
        <v>1034</v>
      </c>
      <c r="F2" s="390"/>
      <c r="G2" s="320"/>
      <c r="H2" s="319"/>
      <c r="I2" s="319"/>
      <c r="J2" s="319"/>
      <c r="K2" s="319"/>
      <c r="L2" s="319"/>
    </row>
    <row r="3" spans="1:17" s="235" customFormat="1" ht="21" customHeight="1" x14ac:dyDescent="0.2">
      <c r="B3" s="236"/>
      <c r="D3" s="238" t="s">
        <v>945</v>
      </c>
      <c r="F3" s="238"/>
      <c r="H3" s="237"/>
      <c r="I3" s="237"/>
      <c r="J3" s="237"/>
      <c r="L3" s="237"/>
      <c r="M3" s="994" t="str">
        <f>CONCATENATE(LohntabelleM!G1," / ",LohntabelleM!I1)</f>
        <v>V6.0 / 2026</v>
      </c>
      <c r="N3" s="237"/>
      <c r="O3" s="237"/>
    </row>
    <row r="4" spans="1:17" ht="6.75" customHeight="1" x14ac:dyDescent="0.2">
      <c r="A4" s="239"/>
      <c r="B4" s="240"/>
      <c r="C4" s="240"/>
      <c r="D4" s="240"/>
      <c r="E4" s="240"/>
      <c r="F4" s="241"/>
      <c r="G4" s="240"/>
      <c r="H4" s="242"/>
      <c r="I4" s="242"/>
      <c r="J4" s="243"/>
      <c r="K4" s="242"/>
      <c r="L4" s="242"/>
      <c r="M4" s="242"/>
      <c r="O4" s="237"/>
    </row>
    <row r="5" spans="1:17" ht="6" customHeight="1" x14ac:dyDescent="0.2">
      <c r="A5" s="239"/>
      <c r="B5" s="240"/>
      <c r="C5" s="239"/>
      <c r="D5" s="239"/>
      <c r="E5" s="239"/>
      <c r="F5" s="318"/>
      <c r="G5" s="239"/>
      <c r="H5" s="245"/>
      <c r="I5" s="245"/>
      <c r="J5" s="246"/>
      <c r="K5" s="245"/>
      <c r="L5" s="245"/>
      <c r="M5" s="245"/>
      <c r="N5" s="245"/>
      <c r="O5" s="239"/>
    </row>
    <row r="6" spans="1:17" ht="5.0999999999999996" customHeight="1" x14ac:dyDescent="0.2">
      <c r="B6" s="240"/>
      <c r="D6" s="59"/>
      <c r="E6" s="315"/>
      <c r="F6" s="316"/>
      <c r="G6" s="317"/>
      <c r="H6" s="315"/>
      <c r="I6" s="315"/>
      <c r="J6" s="315"/>
      <c r="K6" s="315"/>
      <c r="L6" s="315"/>
      <c r="M6" s="60"/>
    </row>
    <row r="7" spans="1:17" x14ac:dyDescent="0.2">
      <c r="B7" s="240"/>
      <c r="D7" s="61"/>
      <c r="E7" s="318" t="s">
        <v>770</v>
      </c>
      <c r="F7" s="319"/>
      <c r="G7" s="320"/>
      <c r="H7" s="319"/>
      <c r="I7" s="319"/>
      <c r="J7" s="319"/>
      <c r="K7" s="319"/>
      <c r="L7" s="319"/>
      <c r="M7" s="62"/>
    </row>
    <row r="8" spans="1:17" x14ac:dyDescent="0.2">
      <c r="B8" s="240"/>
      <c r="D8" s="61"/>
      <c r="E8" s="245"/>
      <c r="F8" s="245"/>
      <c r="G8" s="246"/>
      <c r="H8" s="245"/>
      <c r="I8" s="245"/>
      <c r="J8" s="245"/>
      <c r="K8" s="245"/>
      <c r="L8" s="245"/>
      <c r="M8" s="62"/>
    </row>
    <row r="9" spans="1:17" x14ac:dyDescent="0.2">
      <c r="B9" s="240"/>
      <c r="D9" s="61"/>
      <c r="E9" s="245" t="s">
        <v>967</v>
      </c>
      <c r="F9" s="245"/>
      <c r="G9" s="1006" t="str">
        <f>IF(MAAnrede&lt;&gt;"",MAAnrede,"")</f>
        <v/>
      </c>
      <c r="H9" s="245"/>
      <c r="I9" s="255"/>
      <c r="J9" s="245"/>
      <c r="K9" s="245"/>
      <c r="L9" s="245"/>
      <c r="M9" s="62"/>
    </row>
    <row r="10" spans="1:17" x14ac:dyDescent="0.2">
      <c r="B10" s="240"/>
      <c r="D10" s="61"/>
      <c r="E10" s="245"/>
      <c r="F10" s="245"/>
      <c r="G10" s="246"/>
      <c r="H10" s="245"/>
      <c r="I10" s="245"/>
      <c r="J10" s="245"/>
      <c r="K10" s="245"/>
      <c r="L10" s="245"/>
      <c r="M10" s="62"/>
    </row>
    <row r="11" spans="1:17" ht="12.6" customHeight="1" x14ac:dyDescent="0.2">
      <c r="B11" s="240"/>
      <c r="D11" s="61"/>
      <c r="E11" s="245" t="s">
        <v>756</v>
      </c>
      <c r="F11" s="245"/>
      <c r="G11" s="1181" t="str">
        <f>IF(MAName&lt;&gt;"",MAName,"")</f>
        <v/>
      </c>
      <c r="H11" s="1181"/>
      <c r="I11" s="255"/>
      <c r="J11" s="245" t="s">
        <v>757</v>
      </c>
      <c r="K11" s="1181" t="str">
        <f>IF(MAVorname&lt;&gt;"",MAVorname,"")</f>
        <v/>
      </c>
      <c r="L11" s="1181"/>
      <c r="M11" s="62"/>
      <c r="O11" s="1149" t="s">
        <v>1029</v>
      </c>
      <c r="P11" s="1150"/>
      <c r="Q11" s="675"/>
    </row>
    <row r="12" spans="1:17" ht="12.6" customHeight="1" x14ac:dyDescent="0.2">
      <c r="B12" s="240"/>
      <c r="D12" s="61"/>
      <c r="M12" s="62"/>
      <c r="O12" s="1151"/>
      <c r="P12" s="1152"/>
      <c r="Q12" s="675"/>
    </row>
    <row r="13" spans="1:17" x14ac:dyDescent="0.2">
      <c r="B13" s="240"/>
      <c r="D13" s="61"/>
      <c r="E13" s="245" t="s">
        <v>964</v>
      </c>
      <c r="G13" s="1181" t="str">
        <f>IF(MAPersID&lt;&gt;"",MAPersID,"")</f>
        <v/>
      </c>
      <c r="H13" s="1181"/>
      <c r="I13" s="255"/>
      <c r="M13" s="62"/>
    </row>
    <row r="14" spans="1:17" x14ac:dyDescent="0.2">
      <c r="B14" s="240"/>
      <c r="D14" s="61"/>
      <c r="E14" s="245"/>
      <c r="F14" s="245"/>
      <c r="G14" s="246"/>
      <c r="H14" s="245"/>
      <c r="I14" s="245"/>
      <c r="J14" s="245"/>
      <c r="K14" s="245"/>
      <c r="L14" s="245"/>
      <c r="M14" s="62"/>
    </row>
    <row r="15" spans="1:17" x14ac:dyDescent="0.2">
      <c r="B15" s="240"/>
      <c r="D15" s="61"/>
      <c r="E15" s="245" t="s">
        <v>755</v>
      </c>
      <c r="F15" s="245"/>
      <c r="G15" s="1135"/>
      <c r="H15" s="1135"/>
      <c r="I15" s="1135"/>
      <c r="J15" s="1135"/>
      <c r="K15" s="1135"/>
      <c r="L15" s="1135"/>
      <c r="M15" s="62"/>
    </row>
    <row r="16" spans="1:17" x14ac:dyDescent="0.2">
      <c r="B16" s="240"/>
      <c r="D16" s="61"/>
      <c r="E16" s="245"/>
      <c r="F16" s="245"/>
      <c r="G16" s="246"/>
      <c r="H16" s="245"/>
      <c r="I16" s="245"/>
      <c r="J16" s="245"/>
      <c r="K16" s="245"/>
      <c r="L16" s="245"/>
      <c r="M16" s="62"/>
    </row>
    <row r="17" spans="2:13" x14ac:dyDescent="0.2">
      <c r="B17" s="240"/>
      <c r="D17" s="61"/>
      <c r="E17" s="245" t="s">
        <v>758</v>
      </c>
      <c r="F17" s="245"/>
      <c r="G17" s="215"/>
      <c r="H17" s="245"/>
      <c r="I17" s="245" t="s">
        <v>759</v>
      </c>
      <c r="J17" s="1135"/>
      <c r="K17" s="1135"/>
      <c r="L17" s="1135"/>
      <c r="M17" s="62"/>
    </row>
    <row r="18" spans="2:13" x14ac:dyDescent="0.2">
      <c r="B18" s="240"/>
      <c r="D18" s="61"/>
      <c r="E18" s="245"/>
      <c r="F18" s="245"/>
      <c r="G18" s="246"/>
      <c r="H18" s="245"/>
      <c r="I18" s="245"/>
      <c r="J18" s="245"/>
      <c r="K18" s="245"/>
      <c r="L18" s="246"/>
      <c r="M18" s="62"/>
    </row>
    <row r="19" spans="2:13" x14ac:dyDescent="0.2">
      <c r="B19" s="240"/>
      <c r="D19" s="61"/>
      <c r="E19" s="245" t="s">
        <v>760</v>
      </c>
      <c r="F19" s="245"/>
      <c r="G19" s="258" t="str">
        <f>IF(MAGeburtsdatum="","",MAGeburtsdatum)</f>
        <v/>
      </c>
      <c r="H19" s="245"/>
      <c r="I19" s="245"/>
      <c r="J19" s="245"/>
      <c r="K19" s="245"/>
      <c r="L19" s="245"/>
      <c r="M19" s="62"/>
    </row>
    <row r="20" spans="2:13" x14ac:dyDescent="0.2">
      <c r="B20" s="240"/>
      <c r="D20" s="61"/>
      <c r="E20" s="245"/>
      <c r="F20" s="245"/>
      <c r="G20" s="346"/>
      <c r="H20" s="245"/>
      <c r="I20" s="245"/>
      <c r="J20" s="245"/>
      <c r="K20" s="245"/>
      <c r="L20" s="245"/>
      <c r="M20" s="62"/>
    </row>
    <row r="21" spans="2:13" ht="12.6" customHeight="1" x14ac:dyDescent="0.2">
      <c r="B21" s="240"/>
      <c r="D21" s="61"/>
      <c r="E21" s="435" t="s">
        <v>825</v>
      </c>
      <c r="F21" s="1134" t="s">
        <v>1072</v>
      </c>
      <c r="G21" s="1134"/>
      <c r="H21" s="1134"/>
      <c r="I21" s="1134"/>
      <c r="J21" s="1134"/>
      <c r="K21" s="1134"/>
      <c r="L21" s="245"/>
      <c r="M21" s="62"/>
    </row>
    <row r="22" spans="2:13" ht="12.6" customHeight="1" x14ac:dyDescent="0.2">
      <c r="B22" s="240"/>
      <c r="D22" s="61"/>
      <c r="E22" s="435"/>
      <c r="F22" s="1134" t="s">
        <v>1070</v>
      </c>
      <c r="G22" s="1134"/>
      <c r="H22" s="1134"/>
      <c r="I22" s="1134"/>
      <c r="J22" s="1134"/>
      <c r="K22" s="1134"/>
      <c r="L22" s="1134"/>
      <c r="M22" s="62"/>
    </row>
    <row r="23" spans="2:13" ht="12.6" customHeight="1" x14ac:dyDescent="0.2">
      <c r="B23" s="240"/>
      <c r="D23" s="61"/>
      <c r="E23" s="435"/>
      <c r="F23" s="1134" t="s">
        <v>1071</v>
      </c>
      <c r="G23" s="1134"/>
      <c r="H23" s="1134"/>
      <c r="I23" s="1134"/>
      <c r="J23" s="1134"/>
      <c r="K23" s="557"/>
      <c r="L23" s="245"/>
      <c r="M23" s="62"/>
    </row>
    <row r="24" spans="2:13" ht="12.6" customHeight="1" x14ac:dyDescent="0.2">
      <c r="B24" s="240"/>
      <c r="D24" s="61"/>
      <c r="E24" s="435"/>
      <c r="F24" s="1134" t="s">
        <v>1073</v>
      </c>
      <c r="G24" s="1134"/>
      <c r="H24" s="557"/>
      <c r="I24" s="557"/>
      <c r="J24" s="557"/>
      <c r="K24" s="557"/>
      <c r="L24" s="245"/>
      <c r="M24" s="62"/>
    </row>
    <row r="25" spans="2:13" ht="6.95" customHeight="1" x14ac:dyDescent="0.2">
      <c r="B25" s="240"/>
      <c r="D25" s="63"/>
      <c r="E25" s="64"/>
      <c r="F25" s="64"/>
      <c r="G25" s="64"/>
      <c r="H25" s="64"/>
      <c r="I25" s="64"/>
      <c r="J25" s="64"/>
      <c r="K25" s="64"/>
      <c r="L25" s="391"/>
      <c r="M25" s="66"/>
    </row>
    <row r="26" spans="2:13" ht="6" customHeight="1" x14ac:dyDescent="0.2">
      <c r="B26" s="240"/>
      <c r="E26" s="245"/>
      <c r="F26" s="245"/>
      <c r="G26" s="246"/>
      <c r="H26" s="245"/>
      <c r="I26" s="245"/>
      <c r="J26" s="245"/>
      <c r="K26" s="245"/>
      <c r="L26" s="245"/>
    </row>
    <row r="27" spans="2:13" ht="5.0999999999999996" customHeight="1" x14ac:dyDescent="0.2">
      <c r="B27" s="240"/>
      <c r="D27" s="59"/>
      <c r="E27" s="269"/>
      <c r="F27" s="269"/>
      <c r="G27" s="270"/>
      <c r="H27" s="269"/>
      <c r="I27" s="269"/>
      <c r="J27" s="269"/>
      <c r="K27" s="269"/>
      <c r="L27" s="269"/>
      <c r="M27" s="60"/>
    </row>
    <row r="28" spans="2:13" ht="13.35" customHeight="1" x14ac:dyDescent="0.2">
      <c r="B28" s="240"/>
      <c r="D28" s="61"/>
      <c r="E28" s="318" t="s">
        <v>931</v>
      </c>
      <c r="F28" s="245"/>
      <c r="G28" s="246"/>
      <c r="H28" s="245"/>
      <c r="I28" s="245"/>
      <c r="J28" s="245"/>
      <c r="K28" s="245"/>
      <c r="L28" s="245"/>
      <c r="M28" s="62"/>
    </row>
    <row r="29" spans="2:13" ht="13.35" customHeight="1" x14ac:dyDescent="0.2">
      <c r="B29" s="240"/>
      <c r="D29" s="61"/>
      <c r="E29" s="245"/>
      <c r="F29" s="245"/>
      <c r="G29" s="246"/>
      <c r="H29" s="245"/>
      <c r="I29" s="245"/>
      <c r="J29" s="245"/>
      <c r="K29" s="245"/>
      <c r="L29" s="245"/>
      <c r="M29" s="62"/>
    </row>
    <row r="30" spans="2:13" ht="13.35" customHeight="1" x14ac:dyDescent="0.2">
      <c r="B30" s="240"/>
      <c r="D30" s="61"/>
      <c r="E30" s="245" t="s">
        <v>821</v>
      </c>
      <c r="F30" s="245"/>
      <c r="G30" s="1007"/>
      <c r="H30" s="1186" t="s">
        <v>826</v>
      </c>
      <c r="I30" s="1186"/>
      <c r="J30" s="1137"/>
      <c r="K30" s="1137"/>
      <c r="L30" s="1137"/>
      <c r="M30" s="62"/>
    </row>
    <row r="31" spans="2:13" ht="13.35" customHeight="1" x14ac:dyDescent="0.2">
      <c r="B31" s="240"/>
      <c r="D31" s="61"/>
      <c r="E31" s="319"/>
      <c r="F31" s="337"/>
      <c r="G31" s="320"/>
      <c r="H31" s="319"/>
      <c r="I31" s="319"/>
      <c r="K31" s="319"/>
      <c r="L31" s="319"/>
      <c r="M31" s="62"/>
    </row>
    <row r="32" spans="2:13" ht="13.35" customHeight="1" x14ac:dyDescent="0.2">
      <c r="B32" s="240"/>
      <c r="D32" s="61"/>
      <c r="E32" s="245" t="s">
        <v>988</v>
      </c>
      <c r="F32" s="245"/>
      <c r="G32" s="1182"/>
      <c r="H32" s="1182"/>
      <c r="I32" s="245"/>
      <c r="J32" s="1178" t="s">
        <v>1130</v>
      </c>
      <c r="K32" s="1178"/>
      <c r="L32" s="1178"/>
      <c r="M32" s="62"/>
    </row>
    <row r="33" spans="2:13" ht="13.35" customHeight="1" x14ac:dyDescent="0.2">
      <c r="B33" s="240"/>
      <c r="D33" s="61"/>
      <c r="E33" s="319"/>
      <c r="F33" s="337"/>
      <c r="G33" s="320"/>
      <c r="H33" s="319"/>
      <c r="I33" s="319"/>
      <c r="J33" s="338"/>
      <c r="K33" s="319"/>
      <c r="L33" s="319"/>
      <c r="M33" s="62"/>
    </row>
    <row r="34" spans="2:13" ht="13.35" customHeight="1" x14ac:dyDescent="0.2">
      <c r="B34" s="240"/>
      <c r="D34" s="61"/>
      <c r="E34" s="335" t="s">
        <v>990</v>
      </c>
      <c r="F34" s="246"/>
      <c r="G34" s="233"/>
      <c r="H34" s="1183" t="s">
        <v>989</v>
      </c>
      <c r="I34" s="1183"/>
      <c r="J34" s="1184"/>
      <c r="K34" s="1184"/>
      <c r="L34" s="1184"/>
      <c r="M34" s="989">
        <f>IF(AND(G34&lt;&gt;"",J34=""),1,0)</f>
        <v>0</v>
      </c>
    </row>
    <row r="35" spans="2:13" ht="13.35" customHeight="1" x14ac:dyDescent="0.2">
      <c r="B35" s="240"/>
      <c r="D35" s="61"/>
      <c r="E35" s="319"/>
      <c r="F35" s="319"/>
      <c r="G35" s="319"/>
      <c r="H35" s="319"/>
      <c r="I35" s="319"/>
      <c r="J35" s="1180" t="str">
        <f>IF(M34=1,"(Befristungsgrund zwingend angeben)","")</f>
        <v/>
      </c>
      <c r="K35" s="1180"/>
      <c r="L35" s="1180"/>
      <c r="M35" s="62"/>
    </row>
    <row r="36" spans="2:13" ht="13.35" customHeight="1" x14ac:dyDescent="0.2">
      <c r="B36" s="240"/>
      <c r="D36" s="61"/>
      <c r="E36" s="1177" t="s">
        <v>2015</v>
      </c>
      <c r="F36" s="1177"/>
      <c r="G36" s="1135"/>
      <c r="H36" s="1135"/>
      <c r="I36" s="1179" t="s">
        <v>930</v>
      </c>
      <c r="J36" s="1179"/>
      <c r="K36" s="1135"/>
      <c r="L36" s="1135"/>
      <c r="M36" s="62"/>
    </row>
    <row r="37" spans="2:13" ht="13.35" customHeight="1" x14ac:dyDescent="0.2">
      <c r="B37" s="240"/>
      <c r="D37" s="61"/>
      <c r="E37" s="949" t="s">
        <v>2004</v>
      </c>
      <c r="F37" s="245"/>
      <c r="G37" s="246"/>
      <c r="H37" s="245"/>
      <c r="I37" s="340"/>
      <c r="K37" s="245"/>
      <c r="L37" s="245"/>
      <c r="M37" s="62"/>
    </row>
    <row r="38" spans="2:13" ht="13.35" customHeight="1" x14ac:dyDescent="0.2">
      <c r="B38" s="240"/>
      <c r="D38" s="61"/>
      <c r="E38" s="245" t="s">
        <v>1035</v>
      </c>
      <c r="F38" s="245"/>
      <c r="G38" s="1135"/>
      <c r="H38" s="1135"/>
      <c r="I38" s="668" t="s">
        <v>827</v>
      </c>
      <c r="J38" s="668"/>
      <c r="L38" s="1010"/>
      <c r="M38" s="62"/>
    </row>
    <row r="39" spans="2:13" ht="13.35" customHeight="1" x14ac:dyDescent="0.2">
      <c r="B39" s="240"/>
      <c r="D39" s="61"/>
      <c r="E39" s="245"/>
      <c r="F39" s="245"/>
      <c r="G39" s="246"/>
      <c r="H39" s="245"/>
      <c r="I39" s="245"/>
      <c r="J39" s="245"/>
      <c r="K39" s="245"/>
      <c r="L39" s="245"/>
      <c r="M39" s="62"/>
    </row>
    <row r="40" spans="2:13" ht="13.35" customHeight="1" x14ac:dyDescent="0.2">
      <c r="B40" s="240"/>
      <c r="D40" s="61"/>
      <c r="E40" s="245"/>
      <c r="F40" s="685" t="s">
        <v>828</v>
      </c>
      <c r="H40" s="458">
        <f>SUM(L38:L38)</f>
        <v>0</v>
      </c>
      <c r="I40" s="668" t="s">
        <v>823</v>
      </c>
      <c r="K40" s="245"/>
      <c r="L40" s="245"/>
      <c r="M40" s="62"/>
    </row>
    <row r="41" spans="2:13" ht="13.35" customHeight="1" x14ac:dyDescent="0.2">
      <c r="B41" s="240"/>
      <c r="D41" s="61"/>
      <c r="E41" s="245"/>
      <c r="F41" s="245"/>
      <c r="G41" s="246"/>
      <c r="H41" s="245"/>
      <c r="I41" s="245"/>
      <c r="J41" s="245"/>
      <c r="K41" s="245"/>
      <c r="L41" s="245"/>
      <c r="M41" s="62"/>
    </row>
    <row r="42" spans="2:13" ht="13.35" customHeight="1" x14ac:dyDescent="0.2">
      <c r="B42" s="240"/>
      <c r="D42" s="61"/>
      <c r="E42" s="245"/>
      <c r="F42" s="343"/>
      <c r="G42" s="245" t="s">
        <v>822</v>
      </c>
      <c r="H42" s="344"/>
      <c r="I42" s="344"/>
      <c r="J42" s="1021"/>
      <c r="K42" s="246" t="s">
        <v>7</v>
      </c>
      <c r="L42" s="1001"/>
      <c r="M42" s="62"/>
    </row>
    <row r="43" spans="2:13" ht="13.35" customHeight="1" x14ac:dyDescent="0.2">
      <c r="B43" s="240"/>
      <c r="D43" s="61"/>
      <c r="E43" s="239"/>
      <c r="F43" s="239"/>
      <c r="G43" s="345" t="s">
        <v>824</v>
      </c>
      <c r="H43" s="346"/>
      <c r="I43" s="346"/>
      <c r="J43" s="346"/>
      <c r="K43" s="280"/>
      <c r="L43" s="346"/>
      <c r="M43" s="62"/>
    </row>
    <row r="44" spans="2:13" ht="13.35" customHeight="1" x14ac:dyDescent="0.2">
      <c r="B44" s="240"/>
      <c r="D44" s="63"/>
      <c r="E44" s="348"/>
      <c r="F44" s="348"/>
      <c r="G44" s="374"/>
      <c r="H44" s="348"/>
      <c r="I44" s="348"/>
      <c r="J44" s="348"/>
      <c r="K44" s="348"/>
      <c r="L44" s="348"/>
      <c r="M44" s="66"/>
    </row>
    <row r="45" spans="2:13" ht="6" customHeight="1" x14ac:dyDescent="0.2">
      <c r="B45" s="240"/>
      <c r="E45" s="239"/>
      <c r="F45" s="239"/>
      <c r="G45" s="280"/>
      <c r="H45" s="239"/>
      <c r="I45" s="239"/>
      <c r="J45" s="239"/>
      <c r="K45" s="239"/>
      <c r="L45" s="239"/>
    </row>
    <row r="46" spans="2:13" ht="5.0999999999999996" customHeight="1" x14ac:dyDescent="0.2">
      <c r="B46" s="240"/>
      <c r="D46" s="59"/>
      <c r="E46" s="67"/>
      <c r="F46" s="67"/>
      <c r="G46" s="68"/>
      <c r="H46" s="67"/>
      <c r="I46" s="67"/>
      <c r="J46" s="67"/>
      <c r="K46" s="67"/>
      <c r="L46" s="67"/>
      <c r="M46" s="60"/>
    </row>
    <row r="47" spans="2:13" x14ac:dyDescent="0.2">
      <c r="B47" s="240"/>
      <c r="D47" s="61"/>
      <c r="E47" s="1165" t="s">
        <v>972</v>
      </c>
      <c r="F47" s="1165"/>
      <c r="G47" s="1165"/>
      <c r="H47" s="319"/>
      <c r="I47" s="319"/>
      <c r="J47" s="319"/>
      <c r="K47" s="319"/>
      <c r="L47" s="319"/>
      <c r="M47" s="62"/>
    </row>
    <row r="48" spans="2:13" x14ac:dyDescent="0.2">
      <c r="B48" s="240"/>
      <c r="D48" s="61"/>
      <c r="E48" s="245"/>
      <c r="F48" s="245"/>
      <c r="G48" s="246"/>
      <c r="H48" s="245"/>
      <c r="I48" s="245"/>
      <c r="J48" s="245"/>
      <c r="K48" s="245"/>
      <c r="L48" s="245"/>
      <c r="M48" s="62"/>
    </row>
    <row r="49" spans="2:18" x14ac:dyDescent="0.2">
      <c r="B49" s="240"/>
      <c r="D49" s="61"/>
      <c r="E49" s="1136"/>
      <c r="F49" s="1136"/>
      <c r="G49" s="1136"/>
      <c r="H49" s="1136"/>
      <c r="I49" s="1136"/>
      <c r="J49" s="1136"/>
      <c r="K49" s="1136"/>
      <c r="L49" s="1136"/>
      <c r="M49" s="62"/>
    </row>
    <row r="50" spans="2:18" x14ac:dyDescent="0.2">
      <c r="B50" s="240"/>
      <c r="D50" s="61"/>
      <c r="E50" s="1136"/>
      <c r="F50" s="1136"/>
      <c r="G50" s="1136"/>
      <c r="H50" s="1136"/>
      <c r="I50" s="1136"/>
      <c r="J50" s="1136"/>
      <c r="K50" s="1136"/>
      <c r="L50" s="1136"/>
      <c r="M50" s="62"/>
    </row>
    <row r="51" spans="2:18" x14ac:dyDescent="0.2">
      <c r="B51" s="240"/>
      <c r="D51" s="61"/>
      <c r="E51" s="1136"/>
      <c r="F51" s="1136"/>
      <c r="G51" s="1136"/>
      <c r="H51" s="1136"/>
      <c r="I51" s="1136"/>
      <c r="J51" s="1136"/>
      <c r="K51" s="1136"/>
      <c r="L51" s="1136"/>
      <c r="M51" s="62"/>
      <c r="R51" s="349">
        <f>E51</f>
        <v>0</v>
      </c>
    </row>
    <row r="52" spans="2:18" x14ac:dyDescent="0.2">
      <c r="B52" s="240"/>
      <c r="C52" s="239"/>
      <c r="D52" s="61"/>
      <c r="E52" s="561"/>
      <c r="F52" s="432"/>
      <c r="G52" s="432"/>
      <c r="H52" s="432"/>
      <c r="I52" s="432"/>
      <c r="J52" s="432"/>
      <c r="K52" s="549"/>
      <c r="L52" s="549"/>
      <c r="M52" s="62"/>
    </row>
    <row r="53" spans="2:18" x14ac:dyDescent="0.2">
      <c r="B53" s="240"/>
      <c r="C53" s="235"/>
      <c r="D53" s="61"/>
      <c r="H53" s="1140" t="s">
        <v>1122</v>
      </c>
      <c r="I53" s="1140"/>
      <c r="J53" s="1140"/>
      <c r="K53" s="1140"/>
      <c r="L53" s="1004"/>
      <c r="M53" s="62"/>
    </row>
    <row r="54" spans="2:18" ht="7.15" customHeight="1" x14ac:dyDescent="0.2">
      <c r="B54" s="240"/>
      <c r="D54" s="63"/>
      <c r="E54" s="64"/>
      <c r="F54" s="64"/>
      <c r="G54" s="65"/>
      <c r="H54" s="64"/>
      <c r="I54" s="64"/>
      <c r="J54" s="64"/>
      <c r="K54" s="64"/>
      <c r="L54" s="64"/>
      <c r="M54" s="66"/>
    </row>
    <row r="55" spans="2:18" ht="6" customHeight="1" x14ac:dyDescent="0.2">
      <c r="E55" s="245"/>
      <c r="F55" s="245"/>
      <c r="G55" s="246"/>
      <c r="H55" s="245"/>
      <c r="I55" s="245"/>
      <c r="J55" s="245"/>
      <c r="K55" s="245"/>
      <c r="L55" s="245"/>
    </row>
    <row r="56" spans="2:18" x14ac:dyDescent="0.2">
      <c r="D56" s="318" t="s">
        <v>1221</v>
      </c>
      <c r="F56" s="245"/>
      <c r="G56" s="246"/>
      <c r="H56" s="245"/>
      <c r="I56" s="245"/>
      <c r="J56" s="245"/>
      <c r="K56" s="245"/>
      <c r="L56" s="245"/>
    </row>
    <row r="57" spans="2:18" ht="3.75" customHeight="1" x14ac:dyDescent="0.2">
      <c r="D57" s="318"/>
      <c r="F57" s="245"/>
      <c r="G57" s="246"/>
      <c r="H57" s="245"/>
      <c r="I57" s="245"/>
      <c r="J57" s="245"/>
      <c r="K57" s="245"/>
      <c r="L57" s="245"/>
    </row>
    <row r="58" spans="2:18" ht="6.75" customHeight="1" x14ac:dyDescent="0.2">
      <c r="B58" s="240"/>
      <c r="C58" s="240"/>
      <c r="D58" s="240"/>
      <c r="E58" s="240"/>
      <c r="F58" s="240"/>
      <c r="G58" s="240"/>
      <c r="H58" s="240"/>
      <c r="I58" s="240"/>
      <c r="J58" s="240"/>
      <c r="K58" s="240"/>
      <c r="L58" s="240"/>
      <c r="M58" s="240"/>
      <c r="O58" s="1161" t="s">
        <v>2000</v>
      </c>
      <c r="P58" s="1161"/>
      <c r="Q58" s="1161"/>
    </row>
    <row r="59" spans="2:18" ht="6" customHeight="1" x14ac:dyDescent="0.2">
      <c r="B59" s="240"/>
      <c r="E59" s="245"/>
      <c r="F59" s="245"/>
      <c r="G59" s="246"/>
      <c r="H59" s="245"/>
      <c r="I59" s="245"/>
      <c r="J59" s="245"/>
      <c r="K59" s="245"/>
      <c r="L59" s="245"/>
      <c r="O59" s="1161"/>
      <c r="P59" s="1161"/>
      <c r="Q59" s="1161"/>
    </row>
    <row r="60" spans="2:18" ht="5.0999999999999996" customHeight="1" x14ac:dyDescent="0.2">
      <c r="B60" s="240"/>
      <c r="D60" s="59"/>
      <c r="E60" s="269"/>
      <c r="F60" s="269"/>
      <c r="G60" s="270"/>
      <c r="H60" s="269"/>
      <c r="I60" s="269"/>
      <c r="J60" s="269"/>
      <c r="K60" s="269"/>
      <c r="L60" s="269"/>
      <c r="M60" s="271"/>
      <c r="O60" s="1161"/>
      <c r="P60" s="1161"/>
      <c r="Q60" s="1161"/>
    </row>
    <row r="61" spans="2:18" x14ac:dyDescent="0.2">
      <c r="B61" s="240"/>
      <c r="D61" s="61"/>
      <c r="E61" s="272" t="s">
        <v>941</v>
      </c>
      <c r="F61" s="319"/>
      <c r="G61" s="320"/>
      <c r="H61" s="319"/>
      <c r="I61" s="319"/>
      <c r="J61" s="319"/>
      <c r="K61" s="319"/>
      <c r="L61" s="319"/>
      <c r="M61" s="62"/>
      <c r="O61" s="1161"/>
      <c r="P61" s="1161"/>
      <c r="Q61" s="1161"/>
    </row>
    <row r="62" spans="2:18" x14ac:dyDescent="0.2">
      <c r="B62" s="240"/>
      <c r="D62" s="61"/>
      <c r="E62" s="245"/>
      <c r="F62" s="245"/>
      <c r="G62" s="246"/>
      <c r="H62" s="245"/>
      <c r="I62" s="245"/>
      <c r="J62" s="245"/>
      <c r="K62" s="245"/>
      <c r="L62" s="245"/>
      <c r="M62" s="62"/>
      <c r="O62" s="1161"/>
      <c r="P62" s="1161"/>
      <c r="Q62" s="1161"/>
    </row>
    <row r="63" spans="2:18" x14ac:dyDescent="0.2">
      <c r="B63" s="240"/>
      <c r="D63" s="61"/>
      <c r="E63" s="245" t="s">
        <v>955</v>
      </c>
      <c r="F63" s="319"/>
      <c r="G63" s="1007"/>
      <c r="H63" s="245"/>
      <c r="J63" s="245" t="s">
        <v>971</v>
      </c>
      <c r="K63" s="1166"/>
      <c r="L63" s="1166"/>
      <c r="M63" s="62"/>
      <c r="O63" s="1161"/>
      <c r="P63" s="1161"/>
      <c r="Q63" s="1161"/>
    </row>
    <row r="64" spans="2:18" x14ac:dyDescent="0.2">
      <c r="B64" s="240"/>
      <c r="D64" s="61"/>
      <c r="E64" s="344" t="s">
        <v>956</v>
      </c>
      <c r="F64" s="319"/>
      <c r="G64" s="319"/>
      <c r="H64" s="245"/>
      <c r="K64" s="245"/>
      <c r="L64" s="246"/>
      <c r="M64" s="62"/>
      <c r="O64" s="1161"/>
      <c r="P64" s="1161"/>
      <c r="Q64" s="1161"/>
    </row>
    <row r="65" spans="2:18" x14ac:dyDescent="0.2">
      <c r="B65" s="240"/>
      <c r="D65" s="61"/>
      <c r="H65" s="245"/>
      <c r="M65" s="62"/>
      <c r="O65" s="1161"/>
      <c r="P65" s="1161"/>
      <c r="Q65" s="1161"/>
    </row>
    <row r="66" spans="2:18" x14ac:dyDescent="0.2">
      <c r="B66" s="240"/>
      <c r="D66" s="61"/>
      <c r="E66" s="976" t="s">
        <v>996</v>
      </c>
      <c r="G66" s="1006" t="str">
        <f>IF(MULohnberechnung&lt;&gt;"",MULohnberechnung,"")</f>
        <v/>
      </c>
      <c r="H66" s="733" t="s">
        <v>998</v>
      </c>
      <c r="I66" s="668" t="s">
        <v>1032</v>
      </c>
      <c r="K66" s="245"/>
      <c r="L66" s="1005"/>
      <c r="M66" s="62"/>
      <c r="O66" s="1161"/>
      <c r="P66" s="1161"/>
      <c r="Q66" s="1161"/>
    </row>
    <row r="67" spans="2:18" x14ac:dyDescent="0.2">
      <c r="B67" s="240"/>
      <c r="D67" s="61"/>
      <c r="E67" s="245"/>
      <c r="F67" s="245"/>
      <c r="G67" s="246"/>
      <c r="H67" s="245"/>
      <c r="I67" s="245"/>
      <c r="J67" s="245"/>
      <c r="K67" s="245"/>
      <c r="L67" s="245"/>
      <c r="M67" s="62"/>
      <c r="O67" s="1161"/>
      <c r="P67" s="1161"/>
      <c r="Q67" s="1161"/>
    </row>
    <row r="68" spans="2:18" x14ac:dyDescent="0.2">
      <c r="B68" s="240"/>
      <c r="D68" s="61"/>
      <c r="E68" s="245" t="s">
        <v>966</v>
      </c>
      <c r="F68" s="245"/>
      <c r="G68" s="1005"/>
      <c r="H68" s="1142" t="s">
        <v>1069</v>
      </c>
      <c r="I68" s="1142"/>
      <c r="J68" s="1141" t="str">
        <f>_xlfn.IFNA(VLOOKUP(G68,Stammdaten_DropDown!$B$14:$C$55,2,FALSE),"")</f>
        <v/>
      </c>
      <c r="K68" s="1141"/>
      <c r="L68" s="1141"/>
      <c r="M68" s="266"/>
      <c r="O68" s="1161"/>
      <c r="P68" s="1161"/>
      <c r="Q68" s="1161"/>
    </row>
    <row r="69" spans="2:18" x14ac:dyDescent="0.2">
      <c r="B69" s="240"/>
      <c r="D69" s="61"/>
      <c r="E69" s="245"/>
      <c r="F69" s="245"/>
      <c r="G69" s="234"/>
      <c r="H69" s="234"/>
      <c r="I69" s="234"/>
      <c r="J69" s="857"/>
      <c r="K69" s="857"/>
      <c r="L69" s="857"/>
      <c r="M69" s="266"/>
      <c r="O69" s="1161"/>
      <c r="P69" s="1161"/>
      <c r="Q69" s="1161"/>
    </row>
    <row r="70" spans="2:18" x14ac:dyDescent="0.2">
      <c r="B70" s="240"/>
      <c r="D70" s="61"/>
      <c r="E70" s="245" t="s">
        <v>1982</v>
      </c>
      <c r="F70" s="245"/>
      <c r="G70" s="234"/>
      <c r="H70" s="1135"/>
      <c r="I70" s="1135"/>
      <c r="J70" s="1135"/>
      <c r="K70" s="1135"/>
      <c r="L70" s="1135"/>
      <c r="M70" s="266"/>
      <c r="O70" s="1161"/>
      <c r="P70" s="1161"/>
      <c r="Q70" s="1161"/>
    </row>
    <row r="71" spans="2:18" x14ac:dyDescent="0.2">
      <c r="B71" s="240"/>
      <c r="D71" s="61"/>
      <c r="E71" s="986" t="s">
        <v>2023</v>
      </c>
      <c r="F71" s="245"/>
      <c r="H71" s="245"/>
      <c r="I71" s="245"/>
      <c r="J71" s="245"/>
      <c r="K71" s="278"/>
      <c r="L71" s="245"/>
      <c r="M71" s="266"/>
      <c r="O71" s="1161"/>
      <c r="P71" s="1161"/>
      <c r="Q71" s="1161"/>
    </row>
    <row r="72" spans="2:18" x14ac:dyDescent="0.2">
      <c r="B72" s="240"/>
      <c r="D72" s="61"/>
      <c r="E72" s="1164" t="s">
        <v>946</v>
      </c>
      <c r="F72" s="1164"/>
      <c r="G72" s="1135"/>
      <c r="H72" s="1135"/>
      <c r="I72" s="1135"/>
      <c r="J72" s="1135"/>
      <c r="K72" s="1135"/>
      <c r="L72" s="1135"/>
      <c r="M72" s="62"/>
      <c r="O72" s="1161"/>
      <c r="P72" s="1161"/>
      <c r="Q72" s="1161"/>
    </row>
    <row r="73" spans="2:18" x14ac:dyDescent="0.2">
      <c r="B73" s="240"/>
      <c r="D73" s="63"/>
      <c r="E73" s="267"/>
      <c r="F73" s="267"/>
      <c r="G73" s="267"/>
      <c r="H73" s="267"/>
      <c r="I73" s="267"/>
      <c r="J73" s="267"/>
      <c r="K73" s="267"/>
      <c r="L73" s="267"/>
      <c r="M73" s="66"/>
      <c r="O73" s="1161"/>
      <c r="P73" s="1161"/>
      <c r="Q73" s="1161"/>
    </row>
    <row r="74" spans="2:18" ht="6" customHeight="1" x14ac:dyDescent="0.2">
      <c r="B74" s="240"/>
      <c r="E74" s="268"/>
      <c r="F74" s="268"/>
      <c r="G74" s="268"/>
      <c r="H74" s="268"/>
      <c r="I74" s="268"/>
      <c r="J74" s="268"/>
      <c r="K74" s="268"/>
      <c r="L74" s="268"/>
      <c r="O74" s="1161"/>
      <c r="P74" s="1161"/>
      <c r="Q74" s="1161"/>
    </row>
    <row r="75" spans="2:18" ht="5.0999999999999996" customHeight="1" x14ac:dyDescent="0.2">
      <c r="B75" s="240"/>
      <c r="D75" s="59"/>
      <c r="E75" s="67"/>
      <c r="F75" s="67"/>
      <c r="G75" s="68"/>
      <c r="H75" s="67"/>
      <c r="I75" s="67"/>
      <c r="J75" s="67"/>
      <c r="K75" s="67"/>
      <c r="L75" s="67"/>
      <c r="M75" s="60"/>
      <c r="O75" s="1161"/>
      <c r="P75" s="1161"/>
      <c r="Q75" s="1161"/>
    </row>
    <row r="76" spans="2:18" x14ac:dyDescent="0.2">
      <c r="B76" s="240"/>
      <c r="D76" s="61"/>
      <c r="E76" s="1165" t="s">
        <v>978</v>
      </c>
      <c r="F76" s="1165"/>
      <c r="G76" s="1165"/>
      <c r="H76" s="1165"/>
      <c r="I76" s="1165"/>
      <c r="J76" s="1165"/>
      <c r="K76" s="1165"/>
      <c r="L76" s="319"/>
      <c r="M76" s="62"/>
      <c r="O76" s="1161"/>
      <c r="P76" s="1161"/>
      <c r="Q76" s="1161"/>
    </row>
    <row r="77" spans="2:18" x14ac:dyDescent="0.2">
      <c r="B77" s="240"/>
      <c r="D77" s="61"/>
      <c r="E77" s="245"/>
      <c r="F77" s="245"/>
      <c r="G77" s="246"/>
      <c r="H77" s="245"/>
      <c r="I77" s="245"/>
      <c r="J77" s="245"/>
      <c r="K77" s="245"/>
      <c r="L77" s="245"/>
      <c r="M77" s="62"/>
      <c r="O77" s="1161"/>
      <c r="P77" s="1161"/>
      <c r="Q77" s="1161"/>
      <c r="R77" s="244" t="s">
        <v>1036</v>
      </c>
    </row>
    <row r="78" spans="2:18" x14ac:dyDescent="0.2">
      <c r="B78" s="240"/>
      <c r="D78" s="61"/>
      <c r="E78" s="1136"/>
      <c r="F78" s="1136"/>
      <c r="G78" s="1136"/>
      <c r="H78" s="1136"/>
      <c r="I78" s="1136"/>
      <c r="J78" s="1136"/>
      <c r="K78" s="1136"/>
      <c r="L78" s="1136"/>
      <c r="M78" s="62"/>
      <c r="O78" s="1161"/>
      <c r="P78" s="1161"/>
      <c r="Q78" s="1161"/>
    </row>
    <row r="79" spans="2:18" x14ac:dyDescent="0.2">
      <c r="B79" s="240"/>
      <c r="D79" s="61"/>
      <c r="E79" s="1136"/>
      <c r="F79" s="1136"/>
      <c r="G79" s="1136"/>
      <c r="H79" s="1136"/>
      <c r="I79" s="1136"/>
      <c r="J79" s="1136"/>
      <c r="K79" s="1136"/>
      <c r="L79" s="1136"/>
      <c r="M79" s="62"/>
      <c r="O79" s="1161"/>
      <c r="P79" s="1161"/>
      <c r="Q79" s="1161"/>
    </row>
    <row r="80" spans="2:18" x14ac:dyDescent="0.2">
      <c r="B80" s="240"/>
      <c r="D80" s="61"/>
      <c r="E80" s="1136"/>
      <c r="F80" s="1136"/>
      <c r="G80" s="1136"/>
      <c r="H80" s="1136"/>
      <c r="I80" s="1136"/>
      <c r="J80" s="1136"/>
      <c r="K80" s="1136"/>
      <c r="L80" s="1136"/>
      <c r="M80" s="62"/>
      <c r="O80" s="1161"/>
      <c r="P80" s="1161"/>
      <c r="Q80" s="1161"/>
      <c r="R80" s="349">
        <f>E80</f>
        <v>0</v>
      </c>
    </row>
    <row r="81" spans="2:17" x14ac:dyDescent="0.2">
      <c r="B81" s="240"/>
      <c r="D81" s="63"/>
      <c r="E81" s="64"/>
      <c r="F81" s="64"/>
      <c r="G81" s="65"/>
      <c r="H81" s="64"/>
      <c r="I81" s="64"/>
      <c r="J81" s="64"/>
      <c r="K81" s="64"/>
      <c r="L81" s="64"/>
      <c r="M81" s="66"/>
      <c r="O81" s="1161"/>
      <c r="P81" s="1161"/>
      <c r="Q81" s="1161"/>
    </row>
    <row r="82" spans="2:17" ht="6" customHeight="1" x14ac:dyDescent="0.2">
      <c r="B82" s="240"/>
      <c r="E82" s="245"/>
      <c r="F82" s="245"/>
      <c r="G82" s="246"/>
      <c r="H82" s="245"/>
      <c r="I82" s="245"/>
      <c r="J82" s="245"/>
      <c r="K82" s="245"/>
      <c r="L82" s="245"/>
      <c r="O82" s="1161"/>
      <c r="P82" s="1161"/>
      <c r="Q82" s="1161"/>
    </row>
    <row r="83" spans="2:17" ht="5.0999999999999996" customHeight="1" x14ac:dyDescent="0.2">
      <c r="B83" s="240"/>
      <c r="D83" s="59"/>
      <c r="E83" s="67"/>
      <c r="F83" s="67"/>
      <c r="G83" s="68"/>
      <c r="H83" s="67"/>
      <c r="I83" s="67"/>
      <c r="J83" s="67"/>
      <c r="K83" s="67"/>
      <c r="L83" s="67"/>
      <c r="M83" s="203"/>
      <c r="O83" s="1161"/>
      <c r="P83" s="1161"/>
      <c r="Q83" s="1161"/>
    </row>
    <row r="84" spans="2:17" x14ac:dyDescent="0.2">
      <c r="B84" s="240"/>
      <c r="D84" s="61"/>
      <c r="E84" s="210" t="s">
        <v>929</v>
      </c>
      <c r="F84" s="210"/>
      <c r="G84" s="320"/>
      <c r="H84" s="319"/>
      <c r="I84" s="319"/>
      <c r="J84" s="319"/>
      <c r="K84" s="319"/>
      <c r="L84" s="319"/>
      <c r="M84" s="321"/>
      <c r="O84" s="1176" t="str">
        <f>Stammdaten_DropDown!A114</f>
        <v>Lohnentwicklung</v>
      </c>
      <c r="P84" s="1176"/>
      <c r="Q84" s="1176"/>
    </row>
    <row r="85" spans="2:17" ht="6" customHeight="1" x14ac:dyDescent="0.2">
      <c r="B85" s="240"/>
      <c r="D85" s="61"/>
      <c r="E85" s="245"/>
      <c r="F85" s="245"/>
      <c r="G85" s="246"/>
      <c r="H85" s="245"/>
      <c r="I85" s="245"/>
      <c r="J85" s="245"/>
      <c r="K85" s="245"/>
      <c r="L85" s="245"/>
      <c r="M85" s="266"/>
      <c r="O85" s="856"/>
    </row>
    <row r="86" spans="2:17" x14ac:dyDescent="0.2">
      <c r="B86" s="240"/>
      <c r="D86" s="61"/>
      <c r="E86" s="245" t="s">
        <v>940</v>
      </c>
      <c r="F86" s="245"/>
      <c r="G86" s="246"/>
      <c r="H86" s="245"/>
      <c r="I86" s="245"/>
      <c r="J86" s="245"/>
      <c r="K86" s="1166"/>
      <c r="L86" s="1166"/>
      <c r="M86" s="266"/>
      <c r="O86" s="1185" t="str">
        <f>Stammdaten_DropDown!A115</f>
        <v>Bitte angeben, ob eine individuelle Lohnentwicklung gewährt werden soll.</v>
      </c>
      <c r="P86" s="1185"/>
      <c r="Q86" s="1185"/>
    </row>
    <row r="87" spans="2:17" x14ac:dyDescent="0.2">
      <c r="B87" s="240"/>
      <c r="D87" s="61"/>
      <c r="E87" s="245"/>
      <c r="F87" s="245"/>
      <c r="G87" s="246"/>
      <c r="H87" s="245"/>
      <c r="I87" s="245"/>
      <c r="J87" s="245"/>
      <c r="K87" s="245"/>
      <c r="L87" s="245"/>
      <c r="M87" s="266"/>
      <c r="O87" s="1185" t="str">
        <f>Stammdaten_DropDown!A116</f>
        <v>Bei einem Neueintritt nach dem 01.07.2026 ist keine individuelle Lohnentwicklung vorgesehen.</v>
      </c>
      <c r="P87" s="1185"/>
      <c r="Q87" s="1185"/>
    </row>
    <row r="88" spans="2:17" x14ac:dyDescent="0.2">
      <c r="B88" s="240"/>
      <c r="D88" s="61"/>
      <c r="E88" s="275" t="s">
        <v>764</v>
      </c>
      <c r="G88" s="1011" t="str">
        <f>IF(ISBLANK($K$86),IF(BandLohnBer="",IF(BandLohnRechner="","",BandLohnRechner),IF(BandLohnRechner="",BandLohnBer,"FEHLER")),"-")</f>
        <v/>
      </c>
      <c r="I88" s="737" t="s">
        <v>808</v>
      </c>
      <c r="K88" s="1181" t="str">
        <f>IF(ISBLANK($K$86),IF(EWLohnBer="",IF(EWLohnRechner="","",EWLohnRechner),IF(EWLohnRechner="",EWLohnBer,"FEHLER")),"-")</f>
        <v/>
      </c>
      <c r="L88" s="1181"/>
      <c r="M88" s="266"/>
      <c r="O88" s="1185" t="str">
        <f>Stammdaten_DropDown!A117</f>
        <v>In dem Fall ist das Prädikat auf dem Wert «NA» (keine Beurteilung) zu belassen.</v>
      </c>
      <c r="P88" s="1185"/>
      <c r="Q88" s="1185"/>
    </row>
    <row r="89" spans="2:17" x14ac:dyDescent="0.2">
      <c r="B89" s="240"/>
      <c r="D89" s="61"/>
      <c r="E89" s="429" t="b">
        <f>AND(BandLohnBer&lt;&gt;"",BandLohnRechner&lt;&gt;"")</f>
        <v>0</v>
      </c>
      <c r="F89" s="245"/>
      <c r="G89" s="430" t="str">
        <f>IF(E89,"2 Lohnbänder gefunden","")</f>
        <v/>
      </c>
      <c r="H89" s="683"/>
      <c r="I89" s="429" t="b">
        <f>AND(EWLohnBer&lt;&gt;"",EWLohnRechner&lt;&gt;"")</f>
        <v>0</v>
      </c>
      <c r="J89" s="245"/>
      <c r="K89" s="538" t="str">
        <f>IF(I89,"2 Erfahrungswerte gefunden","")</f>
        <v/>
      </c>
      <c r="L89" s="538"/>
      <c r="M89" s="266"/>
      <c r="O89" s="856"/>
    </row>
    <row r="90" spans="2:17" x14ac:dyDescent="0.2">
      <c r="B90" s="240"/>
      <c r="D90" s="61"/>
      <c r="E90" s="565"/>
      <c r="I90" s="737" t="s">
        <v>1100</v>
      </c>
      <c r="K90" s="1163" t="str">
        <f>IF(ISBLANK($K$86),IF(LohnLohnBer="",IF(LohnLohnRechner="","",LohnLohnRechner),IF(LohnLohnRechner="",LohnLohnBer,"FEHLER")),"-")</f>
        <v/>
      </c>
      <c r="L90" s="1163"/>
      <c r="M90" s="266"/>
      <c r="O90" s="1174" t="str">
        <f>Stammdaten_DropDown!A118</f>
        <v xml:space="preserve">Falls eine individuelle  Lohnentwicklung gewährt werden soll, ist das entsprechende Prädikat aus der relevanten MAG-Phase im Dropdown-Menu auszuwählen. </v>
      </c>
      <c r="P90" s="1174"/>
      <c r="Q90" s="1174"/>
    </row>
    <row r="91" spans="2:17" x14ac:dyDescent="0.2">
      <c r="B91" s="240"/>
      <c r="D91" s="61"/>
      <c r="E91" s="845"/>
      <c r="I91" s="847"/>
      <c r="K91" s="861"/>
      <c r="L91" s="861"/>
      <c r="M91" s="266"/>
      <c r="O91" s="1174"/>
      <c r="P91" s="1174"/>
      <c r="Q91" s="1174"/>
    </row>
    <row r="92" spans="2:17" x14ac:dyDescent="0.2">
      <c r="B92" s="240"/>
      <c r="D92" s="61"/>
      <c r="E92" s="847" t="str">
        <f>CONCATENATE("Lohnentwicklung per 01.01.",LohntabelleM!I1+1," gewähren?")</f>
        <v>Lohnentwicklung per 01.01.2027 gewähren?</v>
      </c>
      <c r="H92" s="1022"/>
      <c r="I92" s="847"/>
      <c r="K92" s="862" t="s">
        <v>1948</v>
      </c>
      <c r="L92" s="870" t="str">
        <f>M92</f>
        <v/>
      </c>
      <c r="M92" s="858" t="str">
        <f>IF(H92="Ja","A",IF(H92="Nein","NA",""))</f>
        <v/>
      </c>
      <c r="O92" s="1185" t="str">
        <f>Stammdaten_DropDown!A119</f>
        <v>Ist noch keine Beurteilung hinterlegt, so ist das Prädikat auf «A» zu belassen.</v>
      </c>
      <c r="P92" s="1185"/>
      <c r="Q92" s="1185"/>
    </row>
    <row r="93" spans="2:17" ht="6" customHeight="1" x14ac:dyDescent="0.2">
      <c r="B93" s="240"/>
      <c r="D93" s="63"/>
      <c r="E93" s="64"/>
      <c r="F93" s="64"/>
      <c r="G93" s="65"/>
      <c r="H93" s="64"/>
      <c r="I93" s="64"/>
      <c r="J93" s="64"/>
      <c r="K93" s="64"/>
      <c r="L93" s="64"/>
      <c r="M93" s="279"/>
    </row>
    <row r="94" spans="2:17" ht="10.9" customHeight="1" x14ac:dyDescent="0.2">
      <c r="B94" s="240"/>
      <c r="D94" s="431"/>
      <c r="E94" s="432"/>
      <c r="F94" s="432"/>
      <c r="G94" s="433"/>
      <c r="H94" s="432"/>
      <c r="I94" s="432"/>
      <c r="J94" s="432"/>
      <c r="K94" s="432"/>
      <c r="L94" s="432"/>
      <c r="M94" s="432"/>
    </row>
    <row r="95" spans="2:17" ht="53.85" customHeight="1" x14ac:dyDescent="0.2">
      <c r="B95" s="240"/>
      <c r="D95" s="1143" t="s">
        <v>959</v>
      </c>
      <c r="E95" s="1143"/>
      <c r="F95" s="1143"/>
      <c r="G95" s="1143"/>
      <c r="H95" s="1143"/>
      <c r="I95" s="1143"/>
      <c r="J95" s="1143"/>
      <c r="K95" s="1143"/>
      <c r="L95" s="1143"/>
      <c r="M95" s="1143"/>
    </row>
    <row r="96" spans="2:17" ht="24" customHeight="1" x14ac:dyDescent="0.2">
      <c r="B96" s="240"/>
      <c r="D96" s="1143"/>
      <c r="E96" s="1143"/>
      <c r="F96" s="1143"/>
      <c r="G96" s="1143"/>
      <c r="H96" s="1143"/>
      <c r="I96" s="1143"/>
      <c r="J96" s="1143"/>
      <c r="K96" s="1143"/>
      <c r="L96" s="1143"/>
      <c r="M96" s="1143"/>
    </row>
    <row r="107" spans="5:12" x14ac:dyDescent="0.2">
      <c r="E107" s="239"/>
      <c r="F107" s="239"/>
      <c r="G107" s="280"/>
      <c r="H107" s="239"/>
      <c r="I107" s="239"/>
      <c r="J107" s="239"/>
      <c r="K107" s="239"/>
      <c r="L107" s="239"/>
    </row>
  </sheetData>
  <sheetProtection algorithmName="SHA-512" hashValue="OFVhnzAgjUqVsz4HVfTvZEc1pOXgNFHvsdRshjCq7opwoabRNTSgrmybtMr7mtsBX3IjezodZV+QHjwLNCbTFw==" saltValue="YhVn8AXyRYo6HzRCyEmaPA==" spinCount="100000" sheet="1" objects="1" scenarios="1"/>
  <mergeCells count="48">
    <mergeCell ref="K63:L63"/>
    <mergeCell ref="O92:Q92"/>
    <mergeCell ref="O84:Q84"/>
    <mergeCell ref="O11:P12"/>
    <mergeCell ref="H70:L70"/>
    <mergeCell ref="O58:Q83"/>
    <mergeCell ref="O86:Q86"/>
    <mergeCell ref="O87:Q87"/>
    <mergeCell ref="K90:L90"/>
    <mergeCell ref="E80:L80"/>
    <mergeCell ref="H68:I68"/>
    <mergeCell ref="J68:L68"/>
    <mergeCell ref="O88:Q88"/>
    <mergeCell ref="O90:Q91"/>
    <mergeCell ref="H30:I30"/>
    <mergeCell ref="G11:H11"/>
    <mergeCell ref="K11:L11"/>
    <mergeCell ref="G13:H13"/>
    <mergeCell ref="G15:L15"/>
    <mergeCell ref="F21:K21"/>
    <mergeCell ref="F22:L22"/>
    <mergeCell ref="F23:J23"/>
    <mergeCell ref="J17:L17"/>
    <mergeCell ref="F24:G24"/>
    <mergeCell ref="J30:L30"/>
    <mergeCell ref="D95:M96"/>
    <mergeCell ref="E72:F72"/>
    <mergeCell ref="G72:L72"/>
    <mergeCell ref="E76:K76"/>
    <mergeCell ref="E78:L78"/>
    <mergeCell ref="E79:L79"/>
    <mergeCell ref="K88:L88"/>
    <mergeCell ref="K86:L86"/>
    <mergeCell ref="G32:H32"/>
    <mergeCell ref="H34:I34"/>
    <mergeCell ref="J34:L34"/>
    <mergeCell ref="H53:K53"/>
    <mergeCell ref="J32:L32"/>
    <mergeCell ref="I36:J36"/>
    <mergeCell ref="J35:L35"/>
    <mergeCell ref="E47:G47"/>
    <mergeCell ref="E49:L49"/>
    <mergeCell ref="E50:L50"/>
    <mergeCell ref="E51:L51"/>
    <mergeCell ref="E36:F36"/>
    <mergeCell ref="G36:H36"/>
    <mergeCell ref="K36:L36"/>
    <mergeCell ref="G38:H38"/>
  </mergeCells>
  <conditionalFormatting sqref="G88">
    <cfRule type="expression" dxfId="189" priority="8">
      <formula>E89</formula>
    </cfRule>
  </conditionalFormatting>
  <conditionalFormatting sqref="K88">
    <cfRule type="expression" dxfId="188" priority="7">
      <formula>I89</formula>
    </cfRule>
  </conditionalFormatting>
  <conditionalFormatting sqref="K90:L92">
    <cfRule type="expression" dxfId="187" priority="190">
      <formula>#REF!</formula>
    </cfRule>
  </conditionalFormatting>
  <conditionalFormatting sqref="K92:L92 O88:Q92">
    <cfRule type="expression" dxfId="186" priority="4">
      <formula>$H$92=""</formula>
    </cfRule>
  </conditionalFormatting>
  <conditionalFormatting sqref="E72:L72 E84:L92 O84:Q92">
    <cfRule type="expression" dxfId="185" priority="1">
      <formula>$H$70=""</formula>
    </cfRule>
  </conditionalFormatting>
  <dataValidations count="8">
    <dataValidation type="list" allowBlank="1" showInputMessage="1" showErrorMessage="1" sqref="G32" xr:uid="{00000000-0002-0000-0400-000000000000}">
      <formula1>Anstellung</formula1>
    </dataValidation>
    <dataValidation operator="greaterThan" allowBlank="1" showInputMessage="1" showErrorMessage="1" errorTitle="Fehler" error="Pensum als Ganzzahl angeben" sqref="K71 K90:K92" xr:uid="{00000000-0002-0000-0400-000001000000}"/>
    <dataValidation type="date" operator="greaterThan" allowBlank="1" showInputMessage="1" showErrorMessage="1" errorTitle="Fehler" error="Geben Sie ein gültiges Datum dd.mm.yyyy ein!" sqref="G30 G63:G64 G25 G19:G20" xr:uid="{00000000-0002-0000-0400-000002000000}">
      <formula1>1</formula1>
    </dataValidation>
    <dataValidation type="whole" operator="greaterThan" allowBlank="1" showInputMessage="1" showErrorMessage="1" errorTitle="Fehler" error="Ungültige Postleitzahl" sqref="G17" xr:uid="{00000000-0002-0000-0400-000003000000}">
      <formula1>0</formula1>
    </dataValidation>
    <dataValidation operator="greaterThan" showInputMessage="1" showErrorMessage="1" errorTitle="Fehler" error="Geben Sie ein gültiges Datum dd.mm.yyyy ein!" sqref="L38 G38 H40:I40 L42:L43 H42:I43" xr:uid="{00000000-0002-0000-0400-000004000000}"/>
    <dataValidation type="list" allowBlank="1" showInputMessage="1" showErrorMessage="1" sqref="J34:L34" xr:uid="{00000000-0002-0000-0400-000005000000}">
      <formula1>BegründungFürBefristung</formula1>
    </dataValidation>
    <dataValidation type="list" allowBlank="1" showInputMessage="1" showErrorMessage="1" sqref="K36:L36" xr:uid="{00000000-0002-0000-0400-000006000000}">
      <formula1>KompetenzDerSchulleitung</formula1>
    </dataValidation>
    <dataValidation allowBlank="1" showInputMessage="1" sqref="J68:L69" xr:uid="{00000000-0002-0000-0400-000007000000}"/>
  </dataValidations>
  <hyperlinks>
    <hyperlink ref="O11:P12" location="Grunddaten!E9" display="Zurück zu Grunddaten" xr:uid="{00000000-0004-0000-0400-000000000000}"/>
  </hyperlinks>
  <pageMargins left="0.70866141732283472" right="0.70866141732283472" top="0.78740157480314965" bottom="0.78740157480314965" header="0.31496062992125984" footer="0.31496062992125984"/>
  <pageSetup paperSize="9" scale="92" fitToHeight="0" orientation="portrait" r:id="rId1"/>
  <headerFooter>
    <oddFooter>Seite &amp;P von &amp;N</oddFooter>
  </headerFooter>
  <rowBreaks count="1" manualBreakCount="1">
    <brk id="54" max="16383" man="1"/>
  </rowBreaks>
  <ignoredErrors>
    <ignoredError sqref="L9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2983" r:id="rId4" name="Check Box 7">
              <controlPr defaultSize="0" autoFill="0" autoLine="0" autoPict="0">
                <anchor>
                  <from>
                    <xdr:col>8</xdr:col>
                    <xdr:colOff>342900</xdr:colOff>
                    <xdr:row>30</xdr:row>
                    <xdr:rowOff>133350</xdr:rowOff>
                  </from>
                  <to>
                    <xdr:col>11</xdr:col>
                    <xdr:colOff>809625</xdr:colOff>
                    <xdr:row>32</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400-000008000000}">
          <x14:formula1>
            <xm:f>Stammdaten_DropDown!$E$103:$E$104</xm:f>
          </x14:formula1>
          <xm:sqref>H92</xm:sqref>
        </x14:dataValidation>
        <x14:dataValidation type="list" allowBlank="1" showInputMessage="1" showErrorMessage="1" xr:uid="{00000000-0002-0000-0400-000009000000}">
          <x14:formula1>
            <xm:f>Stammdaten_DropDown!$E$107:$E$110</xm:f>
          </x14:formula1>
          <xm:sqref>L92</xm:sqref>
        </x14:dataValidation>
        <x14:dataValidation type="list" allowBlank="1" showInputMessage="1" showErrorMessage="1" xr:uid="{00000000-0002-0000-0400-00000A000000}">
          <x14:formula1>
            <xm:f>Stammdaten_DropDown!$E$93:$E$100</xm:f>
          </x14:formula1>
          <xm:sqref>H70:L70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20">
    <tabColor theme="4" tint="0.39997558519241921"/>
    <pageSetUpPr fitToPage="1"/>
  </sheetPr>
  <dimension ref="A1:R92"/>
  <sheetViews>
    <sheetView zoomScaleNormal="100" workbookViewId="0">
      <selection activeCell="G15" sqref="G15:K15"/>
    </sheetView>
  </sheetViews>
  <sheetFormatPr baseColWidth="10" defaultColWidth="11.5703125" defaultRowHeight="12.75" x14ac:dyDescent="0.2"/>
  <cols>
    <col min="1" max="1" width="2.28515625" style="91" customWidth="1"/>
    <col min="2" max="3" width="1.42578125" style="91" customWidth="1"/>
    <col min="4" max="4" width="2.5703125" style="91" customWidth="1"/>
    <col min="5" max="5" width="11.5703125" style="91"/>
    <col min="6" max="6" width="14.85546875" style="91" customWidth="1"/>
    <col min="7" max="7" width="11.5703125" style="91"/>
    <col min="8" max="8" width="9.42578125" style="91" customWidth="1"/>
    <col min="9" max="9" width="18.28515625" style="91" customWidth="1"/>
    <col min="10" max="10" width="6.7109375" style="91" customWidth="1"/>
    <col min="11" max="11" width="11.7109375" style="91" customWidth="1"/>
    <col min="12" max="12" width="2.28515625" style="91" customWidth="1"/>
    <col min="13" max="13" width="1.7109375" style="91" customWidth="1"/>
    <col min="14" max="15" width="11.5703125" style="91"/>
    <col min="16" max="16" width="48.140625" style="91" customWidth="1"/>
    <col min="17" max="17" width="11.5703125" style="91"/>
    <col min="18" max="18" width="74.42578125" style="91" hidden="1" customWidth="1"/>
    <col min="19" max="16384" width="11.5703125" style="91"/>
  </cols>
  <sheetData>
    <row r="1" spans="1:16" ht="5.0999999999999996" customHeight="1" x14ac:dyDescent="0.2"/>
    <row r="2" spans="1:16" ht="45" customHeight="1" x14ac:dyDescent="0.2">
      <c r="D2" s="393" t="s">
        <v>1037</v>
      </c>
      <c r="F2" s="393"/>
      <c r="G2" s="394"/>
      <c r="H2" s="395"/>
      <c r="I2" s="395"/>
      <c r="J2" s="395"/>
      <c r="K2" s="395"/>
    </row>
    <row r="3" spans="1:16" s="235" customFormat="1" ht="21" customHeight="1" x14ac:dyDescent="0.2">
      <c r="B3" s="236"/>
      <c r="D3" s="238" t="s">
        <v>945</v>
      </c>
      <c r="F3" s="238"/>
      <c r="H3" s="237"/>
      <c r="I3" s="237"/>
      <c r="K3" s="237"/>
      <c r="L3" s="994" t="str">
        <f>CONCATENATE(LohntabelleM!G1," / ",LohntabelleM!I1)</f>
        <v>V6.0 / 2026</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246"/>
      <c r="J5" s="245"/>
      <c r="K5" s="245"/>
      <c r="L5" s="245"/>
      <c r="M5" s="245"/>
      <c r="N5" s="239"/>
    </row>
    <row r="6" spans="1:16" s="244" customFormat="1" ht="5.0999999999999996" customHeight="1" x14ac:dyDescent="0.2">
      <c r="B6" s="240"/>
      <c r="D6" s="59"/>
      <c r="E6" s="315"/>
      <c r="F6" s="316"/>
      <c r="G6" s="317"/>
      <c r="H6" s="315"/>
      <c r="I6" s="315"/>
      <c r="J6" s="315"/>
      <c r="K6" s="315"/>
      <c r="L6" s="60"/>
    </row>
    <row r="7" spans="1:16" s="244" customFormat="1" x14ac:dyDescent="0.2">
      <c r="B7" s="240"/>
      <c r="D7" s="61"/>
      <c r="E7" s="318" t="s">
        <v>770</v>
      </c>
      <c r="F7" s="319"/>
      <c r="G7" s="320"/>
      <c r="H7" s="319"/>
      <c r="I7" s="319"/>
      <c r="J7" s="319"/>
      <c r="K7" s="319"/>
      <c r="L7" s="62"/>
    </row>
    <row r="8" spans="1:16" s="244" customFormat="1" x14ac:dyDescent="0.2">
      <c r="B8" s="240"/>
      <c r="D8" s="61"/>
      <c r="E8" s="245"/>
      <c r="F8" s="245"/>
      <c r="G8" s="246"/>
      <c r="H8" s="245"/>
      <c r="I8" s="245"/>
      <c r="J8" s="245"/>
      <c r="K8" s="245"/>
      <c r="L8" s="62"/>
    </row>
    <row r="9" spans="1:16" s="244" customFormat="1" ht="12.6" customHeight="1" x14ac:dyDescent="0.2">
      <c r="B9" s="240"/>
      <c r="D9" s="61"/>
      <c r="E9" s="245" t="s">
        <v>967</v>
      </c>
      <c r="F9" s="245"/>
      <c r="G9" s="1006" t="str">
        <f>IF(MAAnrede&lt;&gt;"",MAAnrede,"")</f>
        <v/>
      </c>
      <c r="H9" s="245"/>
      <c r="I9" s="245" t="s">
        <v>760</v>
      </c>
      <c r="J9" s="245"/>
      <c r="K9" s="258" t="str">
        <f>IF(MAGeburtsdatum="","",MAGeburtsdatum)</f>
        <v/>
      </c>
      <c r="L9" s="62"/>
      <c r="N9" s="1149" t="s">
        <v>1029</v>
      </c>
      <c r="O9" s="1150"/>
      <c r="P9" s="863"/>
    </row>
    <row r="10" spans="1:16" s="244" customFormat="1" ht="12.6" customHeight="1" x14ac:dyDescent="0.2">
      <c r="B10" s="240"/>
      <c r="D10" s="61"/>
      <c r="E10" s="245"/>
      <c r="F10" s="245"/>
      <c r="G10" s="246"/>
      <c r="H10" s="245"/>
      <c r="I10" s="245"/>
      <c r="J10" s="245"/>
      <c r="K10" s="245"/>
      <c r="L10" s="62"/>
      <c r="N10" s="1151"/>
      <c r="O10" s="1152"/>
      <c r="P10" s="863"/>
    </row>
    <row r="11" spans="1:16" s="244" customFormat="1" x14ac:dyDescent="0.2">
      <c r="B11" s="240"/>
      <c r="D11" s="61"/>
      <c r="E11" s="245" t="s">
        <v>756</v>
      </c>
      <c r="F11" s="245"/>
      <c r="G11" s="1181" t="str">
        <f>IF(MAName&lt;&gt;"",MAName,"")</f>
        <v/>
      </c>
      <c r="H11" s="1181"/>
      <c r="I11" s="245" t="s">
        <v>757</v>
      </c>
      <c r="J11" s="1181" t="str">
        <f>IF(MAVorname&lt;&gt;"",MAVorname,"")</f>
        <v/>
      </c>
      <c r="K11" s="1181"/>
      <c r="L11" s="62"/>
    </row>
    <row r="12" spans="1:16" s="244" customFormat="1" x14ac:dyDescent="0.2">
      <c r="B12" s="240"/>
      <c r="D12" s="61"/>
      <c r="E12" s="245"/>
      <c r="F12" s="245"/>
      <c r="G12" s="246"/>
      <c r="H12" s="245"/>
      <c r="I12" s="245"/>
      <c r="J12" s="245"/>
      <c r="K12" s="245"/>
      <c r="L12" s="62"/>
    </row>
    <row r="13" spans="1:16" s="244" customFormat="1" x14ac:dyDescent="0.2">
      <c r="B13" s="240"/>
      <c r="D13" s="61"/>
      <c r="E13" s="432" t="s">
        <v>763</v>
      </c>
      <c r="F13" s="432"/>
      <c r="G13" s="1187" t="str">
        <f>IF(MAVertragsNr&lt;&gt;"",MAVertragsNr,"")</f>
        <v/>
      </c>
      <c r="H13" s="1187"/>
      <c r="I13" s="432" t="s">
        <v>762</v>
      </c>
      <c r="J13" s="1187" t="str">
        <f>IF(MAPersID&lt;&gt;"",MAPersID,"")</f>
        <v/>
      </c>
      <c r="K13" s="1187"/>
      <c r="L13" s="62"/>
    </row>
    <row r="14" spans="1:16" s="244" customFormat="1" x14ac:dyDescent="0.2">
      <c r="B14" s="240"/>
      <c r="D14" s="61"/>
      <c r="E14" s="245"/>
      <c r="F14" s="245"/>
      <c r="G14" s="446"/>
      <c r="H14" s="245"/>
      <c r="I14" s="245"/>
      <c r="J14" s="245"/>
      <c r="K14" s="245"/>
      <c r="L14" s="62"/>
    </row>
    <row r="15" spans="1:16" s="244" customFormat="1" x14ac:dyDescent="0.2">
      <c r="B15" s="240"/>
      <c r="D15" s="61"/>
      <c r="E15" s="245" t="s">
        <v>755</v>
      </c>
      <c r="F15" s="245"/>
      <c r="G15" s="1135"/>
      <c r="H15" s="1135"/>
      <c r="I15" s="1135"/>
      <c r="J15" s="1135"/>
      <c r="K15" s="1135"/>
      <c r="L15" s="62"/>
    </row>
    <row r="16" spans="1:16" s="244" customFormat="1" x14ac:dyDescent="0.2">
      <c r="B16" s="240"/>
      <c r="D16" s="61"/>
      <c r="E16" s="245"/>
      <c r="F16" s="245"/>
      <c r="G16" s="246"/>
      <c r="H16" s="245"/>
      <c r="I16" s="245"/>
      <c r="J16" s="245"/>
      <c r="K16" s="245"/>
      <c r="L16" s="62"/>
    </row>
    <row r="17" spans="2:13" s="244" customFormat="1" x14ac:dyDescent="0.2">
      <c r="B17" s="240"/>
      <c r="D17" s="61"/>
      <c r="E17" s="245" t="s">
        <v>758</v>
      </c>
      <c r="F17" s="245"/>
      <c r="G17" s="215"/>
      <c r="H17" s="665" t="s">
        <v>759</v>
      </c>
      <c r="I17" s="1135"/>
      <c r="J17" s="1135"/>
      <c r="K17" s="1135"/>
      <c r="L17" s="62"/>
    </row>
    <row r="18" spans="2:13" s="244" customFormat="1" x14ac:dyDescent="0.2">
      <c r="B18" s="240"/>
      <c r="D18" s="61"/>
      <c r="E18" s="245"/>
      <c r="F18" s="245"/>
      <c r="G18" s="835"/>
      <c r="H18" s="836"/>
      <c r="I18" s="413"/>
      <c r="J18" s="413"/>
      <c r="K18" s="413"/>
      <c r="L18" s="62"/>
    </row>
    <row r="19" spans="2:13" s="244" customFormat="1" ht="12.6" customHeight="1" x14ac:dyDescent="0.2">
      <c r="B19" s="240"/>
      <c r="D19" s="61"/>
      <c r="E19" s="435" t="s">
        <v>825</v>
      </c>
      <c r="F19" s="1134" t="s">
        <v>1072</v>
      </c>
      <c r="G19" s="1134"/>
      <c r="H19" s="1134"/>
      <c r="I19" s="1134"/>
      <c r="J19" s="1134"/>
      <c r="K19" s="557"/>
      <c r="L19" s="432"/>
      <c r="M19" s="837"/>
    </row>
    <row r="20" spans="2:13" s="244" customFormat="1" ht="12.6" customHeight="1" x14ac:dyDescent="0.2">
      <c r="B20" s="240"/>
      <c r="D20" s="61"/>
      <c r="E20" s="435"/>
      <c r="F20" s="1134" t="s">
        <v>1070</v>
      </c>
      <c r="G20" s="1134"/>
      <c r="H20" s="1134"/>
      <c r="I20" s="1134"/>
      <c r="J20" s="1134"/>
      <c r="K20" s="1134"/>
      <c r="L20" s="557"/>
      <c r="M20" s="837"/>
    </row>
    <row r="21" spans="2:13" s="244" customFormat="1" ht="12.6" customHeight="1" x14ac:dyDescent="0.2">
      <c r="B21" s="240"/>
      <c r="D21" s="61"/>
      <c r="E21" s="435"/>
      <c r="F21" s="1134" t="s">
        <v>1071</v>
      </c>
      <c r="G21" s="1134"/>
      <c r="H21" s="1134"/>
      <c r="I21" s="1134"/>
      <c r="J21" s="557"/>
      <c r="K21" s="557"/>
      <c r="L21" s="838"/>
    </row>
    <row r="22" spans="2:13" s="244" customFormat="1" x14ac:dyDescent="0.2">
      <c r="B22" s="240"/>
      <c r="D22" s="61"/>
      <c r="E22" s="435"/>
      <c r="F22" s="1134" t="s">
        <v>1073</v>
      </c>
      <c r="G22" s="1134"/>
      <c r="H22" s="557"/>
      <c r="I22" s="557"/>
      <c r="J22" s="557"/>
      <c r="K22" s="557"/>
      <c r="L22" s="838"/>
    </row>
    <row r="23" spans="2:13" s="244" customFormat="1" ht="8.1" customHeight="1" x14ac:dyDescent="0.2">
      <c r="B23" s="240"/>
      <c r="D23" s="63"/>
      <c r="E23" s="64"/>
      <c r="F23" s="64"/>
      <c r="G23" s="65"/>
      <c r="H23" s="64"/>
      <c r="I23" s="64"/>
      <c r="J23" s="64"/>
      <c r="K23" s="64"/>
      <c r="L23" s="66"/>
    </row>
    <row r="24" spans="2:13" s="244" customFormat="1" ht="6" customHeight="1" x14ac:dyDescent="0.2">
      <c r="B24" s="240"/>
      <c r="E24" s="245"/>
      <c r="F24" s="245"/>
      <c r="G24" s="246"/>
      <c r="H24" s="245"/>
      <c r="I24" s="245"/>
      <c r="J24" s="245"/>
      <c r="K24" s="245"/>
      <c r="L24" s="245"/>
    </row>
    <row r="25" spans="2:13" s="244" customFormat="1" ht="5.0999999999999996" customHeight="1" x14ac:dyDescent="0.2">
      <c r="B25" s="240"/>
      <c r="D25" s="59"/>
      <c r="E25" s="315"/>
      <c r="F25" s="396"/>
      <c r="G25" s="317"/>
      <c r="H25" s="315"/>
      <c r="I25" s="315"/>
      <c r="J25" s="315"/>
      <c r="K25" s="315"/>
      <c r="L25" s="60"/>
    </row>
    <row r="26" spans="2:13" s="244" customFormat="1" ht="15.75" x14ac:dyDescent="0.2">
      <c r="B26" s="240"/>
      <c r="D26" s="61"/>
      <c r="E26" s="318" t="s">
        <v>975</v>
      </c>
      <c r="F26" s="393"/>
      <c r="G26" s="320"/>
      <c r="H26" s="319"/>
      <c r="I26" s="319"/>
      <c r="J26" s="319"/>
      <c r="K26" s="319"/>
      <c r="L26" s="62"/>
    </row>
    <row r="27" spans="2:13" s="244" customFormat="1" ht="15.75" x14ac:dyDescent="0.2">
      <c r="B27" s="240"/>
      <c r="D27" s="61"/>
      <c r="E27" s="318"/>
      <c r="F27" s="393"/>
      <c r="G27" s="320"/>
      <c r="H27" s="319"/>
      <c r="I27" s="319"/>
      <c r="J27" s="319"/>
      <c r="K27" s="319"/>
      <c r="L27" s="62"/>
    </row>
    <row r="28" spans="2:13" s="244" customFormat="1" x14ac:dyDescent="0.2">
      <c r="B28" s="240"/>
      <c r="D28" s="61"/>
      <c r="E28" s="397" t="s">
        <v>826</v>
      </c>
      <c r="F28" s="319"/>
      <c r="G28" s="1135"/>
      <c r="H28" s="1135"/>
      <c r="I28" s="1135"/>
      <c r="J28" s="1135"/>
      <c r="K28" s="1135"/>
      <c r="L28" s="62"/>
    </row>
    <row r="29" spans="2:13" s="244" customFormat="1" x14ac:dyDescent="0.2">
      <c r="B29" s="240"/>
      <c r="D29" s="61"/>
      <c r="E29" s="245"/>
      <c r="F29" s="245"/>
      <c r="G29" s="246"/>
      <c r="H29" s="245"/>
      <c r="I29" s="245"/>
      <c r="J29" s="245"/>
      <c r="L29" s="62"/>
    </row>
    <row r="30" spans="2:13" s="244" customFormat="1" x14ac:dyDescent="0.2">
      <c r="B30" s="240"/>
      <c r="D30" s="61"/>
      <c r="E30" s="245" t="s">
        <v>841</v>
      </c>
      <c r="F30" s="1001"/>
      <c r="G30" s="246"/>
      <c r="H30" s="246" t="s">
        <v>938</v>
      </c>
      <c r="I30" s="1007"/>
      <c r="J30" s="246" t="s">
        <v>7</v>
      </c>
      <c r="K30" s="1007"/>
      <c r="L30" s="62"/>
    </row>
    <row r="31" spans="2:13" s="244" customFormat="1" x14ac:dyDescent="0.2">
      <c r="B31" s="240"/>
      <c r="D31" s="61"/>
      <c r="E31" s="949" t="s">
        <v>2004</v>
      </c>
      <c r="F31" s="245"/>
      <c r="G31" s="246"/>
      <c r="H31" s="245"/>
      <c r="I31" s="245"/>
      <c r="J31" s="245"/>
      <c r="K31" s="245"/>
      <c r="L31" s="62"/>
    </row>
    <row r="32" spans="2:13" s="244" customFormat="1" x14ac:dyDescent="0.2">
      <c r="B32" s="240"/>
      <c r="D32" s="695" t="s">
        <v>832</v>
      </c>
      <c r="F32" s="245"/>
      <c r="G32" s="1135"/>
      <c r="H32" s="1135"/>
      <c r="I32" s="1135"/>
      <c r="J32" s="1135"/>
      <c r="K32" s="1135"/>
      <c r="L32" s="62"/>
    </row>
    <row r="33" spans="1:18" s="244" customFormat="1" ht="12" customHeight="1" x14ac:dyDescent="0.2">
      <c r="B33" s="240"/>
      <c r="D33" s="724"/>
      <c r="E33" s="949" t="s">
        <v>2004</v>
      </c>
      <c r="F33" s="398"/>
      <c r="G33" s="320"/>
      <c r="H33" s="319"/>
      <c r="I33" s="319"/>
      <c r="J33" s="319"/>
      <c r="K33" s="319"/>
      <c r="L33" s="62"/>
    </row>
    <row r="34" spans="1:18" s="244" customFormat="1" ht="8.1" customHeight="1" x14ac:dyDescent="0.2">
      <c r="B34" s="240"/>
      <c r="D34" s="63"/>
      <c r="E34" s="348"/>
      <c r="F34" s="348"/>
      <c r="G34" s="399"/>
      <c r="H34" s="373"/>
      <c r="I34" s="373"/>
      <c r="J34" s="374"/>
      <c r="K34" s="373"/>
      <c r="L34" s="66"/>
    </row>
    <row r="35" spans="1:18" s="244" customFormat="1" ht="6" customHeight="1" x14ac:dyDescent="0.2">
      <c r="B35" s="240"/>
      <c r="E35" s="239"/>
      <c r="F35" s="239"/>
      <c r="G35" s="280"/>
      <c r="H35" s="239"/>
      <c r="I35" s="239"/>
      <c r="J35" s="239"/>
      <c r="K35" s="239"/>
    </row>
    <row r="36" spans="1:18" s="244" customFormat="1" ht="5.0999999999999996" customHeight="1" x14ac:dyDescent="0.2">
      <c r="B36" s="240"/>
      <c r="D36" s="59"/>
      <c r="E36" s="67"/>
      <c r="F36" s="67"/>
      <c r="G36" s="68"/>
      <c r="H36" s="67"/>
      <c r="I36" s="67"/>
      <c r="J36" s="67"/>
      <c r="K36" s="67"/>
      <c r="L36" s="60"/>
    </row>
    <row r="37" spans="1:18" s="244" customFormat="1" x14ac:dyDescent="0.2">
      <c r="B37" s="240"/>
      <c r="D37" s="61"/>
      <c r="E37" s="1165" t="s">
        <v>972</v>
      </c>
      <c r="F37" s="1165"/>
      <c r="G37" s="1165"/>
      <c r="H37" s="319"/>
      <c r="I37" s="319"/>
      <c r="J37" s="319"/>
      <c r="K37" s="319"/>
      <c r="L37" s="62"/>
    </row>
    <row r="38" spans="1:18" s="244" customFormat="1" x14ac:dyDescent="0.2">
      <c r="B38" s="240"/>
      <c r="D38" s="61"/>
      <c r="E38" s="245"/>
      <c r="F38" s="245"/>
      <c r="G38" s="246"/>
      <c r="H38" s="245"/>
      <c r="I38" s="245"/>
      <c r="J38" s="245"/>
      <c r="K38" s="245"/>
      <c r="L38" s="62"/>
    </row>
    <row r="39" spans="1:18" s="244" customFormat="1" x14ac:dyDescent="0.2">
      <c r="B39" s="240"/>
      <c r="D39" s="61"/>
      <c r="E39" s="1136"/>
      <c r="F39" s="1136"/>
      <c r="G39" s="1136"/>
      <c r="H39" s="1136"/>
      <c r="I39" s="1136"/>
      <c r="J39" s="1136"/>
      <c r="K39" s="1136"/>
      <c r="L39" s="62"/>
    </row>
    <row r="40" spans="1:18" s="244" customFormat="1" x14ac:dyDescent="0.2">
      <c r="B40" s="240"/>
      <c r="D40" s="61"/>
      <c r="E40" s="1136"/>
      <c r="F40" s="1136"/>
      <c r="G40" s="1136"/>
      <c r="H40" s="1136"/>
      <c r="I40" s="1136"/>
      <c r="J40" s="1136"/>
      <c r="K40" s="1136"/>
      <c r="L40" s="62"/>
    </row>
    <row r="41" spans="1:18" s="244" customFormat="1" x14ac:dyDescent="0.2">
      <c r="B41" s="240"/>
      <c r="D41" s="61"/>
      <c r="E41" s="1136"/>
      <c r="F41" s="1136"/>
      <c r="G41" s="1136"/>
      <c r="H41" s="1136"/>
      <c r="I41" s="1136"/>
      <c r="J41" s="1136"/>
      <c r="K41" s="1136"/>
      <c r="L41" s="62"/>
      <c r="M41" s="61"/>
      <c r="R41" s="349">
        <f>E41</f>
        <v>0</v>
      </c>
    </row>
    <row r="42" spans="1:18" s="244" customFormat="1" x14ac:dyDescent="0.2">
      <c r="B42" s="240"/>
      <c r="C42" s="239"/>
      <c r="D42" s="61"/>
      <c r="E42" s="561"/>
      <c r="F42" s="432"/>
      <c r="G42" s="432"/>
      <c r="H42" s="432"/>
      <c r="I42" s="432"/>
      <c r="J42" s="432"/>
      <c r="K42" s="549"/>
      <c r="L42" s="205"/>
      <c r="M42" s="61"/>
    </row>
    <row r="43" spans="1:18" s="244" customFormat="1" x14ac:dyDescent="0.2">
      <c r="B43" s="240"/>
      <c r="C43" s="235"/>
      <c r="D43" s="61"/>
      <c r="H43" s="1140" t="s">
        <v>1122</v>
      </c>
      <c r="I43" s="1140"/>
      <c r="J43" s="1140"/>
      <c r="K43" s="1004"/>
      <c r="L43" s="62"/>
      <c r="M43" s="61"/>
    </row>
    <row r="44" spans="1:18" s="244" customFormat="1" ht="8.1" customHeight="1" x14ac:dyDescent="0.2">
      <c r="B44" s="240"/>
      <c r="D44" s="63"/>
      <c r="E44" s="64"/>
      <c r="F44" s="64"/>
      <c r="G44" s="65"/>
      <c r="H44" s="64"/>
      <c r="I44" s="64"/>
      <c r="J44" s="64"/>
      <c r="K44" s="64"/>
      <c r="L44" s="66"/>
    </row>
    <row r="45" spans="1:18" s="244" customFormat="1" ht="7.9" customHeight="1" x14ac:dyDescent="0.2">
      <c r="B45" s="240"/>
      <c r="E45" s="239"/>
      <c r="F45" s="239"/>
      <c r="G45" s="345"/>
      <c r="H45" s="346"/>
      <c r="I45" s="346"/>
      <c r="J45" s="280"/>
      <c r="K45" s="346"/>
    </row>
    <row r="46" spans="1:18" s="235" customFormat="1" ht="21" customHeight="1" x14ac:dyDescent="0.2">
      <c r="B46" s="236"/>
      <c r="D46" s="238" t="s">
        <v>1221</v>
      </c>
      <c r="F46" s="238"/>
      <c r="H46" s="237"/>
      <c r="I46" s="237"/>
      <c r="J46" s="237"/>
      <c r="K46" s="237"/>
      <c r="L46" s="237"/>
      <c r="M46" s="237"/>
    </row>
    <row r="47" spans="1:18" s="244" customFormat="1" ht="6.75" customHeight="1" x14ac:dyDescent="0.2">
      <c r="A47" s="239"/>
      <c r="B47" s="240"/>
      <c r="C47" s="240"/>
      <c r="D47" s="240"/>
      <c r="E47" s="240"/>
      <c r="F47" s="241"/>
      <c r="G47" s="240"/>
      <c r="H47" s="242"/>
      <c r="I47" s="243"/>
      <c r="J47" s="242"/>
      <c r="K47" s="242"/>
      <c r="L47" s="242"/>
      <c r="N47" s="1161" t="s">
        <v>2000</v>
      </c>
      <c r="O47" s="1161"/>
      <c r="P47" s="1161"/>
    </row>
    <row r="48" spans="1:18" s="244" customFormat="1" ht="6" customHeight="1" x14ac:dyDescent="0.2">
      <c r="A48" s="239"/>
      <c r="B48" s="240"/>
      <c r="C48" s="239"/>
      <c r="D48" s="239"/>
      <c r="E48" s="239"/>
      <c r="F48" s="318"/>
      <c r="G48" s="239"/>
      <c r="H48" s="245"/>
      <c r="I48" s="246"/>
      <c r="J48" s="245"/>
      <c r="K48" s="245"/>
      <c r="L48" s="245"/>
      <c r="M48" s="245"/>
      <c r="N48" s="1161"/>
      <c r="O48" s="1161"/>
      <c r="P48" s="1161"/>
    </row>
    <row r="49" spans="2:16" s="244" customFormat="1" ht="5.0999999999999996" customHeight="1" x14ac:dyDescent="0.2">
      <c r="B49" s="240"/>
      <c r="D49" s="59"/>
      <c r="E49" s="269"/>
      <c r="F49" s="269"/>
      <c r="G49" s="270"/>
      <c r="H49" s="269"/>
      <c r="I49" s="269"/>
      <c r="J49" s="269"/>
      <c r="K49" s="269"/>
      <c r="L49" s="271"/>
      <c r="N49" s="1161"/>
      <c r="O49" s="1161"/>
      <c r="P49" s="1161"/>
    </row>
    <row r="50" spans="2:16" s="244" customFormat="1" x14ac:dyDescent="0.2">
      <c r="B50" s="240"/>
      <c r="D50" s="61"/>
      <c r="E50" s="272" t="s">
        <v>941</v>
      </c>
      <c r="F50" s="319"/>
      <c r="G50" s="320"/>
      <c r="H50" s="319"/>
      <c r="I50" s="319"/>
      <c r="J50" s="319"/>
      <c r="K50" s="319"/>
      <c r="L50" s="62"/>
      <c r="N50" s="1161"/>
      <c r="O50" s="1161"/>
      <c r="P50" s="1161"/>
    </row>
    <row r="51" spans="2:16" s="244" customFormat="1" x14ac:dyDescent="0.2">
      <c r="B51" s="240"/>
      <c r="D51" s="61"/>
      <c r="L51" s="62"/>
      <c r="N51" s="1161"/>
      <c r="O51" s="1161"/>
      <c r="P51" s="1161"/>
    </row>
    <row r="52" spans="2:16" s="244" customFormat="1" x14ac:dyDescent="0.2">
      <c r="B52" s="240"/>
      <c r="D52" s="61"/>
      <c r="E52" s="245" t="s">
        <v>971</v>
      </c>
      <c r="F52" s="1166"/>
      <c r="G52" s="1166"/>
      <c r="L52" s="62"/>
      <c r="N52" s="1161"/>
      <c r="O52" s="1161"/>
      <c r="P52" s="1161"/>
    </row>
    <row r="53" spans="2:16" s="244" customFormat="1" x14ac:dyDescent="0.2">
      <c r="B53" s="240"/>
      <c r="D53" s="61"/>
      <c r="E53" s="245"/>
      <c r="F53" s="245"/>
      <c r="G53" s="246"/>
      <c r="H53" s="245"/>
      <c r="I53" s="245"/>
      <c r="J53" s="245"/>
      <c r="K53" s="245"/>
      <c r="L53" s="62"/>
      <c r="N53" s="1161"/>
      <c r="O53" s="1161"/>
      <c r="P53" s="1161"/>
    </row>
    <row r="54" spans="2:16" s="244" customFormat="1" ht="12.6" customHeight="1" x14ac:dyDescent="0.2">
      <c r="B54" s="240"/>
      <c r="D54" s="61"/>
      <c r="E54" s="245" t="s">
        <v>996</v>
      </c>
      <c r="F54" s="245"/>
      <c r="G54" s="1006" t="str">
        <f>IF(MULohnberechnung&lt;&gt;"",MULohnberechnung,"")</f>
        <v/>
      </c>
      <c r="H54" s="665" t="s">
        <v>998</v>
      </c>
      <c r="I54" s="245" t="s">
        <v>1032</v>
      </c>
      <c r="J54" s="245"/>
      <c r="K54" s="1005"/>
      <c r="L54" s="62"/>
      <c r="N54" s="1161"/>
      <c r="O54" s="1161"/>
      <c r="P54" s="1161"/>
    </row>
    <row r="55" spans="2:16" s="244" customFormat="1" x14ac:dyDescent="0.2">
      <c r="B55" s="240"/>
      <c r="D55" s="61"/>
      <c r="E55" s="245"/>
      <c r="F55" s="245"/>
      <c r="H55" s="245"/>
      <c r="I55" s="245"/>
      <c r="J55" s="278"/>
      <c r="K55" s="245"/>
      <c r="L55" s="266"/>
      <c r="N55" s="1161"/>
      <c r="O55" s="1161"/>
      <c r="P55" s="1161"/>
    </row>
    <row r="56" spans="2:16" s="244" customFormat="1" x14ac:dyDescent="0.2">
      <c r="B56" s="240"/>
      <c r="D56" s="61"/>
      <c r="E56" s="245" t="s">
        <v>966</v>
      </c>
      <c r="F56" s="245"/>
      <c r="G56" s="1005"/>
      <c r="I56" s="245" t="s">
        <v>1069</v>
      </c>
      <c r="J56" s="1141" t="str">
        <f>_xlfn.IFNA(VLOOKUP(G56,Stammdaten_DropDown!$B$14:$C$55,2,FALSE),"")</f>
        <v/>
      </c>
      <c r="K56" s="1141"/>
      <c r="L56" s="266"/>
      <c r="N56" s="1161"/>
      <c r="O56" s="1161"/>
      <c r="P56" s="1161"/>
    </row>
    <row r="57" spans="2:16" s="244" customFormat="1" x14ac:dyDescent="0.2">
      <c r="B57" s="240"/>
      <c r="D57" s="61"/>
      <c r="E57" s="245"/>
      <c r="F57" s="245"/>
      <c r="G57" s="234"/>
      <c r="H57" s="46"/>
      <c r="I57" s="97"/>
      <c r="J57" s="857"/>
      <c r="K57" s="857"/>
      <c r="L57" s="266"/>
      <c r="N57" s="1161"/>
      <c r="O57" s="1161"/>
      <c r="P57" s="1161"/>
    </row>
    <row r="58" spans="2:16" s="244" customFormat="1" x14ac:dyDescent="0.2">
      <c r="B58" s="240"/>
      <c r="D58" s="61"/>
      <c r="E58" s="245" t="str">
        <f>IF(G13&lt;&gt;"","LOGIB Code bereits vorhanden","Höchstausbildung LOGIB*")</f>
        <v>Höchstausbildung LOGIB*</v>
      </c>
      <c r="F58" s="245"/>
      <c r="G58" s="234"/>
      <c r="H58" s="1189"/>
      <c r="I58" s="1189"/>
      <c r="J58" s="1189"/>
      <c r="K58" s="1189"/>
      <c r="L58" s="266"/>
      <c r="N58" s="1161"/>
      <c r="O58" s="1161"/>
      <c r="P58" s="1161"/>
    </row>
    <row r="59" spans="2:16" s="244" customFormat="1" x14ac:dyDescent="0.2">
      <c r="B59" s="240"/>
      <c r="D59" s="61"/>
      <c r="E59" s="986" t="s">
        <v>2023</v>
      </c>
      <c r="F59" s="245"/>
      <c r="G59" s="246"/>
      <c r="H59" s="245"/>
      <c r="I59" s="245"/>
      <c r="J59" s="245"/>
      <c r="K59" s="245"/>
      <c r="L59" s="62"/>
      <c r="N59" s="1161"/>
      <c r="O59" s="1161"/>
      <c r="P59" s="1161"/>
    </row>
    <row r="60" spans="2:16" s="244" customFormat="1" x14ac:dyDescent="0.2">
      <c r="B60" s="240"/>
      <c r="D60" s="61"/>
      <c r="E60" s="1164" t="s">
        <v>946</v>
      </c>
      <c r="F60" s="1164"/>
      <c r="G60" s="1188"/>
      <c r="H60" s="1188"/>
      <c r="I60" s="1188"/>
      <c r="J60" s="1188"/>
      <c r="K60" s="1188"/>
      <c r="L60" s="62"/>
      <c r="N60" s="1161"/>
      <c r="O60" s="1161"/>
      <c r="P60" s="1161"/>
    </row>
    <row r="61" spans="2:16" s="244" customFormat="1" ht="8.1" customHeight="1" x14ac:dyDescent="0.2">
      <c r="B61" s="240"/>
      <c r="D61" s="63"/>
      <c r="E61" s="267"/>
      <c r="F61" s="267"/>
      <c r="G61" s="267"/>
      <c r="H61" s="267"/>
      <c r="I61" s="267"/>
      <c r="J61" s="267"/>
      <c r="K61" s="267"/>
      <c r="L61" s="66"/>
      <c r="N61" s="1161"/>
      <c r="O61" s="1161"/>
      <c r="P61" s="1161"/>
    </row>
    <row r="62" spans="2:16" s="244" customFormat="1" ht="6" customHeight="1" x14ac:dyDescent="0.2">
      <c r="B62" s="240"/>
      <c r="E62" s="268"/>
      <c r="F62" s="268"/>
      <c r="G62" s="268"/>
      <c r="H62" s="268"/>
      <c r="I62" s="268"/>
      <c r="J62" s="268"/>
      <c r="K62" s="268"/>
      <c r="N62" s="1161"/>
      <c r="O62" s="1161"/>
      <c r="P62" s="1161"/>
    </row>
    <row r="63" spans="2:16" s="244" customFormat="1" ht="5.0999999999999996" customHeight="1" x14ac:dyDescent="0.2">
      <c r="B63" s="240"/>
      <c r="D63" s="59"/>
      <c r="E63" s="67"/>
      <c r="F63" s="67"/>
      <c r="G63" s="68"/>
      <c r="H63" s="67"/>
      <c r="I63" s="67"/>
      <c r="J63" s="67"/>
      <c r="K63" s="67"/>
      <c r="L63" s="60"/>
      <c r="N63" s="1161"/>
      <c r="O63" s="1161"/>
      <c r="P63" s="1161"/>
    </row>
    <row r="64" spans="2:16" s="244" customFormat="1" x14ac:dyDescent="0.2">
      <c r="B64" s="240"/>
      <c r="D64" s="61"/>
      <c r="E64" s="1165" t="s">
        <v>978</v>
      </c>
      <c r="F64" s="1165"/>
      <c r="G64" s="1165"/>
      <c r="H64" s="1165"/>
      <c r="I64" s="1165"/>
      <c r="J64" s="1165"/>
      <c r="K64" s="319"/>
      <c r="L64" s="62"/>
      <c r="N64" s="1161"/>
      <c r="O64" s="1161"/>
      <c r="P64" s="1161"/>
    </row>
    <row r="65" spans="2:18" s="244" customFormat="1" x14ac:dyDescent="0.2">
      <c r="B65" s="240"/>
      <c r="D65" s="61"/>
      <c r="E65" s="245"/>
      <c r="F65" s="245"/>
      <c r="G65" s="246"/>
      <c r="H65" s="245"/>
      <c r="I65" s="245"/>
      <c r="J65" s="245"/>
      <c r="K65" s="245"/>
      <c r="L65" s="62"/>
      <c r="N65" s="1161"/>
      <c r="O65" s="1161"/>
      <c r="P65" s="1161"/>
      <c r="R65" s="244" t="s">
        <v>1036</v>
      </c>
    </row>
    <row r="66" spans="2:18" s="244" customFormat="1" x14ac:dyDescent="0.2">
      <c r="B66" s="240"/>
      <c r="D66" s="61"/>
      <c r="E66" s="1136"/>
      <c r="F66" s="1136"/>
      <c r="G66" s="1136"/>
      <c r="H66" s="1136"/>
      <c r="I66" s="1136"/>
      <c r="J66" s="1136"/>
      <c r="K66" s="1136"/>
      <c r="L66" s="62"/>
      <c r="N66" s="1161"/>
      <c r="O66" s="1161"/>
      <c r="P66" s="1161"/>
    </row>
    <row r="67" spans="2:18" s="244" customFormat="1" x14ac:dyDescent="0.2">
      <c r="B67" s="240"/>
      <c r="D67" s="61"/>
      <c r="E67" s="1136"/>
      <c r="F67" s="1136"/>
      <c r="G67" s="1136"/>
      <c r="H67" s="1136"/>
      <c r="I67" s="1136"/>
      <c r="J67" s="1136"/>
      <c r="K67" s="1136"/>
      <c r="L67" s="62"/>
      <c r="N67" s="1161"/>
      <c r="O67" s="1161"/>
      <c r="P67" s="1161"/>
    </row>
    <row r="68" spans="2:18" s="244" customFormat="1" x14ac:dyDescent="0.2">
      <c r="B68" s="240"/>
      <c r="D68" s="61"/>
      <c r="E68" s="1136"/>
      <c r="F68" s="1136"/>
      <c r="G68" s="1136"/>
      <c r="H68" s="1136"/>
      <c r="I68" s="1136"/>
      <c r="J68" s="1136"/>
      <c r="K68" s="1136"/>
      <c r="L68" s="62"/>
      <c r="N68" s="1161"/>
      <c r="O68" s="1161"/>
      <c r="P68" s="1161"/>
      <c r="R68" s="349">
        <f>E68</f>
        <v>0</v>
      </c>
    </row>
    <row r="69" spans="2:18" s="244" customFormat="1" ht="8.1" customHeight="1" x14ac:dyDescent="0.2">
      <c r="B69" s="240"/>
      <c r="D69" s="63"/>
      <c r="E69" s="64"/>
      <c r="F69" s="64"/>
      <c r="G69" s="65"/>
      <c r="H69" s="64"/>
      <c r="I69" s="64"/>
      <c r="J69" s="64"/>
      <c r="K69" s="64"/>
      <c r="L69" s="66"/>
      <c r="N69" s="1161"/>
      <c r="O69" s="1161"/>
      <c r="P69" s="1161"/>
    </row>
    <row r="70" spans="2:18" s="244" customFormat="1" ht="6" customHeight="1" x14ac:dyDescent="0.2">
      <c r="B70" s="240"/>
      <c r="E70" s="245"/>
      <c r="F70" s="245"/>
      <c r="G70" s="246"/>
      <c r="H70" s="245"/>
      <c r="I70" s="245"/>
      <c r="J70" s="245"/>
      <c r="K70" s="245"/>
      <c r="N70" s="1161"/>
      <c r="O70" s="1161"/>
      <c r="P70" s="1161"/>
    </row>
    <row r="71" spans="2:18" s="244" customFormat="1" ht="5.0999999999999996" customHeight="1" x14ac:dyDescent="0.2">
      <c r="B71" s="240"/>
      <c r="D71" s="202"/>
      <c r="E71" s="67"/>
      <c r="F71" s="67"/>
      <c r="G71" s="68"/>
      <c r="H71" s="67"/>
      <c r="I71" s="67"/>
      <c r="J71" s="67"/>
      <c r="K71" s="67"/>
      <c r="L71" s="203"/>
      <c r="N71" s="1161"/>
      <c r="O71" s="1161"/>
      <c r="P71" s="1161"/>
    </row>
    <row r="72" spans="2:18" s="244" customFormat="1" x14ac:dyDescent="0.2">
      <c r="B72" s="240"/>
      <c r="D72" s="204"/>
      <c r="E72" s="210" t="s">
        <v>929</v>
      </c>
      <c r="F72" s="210"/>
      <c r="G72" s="320"/>
      <c r="H72" s="319"/>
      <c r="I72" s="319"/>
      <c r="J72" s="319"/>
      <c r="K72" s="319"/>
      <c r="L72" s="266"/>
      <c r="N72" s="1176" t="str">
        <f>Stammdaten_DropDown!A114</f>
        <v>Lohnentwicklung</v>
      </c>
      <c r="O72" s="1176"/>
      <c r="P72" s="1176"/>
    </row>
    <row r="73" spans="2:18" s="244" customFormat="1" ht="6" customHeight="1" x14ac:dyDescent="0.2">
      <c r="B73" s="240"/>
      <c r="D73" s="204"/>
      <c r="E73" s="245"/>
      <c r="F73" s="245"/>
      <c r="G73" s="535"/>
      <c r="H73" s="245"/>
      <c r="I73" s="245"/>
      <c r="J73" s="245"/>
      <c r="K73" s="245"/>
      <c r="L73" s="266"/>
      <c r="N73" s="239"/>
    </row>
    <row r="74" spans="2:18" s="244" customFormat="1" x14ac:dyDescent="0.2">
      <c r="B74" s="240"/>
      <c r="D74" s="204"/>
      <c r="E74" s="245" t="s">
        <v>940</v>
      </c>
      <c r="F74" s="245"/>
      <c r="G74" s="535"/>
      <c r="H74" s="245"/>
      <c r="I74" s="245"/>
      <c r="J74" s="1166"/>
      <c r="K74" s="1166"/>
      <c r="L74" s="266"/>
      <c r="N74" s="1185" t="str">
        <f>Stammdaten_DropDown!A115</f>
        <v>Bitte angeben, ob eine individuelle Lohnentwicklung gewährt werden soll.</v>
      </c>
      <c r="O74" s="1185"/>
      <c r="P74" s="1185"/>
    </row>
    <row r="75" spans="2:18" s="244" customFormat="1" x14ac:dyDescent="0.2">
      <c r="B75" s="240"/>
      <c r="D75" s="204"/>
      <c r="E75" s="245"/>
      <c r="F75" s="245"/>
      <c r="G75" s="535"/>
      <c r="H75" s="245"/>
      <c r="I75" s="245"/>
      <c r="J75" s="245"/>
      <c r="K75" s="245"/>
      <c r="L75" s="266"/>
      <c r="N75" s="1185" t="str">
        <f>Stammdaten_DropDown!A116</f>
        <v>Bei einem Neueintritt nach dem 01.07.2026 ist keine individuelle Lohnentwicklung vorgesehen.</v>
      </c>
      <c r="O75" s="1185"/>
      <c r="P75" s="1185"/>
    </row>
    <row r="76" spans="2:18" s="244" customFormat="1" x14ac:dyDescent="0.2">
      <c r="B76" s="240"/>
      <c r="D76" s="204"/>
      <c r="E76" s="275" t="s">
        <v>764</v>
      </c>
      <c r="G76" s="1011" t="str">
        <f>IF(ISBLANK($J$74),IF(BandLohnBer="",IF(BandLohnRechner="","",BandLohnRechner),IF(BandLohnRechner="",BandLohnBer,"FEHLER")),"-")</f>
        <v/>
      </c>
      <c r="I76" s="737" t="s">
        <v>808</v>
      </c>
      <c r="K76" s="1006" t="str">
        <f>IF(ISBLANK($J$74),IF(EWLohnBer="",IF(EWLohnRechner="","",EWLohnRechner),IF(EWLohnRechner="",EWLohnBer,"FEHLER")),"-")</f>
        <v/>
      </c>
      <c r="L76" s="266"/>
      <c r="N76" s="1185" t="str">
        <f>Stammdaten_DropDown!A117</f>
        <v>In dem Fall ist das Prädikat auf dem Wert «NA» (keine Beurteilung) zu belassen.</v>
      </c>
      <c r="O76" s="1185"/>
      <c r="P76" s="1185"/>
    </row>
    <row r="77" spans="2:18" s="244" customFormat="1" x14ac:dyDescent="0.2">
      <c r="B77" s="240"/>
      <c r="D77" s="204"/>
      <c r="E77" s="429" t="b">
        <f>AND(BandLohnBer&lt;&gt;"",BandLohnRechner&lt;&gt;"")</f>
        <v>0</v>
      </c>
      <c r="F77" s="245"/>
      <c r="G77" s="536" t="str">
        <f>IF(E77,"2 Lohnbänder gefunden","")</f>
        <v/>
      </c>
      <c r="H77" s="688" t="b">
        <f>AND(EWLohnBer&lt;&gt;"",EWLohnRechner&lt;&gt;"")</f>
        <v>0</v>
      </c>
      <c r="J77" s="538" t="str">
        <f>IF(H77,"2 Erfahrungswerte gefunden","")</f>
        <v/>
      </c>
      <c r="K77" s="538"/>
      <c r="L77" s="266"/>
      <c r="N77" s="239"/>
    </row>
    <row r="78" spans="2:18" s="244" customFormat="1" x14ac:dyDescent="0.2">
      <c r="B78" s="240"/>
      <c r="D78" s="204"/>
      <c r="E78" s="565"/>
      <c r="I78" s="737" t="s">
        <v>1100</v>
      </c>
      <c r="K78" s="1000" t="str">
        <f>IF(ISBLANK($J$74),IF(LohnLohnBer="",IF(LohnLohnRechner="","",LohnLohnRechner),IF(LohnLohnRechner="",LohnLohnBer,"FEHLER")),"-")</f>
        <v/>
      </c>
      <c r="L78" s="62"/>
      <c r="N78" s="1174" t="str">
        <f>Stammdaten_DropDown!A118</f>
        <v xml:space="preserve">Falls eine individuelle  Lohnentwicklung gewährt werden soll, ist das entsprechende Prädikat aus der relevanten MAG-Phase im Dropdown-Menu auszuwählen. </v>
      </c>
      <c r="O78" s="1174"/>
      <c r="P78" s="1174"/>
    </row>
    <row r="79" spans="2:18" s="244" customFormat="1" x14ac:dyDescent="0.2">
      <c r="B79" s="240"/>
      <c r="D79" s="204"/>
      <c r="E79" s="245"/>
      <c r="F79" s="245"/>
      <c r="G79" s="245"/>
      <c r="H79" s="245"/>
      <c r="I79" s="429" t="b">
        <f>AND(LohnLohnBer&lt;&gt;"",LohnLohnRechner&lt;&gt;"")</f>
        <v>0</v>
      </c>
      <c r="J79" s="1173" t="str">
        <f>IF(I79,"2 Löhne gefunden","")</f>
        <v/>
      </c>
      <c r="K79" s="1173"/>
      <c r="L79" s="266"/>
      <c r="N79" s="1174"/>
      <c r="O79" s="1174"/>
      <c r="P79" s="1174"/>
    </row>
    <row r="80" spans="2:18" s="244" customFormat="1" x14ac:dyDescent="0.2">
      <c r="B80" s="240"/>
      <c r="D80" s="204"/>
      <c r="E80" s="245" t="str">
        <f>CONCATENATE("Lohnentwicklung per 01.01.",LohntabelleM!I1+1," gewähren?")</f>
        <v>Lohnentwicklung per 01.01.2027 gewähren?</v>
      </c>
      <c r="F80" s="245"/>
      <c r="G80" s="245"/>
      <c r="H80" s="844"/>
      <c r="I80" s="429"/>
      <c r="J80" s="862" t="s">
        <v>1948</v>
      </c>
      <c r="K80" s="869" t="str">
        <f>L80</f>
        <v/>
      </c>
      <c r="L80" s="858" t="str">
        <f>IF(H80="Ja","A",IF(H80="Nein","NA",""))</f>
        <v/>
      </c>
      <c r="N80" s="1185" t="str">
        <f>Stammdaten_DropDown!A119</f>
        <v>Ist noch keine Beurteilung hinterlegt, so ist das Prädikat auf «A» zu belassen.</v>
      </c>
      <c r="O80" s="1185"/>
      <c r="P80" s="1185"/>
    </row>
    <row r="81" spans="2:12" s="244" customFormat="1" ht="8.1" customHeight="1" x14ac:dyDescent="0.2">
      <c r="B81" s="240"/>
      <c r="D81" s="206"/>
      <c r="E81" s="64"/>
      <c r="F81" s="64"/>
      <c r="G81" s="65"/>
      <c r="H81" s="64"/>
      <c r="I81" s="64"/>
      <c r="J81" s="64"/>
      <c r="K81" s="64"/>
      <c r="L81" s="279"/>
    </row>
    <row r="82" spans="2:12" s="244" customFormat="1" ht="10.9" customHeight="1" x14ac:dyDescent="0.2">
      <c r="B82" s="240"/>
      <c r="E82" s="245"/>
      <c r="F82" s="245"/>
      <c r="G82" s="246"/>
      <c r="H82" s="245"/>
      <c r="I82" s="245"/>
      <c r="J82" s="245"/>
      <c r="K82" s="245"/>
      <c r="L82" s="245"/>
    </row>
    <row r="83" spans="2:12" s="244" customFormat="1" ht="62.1" customHeight="1" x14ac:dyDescent="0.2">
      <c r="B83" s="240"/>
      <c r="D83" s="1143" t="s">
        <v>959</v>
      </c>
      <c r="E83" s="1143"/>
      <c r="F83" s="1143"/>
      <c r="G83" s="1143"/>
      <c r="H83" s="1143"/>
      <c r="I83" s="1143"/>
      <c r="J83" s="1143"/>
      <c r="K83" s="1143"/>
      <c r="L83" s="1143"/>
    </row>
    <row r="84" spans="2:12" s="244" customFormat="1" ht="20.25" customHeight="1" x14ac:dyDescent="0.2">
      <c r="B84" s="240"/>
      <c r="D84" s="1143"/>
      <c r="E84" s="1143"/>
      <c r="F84" s="1143"/>
      <c r="G84" s="1143"/>
      <c r="H84" s="1143"/>
      <c r="I84" s="1143"/>
      <c r="J84" s="1143"/>
      <c r="K84" s="1143"/>
      <c r="L84" s="1143"/>
    </row>
    <row r="85" spans="2:12" s="244" customFormat="1" x14ac:dyDescent="0.2"/>
    <row r="86" spans="2:12" s="244" customFormat="1" x14ac:dyDescent="0.2"/>
    <row r="87" spans="2:12" s="244" customFormat="1" x14ac:dyDescent="0.2"/>
    <row r="88" spans="2:12" s="244" customFormat="1" x14ac:dyDescent="0.2"/>
    <row r="89" spans="2:12" s="244" customFormat="1" x14ac:dyDescent="0.2"/>
    <row r="90" spans="2:12" s="244" customFormat="1" x14ac:dyDescent="0.2"/>
    <row r="91" spans="2:12" s="244" customFormat="1" x14ac:dyDescent="0.2"/>
    <row r="92" spans="2:12" s="244" customFormat="1" x14ac:dyDescent="0.2"/>
  </sheetData>
  <sheetProtection algorithmName="SHA-512" hashValue="q1mqPkJqP3SVIFHEM+3e/KUOv8LF2uKHp+4dXxfpPa/ug8RBPyfYD/bKi5/RUPkOaBHnZW8U3UdSrHL7A2UAqg==" saltValue="cZL04wmGNWRKT4z52ZeStg==" spinCount="100000" sheet="1" objects="1" scenarios="1"/>
  <mergeCells count="37">
    <mergeCell ref="N78:P79"/>
    <mergeCell ref="N80:P80"/>
    <mergeCell ref="N72:P72"/>
    <mergeCell ref="N9:O10"/>
    <mergeCell ref="N47:P71"/>
    <mergeCell ref="N74:P74"/>
    <mergeCell ref="N75:P75"/>
    <mergeCell ref="N76:P76"/>
    <mergeCell ref="D83:L84"/>
    <mergeCell ref="E67:K67"/>
    <mergeCell ref="E68:K68"/>
    <mergeCell ref="E37:G37"/>
    <mergeCell ref="E39:K39"/>
    <mergeCell ref="E40:K40"/>
    <mergeCell ref="E41:K41"/>
    <mergeCell ref="J74:K74"/>
    <mergeCell ref="J79:K79"/>
    <mergeCell ref="E60:F60"/>
    <mergeCell ref="G60:K60"/>
    <mergeCell ref="E64:J64"/>
    <mergeCell ref="E66:K66"/>
    <mergeCell ref="J56:K56"/>
    <mergeCell ref="H58:K58"/>
    <mergeCell ref="G32:K32"/>
    <mergeCell ref="F52:G52"/>
    <mergeCell ref="H43:J43"/>
    <mergeCell ref="G11:H11"/>
    <mergeCell ref="G13:H13"/>
    <mergeCell ref="J13:K13"/>
    <mergeCell ref="J11:K11"/>
    <mergeCell ref="G28:K28"/>
    <mergeCell ref="F22:G22"/>
    <mergeCell ref="F19:J19"/>
    <mergeCell ref="F21:I21"/>
    <mergeCell ref="F20:K20"/>
    <mergeCell ref="I17:K17"/>
    <mergeCell ref="G15:K15"/>
  </mergeCells>
  <conditionalFormatting sqref="G76">
    <cfRule type="expression" dxfId="184" priority="10">
      <formula>E77</formula>
    </cfRule>
  </conditionalFormatting>
  <conditionalFormatting sqref="K78">
    <cfRule type="expression" dxfId="183" priority="8">
      <formula>$I$79</formula>
    </cfRule>
  </conditionalFormatting>
  <conditionalFormatting sqref="K76">
    <cfRule type="expression" dxfId="182" priority="174">
      <formula>$H$77</formula>
    </cfRule>
  </conditionalFormatting>
  <conditionalFormatting sqref="J80">
    <cfRule type="expression" dxfId="181" priority="7">
      <formula>#REF!</formula>
    </cfRule>
  </conditionalFormatting>
  <conditionalFormatting sqref="J80:K80 N76:P80">
    <cfRule type="expression" dxfId="180" priority="5">
      <formula>$H$80=""</formula>
    </cfRule>
  </conditionalFormatting>
  <conditionalFormatting sqref="E60:K60 E72:K80 N72:P80">
    <cfRule type="expression" dxfId="179" priority="2">
      <formula>AND($H$58="",$G$13="")</formula>
    </cfRule>
  </conditionalFormatting>
  <conditionalFormatting sqref="H58:K58 E59">
    <cfRule type="expression" dxfId="178" priority="1">
      <formula>$G$13&lt;&gt;""</formula>
    </cfRule>
  </conditionalFormatting>
  <dataValidations count="5">
    <dataValidation operator="greaterThan" allowBlank="1" showInputMessage="1" showErrorMessage="1" errorTitle="Fehler" error="Pensum als Ganzzahl angeben" sqref="J55 K78 J80" xr:uid="{00000000-0002-0000-0500-000000000000}"/>
    <dataValidation allowBlank="1" showInputMessage="1" sqref="J28:K30 J56:J57" xr:uid="{00000000-0002-0000-0500-000001000000}"/>
    <dataValidation type="date" operator="greaterThan" allowBlank="1" showInputMessage="1" showErrorMessage="1" errorTitle="Fehler" error="Geben Sie ein gültiges Datum dd.mm.yyyy ein!" sqref="K9" xr:uid="{00000000-0002-0000-0500-000002000000}">
      <formula1>1</formula1>
    </dataValidation>
    <dataValidation type="whole" operator="greaterThan" allowBlank="1" showInputMessage="1" showErrorMessage="1" errorTitle="Fehler" error="Ungültige Postleitzahl" sqref="G17:G18" xr:uid="{00000000-0002-0000-0500-000003000000}">
      <formula1>0</formula1>
    </dataValidation>
    <dataValidation operator="greaterThan" showInputMessage="1" showErrorMessage="1" errorTitle="Fehler" error="Geben Sie ein gültiges Datum dd.mm.yyyy ein!" sqref="G28:G30 H44:H45 H34:H41 K34:K41 K44:K45" xr:uid="{00000000-0002-0000-0500-000004000000}"/>
  </dataValidations>
  <hyperlinks>
    <hyperlink ref="N9:O10" location="Grunddaten!E9" display="Zurück zu Grunddaten" xr:uid="{00000000-0004-0000-0500-000000000000}"/>
  </hyperlinks>
  <pageMargins left="0.70866141732283472" right="0.70866141732283472" top="0.78740157480314965" bottom="0.78740157480314965" header="0.31496062992125984" footer="0.31496062992125984"/>
  <pageSetup paperSize="9" scale="95" fitToHeight="0" orientation="portrait" r:id="rId1"/>
  <headerFooter>
    <oddFooter>Seite &amp;P von &amp;N</oddFooter>
  </headerFooter>
  <rowBreaks count="1" manualBreakCount="1">
    <brk id="45" max="16383" man="1"/>
  </rowBreaks>
  <ignoredErrors>
    <ignoredError sqref="K80"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500-000005000000}">
          <x14:formula1>
            <xm:f>Stammdaten_DropDown!$E$103:$E$104</xm:f>
          </x14:formula1>
          <xm:sqref>H80</xm:sqref>
        </x14:dataValidation>
        <x14:dataValidation type="list" allowBlank="1" showInputMessage="1" showErrorMessage="1" xr:uid="{00000000-0002-0000-0500-000006000000}">
          <x14:formula1>
            <xm:f>Stammdaten_DropDown!$E$107:$E$110</xm:f>
          </x14:formula1>
          <xm:sqref>K80</xm:sqref>
        </x14:dataValidation>
        <x14:dataValidation type="list" allowBlank="1" showInputMessage="1" showErrorMessage="1" xr:uid="{00000000-0002-0000-0500-000007000000}">
          <x14:formula1>
            <xm:f>Stammdaten_DropDown!$E$93:$E$100</xm:f>
          </x14:formula1>
          <xm:sqref>H58:K58</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7">
    <tabColor theme="7" tint="0.39997558519241921"/>
    <pageSetUpPr fitToPage="1"/>
  </sheetPr>
  <dimension ref="A1:R113"/>
  <sheetViews>
    <sheetView zoomScaleNormal="100" workbookViewId="0">
      <selection activeCell="G15" sqref="G15:L15"/>
    </sheetView>
  </sheetViews>
  <sheetFormatPr baseColWidth="10" defaultColWidth="11.5703125" defaultRowHeight="12.75" x14ac:dyDescent="0.2"/>
  <cols>
    <col min="1" max="1" width="2.42578125" style="91" customWidth="1"/>
    <col min="2" max="2" width="1.42578125" style="235" customWidth="1"/>
    <col min="3" max="3" width="0.5703125" style="235" customWidth="1"/>
    <col min="4" max="4" width="3.5703125" style="91" customWidth="1"/>
    <col min="5" max="5" width="11.5703125" style="91"/>
    <col min="6" max="6" width="10.5703125" style="91" customWidth="1"/>
    <col min="7" max="7" width="11.85546875" style="91" bestFit="1" customWidth="1"/>
    <col min="8" max="8" width="11.42578125" style="91" customWidth="1"/>
    <col min="9" max="9" width="4.5703125" style="91" customWidth="1"/>
    <col min="10" max="10" width="12.42578125" style="91" customWidth="1"/>
    <col min="11" max="11" width="8.5703125" style="91" customWidth="1"/>
    <col min="12" max="12" width="12.42578125" style="91" customWidth="1"/>
    <col min="13" max="13" width="3.5703125" style="91" customWidth="1"/>
    <col min="14" max="14" width="2" style="91" customWidth="1"/>
    <col min="15" max="16" width="11.5703125" style="91"/>
    <col min="17" max="17" width="47.5703125" style="91" customWidth="1"/>
    <col min="18" max="18" width="72.5703125" style="91" hidden="1" customWidth="1"/>
    <col min="19" max="16384" width="11.5703125" style="91"/>
  </cols>
  <sheetData>
    <row r="1" spans="1:17" s="244" customFormat="1" ht="5.0999999999999996" customHeight="1" x14ac:dyDescent="0.2">
      <c r="B1" s="235"/>
      <c r="C1" s="235"/>
    </row>
    <row r="2" spans="1:17" s="244" customFormat="1" ht="45" customHeight="1" x14ac:dyDescent="0.2">
      <c r="B2" s="333"/>
      <c r="C2" s="235"/>
      <c r="D2" s="1144" t="s">
        <v>1943</v>
      </c>
      <c r="E2" s="1144"/>
      <c r="F2" s="1144"/>
      <c r="G2" s="1144"/>
      <c r="H2" s="1144"/>
      <c r="I2" s="319"/>
      <c r="J2" s="319"/>
      <c r="K2" s="319"/>
      <c r="L2" s="319"/>
    </row>
    <row r="3" spans="1:17" s="235" customFormat="1" ht="21" customHeight="1" x14ac:dyDescent="0.2">
      <c r="B3" s="236"/>
      <c r="D3" s="318" t="s">
        <v>945</v>
      </c>
      <c r="F3" s="318"/>
      <c r="H3" s="237"/>
      <c r="I3" s="237"/>
      <c r="J3" s="237"/>
      <c r="M3" s="994" t="str">
        <f>CONCATENATE(LohntabelleM!G1," / ",LohntabelleM!I1)</f>
        <v>V6.0 / 2026</v>
      </c>
      <c r="N3" s="237"/>
    </row>
    <row r="4" spans="1:17" s="244" customFormat="1" ht="6.75" customHeight="1" x14ac:dyDescent="0.2">
      <c r="A4" s="239"/>
      <c r="B4" s="240"/>
      <c r="C4" s="240"/>
      <c r="D4" s="240"/>
      <c r="E4" s="240"/>
      <c r="F4" s="241"/>
      <c r="G4" s="240"/>
      <c r="H4" s="242"/>
      <c r="I4" s="243"/>
      <c r="J4" s="242"/>
      <c r="K4" s="242"/>
      <c r="L4" s="242"/>
      <c r="M4" s="242"/>
      <c r="N4" s="237"/>
    </row>
    <row r="5" spans="1:17" s="244" customFormat="1" ht="6" customHeight="1" x14ac:dyDescent="0.2">
      <c r="A5" s="239"/>
      <c r="B5" s="240"/>
      <c r="C5" s="239"/>
      <c r="D5" s="239"/>
      <c r="E5" s="239"/>
      <c r="F5" s="318"/>
      <c r="G5" s="239"/>
      <c r="H5" s="245"/>
      <c r="I5" s="246"/>
      <c r="J5" s="245"/>
      <c r="K5" s="245"/>
      <c r="L5" s="245"/>
      <c r="M5" s="245"/>
      <c r="N5" s="239"/>
    </row>
    <row r="6" spans="1:17" s="244" customFormat="1" ht="5.0999999999999996" customHeight="1" x14ac:dyDescent="0.2">
      <c r="B6" s="240"/>
      <c r="D6" s="59"/>
      <c r="E6" s="315"/>
      <c r="F6" s="316"/>
      <c r="G6" s="317"/>
      <c r="H6" s="315"/>
      <c r="I6" s="315"/>
      <c r="J6" s="315"/>
      <c r="K6" s="315"/>
      <c r="L6" s="315"/>
      <c r="M6" s="60"/>
    </row>
    <row r="7" spans="1:17" s="244" customFormat="1" x14ac:dyDescent="0.2">
      <c r="B7" s="240"/>
      <c r="D7" s="61"/>
      <c r="E7" s="318" t="s">
        <v>770</v>
      </c>
      <c r="F7" s="319"/>
      <c r="G7" s="320"/>
      <c r="H7" s="319"/>
      <c r="I7" s="319"/>
      <c r="J7" s="319"/>
      <c r="K7" s="319"/>
      <c r="L7" s="319"/>
      <c r="M7" s="62"/>
    </row>
    <row r="8" spans="1:17" s="244" customFormat="1" x14ac:dyDescent="0.2">
      <c r="B8" s="240"/>
      <c r="C8" s="239"/>
      <c r="D8" s="61"/>
      <c r="E8" s="245"/>
      <c r="F8" s="245"/>
      <c r="G8" s="246"/>
      <c r="H8" s="245"/>
      <c r="I8" s="245"/>
      <c r="J8" s="245"/>
      <c r="K8" s="245"/>
      <c r="L8" s="245"/>
      <c r="M8" s="62"/>
    </row>
    <row r="9" spans="1:17" s="244" customFormat="1" x14ac:dyDescent="0.2">
      <c r="B9" s="247"/>
      <c r="C9" s="235"/>
      <c r="D9" s="61"/>
      <c r="E9" s="245" t="s">
        <v>967</v>
      </c>
      <c r="F9" s="245"/>
      <c r="G9" s="334" t="str">
        <f>IF(MAAnrede&lt;&gt;"",MAAnrede,"")</f>
        <v/>
      </c>
      <c r="H9" s="245"/>
      <c r="I9" s="245"/>
      <c r="J9" s="245"/>
      <c r="K9" s="245"/>
      <c r="L9" s="245"/>
      <c r="M9" s="62"/>
    </row>
    <row r="10" spans="1:17" s="244" customFormat="1" x14ac:dyDescent="0.2">
      <c r="B10" s="240"/>
      <c r="C10" s="239"/>
      <c r="D10" s="61"/>
      <c r="E10" s="245"/>
      <c r="F10" s="245"/>
      <c r="G10" s="246"/>
      <c r="H10" s="245"/>
      <c r="I10" s="245"/>
      <c r="J10" s="245"/>
      <c r="K10" s="245"/>
      <c r="L10" s="245"/>
      <c r="M10" s="62"/>
    </row>
    <row r="11" spans="1:17" s="244" customFormat="1" ht="12.6" customHeight="1" x14ac:dyDescent="0.2">
      <c r="B11" s="247"/>
      <c r="C11" s="235"/>
      <c r="D11" s="61"/>
      <c r="E11" s="245" t="s">
        <v>756</v>
      </c>
      <c r="F11" s="245"/>
      <c r="G11" s="1181" t="str">
        <f>IF(MAName&lt;&gt;"",MAName,"")</f>
        <v/>
      </c>
      <c r="H11" s="1181"/>
      <c r="I11" s="245"/>
      <c r="J11" s="245" t="s">
        <v>757</v>
      </c>
      <c r="K11" s="1181" t="str">
        <f>IF(MAVorname&lt;&gt;"",MAVorname,"")</f>
        <v/>
      </c>
      <c r="L11" s="1181"/>
      <c r="M11" s="62"/>
      <c r="O11" s="1149" t="s">
        <v>1029</v>
      </c>
      <c r="P11" s="1150"/>
      <c r="Q11" s="675"/>
    </row>
    <row r="12" spans="1:17" s="244" customFormat="1" ht="12.6" customHeight="1" x14ac:dyDescent="0.2">
      <c r="B12" s="247"/>
      <c r="C12" s="235"/>
      <c r="D12" s="61"/>
      <c r="E12" s="245"/>
      <c r="F12" s="245"/>
      <c r="G12" s="245"/>
      <c r="H12" s="245"/>
      <c r="I12" s="245"/>
      <c r="J12" s="245"/>
      <c r="K12" s="245"/>
      <c r="L12" s="245"/>
      <c r="M12" s="62"/>
      <c r="O12" s="1151"/>
      <c r="P12" s="1152"/>
      <c r="Q12" s="675"/>
    </row>
    <row r="13" spans="1:17" s="244" customFormat="1" x14ac:dyDescent="0.2">
      <c r="B13" s="247"/>
      <c r="C13" s="235"/>
      <c r="D13" s="61"/>
      <c r="E13" s="245" t="s">
        <v>762</v>
      </c>
      <c r="F13" s="245"/>
      <c r="G13" s="1181" t="str">
        <f>IF(MAPersID&lt;&gt;"",MAPersID,"")</f>
        <v/>
      </c>
      <c r="H13" s="1181"/>
      <c r="I13" s="255"/>
      <c r="M13" s="62"/>
    </row>
    <row r="14" spans="1:17" s="244" customFormat="1" x14ac:dyDescent="0.2">
      <c r="B14" s="247"/>
      <c r="C14" s="235"/>
      <c r="D14" s="61"/>
      <c r="E14" s="245"/>
      <c r="F14" s="245"/>
      <c r="G14" s="246"/>
      <c r="H14" s="245"/>
      <c r="I14" s="245"/>
      <c r="J14" s="245"/>
      <c r="K14" s="245"/>
      <c r="L14" s="245"/>
      <c r="M14" s="62"/>
    </row>
    <row r="15" spans="1:17" s="244" customFormat="1" x14ac:dyDescent="0.2">
      <c r="B15" s="247"/>
      <c r="C15" s="235"/>
      <c r="D15" s="61"/>
      <c r="E15" s="245" t="s">
        <v>755</v>
      </c>
      <c r="F15" s="245"/>
      <c r="G15" s="1135"/>
      <c r="H15" s="1135"/>
      <c r="I15" s="1135"/>
      <c r="J15" s="1135"/>
      <c r="K15" s="1135"/>
      <c r="L15" s="1135"/>
      <c r="M15" s="62"/>
    </row>
    <row r="16" spans="1:17" s="244" customFormat="1" x14ac:dyDescent="0.2">
      <c r="B16" s="247"/>
      <c r="C16" s="235"/>
      <c r="D16" s="61"/>
      <c r="E16" s="245"/>
      <c r="F16" s="245"/>
      <c r="G16" s="246"/>
      <c r="H16" s="245"/>
      <c r="I16" s="245"/>
      <c r="J16" s="245"/>
      <c r="K16" s="245"/>
      <c r="L16" s="245"/>
      <c r="M16" s="62"/>
    </row>
    <row r="17" spans="2:13" s="244" customFormat="1" x14ac:dyDescent="0.2">
      <c r="B17" s="247"/>
      <c r="C17" s="235"/>
      <c r="D17" s="61"/>
      <c r="E17" s="245" t="s">
        <v>758</v>
      </c>
      <c r="F17" s="245"/>
      <c r="G17" s="215"/>
      <c r="H17" s="566" t="s">
        <v>759</v>
      </c>
      <c r="I17" s="1135"/>
      <c r="J17" s="1135"/>
      <c r="K17" s="1135"/>
      <c r="L17" s="1135"/>
      <c r="M17" s="62"/>
    </row>
    <row r="18" spans="2:13" s="244" customFormat="1" x14ac:dyDescent="0.2">
      <c r="B18" s="247"/>
      <c r="C18" s="235"/>
      <c r="D18" s="61"/>
      <c r="E18" s="245"/>
      <c r="F18" s="245"/>
      <c r="G18" s="246"/>
      <c r="H18" s="245"/>
      <c r="I18" s="245"/>
      <c r="J18" s="245"/>
      <c r="K18" s="245"/>
      <c r="L18" s="246"/>
      <c r="M18" s="62"/>
    </row>
    <row r="19" spans="2:13" s="244" customFormat="1" x14ac:dyDescent="0.2">
      <c r="B19" s="247"/>
      <c r="C19" s="235"/>
      <c r="D19" s="61"/>
      <c r="E19" s="245" t="s">
        <v>760</v>
      </c>
      <c r="F19" s="245"/>
      <c r="G19" s="457" t="str">
        <f>IF(MAGeburtsdatum="","",MAGeburtsdatum)</f>
        <v/>
      </c>
      <c r="H19" s="245"/>
      <c r="I19" s="245"/>
      <c r="J19" s="245"/>
      <c r="K19" s="245"/>
      <c r="L19" s="245"/>
      <c r="M19" s="62"/>
    </row>
    <row r="20" spans="2:13" s="244" customFormat="1" x14ac:dyDescent="0.2">
      <c r="B20" s="247"/>
      <c r="C20" s="235"/>
      <c r="D20" s="61"/>
      <c r="E20" s="245"/>
      <c r="F20" s="245"/>
      <c r="G20" s="245"/>
      <c r="H20" s="245"/>
      <c r="I20" s="245"/>
      <c r="J20" s="245"/>
      <c r="K20" s="245"/>
      <c r="L20" s="246"/>
      <c r="M20" s="62"/>
    </row>
    <row r="21" spans="2:13" s="244" customFormat="1" ht="13.15" customHeight="1" x14ac:dyDescent="0.2">
      <c r="B21" s="240"/>
      <c r="D21" s="61"/>
      <c r="E21" s="336" t="s">
        <v>825</v>
      </c>
      <c r="F21" s="1177" t="s">
        <v>1072</v>
      </c>
      <c r="G21" s="1177"/>
      <c r="H21" s="1177"/>
      <c r="I21" s="1177"/>
      <c r="J21" s="1177"/>
      <c r="K21" s="1177"/>
      <c r="L21" s="431"/>
      <c r="M21" s="62"/>
    </row>
    <row r="22" spans="2:13" s="244" customFormat="1" ht="13.15" customHeight="1" x14ac:dyDescent="0.2">
      <c r="B22" s="240"/>
      <c r="D22" s="61"/>
      <c r="E22" s="336"/>
      <c r="F22" s="1190" t="s">
        <v>1070</v>
      </c>
      <c r="G22" s="1190"/>
      <c r="H22" s="1190"/>
      <c r="I22" s="1190"/>
      <c r="J22" s="1190"/>
      <c r="K22" s="1190"/>
      <c r="L22" s="1190"/>
      <c r="M22" s="62"/>
    </row>
    <row r="23" spans="2:13" s="244" customFormat="1" ht="12.6" customHeight="1" x14ac:dyDescent="0.2">
      <c r="B23" s="240"/>
      <c r="D23" s="61"/>
      <c r="E23" s="336"/>
      <c r="F23" s="1190" t="s">
        <v>1071</v>
      </c>
      <c r="G23" s="1190"/>
      <c r="H23" s="1190"/>
      <c r="I23" s="1190"/>
      <c r="J23" s="1190"/>
      <c r="K23" s="340"/>
      <c r="L23" s="431"/>
      <c r="M23" s="62"/>
    </row>
    <row r="24" spans="2:13" s="244" customFormat="1" ht="12.6" customHeight="1" x14ac:dyDescent="0.2">
      <c r="B24" s="240"/>
      <c r="D24" s="61"/>
      <c r="E24" s="336"/>
      <c r="F24" s="1190" t="s">
        <v>1073</v>
      </c>
      <c r="G24" s="1190"/>
      <c r="H24" s="340"/>
      <c r="I24" s="340"/>
      <c r="J24" s="340"/>
      <c r="K24" s="340"/>
      <c r="L24" s="431"/>
      <c r="M24" s="62"/>
    </row>
    <row r="25" spans="2:13" s="244" customFormat="1" ht="8.1" customHeight="1" x14ac:dyDescent="0.2">
      <c r="B25" s="247"/>
      <c r="C25" s="235"/>
      <c r="D25" s="63"/>
      <c r="E25" s="64"/>
      <c r="F25" s="64"/>
      <c r="G25" s="65"/>
      <c r="H25" s="64"/>
      <c r="I25" s="64"/>
      <c r="J25" s="64"/>
      <c r="K25" s="64"/>
      <c r="L25" s="64"/>
      <c r="M25" s="66"/>
    </row>
    <row r="26" spans="2:13" s="244" customFormat="1" ht="6" customHeight="1" x14ac:dyDescent="0.2">
      <c r="B26" s="247"/>
      <c r="C26" s="235"/>
      <c r="E26" s="245"/>
      <c r="F26" s="245"/>
      <c r="G26" s="246"/>
      <c r="H26" s="245"/>
      <c r="I26" s="245"/>
      <c r="J26" s="245"/>
      <c r="K26" s="245"/>
      <c r="L26" s="245"/>
    </row>
    <row r="27" spans="2:13" s="244" customFormat="1" ht="5.0999999999999996" customHeight="1" x14ac:dyDescent="0.2">
      <c r="B27" s="247"/>
      <c r="C27" s="235"/>
      <c r="D27" s="59"/>
      <c r="E27" s="269"/>
      <c r="F27" s="269"/>
      <c r="G27" s="270"/>
      <c r="H27" s="269"/>
      <c r="I27" s="269"/>
      <c r="J27" s="269"/>
      <c r="K27" s="269"/>
      <c r="L27" s="269"/>
      <c r="M27" s="60"/>
    </row>
    <row r="28" spans="2:13" s="244" customFormat="1" x14ac:dyDescent="0.2">
      <c r="B28" s="247"/>
      <c r="C28" s="235"/>
      <c r="D28" s="61"/>
      <c r="E28" s="318" t="s">
        <v>931</v>
      </c>
      <c r="F28" s="245"/>
      <c r="G28" s="246"/>
      <c r="H28" s="245"/>
      <c r="I28" s="245"/>
      <c r="J28" s="245"/>
      <c r="K28" s="245"/>
      <c r="L28" s="245"/>
      <c r="M28" s="62"/>
    </row>
    <row r="29" spans="2:13" s="244" customFormat="1" x14ac:dyDescent="0.2">
      <c r="B29" s="247"/>
      <c r="C29" s="235"/>
      <c r="D29" s="61"/>
      <c r="E29" s="245"/>
      <c r="F29" s="245"/>
      <c r="G29" s="246"/>
      <c r="H29" s="245"/>
      <c r="I29" s="245"/>
      <c r="J29" s="245"/>
      <c r="K29" s="245"/>
      <c r="L29" s="245"/>
      <c r="M29" s="62"/>
    </row>
    <row r="30" spans="2:13" s="244" customFormat="1" x14ac:dyDescent="0.2">
      <c r="B30" s="247"/>
      <c r="C30" s="268"/>
      <c r="D30" s="61"/>
      <c r="E30" s="245" t="s">
        <v>1038</v>
      </c>
      <c r="F30" s="341"/>
      <c r="G30" s="1135"/>
      <c r="H30" s="1135"/>
      <c r="I30" s="1135"/>
      <c r="J30" s="1135"/>
      <c r="K30" s="1135"/>
      <c r="L30" s="1135"/>
      <c r="M30" s="62"/>
    </row>
    <row r="31" spans="2:13" s="244" customFormat="1" x14ac:dyDescent="0.2">
      <c r="B31" s="240"/>
      <c r="C31" s="239"/>
      <c r="D31" s="61"/>
      <c r="E31" s="245"/>
      <c r="F31" s="245"/>
      <c r="H31" s="342"/>
      <c r="I31" s="342"/>
      <c r="M31" s="62"/>
    </row>
    <row r="32" spans="2:13" s="244" customFormat="1" ht="12.6" customHeight="1" x14ac:dyDescent="0.2">
      <c r="B32" s="247"/>
      <c r="C32" s="235"/>
      <c r="D32" s="61"/>
      <c r="E32" s="245" t="s">
        <v>821</v>
      </c>
      <c r="F32" s="245"/>
      <c r="G32" s="1007"/>
      <c r="I32" s="245" t="s">
        <v>988</v>
      </c>
      <c r="K32" s="1182"/>
      <c r="L32" s="1182"/>
      <c r="M32" s="62"/>
    </row>
    <row r="33" spans="2:18" s="244" customFormat="1" ht="13.15" customHeight="1" x14ac:dyDescent="0.2">
      <c r="B33" s="247"/>
      <c r="C33" s="235"/>
      <c r="D33" s="61"/>
      <c r="E33" s="319"/>
      <c r="F33" s="337"/>
      <c r="G33" s="337"/>
      <c r="H33" s="319"/>
      <c r="I33" s="319"/>
      <c r="J33" s="245"/>
      <c r="K33" s="245"/>
      <c r="L33" s="245"/>
      <c r="M33" s="62"/>
    </row>
    <row r="34" spans="2:18" s="244" customFormat="1" ht="13.15" customHeight="1" x14ac:dyDescent="0.2">
      <c r="B34" s="247"/>
      <c r="C34" s="235"/>
      <c r="D34" s="61"/>
      <c r="E34" s="319"/>
      <c r="F34" s="337"/>
      <c r="G34" s="337"/>
      <c r="H34" s="319"/>
      <c r="I34" s="319"/>
      <c r="J34" s="1178" t="s">
        <v>1130</v>
      </c>
      <c r="K34" s="1178"/>
      <c r="L34" s="1178"/>
      <c r="M34" s="62"/>
    </row>
    <row r="35" spans="2:18" s="244" customFormat="1" ht="13.15" customHeight="1" x14ac:dyDescent="0.2">
      <c r="B35" s="247"/>
      <c r="C35" s="235"/>
      <c r="D35" s="61"/>
      <c r="E35" s="319"/>
      <c r="F35" s="337"/>
      <c r="G35" s="337"/>
      <c r="H35" s="319"/>
      <c r="I35" s="319"/>
      <c r="J35" s="245"/>
      <c r="K35" s="245"/>
      <c r="L35" s="245"/>
      <c r="M35" s="62"/>
    </row>
    <row r="36" spans="2:18" s="244" customFormat="1" x14ac:dyDescent="0.2">
      <c r="B36" s="247"/>
      <c r="C36" s="235"/>
      <c r="D36" s="61"/>
      <c r="E36" s="335" t="s">
        <v>990</v>
      </c>
      <c r="F36" s="246"/>
      <c r="G36" s="1007"/>
      <c r="H36" s="1183" t="s">
        <v>989</v>
      </c>
      <c r="I36" s="1183"/>
      <c r="J36" s="1184"/>
      <c r="K36" s="1184"/>
      <c r="L36" s="1184"/>
      <c r="M36" s="989">
        <f>IF(AND(G36&lt;&gt;"",J36=""),1,0)</f>
        <v>0</v>
      </c>
    </row>
    <row r="37" spans="2:18" s="244" customFormat="1" ht="16.5" x14ac:dyDescent="0.2">
      <c r="B37" s="247"/>
      <c r="C37" s="235"/>
      <c r="D37" s="61"/>
      <c r="E37" s="319"/>
      <c r="F37" s="337"/>
      <c r="G37" s="337"/>
      <c r="H37" s="319"/>
      <c r="I37" s="319"/>
      <c r="J37" s="1180" t="str">
        <f>IF(M36=1,"(Befristungsgrund zwingend angeben)","")</f>
        <v/>
      </c>
      <c r="K37" s="1180"/>
      <c r="L37" s="1180"/>
      <c r="M37" s="62"/>
    </row>
    <row r="38" spans="2:18" s="244" customFormat="1" ht="13.35" customHeight="1" x14ac:dyDescent="0.2">
      <c r="B38" s="247"/>
      <c r="C38" s="235"/>
      <c r="D38" s="61"/>
      <c r="E38" s="1177" t="s">
        <v>2015</v>
      </c>
      <c r="F38" s="1177"/>
      <c r="G38" s="1135"/>
      <c r="H38" s="1135"/>
      <c r="I38" s="1177" t="s">
        <v>930</v>
      </c>
      <c r="J38" s="1177"/>
      <c r="K38" s="1135"/>
      <c r="L38" s="1135"/>
      <c r="M38" s="62"/>
    </row>
    <row r="39" spans="2:18" s="244" customFormat="1" x14ac:dyDescent="0.2">
      <c r="B39" s="240"/>
      <c r="C39" s="239"/>
      <c r="D39" s="61"/>
      <c r="E39" s="949" t="s">
        <v>2004</v>
      </c>
      <c r="F39" s="245"/>
      <c r="G39" s="246"/>
      <c r="H39" s="245"/>
      <c r="I39" s="340"/>
      <c r="J39" s="340"/>
      <c r="K39" s="245"/>
      <c r="L39" s="245"/>
      <c r="M39" s="62"/>
    </row>
    <row r="40" spans="2:18" s="244" customFormat="1" x14ac:dyDescent="0.2">
      <c r="B40" s="240"/>
      <c r="C40" s="239"/>
      <c r="D40" s="61"/>
      <c r="E40" s="245" t="s">
        <v>827</v>
      </c>
      <c r="F40" s="245"/>
      <c r="G40" s="1192"/>
      <c r="H40" s="1192"/>
      <c r="I40" s="245"/>
      <c r="K40" s="245"/>
      <c r="L40" s="245"/>
      <c r="M40" s="62"/>
    </row>
    <row r="41" spans="2:18" s="244" customFormat="1" x14ac:dyDescent="0.2">
      <c r="B41" s="240"/>
      <c r="C41" s="239"/>
      <c r="D41" s="61"/>
      <c r="E41" s="245"/>
      <c r="F41" s="245"/>
      <c r="G41" s="246"/>
      <c r="H41" s="245"/>
      <c r="I41" s="245"/>
      <c r="J41" s="245"/>
      <c r="K41" s="245"/>
      <c r="L41" s="245"/>
      <c r="M41" s="62"/>
    </row>
    <row r="42" spans="2:18" s="244" customFormat="1" x14ac:dyDescent="0.2">
      <c r="B42" s="240"/>
      <c r="C42" s="239"/>
      <c r="D42" s="61"/>
      <c r="E42" s="245"/>
      <c r="F42" s="684" t="s">
        <v>828</v>
      </c>
      <c r="H42" s="458">
        <f>SUM(G40)</f>
        <v>0</v>
      </c>
      <c r="I42" s="245"/>
      <c r="J42" s="245" t="s">
        <v>823</v>
      </c>
      <c r="K42" s="245"/>
      <c r="L42" s="245"/>
      <c r="M42" s="62"/>
    </row>
    <row r="43" spans="2:18" s="244" customFormat="1" x14ac:dyDescent="0.2">
      <c r="B43" s="240"/>
      <c r="C43" s="239"/>
      <c r="D43" s="61"/>
      <c r="E43" s="245"/>
      <c r="F43" s="245"/>
      <c r="G43" s="246"/>
      <c r="H43" s="245"/>
      <c r="I43" s="245"/>
      <c r="J43" s="245"/>
      <c r="K43" s="245"/>
      <c r="L43" s="245"/>
      <c r="M43" s="62"/>
    </row>
    <row r="44" spans="2:18" s="244" customFormat="1" x14ac:dyDescent="0.2">
      <c r="B44" s="240"/>
      <c r="C44" s="239"/>
      <c r="D44" s="61"/>
      <c r="E44" s="245"/>
      <c r="F44" s="343"/>
      <c r="G44" s="245" t="s">
        <v>822</v>
      </c>
      <c r="H44" s="344"/>
      <c r="I44" s="344"/>
      <c r="J44" s="1001"/>
      <c r="K44" s="246" t="s">
        <v>7</v>
      </c>
      <c r="L44" s="1001"/>
      <c r="M44" s="62"/>
    </row>
    <row r="45" spans="2:18" s="244" customFormat="1" x14ac:dyDescent="0.2">
      <c r="B45" s="240"/>
      <c r="C45" s="239"/>
      <c r="D45" s="61"/>
      <c r="E45" s="239"/>
      <c r="F45" s="239"/>
      <c r="G45" s="345" t="s">
        <v>824</v>
      </c>
      <c r="H45" s="346"/>
      <c r="I45" s="346"/>
      <c r="J45" s="346"/>
      <c r="K45" s="280"/>
      <c r="L45" s="346"/>
      <c r="M45" s="62"/>
    </row>
    <row r="46" spans="2:18" s="244" customFormat="1" x14ac:dyDescent="0.2">
      <c r="B46" s="240"/>
      <c r="C46" s="239"/>
      <c r="D46" s="61"/>
      <c r="E46" s="239"/>
      <c r="F46" s="239"/>
      <c r="G46" s="345"/>
      <c r="H46" s="346"/>
      <c r="I46" s="346"/>
      <c r="J46" s="346"/>
      <c r="K46" s="280"/>
      <c r="L46" s="346"/>
      <c r="M46" s="62"/>
    </row>
    <row r="47" spans="2:18" s="244" customFormat="1" x14ac:dyDescent="0.2">
      <c r="B47" s="240"/>
      <c r="C47" s="235"/>
      <c r="D47" s="61"/>
      <c r="E47" s="1165" t="s">
        <v>972</v>
      </c>
      <c r="F47" s="1165"/>
      <c r="G47" s="1165"/>
      <c r="H47" s="319"/>
      <c r="I47" s="319"/>
      <c r="J47" s="319"/>
      <c r="K47" s="319"/>
      <c r="L47" s="319"/>
      <c r="M47" s="62"/>
    </row>
    <row r="48" spans="2:18" s="244" customFormat="1" x14ac:dyDescent="0.2">
      <c r="B48" s="240"/>
      <c r="C48" s="235"/>
      <c r="D48" s="61"/>
      <c r="E48" s="245"/>
      <c r="F48" s="245"/>
      <c r="G48" s="246"/>
      <c r="H48" s="245"/>
      <c r="I48" s="245"/>
      <c r="J48" s="245"/>
      <c r="K48" s="245"/>
      <c r="L48" s="245"/>
      <c r="M48" s="62"/>
      <c r="R48" s="244" t="s">
        <v>973</v>
      </c>
    </row>
    <row r="49" spans="1:18" s="244" customFormat="1" x14ac:dyDescent="0.2">
      <c r="B49" s="240"/>
      <c r="C49" s="235"/>
      <c r="D49" s="61"/>
      <c r="E49" s="1136"/>
      <c r="F49" s="1136"/>
      <c r="G49" s="1136"/>
      <c r="H49" s="1136"/>
      <c r="I49" s="1136"/>
      <c r="J49" s="1136"/>
      <c r="K49" s="1136"/>
      <c r="L49" s="1136"/>
      <c r="M49" s="62"/>
      <c r="R49" s="349">
        <f>E49</f>
        <v>0</v>
      </c>
    </row>
    <row r="50" spans="1:18" s="244" customFormat="1" x14ac:dyDescent="0.2">
      <c r="B50" s="240"/>
      <c r="C50" s="235"/>
      <c r="D50" s="61"/>
      <c r="E50" s="1136"/>
      <c r="F50" s="1136"/>
      <c r="G50" s="1136"/>
      <c r="H50" s="1136"/>
      <c r="I50" s="1136"/>
      <c r="J50" s="1136"/>
      <c r="K50" s="1136"/>
      <c r="L50" s="1136"/>
      <c r="M50" s="62"/>
      <c r="R50" s="349"/>
    </row>
    <row r="51" spans="1:18" s="244" customFormat="1" x14ac:dyDescent="0.2">
      <c r="B51" s="240"/>
      <c r="C51" s="235"/>
      <c r="D51" s="61"/>
      <c r="E51" s="1136"/>
      <c r="F51" s="1136"/>
      <c r="G51" s="1136"/>
      <c r="H51" s="1136"/>
      <c r="I51" s="1136"/>
      <c r="J51" s="1136"/>
      <c r="K51" s="1136"/>
      <c r="L51" s="1136"/>
      <c r="M51" s="62"/>
      <c r="R51" s="349">
        <f>E51</f>
        <v>0</v>
      </c>
    </row>
    <row r="52" spans="1:18" s="244" customFormat="1" x14ac:dyDescent="0.2">
      <c r="B52" s="240"/>
      <c r="C52" s="239"/>
      <c r="D52" s="61"/>
      <c r="E52" s="561"/>
      <c r="F52" s="432"/>
      <c r="G52" s="432"/>
      <c r="H52" s="432"/>
      <c r="I52" s="432"/>
      <c r="J52" s="432"/>
      <c r="K52" s="549"/>
      <c r="L52" s="549"/>
      <c r="M52" s="62"/>
    </row>
    <row r="53" spans="1:18" s="244" customFormat="1" x14ac:dyDescent="0.2">
      <c r="B53" s="240"/>
      <c r="C53" s="235"/>
      <c r="D53" s="61"/>
      <c r="H53" s="1140" t="s">
        <v>1122</v>
      </c>
      <c r="I53" s="1140"/>
      <c r="J53" s="1140"/>
      <c r="K53" s="1140"/>
      <c r="L53" s="1004"/>
      <c r="M53" s="62"/>
    </row>
    <row r="54" spans="1:18" s="244" customFormat="1" ht="8.1" customHeight="1" x14ac:dyDescent="0.2">
      <c r="B54" s="240"/>
      <c r="C54" s="239"/>
      <c r="D54" s="63"/>
      <c r="E54" s="64"/>
      <c r="F54" s="64"/>
      <c r="G54" s="64"/>
      <c r="H54" s="64"/>
      <c r="I54" s="64"/>
      <c r="J54" s="64"/>
      <c r="K54" s="347"/>
      <c r="L54" s="348"/>
      <c r="M54" s="66"/>
    </row>
    <row r="55" spans="1:18" s="244" customFormat="1" ht="6" customHeight="1" x14ac:dyDescent="0.2">
      <c r="C55" s="239"/>
      <c r="E55" s="245"/>
      <c r="F55" s="245"/>
      <c r="G55" s="246"/>
      <c r="H55" s="245"/>
      <c r="I55" s="245"/>
      <c r="J55" s="245"/>
      <c r="K55" s="245"/>
      <c r="L55" s="245"/>
    </row>
    <row r="56" spans="1:18" s="244" customFormat="1" x14ac:dyDescent="0.2">
      <c r="C56" s="239"/>
      <c r="D56" s="318" t="s">
        <v>1221</v>
      </c>
      <c r="F56" s="245"/>
      <c r="G56" s="246"/>
      <c r="H56" s="245"/>
      <c r="I56" s="245"/>
      <c r="J56" s="245"/>
      <c r="K56" s="245"/>
      <c r="L56" s="245"/>
    </row>
    <row r="57" spans="1:18" s="244" customFormat="1" ht="5.25" customHeight="1" x14ac:dyDescent="0.2">
      <c r="C57" s="239"/>
      <c r="D57" s="318"/>
      <c r="F57" s="245"/>
      <c r="G57" s="246"/>
      <c r="H57" s="245"/>
      <c r="I57" s="245"/>
      <c r="J57" s="245"/>
      <c r="K57" s="245"/>
      <c r="L57" s="245"/>
    </row>
    <row r="58" spans="1:18" s="244" customFormat="1" ht="6.75" customHeight="1" x14ac:dyDescent="0.2">
      <c r="A58" s="239"/>
      <c r="B58" s="240"/>
      <c r="C58" s="240"/>
      <c r="D58" s="240"/>
      <c r="E58" s="240"/>
      <c r="F58" s="241"/>
      <c r="G58" s="240"/>
      <c r="H58" s="242"/>
      <c r="I58" s="243"/>
      <c r="J58" s="242"/>
      <c r="K58" s="242"/>
      <c r="L58" s="242"/>
      <c r="M58" s="242"/>
      <c r="N58" s="237"/>
      <c r="O58" s="1161" t="s">
        <v>2000</v>
      </c>
      <c r="P58" s="1161"/>
      <c r="Q58" s="1161"/>
    </row>
    <row r="59" spans="1:18" s="244" customFormat="1" ht="6" customHeight="1" x14ac:dyDescent="0.2">
      <c r="A59" s="239"/>
      <c r="B59" s="240"/>
      <c r="C59" s="239"/>
      <c r="D59" s="239"/>
      <c r="E59" s="239"/>
      <c r="F59" s="318"/>
      <c r="G59" s="239"/>
      <c r="H59" s="245"/>
      <c r="I59" s="246"/>
      <c r="J59" s="245"/>
      <c r="K59" s="245"/>
      <c r="L59" s="245"/>
      <c r="M59" s="245"/>
      <c r="N59" s="237"/>
      <c r="O59" s="1161"/>
      <c r="P59" s="1161"/>
      <c r="Q59" s="1161"/>
    </row>
    <row r="60" spans="1:18" s="244" customFormat="1" ht="5.0999999999999996" customHeight="1" x14ac:dyDescent="0.2">
      <c r="B60" s="240"/>
      <c r="C60" s="239"/>
      <c r="D60" s="59"/>
      <c r="E60" s="269"/>
      <c r="F60" s="269"/>
      <c r="G60" s="270"/>
      <c r="H60" s="269"/>
      <c r="I60" s="269"/>
      <c r="J60" s="269"/>
      <c r="K60" s="269"/>
      <c r="L60" s="269"/>
      <c r="M60" s="271"/>
      <c r="O60" s="1161"/>
      <c r="P60" s="1161"/>
      <c r="Q60" s="1161"/>
    </row>
    <row r="61" spans="1:18" s="244" customFormat="1" x14ac:dyDescent="0.2">
      <c r="B61" s="240"/>
      <c r="C61" s="239"/>
      <c r="D61" s="61"/>
      <c r="E61" s="272" t="s">
        <v>941</v>
      </c>
      <c r="F61" s="319"/>
      <c r="G61" s="320"/>
      <c r="H61" s="319"/>
      <c r="I61" s="319"/>
      <c r="J61" s="319"/>
      <c r="K61" s="319"/>
      <c r="L61" s="319"/>
      <c r="M61" s="62"/>
      <c r="O61" s="1161"/>
      <c r="P61" s="1161"/>
      <c r="Q61" s="1161"/>
    </row>
    <row r="62" spans="1:18" s="244" customFormat="1" x14ac:dyDescent="0.2">
      <c r="B62" s="240"/>
      <c r="C62" s="239"/>
      <c r="D62" s="61"/>
      <c r="E62" s="245"/>
      <c r="F62" s="245"/>
      <c r="G62" s="246"/>
      <c r="H62" s="245"/>
      <c r="I62" s="245"/>
      <c r="J62" s="245"/>
      <c r="K62" s="245"/>
      <c r="L62" s="245"/>
      <c r="M62" s="62"/>
      <c r="O62" s="1161"/>
      <c r="P62" s="1161"/>
      <c r="Q62" s="1161"/>
    </row>
    <row r="63" spans="1:18" s="244" customFormat="1" x14ac:dyDescent="0.2">
      <c r="B63" s="240"/>
      <c r="C63" s="239"/>
      <c r="D63" s="61"/>
      <c r="E63" s="669" t="s">
        <v>955</v>
      </c>
      <c r="F63" s="319"/>
      <c r="H63" s="1007"/>
      <c r="I63" s="245"/>
      <c r="J63" s="245" t="s">
        <v>971</v>
      </c>
      <c r="K63" s="1166"/>
      <c r="L63" s="1166"/>
      <c r="M63" s="62"/>
      <c r="O63" s="1161"/>
      <c r="P63" s="1161"/>
      <c r="Q63" s="1161"/>
    </row>
    <row r="64" spans="1:18" s="244" customFormat="1" x14ac:dyDescent="0.2">
      <c r="B64" s="240"/>
      <c r="C64" s="239"/>
      <c r="D64" s="61"/>
      <c r="E64" s="676" t="s">
        <v>956</v>
      </c>
      <c r="F64" s="319"/>
      <c r="G64" s="346"/>
      <c r="H64" s="245"/>
      <c r="I64" s="245"/>
      <c r="K64" s="245"/>
      <c r="L64" s="246"/>
      <c r="M64" s="62"/>
      <c r="O64" s="1161"/>
      <c r="P64" s="1161"/>
      <c r="Q64" s="1161"/>
    </row>
    <row r="65" spans="2:18" s="244" customFormat="1" x14ac:dyDescent="0.2">
      <c r="B65" s="240"/>
      <c r="C65" s="239"/>
      <c r="D65" s="61"/>
      <c r="I65" s="245"/>
      <c r="M65" s="62"/>
      <c r="O65" s="1161"/>
      <c r="P65" s="1161"/>
      <c r="Q65" s="1161"/>
    </row>
    <row r="66" spans="2:18" s="244" customFormat="1" x14ac:dyDescent="0.2">
      <c r="B66" s="240"/>
      <c r="C66" s="239"/>
      <c r="D66" s="61"/>
      <c r="E66" s="245" t="s">
        <v>996</v>
      </c>
      <c r="F66" s="245"/>
      <c r="G66" s="1006" t="str">
        <f>IF(MULohnberechnung&lt;&gt;"",MULohnberechnung,"")</f>
        <v/>
      </c>
      <c r="H66" s="739" t="s">
        <v>998</v>
      </c>
      <c r="I66" s="245"/>
      <c r="J66" s="245" t="s">
        <v>1032</v>
      </c>
      <c r="K66" s="245"/>
      <c r="L66" s="1005"/>
      <c r="M66" s="62"/>
      <c r="O66" s="1161"/>
      <c r="P66" s="1161"/>
      <c r="Q66" s="1161"/>
    </row>
    <row r="67" spans="2:18" s="244" customFormat="1" ht="14.1" customHeight="1" x14ac:dyDescent="0.2">
      <c r="B67" s="240"/>
      <c r="C67" s="235"/>
      <c r="D67" s="61"/>
      <c r="E67" s="245"/>
      <c r="F67" s="245"/>
      <c r="G67" s="246"/>
      <c r="H67" s="245"/>
      <c r="I67" s="245"/>
      <c r="J67" s="245"/>
      <c r="K67" s="245"/>
      <c r="L67" s="245"/>
      <c r="M67" s="62"/>
      <c r="O67" s="1161"/>
      <c r="P67" s="1161"/>
      <c r="Q67" s="1161"/>
    </row>
    <row r="68" spans="2:18" s="244" customFormat="1" x14ac:dyDescent="0.2">
      <c r="B68" s="240"/>
      <c r="C68" s="239"/>
      <c r="D68" s="61"/>
      <c r="E68" s="245" t="s">
        <v>966</v>
      </c>
      <c r="F68" s="245"/>
      <c r="G68" s="1005"/>
      <c r="H68" s="1142" t="s">
        <v>1069</v>
      </c>
      <c r="I68" s="1142"/>
      <c r="J68" s="1141" t="str">
        <f>_xlfn.IFNA(VLOOKUP(G68,Stammdaten_DropDown!$B$14:$C$55,2,FALSE),"")</f>
        <v/>
      </c>
      <c r="K68" s="1141"/>
      <c r="L68" s="1141"/>
      <c r="M68" s="266"/>
      <c r="O68" s="1161"/>
      <c r="P68" s="1161"/>
      <c r="Q68" s="1161"/>
    </row>
    <row r="69" spans="2:18" s="244" customFormat="1" x14ac:dyDescent="0.2">
      <c r="B69" s="240"/>
      <c r="C69" s="239"/>
      <c r="D69" s="61"/>
      <c r="E69" s="245"/>
      <c r="F69" s="245"/>
      <c r="G69" s="245"/>
      <c r="H69" s="245"/>
      <c r="I69" s="245"/>
      <c r="J69" s="245"/>
      <c r="K69" s="245"/>
      <c r="L69" s="245"/>
      <c r="M69" s="266"/>
      <c r="O69" s="1161"/>
      <c r="P69" s="1161"/>
      <c r="Q69" s="1161"/>
    </row>
    <row r="70" spans="2:18" s="244" customFormat="1" x14ac:dyDescent="0.2">
      <c r="B70" s="240"/>
      <c r="C70" s="239"/>
      <c r="D70" s="61"/>
      <c r="E70" s="245" t="s">
        <v>1982</v>
      </c>
      <c r="F70" s="245"/>
      <c r="G70" s="245"/>
      <c r="H70" s="1135"/>
      <c r="I70" s="1135"/>
      <c r="J70" s="1135"/>
      <c r="K70" s="1135"/>
      <c r="L70" s="1135"/>
      <c r="M70" s="266"/>
      <c r="O70" s="1161"/>
      <c r="P70" s="1161"/>
      <c r="Q70" s="1161"/>
    </row>
    <row r="71" spans="2:18" s="244" customFormat="1" x14ac:dyDescent="0.2">
      <c r="B71" s="240"/>
      <c r="C71" s="239"/>
      <c r="D71" s="61"/>
      <c r="E71" s="986" t="s">
        <v>2023</v>
      </c>
      <c r="F71" s="245"/>
      <c r="G71" s="245"/>
      <c r="H71" s="245"/>
      <c r="I71" s="245"/>
      <c r="J71" s="245"/>
      <c r="K71" s="245"/>
      <c r="L71" s="245"/>
      <c r="M71" s="266"/>
      <c r="O71" s="1161"/>
      <c r="P71" s="1161"/>
      <c r="Q71" s="1161"/>
    </row>
    <row r="72" spans="2:18" s="244" customFormat="1" x14ac:dyDescent="0.2">
      <c r="B72" s="240"/>
      <c r="D72" s="61"/>
      <c r="E72" s="1164" t="s">
        <v>946</v>
      </c>
      <c r="F72" s="1164"/>
      <c r="G72" s="1137"/>
      <c r="H72" s="1137"/>
      <c r="I72" s="1137"/>
      <c r="J72" s="1137"/>
      <c r="K72" s="1137"/>
      <c r="L72" s="1137"/>
      <c r="M72" s="62"/>
      <c r="O72" s="1161"/>
      <c r="P72" s="1161"/>
      <c r="Q72" s="1161"/>
    </row>
    <row r="73" spans="2:18" s="244" customFormat="1" ht="8.1" customHeight="1" x14ac:dyDescent="0.2">
      <c r="B73" s="240"/>
      <c r="C73" s="239"/>
      <c r="D73" s="63"/>
      <c r="E73" s="267"/>
      <c r="F73" s="267"/>
      <c r="G73" s="267"/>
      <c r="H73" s="267"/>
      <c r="I73" s="267"/>
      <c r="J73" s="267"/>
      <c r="K73" s="267"/>
      <c r="L73" s="267"/>
      <c r="M73" s="66"/>
      <c r="O73" s="1161"/>
      <c r="P73" s="1161"/>
      <c r="Q73" s="1161"/>
    </row>
    <row r="74" spans="2:18" s="244" customFormat="1" ht="6" customHeight="1" x14ac:dyDescent="0.2">
      <c r="B74" s="240"/>
      <c r="C74" s="239"/>
      <c r="E74" s="268"/>
      <c r="F74" s="268"/>
      <c r="G74" s="268"/>
      <c r="H74" s="268"/>
      <c r="I74" s="268"/>
      <c r="J74" s="268"/>
      <c r="K74" s="268"/>
      <c r="L74" s="268"/>
      <c r="O74" s="1161"/>
      <c r="P74" s="1161"/>
      <c r="Q74" s="1161"/>
    </row>
    <row r="75" spans="2:18" s="244" customFormat="1" ht="5.0999999999999996" customHeight="1" x14ac:dyDescent="0.2">
      <c r="B75" s="240"/>
      <c r="C75" s="239"/>
      <c r="D75" s="59"/>
      <c r="E75" s="67"/>
      <c r="F75" s="67"/>
      <c r="G75" s="68"/>
      <c r="H75" s="67"/>
      <c r="I75" s="67"/>
      <c r="J75" s="67"/>
      <c r="K75" s="67"/>
      <c r="L75" s="67"/>
      <c r="M75" s="60"/>
      <c r="O75" s="1161"/>
      <c r="P75" s="1161"/>
      <c r="Q75" s="1161"/>
    </row>
    <row r="76" spans="2:18" s="244" customFormat="1" x14ac:dyDescent="0.2">
      <c r="B76" s="240"/>
      <c r="C76" s="239"/>
      <c r="D76" s="61"/>
      <c r="E76" s="1165" t="s">
        <v>978</v>
      </c>
      <c r="F76" s="1165"/>
      <c r="G76" s="1165"/>
      <c r="H76" s="1165"/>
      <c r="I76" s="1165"/>
      <c r="J76" s="1165"/>
      <c r="K76" s="1165"/>
      <c r="L76" s="319"/>
      <c r="M76" s="62"/>
      <c r="O76" s="1161"/>
      <c r="P76" s="1161"/>
      <c r="Q76" s="1161"/>
    </row>
    <row r="77" spans="2:18" s="244" customFormat="1" x14ac:dyDescent="0.2">
      <c r="B77" s="240"/>
      <c r="C77" s="239"/>
      <c r="D77" s="61"/>
      <c r="E77" s="245"/>
      <c r="F77" s="245"/>
      <c r="G77" s="246"/>
      <c r="H77" s="245"/>
      <c r="I77" s="245"/>
      <c r="J77" s="245"/>
      <c r="K77" s="245"/>
      <c r="L77" s="245"/>
      <c r="M77" s="62"/>
      <c r="O77" s="1161"/>
      <c r="P77" s="1161"/>
      <c r="Q77" s="1161"/>
    </row>
    <row r="78" spans="2:18" s="244" customFormat="1" x14ac:dyDescent="0.2">
      <c r="B78" s="240"/>
      <c r="C78" s="239"/>
      <c r="D78" s="61"/>
      <c r="E78" s="1136"/>
      <c r="F78" s="1136"/>
      <c r="G78" s="1136"/>
      <c r="H78" s="1136"/>
      <c r="I78" s="1136"/>
      <c r="J78" s="1136"/>
      <c r="K78" s="1136"/>
      <c r="L78" s="1136"/>
      <c r="M78" s="62"/>
      <c r="O78" s="1161"/>
      <c r="P78" s="1161"/>
      <c r="Q78" s="1161"/>
      <c r="R78" s="349">
        <f>E78</f>
        <v>0</v>
      </c>
    </row>
    <row r="79" spans="2:18" s="244" customFormat="1" x14ac:dyDescent="0.2">
      <c r="B79" s="240"/>
      <c r="C79" s="239"/>
      <c r="D79" s="61"/>
      <c r="E79" s="1136"/>
      <c r="F79" s="1136"/>
      <c r="G79" s="1136"/>
      <c r="H79" s="1136"/>
      <c r="I79" s="1136"/>
      <c r="J79" s="1136"/>
      <c r="K79" s="1136"/>
      <c r="L79" s="1136"/>
      <c r="M79" s="62"/>
      <c r="O79" s="1161"/>
      <c r="P79" s="1161"/>
      <c r="Q79" s="1161"/>
      <c r="R79" s="349">
        <f>E79</f>
        <v>0</v>
      </c>
    </row>
    <row r="80" spans="2:18" s="244" customFormat="1" x14ac:dyDescent="0.2">
      <c r="B80" s="240"/>
      <c r="C80" s="239"/>
      <c r="D80" s="61"/>
      <c r="E80" s="1136"/>
      <c r="F80" s="1136"/>
      <c r="G80" s="1136"/>
      <c r="H80" s="1136"/>
      <c r="I80" s="1136"/>
      <c r="J80" s="1136"/>
      <c r="K80" s="1136"/>
      <c r="L80" s="1136"/>
      <c r="M80" s="62"/>
      <c r="O80" s="1161"/>
      <c r="P80" s="1161"/>
      <c r="Q80" s="1161"/>
      <c r="R80" s="349">
        <f>E80</f>
        <v>0</v>
      </c>
    </row>
    <row r="81" spans="2:17" s="244" customFormat="1" ht="8.1" customHeight="1" x14ac:dyDescent="0.2">
      <c r="B81" s="240"/>
      <c r="C81" s="239"/>
      <c r="D81" s="63"/>
      <c r="E81" s="64"/>
      <c r="F81" s="64"/>
      <c r="G81" s="65"/>
      <c r="H81" s="64"/>
      <c r="I81" s="64"/>
      <c r="J81" s="64"/>
      <c r="K81" s="64"/>
      <c r="L81" s="64"/>
      <c r="M81" s="66"/>
      <c r="O81" s="1161"/>
      <c r="P81" s="1161"/>
      <c r="Q81" s="1161"/>
    </row>
    <row r="82" spans="2:17" s="244" customFormat="1" ht="6" customHeight="1" x14ac:dyDescent="0.2">
      <c r="B82" s="240"/>
      <c r="C82" s="235"/>
      <c r="E82" s="245"/>
      <c r="F82" s="245"/>
      <c r="G82" s="246"/>
      <c r="H82" s="245"/>
      <c r="I82" s="245"/>
      <c r="J82" s="245"/>
      <c r="K82" s="245"/>
      <c r="L82" s="245"/>
    </row>
    <row r="83" spans="2:17" s="244" customFormat="1" ht="5.0999999999999996" customHeight="1" x14ac:dyDescent="0.2">
      <c r="B83" s="240"/>
      <c r="C83" s="239"/>
      <c r="D83" s="59"/>
      <c r="E83" s="67"/>
      <c r="F83" s="67"/>
      <c r="G83" s="68"/>
      <c r="H83" s="67"/>
      <c r="I83" s="67"/>
      <c r="J83" s="67"/>
      <c r="K83" s="67"/>
      <c r="L83" s="67"/>
      <c r="M83" s="203"/>
    </row>
    <row r="84" spans="2:17" s="244" customFormat="1" x14ac:dyDescent="0.2">
      <c r="B84" s="240"/>
      <c r="C84" s="239"/>
      <c r="D84" s="61"/>
      <c r="E84" s="210" t="s">
        <v>929</v>
      </c>
      <c r="F84" s="210"/>
      <c r="G84" s="320"/>
      <c r="H84" s="319"/>
      <c r="I84" s="319"/>
      <c r="J84" s="319"/>
      <c r="K84" s="319"/>
      <c r="L84" s="319"/>
      <c r="M84" s="321"/>
      <c r="O84" s="1176" t="str">
        <f>Stammdaten_DropDown!A114</f>
        <v>Lohnentwicklung</v>
      </c>
      <c r="P84" s="1176"/>
      <c r="Q84" s="1176"/>
    </row>
    <row r="85" spans="2:17" s="244" customFormat="1" ht="6" customHeight="1" x14ac:dyDescent="0.2">
      <c r="B85" s="240"/>
      <c r="C85" s="239"/>
      <c r="D85" s="61"/>
      <c r="E85" s="245"/>
      <c r="F85" s="245"/>
      <c r="G85" s="535"/>
      <c r="H85" s="245"/>
      <c r="I85" s="245"/>
      <c r="J85" s="245"/>
      <c r="K85" s="245"/>
      <c r="L85" s="245"/>
      <c r="M85" s="266"/>
      <c r="O85" s="239"/>
    </row>
    <row r="86" spans="2:17" s="244" customFormat="1" x14ac:dyDescent="0.2">
      <c r="B86" s="240"/>
      <c r="C86" s="239"/>
      <c r="D86" s="61"/>
      <c r="E86" s="245" t="s">
        <v>940</v>
      </c>
      <c r="F86" s="245"/>
      <c r="G86" s="535"/>
      <c r="H86" s="245"/>
      <c r="I86" s="245"/>
      <c r="J86" s="245"/>
      <c r="K86" s="1191"/>
      <c r="L86" s="1191"/>
      <c r="M86" s="266"/>
      <c r="O86" s="1185" t="str">
        <f>Stammdaten_DropDown!A115</f>
        <v>Bitte angeben, ob eine individuelle Lohnentwicklung gewährt werden soll.</v>
      </c>
      <c r="P86" s="1185"/>
      <c r="Q86" s="1185"/>
    </row>
    <row r="87" spans="2:17" s="244" customFormat="1" x14ac:dyDescent="0.2">
      <c r="B87" s="240"/>
      <c r="C87" s="239"/>
      <c r="D87" s="61"/>
      <c r="E87" s="245"/>
      <c r="F87" s="245"/>
      <c r="G87" s="535"/>
      <c r="H87" s="245"/>
      <c r="I87" s="245"/>
      <c r="J87" s="245"/>
      <c r="K87" s="245"/>
      <c r="L87" s="245"/>
      <c r="M87" s="266"/>
      <c r="O87" s="1185" t="str">
        <f>Stammdaten_DropDown!A116</f>
        <v>Bei einem Neueintritt nach dem 01.07.2026 ist keine individuelle Lohnentwicklung vorgesehen.</v>
      </c>
      <c r="P87" s="1185"/>
      <c r="Q87" s="1185"/>
    </row>
    <row r="88" spans="2:17" s="244" customFormat="1" x14ac:dyDescent="0.2">
      <c r="B88" s="240"/>
      <c r="C88" s="239"/>
      <c r="D88" s="61"/>
      <c r="E88" s="275" t="s">
        <v>764</v>
      </c>
      <c r="G88" s="1011" t="str">
        <f>IF(ISBLANK($K$86),IF(BandLohnBer="",IF(BandLohnRechner="","",BandLohnRechner),IF(BandLohnRechner="",BandLohnBer,"FEHLER")),"-")</f>
        <v/>
      </c>
      <c r="I88" s="737" t="s">
        <v>808</v>
      </c>
      <c r="L88" s="1006" t="str">
        <f>IF(ISBLANK($K$86),IF(EWLohnBer="",IF(EWLohnRechner="","",EWLohnRechner),IF(EWLohnRechner="",EWLohnBer,"FEHLER")),"-")</f>
        <v/>
      </c>
      <c r="M88" s="266"/>
      <c r="O88" s="1185" t="str">
        <f>Stammdaten_DropDown!A117</f>
        <v>In dem Fall ist das Prädikat auf dem Wert «NA» (keine Beurteilung) zu belassen.</v>
      </c>
      <c r="P88" s="1185"/>
      <c r="Q88" s="1185"/>
    </row>
    <row r="89" spans="2:17" s="244" customFormat="1" x14ac:dyDescent="0.2">
      <c r="B89" s="240"/>
      <c r="C89" s="239"/>
      <c r="D89" s="61"/>
      <c r="E89" s="429" t="b">
        <f>AND(BandLohnBer&lt;&gt;"",BandLohnRechner&lt;&gt;"")</f>
        <v>0</v>
      </c>
      <c r="F89" s="245"/>
      <c r="G89" s="536" t="str">
        <f>IF(E89,"2 Lohnbänder gefunden","")</f>
        <v/>
      </c>
      <c r="H89" s="740" t="b">
        <f>AND(EWLohnBer&lt;&gt;"",EWLohnRechner&lt;&gt;"")</f>
        <v>0</v>
      </c>
      <c r="J89" s="245"/>
      <c r="K89" s="1173" t="str">
        <f>IF(H89,"2 Erfahrungswerte gefunden","")</f>
        <v/>
      </c>
      <c r="L89" s="1173"/>
      <c r="M89" s="266"/>
      <c r="O89" s="239"/>
    </row>
    <row r="90" spans="2:17" s="244" customFormat="1" x14ac:dyDescent="0.2">
      <c r="B90" s="240"/>
      <c r="C90" s="239"/>
      <c r="D90" s="61"/>
      <c r="E90" s="565"/>
      <c r="I90" s="737" t="s">
        <v>1100</v>
      </c>
      <c r="L90" s="1000" t="str">
        <f>IF(ISBLANK($K$86),IF(LohnLohnBer="",IF(LohnLohnRechner="","",LohnLohnRechner),IF(LohnLohnRechner="",LohnLohnBer,"FEHLER")),"-")</f>
        <v/>
      </c>
      <c r="M90" s="266"/>
      <c r="O90" s="1174" t="str">
        <f>Stammdaten_DropDown!A118</f>
        <v xml:space="preserve">Falls eine individuelle  Lohnentwicklung gewährt werden soll, ist das entsprechende Prädikat aus der relevanten MAG-Phase im Dropdown-Menu auszuwählen. </v>
      </c>
      <c r="P90" s="1174"/>
      <c r="Q90" s="1174"/>
    </row>
    <row r="91" spans="2:17" s="244" customFormat="1" x14ac:dyDescent="0.2">
      <c r="B91" s="240"/>
      <c r="C91" s="239"/>
      <c r="D91" s="61"/>
      <c r="E91" s="245"/>
      <c r="F91" s="245"/>
      <c r="G91" s="245"/>
      <c r="H91" s="245"/>
      <c r="I91" s="429" t="b">
        <f>AND(LohnLohnBer&lt;&gt;"",LohnLohnRechner&lt;&gt;"")</f>
        <v>0</v>
      </c>
      <c r="J91" s="245"/>
      <c r="K91" s="1173" t="str">
        <f>IF(I91,"2 Löhne gefunden","")</f>
        <v/>
      </c>
      <c r="L91" s="1173"/>
      <c r="M91" s="266"/>
      <c r="O91" s="1174"/>
      <c r="P91" s="1174"/>
      <c r="Q91" s="1174"/>
    </row>
    <row r="92" spans="2:17" s="244" customFormat="1" x14ac:dyDescent="0.2">
      <c r="B92" s="240"/>
      <c r="C92" s="239"/>
      <c r="D92" s="61"/>
      <c r="E92" s="245" t="str">
        <f>CONCATENATE("Lohnentwicklung per 01.01.",LohntabelleM!I1+1," gewähren?")</f>
        <v>Lohnentwicklung per 01.01.2027 gewähren?</v>
      </c>
      <c r="F92" s="245"/>
      <c r="G92" s="245"/>
      <c r="H92" s="1005"/>
      <c r="I92" s="429"/>
      <c r="J92" s="245"/>
      <c r="K92" s="862" t="s">
        <v>1948</v>
      </c>
      <c r="L92" s="869" t="str">
        <f>M92</f>
        <v/>
      </c>
      <c r="M92" s="858" t="str">
        <f>IF(H92="Ja","A",IF(H92="Nein","NA",""))</f>
        <v/>
      </c>
      <c r="O92" s="1185" t="str">
        <f>Stammdaten_DropDown!A119</f>
        <v>Ist noch keine Beurteilung hinterlegt, so ist das Prädikat auf «A» zu belassen.</v>
      </c>
      <c r="P92" s="1185"/>
      <c r="Q92" s="1185"/>
    </row>
    <row r="93" spans="2:17" s="244" customFormat="1" ht="8.1" customHeight="1" x14ac:dyDescent="0.2">
      <c r="B93" s="240"/>
      <c r="C93" s="239"/>
      <c r="D93" s="63"/>
      <c r="E93" s="64"/>
      <c r="F93" s="64"/>
      <c r="G93" s="65"/>
      <c r="H93" s="64"/>
      <c r="I93" s="64"/>
      <c r="J93" s="64"/>
      <c r="K93" s="64"/>
      <c r="L93" s="64"/>
      <c r="M93" s="279"/>
    </row>
    <row r="94" spans="2:17" s="244" customFormat="1" ht="10.9" customHeight="1" x14ac:dyDescent="0.2">
      <c r="B94" s="240"/>
      <c r="C94" s="239"/>
      <c r="E94" s="239"/>
      <c r="F94" s="239"/>
      <c r="G94" s="280"/>
      <c r="H94" s="239"/>
      <c r="I94" s="239"/>
      <c r="J94" s="239"/>
      <c r="K94" s="239"/>
      <c r="L94" s="239"/>
    </row>
    <row r="95" spans="2:17" s="244" customFormat="1" ht="64.349999999999994" customHeight="1" x14ac:dyDescent="0.2">
      <c r="B95" s="240"/>
      <c r="C95" s="235"/>
      <c r="D95" s="1143" t="s">
        <v>959</v>
      </c>
      <c r="E95" s="1143"/>
      <c r="F95" s="1143"/>
      <c r="G95" s="1143"/>
      <c r="H95" s="1143"/>
      <c r="I95" s="1143"/>
      <c r="J95" s="1143"/>
      <c r="K95" s="1143"/>
      <c r="L95" s="1143"/>
    </row>
    <row r="96" spans="2:17" s="244" customFormat="1" ht="17.25" customHeight="1" x14ac:dyDescent="0.2">
      <c r="B96" s="240"/>
      <c r="C96" s="235"/>
      <c r="D96" s="1143"/>
      <c r="E96" s="1143"/>
      <c r="F96" s="1143"/>
      <c r="G96" s="1143"/>
      <c r="H96" s="1143"/>
      <c r="I96" s="1143"/>
      <c r="J96" s="1143"/>
      <c r="K96" s="1143"/>
      <c r="L96" s="1143"/>
    </row>
    <row r="97" spans="1:18" s="244" customFormat="1" x14ac:dyDescent="0.2">
      <c r="B97" s="91"/>
      <c r="C97" s="235"/>
    </row>
    <row r="98" spans="1:18" s="244" customFormat="1" x14ac:dyDescent="0.2">
      <c r="B98" s="91"/>
      <c r="C98" s="235"/>
    </row>
    <row r="99" spans="1:18" s="244" customFormat="1" x14ac:dyDescent="0.2">
      <c r="B99" s="91"/>
      <c r="C99" s="235"/>
    </row>
    <row r="100" spans="1:18" s="244" customFormat="1" x14ac:dyDescent="0.2">
      <c r="B100" s="91"/>
      <c r="C100" s="235"/>
    </row>
    <row r="101" spans="1:18" s="244" customFormat="1" x14ac:dyDescent="0.2">
      <c r="B101" s="91"/>
      <c r="C101" s="235"/>
    </row>
    <row r="102" spans="1:18" s="244" customFormat="1" x14ac:dyDescent="0.2">
      <c r="B102" s="91"/>
      <c r="C102" s="235"/>
    </row>
    <row r="103" spans="1:18" s="244" customFormat="1" x14ac:dyDescent="0.2">
      <c r="B103" s="91"/>
      <c r="C103" s="235"/>
    </row>
    <row r="104" spans="1:18" s="244" customFormat="1" x14ac:dyDescent="0.2">
      <c r="B104" s="91"/>
      <c r="C104" s="235"/>
      <c r="E104" s="239"/>
      <c r="F104" s="239"/>
      <c r="G104" s="280"/>
      <c r="H104" s="239"/>
      <c r="I104" s="239"/>
      <c r="J104" s="239"/>
      <c r="K104" s="239"/>
      <c r="L104" s="239"/>
    </row>
    <row r="105" spans="1:18" s="244" customFormat="1" x14ac:dyDescent="0.2">
      <c r="B105" s="91"/>
      <c r="C105" s="235"/>
      <c r="D105" s="91"/>
      <c r="E105" s="91"/>
      <c r="F105" s="91"/>
      <c r="G105" s="91"/>
      <c r="H105" s="91"/>
      <c r="I105" s="91"/>
      <c r="J105" s="91"/>
      <c r="K105" s="91"/>
      <c r="L105" s="91"/>
      <c r="M105" s="91"/>
    </row>
    <row r="106" spans="1:18" s="235" customFormat="1" x14ac:dyDescent="0.2">
      <c r="A106" s="91"/>
      <c r="B106" s="91"/>
      <c r="D106" s="91"/>
      <c r="E106" s="91"/>
      <c r="F106" s="91"/>
      <c r="G106" s="91"/>
      <c r="H106" s="91"/>
      <c r="I106" s="91"/>
      <c r="J106" s="91"/>
      <c r="K106" s="91"/>
      <c r="L106" s="91"/>
      <c r="M106" s="91"/>
      <c r="N106" s="91"/>
      <c r="O106" s="91"/>
      <c r="P106" s="91"/>
      <c r="Q106" s="91"/>
      <c r="R106" s="91"/>
    </row>
    <row r="107" spans="1:18" s="235" customFormat="1" x14ac:dyDescent="0.2">
      <c r="A107" s="91"/>
      <c r="B107" s="91"/>
      <c r="D107" s="91"/>
      <c r="E107" s="91"/>
      <c r="F107" s="91"/>
      <c r="G107" s="91"/>
      <c r="H107" s="91"/>
      <c r="I107" s="91"/>
      <c r="J107" s="91"/>
      <c r="K107" s="91"/>
      <c r="L107" s="91"/>
      <c r="M107" s="91"/>
      <c r="N107" s="91"/>
      <c r="O107" s="91"/>
      <c r="P107" s="91"/>
      <c r="Q107" s="91"/>
      <c r="R107" s="91"/>
    </row>
    <row r="108" spans="1:18" s="235" customFormat="1" x14ac:dyDescent="0.2">
      <c r="A108" s="91"/>
      <c r="B108" s="91"/>
      <c r="D108" s="91"/>
      <c r="E108" s="91"/>
      <c r="F108" s="91"/>
      <c r="G108" s="91"/>
      <c r="H108" s="91"/>
      <c r="I108" s="91"/>
      <c r="J108" s="91"/>
      <c r="K108" s="91"/>
      <c r="L108" s="91"/>
      <c r="M108" s="91"/>
      <c r="N108" s="91"/>
      <c r="O108" s="91"/>
      <c r="P108" s="91"/>
      <c r="Q108" s="91"/>
      <c r="R108" s="91"/>
    </row>
    <row r="109" spans="1:18" s="235" customFormat="1" x14ac:dyDescent="0.2">
      <c r="A109" s="91"/>
      <c r="B109" s="91"/>
      <c r="D109" s="91"/>
      <c r="E109" s="91"/>
      <c r="F109" s="91"/>
      <c r="G109" s="91"/>
      <c r="H109" s="91"/>
      <c r="I109" s="91"/>
      <c r="J109" s="91"/>
      <c r="K109" s="91"/>
      <c r="L109" s="91"/>
      <c r="M109" s="91"/>
      <c r="N109" s="91"/>
      <c r="O109" s="91"/>
      <c r="P109" s="91"/>
      <c r="Q109" s="91"/>
      <c r="R109" s="91"/>
    </row>
    <row r="110" spans="1:18" s="235" customFormat="1" x14ac:dyDescent="0.2">
      <c r="A110" s="91"/>
      <c r="B110" s="91"/>
      <c r="D110" s="91"/>
      <c r="E110" s="91"/>
      <c r="F110" s="91"/>
      <c r="G110" s="91"/>
      <c r="H110" s="91"/>
      <c r="I110" s="91"/>
      <c r="J110" s="91"/>
      <c r="K110" s="91"/>
      <c r="L110" s="91"/>
      <c r="M110" s="91"/>
      <c r="N110" s="91"/>
      <c r="O110" s="91"/>
      <c r="P110" s="91"/>
      <c r="Q110" s="91"/>
      <c r="R110" s="91"/>
    </row>
    <row r="111" spans="1:18" s="235" customFormat="1" x14ac:dyDescent="0.2">
      <c r="A111" s="91"/>
      <c r="B111" s="91"/>
      <c r="D111" s="91"/>
      <c r="E111" s="91"/>
      <c r="F111" s="91"/>
      <c r="G111" s="91"/>
      <c r="H111" s="91"/>
      <c r="I111" s="91"/>
      <c r="J111" s="91"/>
      <c r="K111" s="91"/>
      <c r="L111" s="91"/>
      <c r="M111" s="91"/>
      <c r="N111" s="91"/>
      <c r="O111" s="91"/>
      <c r="P111" s="91"/>
      <c r="Q111" s="91"/>
      <c r="R111" s="91"/>
    </row>
    <row r="112" spans="1:18" s="235" customFormat="1" x14ac:dyDescent="0.2">
      <c r="A112" s="91"/>
      <c r="B112" s="91"/>
      <c r="D112" s="91"/>
      <c r="E112" s="91"/>
      <c r="F112" s="91"/>
      <c r="G112" s="91"/>
      <c r="H112" s="91"/>
      <c r="I112" s="91"/>
      <c r="J112" s="91"/>
      <c r="K112" s="91"/>
      <c r="L112" s="91"/>
      <c r="M112" s="91"/>
      <c r="N112" s="91"/>
      <c r="O112" s="91"/>
      <c r="P112" s="91"/>
      <c r="Q112" s="91"/>
      <c r="R112" s="91"/>
    </row>
    <row r="113" spans="1:18" s="235" customFormat="1" x14ac:dyDescent="0.2">
      <c r="A113" s="91"/>
      <c r="B113" s="91"/>
      <c r="D113" s="91"/>
      <c r="E113" s="91"/>
      <c r="F113" s="91"/>
      <c r="G113" s="91"/>
      <c r="H113" s="91"/>
      <c r="I113" s="91"/>
      <c r="J113" s="91"/>
      <c r="K113" s="91"/>
      <c r="L113" s="91"/>
      <c r="M113" s="91"/>
      <c r="N113" s="91"/>
      <c r="O113" s="91"/>
      <c r="P113" s="91"/>
      <c r="Q113" s="91"/>
      <c r="R113" s="91"/>
    </row>
  </sheetData>
  <sheetProtection algorithmName="SHA-512" hashValue="oqcaHWwFhGyAnSYiq1DtlMzvWtxWoNnRZCULLZohUbM9VmodhYuGWPtZVoUbj3O3lHj0eXwVpHbSQnoHmnuD+A==" saltValue="0Nt7htXRpWnx9/n6KWUgzQ==" spinCount="100000" sheet="1" objects="1" scenarios="1"/>
  <mergeCells count="48">
    <mergeCell ref="O11:P12"/>
    <mergeCell ref="O58:Q81"/>
    <mergeCell ref="O84:Q84"/>
    <mergeCell ref="O86:Q86"/>
    <mergeCell ref="O87:Q87"/>
    <mergeCell ref="D95:L96"/>
    <mergeCell ref="E79:L79"/>
    <mergeCell ref="K91:L91"/>
    <mergeCell ref="E72:F72"/>
    <mergeCell ref="G72:L72"/>
    <mergeCell ref="E76:K76"/>
    <mergeCell ref="E78:L78"/>
    <mergeCell ref="K89:L89"/>
    <mergeCell ref="O88:Q88"/>
    <mergeCell ref="O90:Q91"/>
    <mergeCell ref="O92:Q92"/>
    <mergeCell ref="I17:L17"/>
    <mergeCell ref="G15:L15"/>
    <mergeCell ref="K63:L63"/>
    <mergeCell ref="J34:L34"/>
    <mergeCell ref="F23:J23"/>
    <mergeCell ref="F24:G24"/>
    <mergeCell ref="G30:L30"/>
    <mergeCell ref="G40:H40"/>
    <mergeCell ref="E47:G47"/>
    <mergeCell ref="E49:L49"/>
    <mergeCell ref="E50:L50"/>
    <mergeCell ref="E51:L51"/>
    <mergeCell ref="K32:L32"/>
    <mergeCell ref="F22:L22"/>
    <mergeCell ref="K86:L86"/>
    <mergeCell ref="J36:L36"/>
    <mergeCell ref="E38:F38"/>
    <mergeCell ref="G38:H38"/>
    <mergeCell ref="I38:J38"/>
    <mergeCell ref="K38:L38"/>
    <mergeCell ref="E80:L80"/>
    <mergeCell ref="H53:K53"/>
    <mergeCell ref="H36:I36"/>
    <mergeCell ref="H68:I68"/>
    <mergeCell ref="J68:L68"/>
    <mergeCell ref="H70:L70"/>
    <mergeCell ref="J37:L37"/>
    <mergeCell ref="D2:H2"/>
    <mergeCell ref="G11:H11"/>
    <mergeCell ref="K11:L11"/>
    <mergeCell ref="G13:H13"/>
    <mergeCell ref="F21:K21"/>
  </mergeCells>
  <conditionalFormatting sqref="G88">
    <cfRule type="expression" dxfId="177" priority="8">
      <formula>E89</formula>
    </cfRule>
  </conditionalFormatting>
  <conditionalFormatting sqref="L88">
    <cfRule type="expression" dxfId="176" priority="173">
      <formula>H89</formula>
    </cfRule>
  </conditionalFormatting>
  <conditionalFormatting sqref="L90">
    <cfRule type="expression" dxfId="175" priority="178">
      <formula>I91</formula>
    </cfRule>
  </conditionalFormatting>
  <conditionalFormatting sqref="F21:K21">
    <cfRule type="containsText" dxfId="174" priority="5" operator="containsText" text="&gt; chronologischer Lebenslauf (vollständige und auf Monate genaue Angaben)&#10;">
      <formula>NOT(ISERROR(SEARCH("&gt; chronologischer Lebenslauf (vollständige und auf Monate genaue Angaben)
",F21)))</formula>
    </cfRule>
  </conditionalFormatting>
  <conditionalFormatting sqref="K92">
    <cfRule type="expression" dxfId="173" priority="4">
      <formula>#REF!</formula>
    </cfRule>
  </conditionalFormatting>
  <conditionalFormatting sqref="K92:L92 O88:Q92">
    <cfRule type="expression" dxfId="172" priority="3">
      <formula>$H$92=""</formula>
    </cfRule>
  </conditionalFormatting>
  <conditionalFormatting sqref="E72:L72 E84:L92 O84:Q92">
    <cfRule type="expression" dxfId="171" priority="1">
      <formula>$H$70=""</formula>
    </cfRule>
  </conditionalFormatting>
  <dataValidations count="9">
    <dataValidation type="list" operator="greaterThan" showInputMessage="1" showErrorMessage="1" errorTitle="Fehler" sqref="G30" xr:uid="{00000000-0002-0000-0600-000000000000}">
      <formula1>TSMAnst</formula1>
    </dataValidation>
    <dataValidation operator="greaterThan" showInputMessage="1" showErrorMessage="1" errorTitle="Fehler" error="Geben Sie ein gültiges Datum dd.mm.yyyy ein!" sqref="L40 G40 L44:L46 H44:I46 H42" xr:uid="{00000000-0002-0000-0600-000001000000}"/>
    <dataValidation type="date" operator="greaterThan" allowBlank="1" showInputMessage="1" showErrorMessage="1" errorTitle="Fehler" error="Geben Sie ein gültiges Datum dd.mm.yyyy ein!" sqref="G32 G19:G20 H63 G64" xr:uid="{00000000-0002-0000-0600-000002000000}">
      <formula1>1</formula1>
    </dataValidation>
    <dataValidation type="whole" operator="greaterThan" allowBlank="1" showInputMessage="1" showErrorMessage="1" errorTitle="Fehler" error="Ungültige Postleitzahl" sqref="G17" xr:uid="{00000000-0002-0000-0600-000003000000}">
      <formula1>0</formula1>
    </dataValidation>
    <dataValidation operator="greaterThan" allowBlank="1" showInputMessage="1" showErrorMessage="1" errorTitle="Fehler" error="Pensum als Ganzzahl angeben" sqref="L90 K92" xr:uid="{00000000-0002-0000-0600-000004000000}"/>
    <dataValidation type="list" allowBlank="1" showInputMessage="1" showErrorMessage="1" sqref="K32" xr:uid="{00000000-0002-0000-0600-000005000000}">
      <formula1>Anstellung</formula1>
    </dataValidation>
    <dataValidation type="list" allowBlank="1" showInputMessage="1" showErrorMessage="1" sqref="J36:L36" xr:uid="{00000000-0002-0000-0600-000006000000}">
      <formula1>BegründungFürBefristung</formula1>
    </dataValidation>
    <dataValidation type="list" allowBlank="1" showInputMessage="1" showErrorMessage="1" sqref="K38:L38" xr:uid="{00000000-0002-0000-0600-000007000000}">
      <formula1>KompetenzDerSchulleitung</formula1>
    </dataValidation>
    <dataValidation allowBlank="1" showInputMessage="1" sqref="J68:L68" xr:uid="{00000000-0002-0000-0600-000008000000}"/>
  </dataValidations>
  <hyperlinks>
    <hyperlink ref="O11:P12" location="Grunddaten!E9" display="Zurück zu Grunddaten" xr:uid="{00000000-0004-0000-0600-000000000000}"/>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54" max="16383" man="1"/>
  </rowBreaks>
  <ignoredErrors>
    <ignoredError sqref="L9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5028" r:id="rId4" name="Check Box 4">
              <controlPr defaultSize="0" autoFill="0" autoLine="0" autoPict="0">
                <anchor>
                  <from>
                    <xdr:col>8</xdr:col>
                    <xdr:colOff>142875</xdr:colOff>
                    <xdr:row>32</xdr:row>
                    <xdr:rowOff>114300</xdr:rowOff>
                  </from>
                  <to>
                    <xdr:col>11</xdr:col>
                    <xdr:colOff>742950</xdr:colOff>
                    <xdr:row>34</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600-000009000000}">
          <x14:formula1>
            <xm:f>Stammdaten_DropDown!$E$93:$E$100</xm:f>
          </x14:formula1>
          <xm:sqref>H70:L70</xm:sqref>
        </x14:dataValidation>
        <x14:dataValidation type="list" allowBlank="1" showInputMessage="1" showErrorMessage="1" xr:uid="{00000000-0002-0000-0600-00000A000000}">
          <x14:formula1>
            <xm:f>Stammdaten_DropDown!$E$103:$E$104</xm:f>
          </x14:formula1>
          <xm:sqref>H92</xm:sqref>
        </x14:dataValidation>
        <x14:dataValidation type="list" allowBlank="1" showInputMessage="1" showErrorMessage="1" xr:uid="{00000000-0002-0000-0600-00000B000000}">
          <x14:formula1>
            <xm:f>Stammdaten_DropDown!$E$107:$E$110</xm:f>
          </x14:formula1>
          <xm:sqref>L92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1">
    <tabColor theme="7" tint="0.39997558519241921"/>
    <pageSetUpPr fitToPage="1"/>
  </sheetPr>
  <dimension ref="A1:R94"/>
  <sheetViews>
    <sheetView zoomScaleNormal="100" workbookViewId="0">
      <selection activeCell="G15" sqref="G15:K15"/>
    </sheetView>
  </sheetViews>
  <sheetFormatPr baseColWidth="10" defaultColWidth="11.5703125" defaultRowHeight="12.75" x14ac:dyDescent="0.2"/>
  <cols>
    <col min="1" max="1" width="2.5703125" style="91" customWidth="1"/>
    <col min="2" max="2" width="1.42578125" style="91" customWidth="1"/>
    <col min="3" max="3" width="1.5703125" style="91" customWidth="1"/>
    <col min="4" max="4" width="3.5703125" style="91" customWidth="1"/>
    <col min="5" max="5" width="11.5703125" style="91"/>
    <col min="6" max="6" width="13.5703125" style="91" customWidth="1"/>
    <col min="7" max="7" width="11.85546875" style="91" bestFit="1" customWidth="1"/>
    <col min="8" max="8" width="11" style="91" customWidth="1"/>
    <col min="9" max="9" width="16.85546875" style="91" customWidth="1"/>
    <col min="10" max="10" width="4.7109375" style="91" customWidth="1"/>
    <col min="11" max="11" width="12.5703125" style="91" customWidth="1"/>
    <col min="12" max="12" width="2.42578125" style="91" customWidth="1"/>
    <col min="13" max="13" width="2.5703125" style="91" customWidth="1"/>
    <col min="14" max="15" width="11.5703125" style="91"/>
    <col min="16" max="16" width="48.140625" style="91" customWidth="1"/>
    <col min="17" max="17" width="11.5703125" style="91"/>
    <col min="18" max="18" width="69.42578125" style="91" hidden="1" customWidth="1"/>
    <col min="19" max="16384" width="11.5703125" style="91"/>
  </cols>
  <sheetData>
    <row r="1" spans="1:16" ht="6.6" customHeight="1" x14ac:dyDescent="0.2">
      <c r="C1" s="239"/>
      <c r="D1" s="239"/>
      <c r="E1" s="239"/>
      <c r="F1" s="239"/>
      <c r="G1" s="239"/>
      <c r="H1" s="239"/>
      <c r="I1" s="239"/>
      <c r="J1" s="239"/>
      <c r="K1" s="239"/>
      <c r="L1" s="239"/>
    </row>
    <row r="2" spans="1:16" ht="45" customHeight="1" x14ac:dyDescent="0.2">
      <c r="C2" s="239"/>
      <c r="D2" s="1169" t="s">
        <v>1944</v>
      </c>
      <c r="E2" s="1169"/>
      <c r="F2" s="1169"/>
      <c r="G2" s="1169"/>
      <c r="H2" s="1169"/>
      <c r="I2" s="1169"/>
      <c r="J2" s="245"/>
      <c r="K2" s="245"/>
      <c r="L2" s="239"/>
    </row>
    <row r="3" spans="1:16" s="235" customFormat="1" ht="21" customHeight="1" x14ac:dyDescent="0.2">
      <c r="B3" s="236"/>
      <c r="D3" s="318" t="s">
        <v>945</v>
      </c>
      <c r="F3" s="318"/>
      <c r="H3" s="237"/>
      <c r="I3" s="237"/>
      <c r="J3" s="237"/>
      <c r="K3" s="237"/>
      <c r="L3" s="994" t="str">
        <f>CONCATENATE(LohntabelleM!G1," / ",LohntabelleM!I1)</f>
        <v>V6.0 / 2026</v>
      </c>
      <c r="M3" s="237"/>
      <c r="N3" s="237"/>
    </row>
    <row r="4" spans="1:16" s="244" customFormat="1" ht="6.75" customHeight="1" x14ac:dyDescent="0.2">
      <c r="A4" s="239"/>
      <c r="B4" s="240"/>
      <c r="C4" s="240"/>
      <c r="D4" s="240"/>
      <c r="E4" s="240"/>
      <c r="F4" s="241"/>
      <c r="G4" s="240"/>
      <c r="H4" s="242"/>
      <c r="I4" s="243"/>
      <c r="J4" s="242"/>
      <c r="K4" s="242"/>
      <c r="L4" s="242"/>
      <c r="N4" s="237"/>
    </row>
    <row r="5" spans="1:16" s="244" customFormat="1" ht="6" customHeight="1" x14ac:dyDescent="0.2">
      <c r="A5" s="239"/>
      <c r="B5" s="240"/>
      <c r="C5" s="239"/>
      <c r="D5" s="239"/>
      <c r="E5" s="239"/>
      <c r="F5" s="318"/>
      <c r="G5" s="239"/>
      <c r="H5" s="245"/>
      <c r="I5" s="246"/>
      <c r="J5" s="245"/>
      <c r="K5" s="245"/>
      <c r="L5" s="245"/>
      <c r="M5" s="245"/>
      <c r="N5" s="239"/>
    </row>
    <row r="6" spans="1:16" s="244" customFormat="1" ht="5.0999999999999996" customHeight="1" x14ac:dyDescent="0.2">
      <c r="B6" s="240"/>
      <c r="C6" s="239"/>
      <c r="D6" s="202"/>
      <c r="E6" s="269"/>
      <c r="F6" s="370"/>
      <c r="G6" s="270"/>
      <c r="H6" s="269"/>
      <c r="I6" s="269"/>
      <c r="J6" s="269"/>
      <c r="K6" s="269"/>
      <c r="L6" s="203"/>
    </row>
    <row r="7" spans="1:16" s="244" customFormat="1" x14ac:dyDescent="0.2">
      <c r="B7" s="240"/>
      <c r="C7" s="239"/>
      <c r="D7" s="204"/>
      <c r="E7" s="318" t="s">
        <v>770</v>
      </c>
      <c r="F7" s="245"/>
      <c r="G7" s="246"/>
      <c r="H7" s="245"/>
      <c r="I7" s="245"/>
      <c r="J7" s="245"/>
      <c r="K7" s="245"/>
      <c r="L7" s="205"/>
    </row>
    <row r="8" spans="1:16" s="244" customFormat="1" x14ac:dyDescent="0.2">
      <c r="B8" s="240"/>
      <c r="C8" s="239"/>
      <c r="D8" s="204"/>
      <c r="E8" s="245"/>
      <c r="F8" s="245"/>
      <c r="G8" s="246"/>
      <c r="H8" s="245"/>
      <c r="I8" s="245"/>
      <c r="J8" s="245"/>
      <c r="K8" s="245"/>
      <c r="L8" s="205"/>
    </row>
    <row r="9" spans="1:16" s="244" customFormat="1" x14ac:dyDescent="0.2">
      <c r="B9" s="247"/>
      <c r="C9" s="235"/>
      <c r="D9" s="61"/>
      <c r="E9" s="245" t="s">
        <v>967</v>
      </c>
      <c r="F9" s="245"/>
      <c r="G9" s="1006" t="str">
        <f>IF(MAAnrede&lt;&gt;"",MAAnrede,"")</f>
        <v/>
      </c>
      <c r="H9" s="245"/>
      <c r="I9" s="245"/>
      <c r="J9" s="245"/>
      <c r="K9" s="245"/>
      <c r="L9" s="62"/>
    </row>
    <row r="10" spans="1:16" s="244" customFormat="1" x14ac:dyDescent="0.2">
      <c r="B10" s="240"/>
      <c r="C10" s="239"/>
      <c r="D10" s="204"/>
      <c r="E10" s="245"/>
      <c r="F10" s="245"/>
      <c r="G10" s="619"/>
      <c r="H10" s="245"/>
      <c r="I10" s="245"/>
      <c r="J10" s="245"/>
      <c r="K10" s="245"/>
      <c r="L10" s="205"/>
    </row>
    <row r="11" spans="1:16" s="244" customFormat="1" ht="12.6" customHeight="1" x14ac:dyDescent="0.2">
      <c r="B11" s="247"/>
      <c r="C11" s="235"/>
      <c r="D11" s="61"/>
      <c r="E11" s="245" t="s">
        <v>756</v>
      </c>
      <c r="F11" s="245"/>
      <c r="G11" s="1181" t="str">
        <f>IF(MAName&lt;&gt;"",MAName,"")</f>
        <v/>
      </c>
      <c r="H11" s="1181"/>
      <c r="I11" s="245" t="s">
        <v>757</v>
      </c>
      <c r="J11" s="1181" t="str">
        <f>IF(MAVorname&lt;&gt;"",MAVorname,"")</f>
        <v/>
      </c>
      <c r="K11" s="1181"/>
      <c r="L11" s="62"/>
      <c r="N11" s="1149" t="s">
        <v>1029</v>
      </c>
      <c r="O11" s="1150"/>
      <c r="P11" s="675"/>
    </row>
    <row r="12" spans="1:16" s="244" customFormat="1" ht="12.6" customHeight="1" x14ac:dyDescent="0.2">
      <c r="B12" s="247"/>
      <c r="C12" s="235"/>
      <c r="D12" s="61"/>
      <c r="E12" s="245"/>
      <c r="F12" s="245"/>
      <c r="G12" s="245"/>
      <c r="H12" s="245"/>
      <c r="I12" s="245"/>
      <c r="J12" s="245"/>
      <c r="K12" s="245"/>
      <c r="L12" s="62"/>
      <c r="N12" s="1151"/>
      <c r="O12" s="1152"/>
      <c r="P12" s="675"/>
    </row>
    <row r="13" spans="1:16" s="244" customFormat="1" x14ac:dyDescent="0.2">
      <c r="B13" s="247"/>
      <c r="C13" s="235"/>
      <c r="D13" s="61"/>
      <c r="E13" s="245" t="s">
        <v>763</v>
      </c>
      <c r="F13" s="245"/>
      <c r="G13" s="1181" t="str">
        <f>IF(MAVertragsNr&lt;&gt;"",MAVertragsNr,"")</f>
        <v/>
      </c>
      <c r="H13" s="1181"/>
      <c r="I13" s="245" t="s">
        <v>762</v>
      </c>
      <c r="J13" s="1181" t="str">
        <f>IF(MAPersID&lt;&gt;"",MAPersID,"")</f>
        <v/>
      </c>
      <c r="K13" s="1181"/>
      <c r="L13" s="62"/>
    </row>
    <row r="14" spans="1:16" s="244" customFormat="1" x14ac:dyDescent="0.2">
      <c r="B14" s="247"/>
      <c r="C14" s="235"/>
      <c r="D14" s="61"/>
      <c r="E14" s="245"/>
      <c r="F14" s="245"/>
      <c r="G14" s="246"/>
      <c r="H14" s="245"/>
      <c r="I14" s="245"/>
      <c r="J14" s="245"/>
      <c r="K14" s="245"/>
      <c r="L14" s="266"/>
    </row>
    <row r="15" spans="1:16" s="244" customFormat="1" x14ac:dyDescent="0.2">
      <c r="B15" s="247"/>
      <c r="C15" s="235"/>
      <c r="D15" s="61"/>
      <c r="E15" s="245" t="s">
        <v>755</v>
      </c>
      <c r="F15" s="245"/>
      <c r="G15" s="1135"/>
      <c r="H15" s="1135"/>
      <c r="I15" s="1135"/>
      <c r="J15" s="1135"/>
      <c r="K15" s="1135"/>
      <c r="L15" s="62"/>
    </row>
    <row r="16" spans="1:16" s="244" customFormat="1" x14ac:dyDescent="0.2">
      <c r="B16" s="247"/>
      <c r="C16" s="235"/>
      <c r="D16" s="61"/>
      <c r="E16" s="245"/>
      <c r="F16" s="245"/>
      <c r="G16" s="246"/>
      <c r="H16" s="245"/>
      <c r="I16" s="245"/>
      <c r="J16" s="245"/>
      <c r="K16" s="245"/>
      <c r="L16" s="266"/>
    </row>
    <row r="17" spans="2:12" s="244" customFormat="1" x14ac:dyDescent="0.2">
      <c r="B17" s="247"/>
      <c r="C17" s="235"/>
      <c r="D17" s="61"/>
      <c r="E17" s="245" t="s">
        <v>758</v>
      </c>
      <c r="F17" s="245"/>
      <c r="G17" s="215"/>
      <c r="H17" s="566" t="s">
        <v>759</v>
      </c>
      <c r="I17" s="1135"/>
      <c r="J17" s="1135"/>
      <c r="K17" s="1135"/>
      <c r="L17" s="62"/>
    </row>
    <row r="18" spans="2:12" s="244" customFormat="1" x14ac:dyDescent="0.2">
      <c r="B18" s="247"/>
      <c r="C18" s="235"/>
      <c r="D18" s="61"/>
      <c r="E18" s="245"/>
      <c r="F18" s="245"/>
      <c r="G18" s="246"/>
      <c r="H18" s="245"/>
      <c r="I18" s="245"/>
      <c r="J18" s="245"/>
      <c r="K18" s="246"/>
      <c r="L18" s="62"/>
    </row>
    <row r="19" spans="2:12" s="244" customFormat="1" x14ac:dyDescent="0.2">
      <c r="B19" s="247"/>
      <c r="C19" s="235"/>
      <c r="D19" s="61"/>
      <c r="E19" s="245" t="s">
        <v>760</v>
      </c>
      <c r="F19" s="245"/>
      <c r="G19" s="457" t="str">
        <f>IF(MAGeburtsdatum="","",MAGeburtsdatum)</f>
        <v/>
      </c>
      <c r="H19" s="245"/>
      <c r="I19" s="245"/>
      <c r="J19" s="245"/>
      <c r="K19" s="245"/>
      <c r="L19" s="62"/>
    </row>
    <row r="20" spans="2:12" s="244" customFormat="1" x14ac:dyDescent="0.2">
      <c r="B20" s="247"/>
      <c r="C20" s="235"/>
      <c r="D20" s="61"/>
      <c r="E20" s="245"/>
      <c r="F20" s="245"/>
      <c r="G20" s="245"/>
      <c r="H20" s="245"/>
      <c r="I20" s="245"/>
      <c r="J20" s="245"/>
      <c r="K20" s="246"/>
      <c r="L20" s="62"/>
    </row>
    <row r="21" spans="2:12" s="244" customFormat="1" ht="13.15" customHeight="1" x14ac:dyDescent="0.2">
      <c r="B21" s="240"/>
      <c r="D21" s="61"/>
      <c r="E21" s="435" t="s">
        <v>825</v>
      </c>
      <c r="F21" s="1134" t="s">
        <v>1072</v>
      </c>
      <c r="G21" s="1134"/>
      <c r="H21" s="1134"/>
      <c r="I21" s="1134"/>
      <c r="J21" s="1134"/>
      <c r="K21" s="557"/>
      <c r="L21" s="205"/>
    </row>
    <row r="22" spans="2:12" s="244" customFormat="1" ht="13.15" customHeight="1" x14ac:dyDescent="0.2">
      <c r="B22" s="240"/>
      <c r="D22" s="61"/>
      <c r="E22" s="435"/>
      <c r="F22" s="1134" t="s">
        <v>1070</v>
      </c>
      <c r="G22" s="1134"/>
      <c r="H22" s="1134"/>
      <c r="I22" s="1134"/>
      <c r="J22" s="1134"/>
      <c r="K22" s="1134"/>
      <c r="L22" s="834"/>
    </row>
    <row r="23" spans="2:12" s="244" customFormat="1" ht="13.15" customHeight="1" x14ac:dyDescent="0.2">
      <c r="B23" s="240"/>
      <c r="D23" s="61"/>
      <c r="E23" s="435"/>
      <c r="F23" s="1134" t="s">
        <v>1071</v>
      </c>
      <c r="G23" s="1134"/>
      <c r="H23" s="1134"/>
      <c r="I23" s="1134"/>
      <c r="J23" s="557"/>
      <c r="K23" s="557"/>
      <c r="L23" s="205"/>
    </row>
    <row r="24" spans="2:12" s="244" customFormat="1" ht="13.15" customHeight="1" x14ac:dyDescent="0.2">
      <c r="B24" s="240"/>
      <c r="D24" s="61"/>
      <c r="E24" s="435"/>
      <c r="F24" s="1134" t="s">
        <v>1073</v>
      </c>
      <c r="G24" s="1134"/>
      <c r="H24" s="557"/>
      <c r="I24" s="557"/>
      <c r="J24" s="557"/>
      <c r="K24" s="557"/>
      <c r="L24" s="205"/>
    </row>
    <row r="25" spans="2:12" s="244" customFormat="1" ht="8.1" customHeight="1" x14ac:dyDescent="0.2">
      <c r="B25" s="240"/>
      <c r="C25" s="239"/>
      <c r="D25" s="206"/>
      <c r="E25" s="64"/>
      <c r="F25" s="64"/>
      <c r="G25" s="65"/>
      <c r="H25" s="64"/>
      <c r="I25" s="64"/>
      <c r="J25" s="64"/>
      <c r="K25" s="64"/>
      <c r="L25" s="207"/>
    </row>
    <row r="26" spans="2:12" ht="6" customHeight="1" x14ac:dyDescent="0.2">
      <c r="B26" s="240"/>
      <c r="C26" s="239"/>
      <c r="D26" s="245"/>
      <c r="E26" s="343"/>
      <c r="F26" s="246"/>
      <c r="G26" s="245"/>
      <c r="H26" s="245"/>
      <c r="I26" s="245"/>
      <c r="J26" s="245"/>
      <c r="K26" s="239"/>
      <c r="L26" s="239"/>
    </row>
    <row r="27" spans="2:12" ht="5.0999999999999996" customHeight="1" x14ac:dyDescent="0.2">
      <c r="B27" s="240"/>
      <c r="C27" s="239"/>
      <c r="D27" s="371"/>
      <c r="E27" s="370"/>
      <c r="F27" s="270"/>
      <c r="G27" s="269"/>
      <c r="H27" s="269"/>
      <c r="I27" s="269"/>
      <c r="J27" s="269"/>
      <c r="K27" s="67"/>
      <c r="L27" s="203"/>
    </row>
    <row r="28" spans="2:12" x14ac:dyDescent="0.2">
      <c r="B28" s="240"/>
      <c r="C28" s="239"/>
      <c r="D28" s="204"/>
      <c r="E28" s="318" t="s">
        <v>975</v>
      </c>
      <c r="F28" s="343"/>
      <c r="G28" s="246"/>
      <c r="H28" s="245"/>
      <c r="I28" s="245"/>
      <c r="J28" s="245"/>
      <c r="K28" s="245"/>
      <c r="L28" s="205"/>
    </row>
    <row r="29" spans="2:12" x14ac:dyDescent="0.2">
      <c r="B29" s="240"/>
      <c r="C29" s="239"/>
      <c r="D29" s="204"/>
      <c r="E29" s="343"/>
      <c r="F29" s="343"/>
      <c r="G29" s="246"/>
      <c r="H29" s="245"/>
      <c r="I29" s="245"/>
      <c r="J29" s="245"/>
      <c r="K29" s="245"/>
      <c r="L29" s="205"/>
    </row>
    <row r="30" spans="2:12" s="244" customFormat="1" x14ac:dyDescent="0.2">
      <c r="B30" s="240"/>
      <c r="C30" s="239"/>
      <c r="D30" s="61"/>
      <c r="E30" s="245" t="s">
        <v>1038</v>
      </c>
      <c r="F30" s="341"/>
      <c r="G30" s="1135"/>
      <c r="H30" s="1135"/>
      <c r="I30" s="1135"/>
      <c r="J30" s="1135"/>
      <c r="K30" s="1135"/>
      <c r="L30" s="62"/>
    </row>
    <row r="31" spans="2:12" s="244" customFormat="1" x14ac:dyDescent="0.2">
      <c r="B31" s="240"/>
      <c r="C31" s="239"/>
      <c r="D31" s="61"/>
      <c r="E31" s="245"/>
      <c r="F31" s="245"/>
      <c r="H31" s="342"/>
      <c r="I31" s="342"/>
      <c r="L31" s="62"/>
    </row>
    <row r="32" spans="2:12" x14ac:dyDescent="0.2">
      <c r="B32" s="240"/>
      <c r="C32" s="239"/>
      <c r="D32" s="204"/>
      <c r="E32" s="245" t="s">
        <v>841</v>
      </c>
      <c r="F32" s="428"/>
      <c r="G32" s="246"/>
      <c r="H32" s="246" t="s">
        <v>6</v>
      </c>
      <c r="I32" s="233"/>
      <c r="J32" s="246" t="s">
        <v>7</v>
      </c>
      <c r="K32" s="233"/>
      <c r="L32" s="205"/>
    </row>
    <row r="33" spans="1:18" x14ac:dyDescent="0.2">
      <c r="B33" s="240"/>
      <c r="C33" s="239"/>
      <c r="D33" s="204"/>
      <c r="E33" s="949" t="s">
        <v>2004</v>
      </c>
      <c r="L33" s="205"/>
    </row>
    <row r="34" spans="1:18" x14ac:dyDescent="0.2">
      <c r="B34" s="240"/>
      <c r="C34" s="239"/>
      <c r="D34" s="204"/>
      <c r="E34" s="245" t="s">
        <v>832</v>
      </c>
      <c r="F34" s="245"/>
      <c r="G34" s="1135"/>
      <c r="H34" s="1135"/>
      <c r="I34" s="1135"/>
      <c r="J34" s="1135"/>
      <c r="K34" s="1135"/>
      <c r="L34" s="205"/>
    </row>
    <row r="35" spans="1:18" x14ac:dyDescent="0.2">
      <c r="B35" s="240"/>
      <c r="C35" s="239"/>
      <c r="D35" s="204"/>
      <c r="E35" s="949" t="s">
        <v>2004</v>
      </c>
      <c r="F35" s="343"/>
      <c r="G35" s="246"/>
      <c r="H35" s="245"/>
      <c r="I35" s="245"/>
      <c r="J35" s="245"/>
      <c r="K35" s="245"/>
      <c r="L35" s="205"/>
    </row>
    <row r="36" spans="1:18" x14ac:dyDescent="0.2">
      <c r="B36" s="240"/>
      <c r="C36" s="239"/>
      <c r="D36" s="372"/>
      <c r="E36" s="245"/>
      <c r="F36" s="245"/>
      <c r="G36" s="245"/>
      <c r="H36" s="245"/>
      <c r="I36" s="245"/>
      <c r="J36" s="245"/>
      <c r="K36" s="245"/>
      <c r="L36" s="266"/>
    </row>
    <row r="37" spans="1:18" s="244" customFormat="1" x14ac:dyDescent="0.2">
      <c r="B37" s="240"/>
      <c r="C37" s="235"/>
      <c r="D37" s="61"/>
      <c r="E37" s="1165" t="s">
        <v>972</v>
      </c>
      <c r="F37" s="1165"/>
      <c r="G37" s="1165"/>
      <c r="H37" s="319"/>
      <c r="I37" s="319"/>
      <c r="J37" s="319"/>
      <c r="K37" s="319"/>
      <c r="L37" s="321"/>
    </row>
    <row r="38" spans="1:18" s="244" customFormat="1" x14ac:dyDescent="0.2">
      <c r="B38" s="240"/>
      <c r="C38" s="235"/>
      <c r="D38" s="61"/>
      <c r="E38" s="245"/>
      <c r="F38" s="245"/>
      <c r="G38" s="246"/>
      <c r="H38" s="245"/>
      <c r="I38" s="245"/>
      <c r="J38" s="245"/>
      <c r="K38" s="245"/>
      <c r="L38" s="266"/>
      <c r="R38" s="244" t="s">
        <v>973</v>
      </c>
    </row>
    <row r="39" spans="1:18" s="244" customFormat="1" x14ac:dyDescent="0.2">
      <c r="B39" s="240"/>
      <c r="C39" s="235"/>
      <c r="D39" s="61"/>
      <c r="E39" s="1136"/>
      <c r="F39" s="1136"/>
      <c r="G39" s="1136"/>
      <c r="H39" s="1136"/>
      <c r="I39" s="1136"/>
      <c r="J39" s="1136"/>
      <c r="K39" s="1136"/>
      <c r="L39" s="62"/>
      <c r="R39" s="349">
        <f>E39</f>
        <v>0</v>
      </c>
    </row>
    <row r="40" spans="1:18" s="244" customFormat="1" x14ac:dyDescent="0.2">
      <c r="B40" s="240"/>
      <c r="C40" s="235"/>
      <c r="D40" s="61"/>
      <c r="E40" s="1136"/>
      <c r="F40" s="1136"/>
      <c r="G40" s="1136"/>
      <c r="H40" s="1136"/>
      <c r="I40" s="1136"/>
      <c r="J40" s="1136"/>
      <c r="K40" s="1136"/>
      <c r="L40" s="62"/>
      <c r="R40" s="349">
        <f>E40</f>
        <v>0</v>
      </c>
    </row>
    <row r="41" spans="1:18" s="244" customFormat="1" x14ac:dyDescent="0.2">
      <c r="B41" s="240"/>
      <c r="C41" s="235"/>
      <c r="D41" s="61"/>
      <c r="E41" s="1136"/>
      <c r="F41" s="1136"/>
      <c r="G41" s="1136"/>
      <c r="H41" s="1136"/>
      <c r="I41" s="1136"/>
      <c r="J41" s="1136"/>
      <c r="K41" s="1136"/>
      <c r="L41" s="62"/>
      <c r="M41" s="61"/>
      <c r="N41" s="431"/>
      <c r="R41" s="349">
        <f>E41</f>
        <v>0</v>
      </c>
    </row>
    <row r="42" spans="1:18" s="244" customFormat="1" x14ac:dyDescent="0.2">
      <c r="B42" s="240"/>
      <c r="C42" s="239"/>
      <c r="D42" s="61"/>
      <c r="E42" s="561"/>
      <c r="F42" s="432"/>
      <c r="G42" s="432"/>
      <c r="H42" s="432"/>
      <c r="I42" s="432"/>
      <c r="J42" s="432"/>
      <c r="K42" s="549"/>
      <c r="L42" s="205"/>
      <c r="M42" s="61"/>
      <c r="N42" s="431"/>
    </row>
    <row r="43" spans="1:18" s="244" customFormat="1" x14ac:dyDescent="0.2">
      <c r="B43" s="240"/>
      <c r="C43" s="235"/>
      <c r="D43" s="61"/>
      <c r="H43" s="1140" t="s">
        <v>1122</v>
      </c>
      <c r="I43" s="1140"/>
      <c r="J43" s="1140"/>
      <c r="K43" s="1004"/>
      <c r="L43" s="62"/>
      <c r="M43" s="61"/>
      <c r="N43" s="431"/>
    </row>
    <row r="44" spans="1:18" ht="8.1" customHeight="1" x14ac:dyDescent="0.2">
      <c r="B44" s="240"/>
      <c r="C44" s="239"/>
      <c r="D44" s="206"/>
      <c r="E44" s="348"/>
      <c r="F44" s="348"/>
      <c r="G44" s="348"/>
      <c r="H44" s="373"/>
      <c r="I44" s="373"/>
      <c r="J44" s="374"/>
      <c r="K44" s="373"/>
      <c r="L44" s="207"/>
    </row>
    <row r="45" spans="1:18" s="244" customFormat="1" ht="6" customHeight="1" x14ac:dyDescent="0.2">
      <c r="C45" s="239"/>
      <c r="D45" s="239"/>
      <c r="E45" s="245"/>
      <c r="F45" s="245"/>
      <c r="G45" s="246"/>
      <c r="H45" s="245"/>
      <c r="I45" s="245"/>
      <c r="J45" s="245"/>
      <c r="K45" s="245"/>
      <c r="L45" s="245"/>
    </row>
    <row r="46" spans="1:18" s="235" customFormat="1" ht="21" customHeight="1" x14ac:dyDescent="0.2">
      <c r="B46" s="236"/>
      <c r="D46" s="238" t="s">
        <v>1221</v>
      </c>
      <c r="F46" s="238"/>
      <c r="H46" s="237"/>
      <c r="I46" s="237"/>
      <c r="J46" s="237"/>
      <c r="K46" s="237"/>
      <c r="L46" s="237"/>
      <c r="M46" s="237"/>
    </row>
    <row r="47" spans="1:18" s="244" customFormat="1" ht="6.75" customHeight="1" x14ac:dyDescent="0.2">
      <c r="A47" s="239"/>
      <c r="B47" s="240"/>
      <c r="C47" s="240"/>
      <c r="D47" s="240"/>
      <c r="E47" s="240"/>
      <c r="F47" s="241"/>
      <c r="G47" s="240"/>
      <c r="H47" s="242"/>
      <c r="I47" s="243"/>
      <c r="J47" s="242"/>
      <c r="K47" s="242"/>
      <c r="L47" s="242"/>
      <c r="N47" s="1161" t="s">
        <v>2000</v>
      </c>
      <c r="O47" s="1161"/>
      <c r="P47" s="1161"/>
    </row>
    <row r="48" spans="1:18" s="244" customFormat="1" ht="6" customHeight="1" x14ac:dyDescent="0.2">
      <c r="A48" s="239"/>
      <c r="B48" s="240"/>
      <c r="C48" s="239"/>
      <c r="D48" s="239"/>
      <c r="E48" s="239"/>
      <c r="F48" s="318"/>
      <c r="G48" s="239"/>
      <c r="H48" s="245"/>
      <c r="I48" s="246"/>
      <c r="J48" s="245"/>
      <c r="K48" s="245"/>
      <c r="L48" s="245"/>
      <c r="M48" s="245"/>
      <c r="N48" s="1161"/>
      <c r="O48" s="1161"/>
      <c r="P48" s="1161"/>
    </row>
    <row r="49" spans="2:16" s="244" customFormat="1" ht="5.0999999999999996" customHeight="1" x14ac:dyDescent="0.2">
      <c r="B49" s="240"/>
      <c r="C49" s="239"/>
      <c r="D49" s="202"/>
      <c r="E49" s="269"/>
      <c r="F49" s="269"/>
      <c r="G49" s="270"/>
      <c r="H49" s="269"/>
      <c r="I49" s="269"/>
      <c r="J49" s="269"/>
      <c r="K49" s="269"/>
      <c r="L49" s="271"/>
      <c r="N49" s="1161"/>
      <c r="O49" s="1161"/>
      <c r="P49" s="1161"/>
    </row>
    <row r="50" spans="2:16" s="244" customFormat="1" x14ac:dyDescent="0.2">
      <c r="B50" s="240"/>
      <c r="C50" s="239"/>
      <c r="D50" s="204"/>
      <c r="E50" s="272" t="s">
        <v>941</v>
      </c>
      <c r="F50" s="245"/>
      <c r="G50" s="246"/>
      <c r="H50" s="245"/>
      <c r="I50" s="245"/>
      <c r="J50" s="245"/>
      <c r="K50" s="245"/>
      <c r="L50" s="205"/>
      <c r="N50" s="1161"/>
      <c r="O50" s="1161"/>
      <c r="P50" s="1161"/>
    </row>
    <row r="51" spans="2:16" s="244" customFormat="1" x14ac:dyDescent="0.2">
      <c r="B51" s="240"/>
      <c r="C51" s="239"/>
      <c r="D51" s="204"/>
      <c r="H51" s="245"/>
      <c r="I51" s="245"/>
      <c r="J51" s="245"/>
      <c r="K51" s="245"/>
      <c r="L51" s="205"/>
      <c r="N51" s="1161"/>
      <c r="O51" s="1161"/>
      <c r="P51" s="1161"/>
    </row>
    <row r="52" spans="2:16" s="244" customFormat="1" x14ac:dyDescent="0.2">
      <c r="B52" s="240"/>
      <c r="C52" s="239"/>
      <c r="D52" s="204"/>
      <c r="E52" s="245" t="s">
        <v>971</v>
      </c>
      <c r="F52" s="1166"/>
      <c r="G52" s="1166"/>
      <c r="L52" s="205"/>
      <c r="N52" s="1161"/>
      <c r="O52" s="1161"/>
      <c r="P52" s="1161"/>
    </row>
    <row r="53" spans="2:16" s="244" customFormat="1" x14ac:dyDescent="0.2">
      <c r="B53" s="240"/>
      <c r="C53" s="239"/>
      <c r="D53" s="204"/>
      <c r="E53" s="245"/>
      <c r="F53" s="245"/>
      <c r="G53" s="346"/>
      <c r="H53" s="245"/>
      <c r="I53" s="245"/>
      <c r="J53" s="245"/>
      <c r="K53" s="246"/>
      <c r="L53" s="205"/>
      <c r="N53" s="1161"/>
      <c r="O53" s="1161"/>
      <c r="P53" s="1161"/>
    </row>
    <row r="54" spans="2:16" s="244" customFormat="1" x14ac:dyDescent="0.2">
      <c r="B54" s="240"/>
      <c r="C54" s="239"/>
      <c r="D54" s="204"/>
      <c r="E54" s="245" t="s">
        <v>996</v>
      </c>
      <c r="F54" s="245"/>
      <c r="G54" s="1006" t="str">
        <f>IF(MULohnberechnung&lt;&gt;"",MULohnberechnung,"")</f>
        <v/>
      </c>
      <c r="H54" s="666" t="s">
        <v>998</v>
      </c>
      <c r="I54" s="239" t="s">
        <v>1032</v>
      </c>
      <c r="K54" s="1005"/>
      <c r="L54" s="205"/>
      <c r="N54" s="1161"/>
      <c r="O54" s="1161"/>
      <c r="P54" s="1161"/>
    </row>
    <row r="55" spans="2:16" s="244" customFormat="1" x14ac:dyDescent="0.2">
      <c r="B55" s="240"/>
      <c r="D55" s="61"/>
      <c r="L55" s="62"/>
      <c r="N55" s="1161"/>
      <c r="O55" s="1161"/>
      <c r="P55" s="1161"/>
    </row>
    <row r="56" spans="2:16" s="244" customFormat="1" x14ac:dyDescent="0.2">
      <c r="B56" s="240"/>
      <c r="C56" s="239"/>
      <c r="D56" s="204"/>
      <c r="E56" s="245" t="s">
        <v>966</v>
      </c>
      <c r="F56" s="245"/>
      <c r="G56" s="1005"/>
      <c r="I56" s="245" t="s">
        <v>1069</v>
      </c>
      <c r="J56" s="1141" t="str">
        <f>_xlfn.IFNA(VLOOKUP(G56,Stammdaten_DropDown!$B$14:$C$55,2,FALSE),"")</f>
        <v/>
      </c>
      <c r="K56" s="1141"/>
      <c r="L56" s="266"/>
      <c r="N56" s="1161"/>
      <c r="O56" s="1161"/>
      <c r="P56" s="1161"/>
    </row>
    <row r="57" spans="2:16" s="244" customFormat="1" x14ac:dyDescent="0.2">
      <c r="B57" s="240"/>
      <c r="C57" s="239"/>
      <c r="D57" s="204"/>
      <c r="L57" s="266"/>
      <c r="N57" s="1161"/>
      <c r="O57" s="1161"/>
      <c r="P57" s="1161"/>
    </row>
    <row r="58" spans="2:16" s="244" customFormat="1" x14ac:dyDescent="0.2">
      <c r="B58" s="240"/>
      <c r="C58" s="239"/>
      <c r="D58" s="204"/>
      <c r="E58" s="245" t="str">
        <f>IF(G13&lt;&gt;"","LOGIB-Code bereits vorhanden","Höchstausbildung LOGIB*")</f>
        <v>Höchstausbildung LOGIB*</v>
      </c>
      <c r="H58" s="1189"/>
      <c r="I58" s="1189"/>
      <c r="J58" s="1189"/>
      <c r="K58" s="1189"/>
      <c r="L58" s="266"/>
      <c r="N58" s="1161"/>
      <c r="O58" s="1161"/>
      <c r="P58" s="1161"/>
    </row>
    <row r="59" spans="2:16" s="244" customFormat="1" x14ac:dyDescent="0.2">
      <c r="B59" s="240"/>
      <c r="C59" s="239"/>
      <c r="D59" s="204"/>
      <c r="E59" s="986" t="s">
        <v>2023</v>
      </c>
      <c r="L59" s="266"/>
      <c r="N59" s="1161"/>
      <c r="O59" s="1161"/>
      <c r="P59" s="1161"/>
    </row>
    <row r="60" spans="2:16" s="244" customFormat="1" x14ac:dyDescent="0.2">
      <c r="B60" s="240"/>
      <c r="C60" s="239"/>
      <c r="D60" s="204"/>
      <c r="E60" s="1164" t="s">
        <v>946</v>
      </c>
      <c r="F60" s="1164"/>
      <c r="G60" s="1135"/>
      <c r="H60" s="1135"/>
      <c r="I60" s="1135"/>
      <c r="J60" s="1135"/>
      <c r="K60" s="1135"/>
      <c r="L60" s="205"/>
      <c r="N60" s="1161"/>
      <c r="O60" s="1161"/>
      <c r="P60" s="1161"/>
    </row>
    <row r="61" spans="2:16" s="244" customFormat="1" ht="8.1" customHeight="1" x14ac:dyDescent="0.2">
      <c r="B61" s="240"/>
      <c r="C61" s="239"/>
      <c r="D61" s="206"/>
      <c r="E61" s="267"/>
      <c r="F61" s="267"/>
      <c r="G61" s="267"/>
      <c r="H61" s="267"/>
      <c r="I61" s="267"/>
      <c r="J61" s="267"/>
      <c r="K61" s="267"/>
      <c r="L61" s="207"/>
      <c r="N61" s="1161"/>
      <c r="O61" s="1161"/>
      <c r="P61" s="1161"/>
    </row>
    <row r="62" spans="2:16" s="244" customFormat="1" ht="6" customHeight="1" x14ac:dyDescent="0.2">
      <c r="B62" s="240"/>
      <c r="C62" s="239"/>
      <c r="D62" s="239"/>
      <c r="E62" s="268"/>
      <c r="F62" s="268"/>
      <c r="G62" s="268"/>
      <c r="H62" s="268"/>
      <c r="I62" s="268"/>
      <c r="J62" s="268"/>
      <c r="K62" s="268"/>
      <c r="L62" s="239"/>
      <c r="N62" s="1161"/>
      <c r="O62" s="1161"/>
      <c r="P62" s="1161"/>
    </row>
    <row r="63" spans="2:16" s="244" customFormat="1" ht="5.0999999999999996" customHeight="1" x14ac:dyDescent="0.2">
      <c r="B63" s="240"/>
      <c r="C63" s="239"/>
      <c r="D63" s="202"/>
      <c r="E63" s="67"/>
      <c r="F63" s="67"/>
      <c r="G63" s="68"/>
      <c r="H63" s="67"/>
      <c r="I63" s="67"/>
      <c r="J63" s="67"/>
      <c r="K63" s="67"/>
      <c r="L63" s="203"/>
      <c r="N63" s="1161"/>
      <c r="O63" s="1161"/>
      <c r="P63" s="1161"/>
    </row>
    <row r="64" spans="2:16" s="244" customFormat="1" x14ac:dyDescent="0.2">
      <c r="B64" s="240"/>
      <c r="C64" s="239"/>
      <c r="D64" s="204"/>
      <c r="E64" s="1165" t="s">
        <v>978</v>
      </c>
      <c r="F64" s="1165"/>
      <c r="G64" s="1165"/>
      <c r="H64" s="1165"/>
      <c r="I64" s="1165"/>
      <c r="J64" s="1165"/>
      <c r="K64" s="245"/>
      <c r="L64" s="205"/>
      <c r="N64" s="1161"/>
      <c r="O64" s="1161"/>
      <c r="P64" s="1161"/>
    </row>
    <row r="65" spans="2:18" s="244" customFormat="1" x14ac:dyDescent="0.2">
      <c r="B65" s="240"/>
      <c r="C65" s="239"/>
      <c r="D65" s="204"/>
      <c r="E65" s="245"/>
      <c r="F65" s="245"/>
      <c r="G65" s="246"/>
      <c r="H65" s="245"/>
      <c r="I65" s="245"/>
      <c r="J65" s="245"/>
      <c r="K65" s="245"/>
      <c r="L65" s="205"/>
      <c r="N65" s="1161"/>
      <c r="O65" s="1161"/>
      <c r="P65" s="1161"/>
      <c r="R65" s="244" t="s">
        <v>973</v>
      </c>
    </row>
    <row r="66" spans="2:18" s="244" customFormat="1" x14ac:dyDescent="0.2">
      <c r="B66" s="240"/>
      <c r="C66" s="239"/>
      <c r="D66" s="204"/>
      <c r="E66" s="1136"/>
      <c r="F66" s="1136"/>
      <c r="G66" s="1136"/>
      <c r="H66" s="1136"/>
      <c r="I66" s="1136"/>
      <c r="J66" s="1136"/>
      <c r="K66" s="1136"/>
      <c r="L66" s="205"/>
      <c r="N66" s="1161"/>
      <c r="O66" s="1161"/>
      <c r="P66" s="1161"/>
      <c r="R66" s="349">
        <f>E66</f>
        <v>0</v>
      </c>
    </row>
    <row r="67" spans="2:18" s="244" customFormat="1" x14ac:dyDescent="0.2">
      <c r="B67" s="240"/>
      <c r="C67" s="239"/>
      <c r="D67" s="204"/>
      <c r="E67" s="1136"/>
      <c r="F67" s="1136"/>
      <c r="G67" s="1136"/>
      <c r="H67" s="1136"/>
      <c r="I67" s="1136"/>
      <c r="J67" s="1136"/>
      <c r="K67" s="1136"/>
      <c r="L67" s="205"/>
      <c r="N67" s="1161"/>
      <c r="O67" s="1161"/>
      <c r="P67" s="1161"/>
      <c r="R67" s="349"/>
    </row>
    <row r="68" spans="2:18" s="244" customFormat="1" x14ac:dyDescent="0.2">
      <c r="B68" s="240"/>
      <c r="C68" s="239"/>
      <c r="D68" s="204"/>
      <c r="E68" s="1136"/>
      <c r="F68" s="1136"/>
      <c r="G68" s="1136"/>
      <c r="H68" s="1136"/>
      <c r="I68" s="1136"/>
      <c r="J68" s="1136"/>
      <c r="K68" s="1136"/>
      <c r="L68" s="205"/>
      <c r="N68" s="1161"/>
      <c r="O68" s="1161"/>
      <c r="P68" s="1161"/>
      <c r="R68" s="349">
        <f>E68</f>
        <v>0</v>
      </c>
    </row>
    <row r="69" spans="2:18" s="244" customFormat="1" ht="8.1" customHeight="1" x14ac:dyDescent="0.2">
      <c r="B69" s="240"/>
      <c r="C69" s="239"/>
      <c r="D69" s="206"/>
      <c r="E69" s="64"/>
      <c r="F69" s="64"/>
      <c r="G69" s="65"/>
      <c r="H69" s="64"/>
      <c r="I69" s="64"/>
      <c r="J69" s="64"/>
      <c r="K69" s="64"/>
      <c r="L69" s="207"/>
      <c r="N69" s="1161"/>
      <c r="O69" s="1161"/>
      <c r="P69" s="1161"/>
    </row>
    <row r="70" spans="2:18" s="244" customFormat="1" ht="6" customHeight="1" x14ac:dyDescent="0.2">
      <c r="B70" s="240"/>
      <c r="C70" s="239"/>
      <c r="D70" s="239"/>
      <c r="E70" s="245"/>
      <c r="F70" s="245"/>
      <c r="G70" s="246"/>
      <c r="H70" s="245"/>
      <c r="I70" s="245"/>
      <c r="J70" s="245"/>
      <c r="K70" s="245"/>
      <c r="L70" s="239"/>
    </row>
    <row r="71" spans="2:18" s="244" customFormat="1" ht="5.0999999999999996" customHeight="1" x14ac:dyDescent="0.2">
      <c r="B71" s="240"/>
      <c r="C71" s="239"/>
      <c r="D71" s="202"/>
      <c r="E71" s="67"/>
      <c r="F71" s="67"/>
      <c r="G71" s="68"/>
      <c r="H71" s="67"/>
      <c r="I71" s="67"/>
      <c r="J71" s="67"/>
      <c r="K71" s="67"/>
      <c r="L71" s="203"/>
    </row>
    <row r="72" spans="2:18" s="244" customFormat="1" x14ac:dyDescent="0.2">
      <c r="B72" s="240"/>
      <c r="C72" s="239"/>
      <c r="D72" s="204"/>
      <c r="E72" s="210" t="s">
        <v>929</v>
      </c>
      <c r="F72" s="210"/>
      <c r="G72" s="320"/>
      <c r="H72" s="319"/>
      <c r="I72" s="319"/>
      <c r="J72" s="319"/>
      <c r="K72" s="319"/>
      <c r="L72" s="266"/>
      <c r="N72" s="1176" t="str">
        <f>Stammdaten_DropDown!A114</f>
        <v>Lohnentwicklung</v>
      </c>
      <c r="O72" s="1176"/>
      <c r="P72" s="1176"/>
    </row>
    <row r="73" spans="2:18" s="244" customFormat="1" ht="6" customHeight="1" x14ac:dyDescent="0.2">
      <c r="B73" s="240"/>
      <c r="C73" s="239"/>
      <c r="D73" s="204"/>
      <c r="E73" s="245"/>
      <c r="F73" s="245"/>
      <c r="G73" s="535"/>
      <c r="H73" s="245"/>
      <c r="I73" s="245"/>
      <c r="J73" s="245"/>
      <c r="K73" s="245"/>
      <c r="L73" s="266"/>
      <c r="N73" s="856"/>
    </row>
    <row r="74" spans="2:18" s="244" customFormat="1" x14ac:dyDescent="0.2">
      <c r="B74" s="240"/>
      <c r="C74" s="239"/>
      <c r="D74" s="204"/>
      <c r="E74" s="245" t="s">
        <v>940</v>
      </c>
      <c r="F74" s="245"/>
      <c r="G74" s="535"/>
      <c r="H74" s="245"/>
      <c r="I74" s="245"/>
      <c r="J74" s="1166"/>
      <c r="K74" s="1166"/>
      <c r="L74" s="266"/>
      <c r="N74" s="1185" t="str">
        <f>Stammdaten_DropDown!A115</f>
        <v>Bitte angeben, ob eine individuelle Lohnentwicklung gewährt werden soll.</v>
      </c>
      <c r="O74" s="1185"/>
      <c r="P74" s="1185"/>
    </row>
    <row r="75" spans="2:18" s="244" customFormat="1" x14ac:dyDescent="0.2">
      <c r="B75" s="240"/>
      <c r="C75" s="239"/>
      <c r="D75" s="204"/>
      <c r="E75" s="245"/>
      <c r="F75" s="245"/>
      <c r="G75" s="535"/>
      <c r="H75" s="245"/>
      <c r="I75" s="245"/>
      <c r="J75" s="245"/>
      <c r="K75" s="245"/>
      <c r="L75" s="266"/>
      <c r="N75" s="1185" t="str">
        <f>Stammdaten_DropDown!A116</f>
        <v>Bei einem Neueintritt nach dem 01.07.2026 ist keine individuelle Lohnentwicklung vorgesehen.</v>
      </c>
      <c r="O75" s="1185"/>
      <c r="P75" s="1185"/>
    </row>
    <row r="76" spans="2:18" s="244" customFormat="1" x14ac:dyDescent="0.2">
      <c r="B76" s="240"/>
      <c r="C76" s="239"/>
      <c r="D76" s="204"/>
      <c r="E76" s="275" t="s">
        <v>764</v>
      </c>
      <c r="G76" s="1011" t="str">
        <f>IF(ISBLANK($J$74),IF(BandLohnBer="",IF(BandLohnRechner="","",BandLohnRechner),IF(BandLohnRechner="",BandLohnBer,"FEHLER")),"-")</f>
        <v/>
      </c>
      <c r="I76" s="737" t="s">
        <v>808</v>
      </c>
      <c r="K76" s="1006" t="str">
        <f>IF(ISBLANK($J$74),IF(EWLohnBer="",IF(EWLohnRechner="","",EWLohnRechner),IF(EWLohnRechner="",EWLohnBer,"FEHLER")),"-")</f>
        <v/>
      </c>
      <c r="L76" s="266"/>
      <c r="N76" s="1185" t="str">
        <f>Stammdaten_DropDown!A117</f>
        <v>In dem Fall ist das Prädikat auf dem Wert «NA» (keine Beurteilung) zu belassen.</v>
      </c>
      <c r="O76" s="1185"/>
      <c r="P76" s="1185"/>
    </row>
    <row r="77" spans="2:18" s="244" customFormat="1" x14ac:dyDescent="0.2">
      <c r="B77" s="240"/>
      <c r="C77" s="239"/>
      <c r="D77" s="204"/>
      <c r="E77" s="429" t="b">
        <f>AND(BandLohnBer&lt;&gt;"",BandLohnRechner&lt;&gt;"")</f>
        <v>0</v>
      </c>
      <c r="F77" s="245"/>
      <c r="G77" s="536" t="str">
        <f>IF(E77,"2 Lohnbänder gefunden","")</f>
        <v/>
      </c>
      <c r="H77" s="688" t="b">
        <f>AND(EWLohnBer&lt;&gt;"",EWLohnRechner&lt;&gt;"")</f>
        <v>0</v>
      </c>
      <c r="J77" s="538" t="str">
        <f>IF(H77,"2 Erfahrungswerte gefunden","")</f>
        <v/>
      </c>
      <c r="K77" s="538"/>
      <c r="L77" s="266"/>
      <c r="N77" s="856"/>
    </row>
    <row r="78" spans="2:18" s="244" customFormat="1" ht="13.35" customHeight="1" x14ac:dyDescent="0.2">
      <c r="B78" s="240"/>
      <c r="C78" s="239"/>
      <c r="D78" s="204"/>
      <c r="E78" s="567"/>
      <c r="I78" s="737" t="s">
        <v>1100</v>
      </c>
      <c r="K78" s="1000" t="str">
        <f>IF(ISBLANK($J$74),IF(LohnLohnBer="",IF(LohnLohnRechner="","",LohnLohnRechner),IF(LohnLohnRechner="",LohnLohnBer,"FEHLER")),"-")</f>
        <v/>
      </c>
      <c r="L78" s="62"/>
      <c r="N78" s="1174" t="str">
        <f>Stammdaten_DropDown!A118</f>
        <v xml:space="preserve">Falls eine individuelle  Lohnentwicklung gewährt werden soll, ist das entsprechende Prädikat aus der relevanten MAG-Phase im Dropdown-Menu auszuwählen. </v>
      </c>
      <c r="O78" s="1174"/>
      <c r="P78" s="1174"/>
    </row>
    <row r="79" spans="2:18" s="244" customFormat="1" x14ac:dyDescent="0.2">
      <c r="B79" s="240"/>
      <c r="C79" s="239"/>
      <c r="D79" s="204"/>
      <c r="F79" s="564"/>
      <c r="G79" s="564"/>
      <c r="H79" s="564"/>
      <c r="I79" s="564"/>
      <c r="J79" s="1173"/>
      <c r="K79" s="1173"/>
      <c r="L79" s="266"/>
      <c r="N79" s="1174"/>
      <c r="O79" s="1174"/>
      <c r="P79" s="1174"/>
    </row>
    <row r="80" spans="2:18" s="244" customFormat="1" x14ac:dyDescent="0.2">
      <c r="B80" s="240"/>
      <c r="C80" s="239"/>
      <c r="D80" s="204"/>
      <c r="E80" s="244" t="str">
        <f>CONCATENATE("Lohnentwicklung per 01.01.",LohntabelleM!I1+1," gewähren?")</f>
        <v>Lohnentwicklung per 01.01.2027 gewähren?</v>
      </c>
      <c r="F80" s="847"/>
      <c r="G80" s="847"/>
      <c r="H80" s="844"/>
      <c r="I80" s="847"/>
      <c r="J80" s="862" t="s">
        <v>1948</v>
      </c>
      <c r="K80" s="869" t="str">
        <f>L80</f>
        <v/>
      </c>
      <c r="L80" s="858" t="str">
        <f>IF(H80="Ja","A",IF(H80="Nein","NA",""))</f>
        <v/>
      </c>
      <c r="N80" s="1185" t="str">
        <f>Stammdaten_DropDown!A119</f>
        <v>Ist noch keine Beurteilung hinterlegt, so ist das Prädikat auf «A» zu belassen.</v>
      </c>
      <c r="O80" s="1185"/>
      <c r="P80" s="1185"/>
    </row>
    <row r="81" spans="2:12" s="244" customFormat="1" ht="8.1" customHeight="1" x14ac:dyDescent="0.2">
      <c r="B81" s="240"/>
      <c r="C81" s="239"/>
      <c r="D81" s="206"/>
      <c r="E81" s="64"/>
      <c r="F81" s="64"/>
      <c r="G81" s="65"/>
      <c r="H81" s="64"/>
      <c r="I81" s="64"/>
      <c r="J81" s="64"/>
      <c r="K81" s="64"/>
      <c r="L81" s="279"/>
    </row>
    <row r="82" spans="2:12" s="244" customFormat="1" ht="10.9" customHeight="1" x14ac:dyDescent="0.2">
      <c r="B82" s="240"/>
      <c r="C82" s="239"/>
      <c r="D82" s="239"/>
      <c r="E82" s="245"/>
      <c r="F82" s="245"/>
      <c r="G82" s="246"/>
      <c r="H82" s="245"/>
      <c r="I82" s="245"/>
      <c r="J82" s="245"/>
      <c r="K82" s="245"/>
      <c r="L82" s="245"/>
    </row>
    <row r="83" spans="2:12" s="244" customFormat="1" ht="50.85" customHeight="1" x14ac:dyDescent="0.2">
      <c r="B83" s="240"/>
      <c r="C83" s="239"/>
      <c r="D83" s="1143" t="s">
        <v>959</v>
      </c>
      <c r="E83" s="1143"/>
      <c r="F83" s="1143"/>
      <c r="G83" s="1143"/>
      <c r="H83" s="1143"/>
      <c r="I83" s="1143"/>
      <c r="J83" s="1143"/>
      <c r="K83" s="1143"/>
      <c r="L83" s="1143"/>
    </row>
    <row r="84" spans="2:12" s="244" customFormat="1" ht="29.25" customHeight="1" x14ac:dyDescent="0.2">
      <c r="B84" s="240"/>
      <c r="C84" s="239"/>
      <c r="D84" s="1143"/>
      <c r="E84" s="1143"/>
      <c r="F84" s="1143"/>
      <c r="G84" s="1143"/>
      <c r="H84" s="1143"/>
      <c r="I84" s="1143"/>
      <c r="J84" s="1143"/>
      <c r="K84" s="1143"/>
      <c r="L84" s="1143"/>
    </row>
    <row r="85" spans="2:12" s="244" customFormat="1" x14ac:dyDescent="0.2">
      <c r="C85" s="239"/>
      <c r="L85" s="239"/>
    </row>
    <row r="86" spans="2:12" s="244" customFormat="1" x14ac:dyDescent="0.2">
      <c r="C86" s="239"/>
      <c r="L86" s="239"/>
    </row>
    <row r="87" spans="2:12" x14ac:dyDescent="0.2">
      <c r="D87" s="244"/>
      <c r="E87" s="244"/>
      <c r="F87" s="244"/>
      <c r="G87" s="244"/>
      <c r="H87" s="244"/>
      <c r="I87" s="244"/>
      <c r="J87" s="244"/>
      <c r="K87" s="244"/>
      <c r="L87" s="244"/>
    </row>
    <row r="88" spans="2:12" x14ac:dyDescent="0.2">
      <c r="D88" s="244"/>
      <c r="E88" s="244"/>
      <c r="F88" s="244"/>
      <c r="G88" s="244"/>
      <c r="H88" s="244"/>
      <c r="I88" s="244"/>
      <c r="J88" s="244"/>
      <c r="K88" s="244"/>
      <c r="L88" s="244"/>
    </row>
    <row r="89" spans="2:12" x14ac:dyDescent="0.2">
      <c r="D89" s="244"/>
      <c r="E89" s="244"/>
      <c r="F89" s="244"/>
      <c r="G89" s="244"/>
      <c r="H89" s="244"/>
      <c r="I89" s="244"/>
      <c r="J89" s="244"/>
      <c r="K89" s="244"/>
      <c r="L89" s="244"/>
    </row>
    <row r="90" spans="2:12" x14ac:dyDescent="0.2">
      <c r="D90" s="244"/>
      <c r="E90" s="244"/>
      <c r="F90" s="244"/>
      <c r="G90" s="244"/>
      <c r="H90" s="244"/>
      <c r="I90" s="244"/>
      <c r="J90" s="244"/>
      <c r="K90" s="244"/>
      <c r="L90" s="244"/>
    </row>
    <row r="91" spans="2:12" x14ac:dyDescent="0.2">
      <c r="D91" s="244"/>
      <c r="E91" s="244"/>
      <c r="F91" s="244"/>
      <c r="G91" s="244"/>
      <c r="H91" s="244"/>
      <c r="I91" s="244"/>
      <c r="J91" s="244"/>
      <c r="K91" s="244"/>
      <c r="L91" s="244"/>
    </row>
    <row r="92" spans="2:12" x14ac:dyDescent="0.2">
      <c r="D92" s="244"/>
      <c r="E92" s="244"/>
      <c r="F92" s="244"/>
      <c r="G92" s="244"/>
      <c r="H92" s="244"/>
      <c r="I92" s="244"/>
      <c r="J92" s="244"/>
      <c r="K92" s="244"/>
      <c r="L92" s="244"/>
    </row>
    <row r="93" spans="2:12" x14ac:dyDescent="0.2">
      <c r="D93" s="244"/>
      <c r="E93" s="244"/>
      <c r="F93" s="244"/>
      <c r="G93" s="244"/>
      <c r="H93" s="244"/>
      <c r="I93" s="244"/>
      <c r="J93" s="244"/>
      <c r="K93" s="244"/>
      <c r="L93" s="244"/>
    </row>
    <row r="94" spans="2:12" x14ac:dyDescent="0.2">
      <c r="D94" s="244"/>
      <c r="E94" s="244"/>
      <c r="F94" s="244"/>
      <c r="G94" s="244"/>
      <c r="H94" s="244"/>
      <c r="I94" s="244"/>
      <c r="J94" s="244"/>
      <c r="K94" s="244"/>
      <c r="L94" s="244"/>
    </row>
  </sheetData>
  <sheetProtection algorithmName="SHA-512" hashValue="o3fHX40fZ4F9JFhATcXWEGl833qA+GUqxbNM083yyXyGyO1oODeWuYiWdV1b6BDjPY1QGsrFUqJhQ4B+UIVrPA==" saltValue="56HRaZlG2zBTQ7RQsYRLIQ==" spinCount="100000" sheet="1" objects="1" scenarios="1"/>
  <mergeCells count="38">
    <mergeCell ref="N11:O12"/>
    <mergeCell ref="N47:P69"/>
    <mergeCell ref="N72:P72"/>
    <mergeCell ref="N74:P74"/>
    <mergeCell ref="D83:L84"/>
    <mergeCell ref="E60:F60"/>
    <mergeCell ref="G60:K60"/>
    <mergeCell ref="E64:J64"/>
    <mergeCell ref="E66:K66"/>
    <mergeCell ref="E67:K67"/>
    <mergeCell ref="N75:P75"/>
    <mergeCell ref="N76:P76"/>
    <mergeCell ref="N78:P79"/>
    <mergeCell ref="N80:P80"/>
    <mergeCell ref="G30:K30"/>
    <mergeCell ref="E37:G37"/>
    <mergeCell ref="E39:K39"/>
    <mergeCell ref="E40:K40"/>
    <mergeCell ref="J79:K79"/>
    <mergeCell ref="H58:K58"/>
    <mergeCell ref="G15:K15"/>
    <mergeCell ref="J56:K56"/>
    <mergeCell ref="J74:K74"/>
    <mergeCell ref="E41:K41"/>
    <mergeCell ref="F52:G52"/>
    <mergeCell ref="E68:K68"/>
    <mergeCell ref="G34:K34"/>
    <mergeCell ref="H43:J43"/>
    <mergeCell ref="I17:K17"/>
    <mergeCell ref="F21:J21"/>
    <mergeCell ref="F22:K22"/>
    <mergeCell ref="F23:I23"/>
    <mergeCell ref="F24:G24"/>
    <mergeCell ref="D2:I2"/>
    <mergeCell ref="G11:H11"/>
    <mergeCell ref="J11:K11"/>
    <mergeCell ref="G13:H13"/>
    <mergeCell ref="J13:K13"/>
  </mergeCells>
  <conditionalFormatting sqref="G76">
    <cfRule type="expression" dxfId="170" priority="7">
      <formula>E77</formula>
    </cfRule>
  </conditionalFormatting>
  <conditionalFormatting sqref="K76">
    <cfRule type="expression" dxfId="169" priority="173">
      <formula>$H$77</formula>
    </cfRule>
  </conditionalFormatting>
  <conditionalFormatting sqref="K78">
    <cfRule type="expression" dxfId="168" priority="178">
      <formula>#REF!</formula>
    </cfRule>
  </conditionalFormatting>
  <conditionalFormatting sqref="J80">
    <cfRule type="expression" dxfId="167" priority="4">
      <formula>#REF!</formula>
    </cfRule>
  </conditionalFormatting>
  <conditionalFormatting sqref="J80:K80 N76:P80">
    <cfRule type="expression" dxfId="166" priority="3">
      <formula>$H$80=""</formula>
    </cfRule>
  </conditionalFormatting>
  <conditionalFormatting sqref="E60:K60 E72:K80 N72:P81">
    <cfRule type="expression" dxfId="165" priority="2">
      <formula>AND($G$13="",$H$58="")</formula>
    </cfRule>
  </conditionalFormatting>
  <conditionalFormatting sqref="E59 H58:K58">
    <cfRule type="expression" dxfId="164" priority="1">
      <formula>$G$13&lt;&gt;""</formula>
    </cfRule>
  </conditionalFormatting>
  <dataValidations count="8">
    <dataValidation type="list" operator="greaterThan" showInputMessage="1" showErrorMessage="1" errorTitle="Fehler" sqref="G30:K30" xr:uid="{00000000-0002-0000-0700-000000000000}">
      <formula1>TSMAnst</formula1>
    </dataValidation>
    <dataValidation operator="greaterThan" showInputMessage="1" showErrorMessage="1" errorTitle="Fehler" error="Geben Sie ein gültiges Datum dd.mm.yyyy ein!" sqref="G32 K44 H44" xr:uid="{00000000-0002-0000-0700-000001000000}"/>
    <dataValidation type="whole" operator="greaterThan" allowBlank="1" showInputMessage="1" showErrorMessage="1" errorTitle="Fehler" error="Ungültige Postleitzahl" sqref="G17" xr:uid="{00000000-0002-0000-0700-000002000000}">
      <formula1>0</formula1>
    </dataValidation>
    <dataValidation type="date" operator="greaterThan" allowBlank="1" showInputMessage="1" showErrorMessage="1" errorTitle="Fehler" error="Geben Sie ein gültiges Datum dd.mm.yyyy ein!" sqref="G53 G20" xr:uid="{00000000-0002-0000-0700-000003000000}">
      <formula1>1</formula1>
    </dataValidation>
    <dataValidation operator="greaterThan" allowBlank="1" showInputMessage="1" showErrorMessage="1" errorTitle="Fehler" error="Pensum als Ganzzahl angeben" sqref="K78 J80" xr:uid="{00000000-0002-0000-0700-000004000000}"/>
    <dataValidation type="date" operator="greaterThan" allowBlank="1" showInputMessage="1" showErrorMessage="1" sqref="I32" xr:uid="{00000000-0002-0000-0700-000005000000}">
      <formula1>1</formula1>
    </dataValidation>
    <dataValidation allowBlank="1" showInputMessage="1" sqref="J56" xr:uid="{00000000-0002-0000-0700-000006000000}"/>
    <dataValidation operator="greaterThan" allowBlank="1" showInputMessage="1" errorTitle="Fehler" error="Geben Sie ein gültiges Datum dd.mm.yyyy ein!" sqref="G19" xr:uid="{00000000-0002-0000-0700-000007000000}"/>
  </dataValidations>
  <hyperlinks>
    <hyperlink ref="N11:O12" location="Grunddaten!E9" display="Zurück zu Grunddaten" xr:uid="{00000000-0004-0000-0700-000000000000}"/>
  </hyperlinks>
  <pageMargins left="0.70866141732283472" right="0.70866141732283472" top="0.78740157480314965" bottom="0.78740157480314965" header="0.31496062992125984" footer="0.31496062992125984"/>
  <pageSetup paperSize="9" scale="94" fitToHeight="0" orientation="portrait" r:id="rId1"/>
  <headerFooter>
    <oddFooter>Seite &amp;P von &amp;N</oddFooter>
  </headerFooter>
  <rowBreaks count="1" manualBreakCount="1">
    <brk id="44" max="16383" man="1"/>
  </rowBreaks>
  <ignoredErrors>
    <ignoredError sqref="K80" unlockedFormula="1"/>
  </ignoredError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700-000008000000}">
          <x14:formula1>
            <xm:f>Stammdaten_DropDown!$E$93:$E$100</xm:f>
          </x14:formula1>
          <xm:sqref>H58:K58</xm:sqref>
        </x14:dataValidation>
        <x14:dataValidation type="list" allowBlank="1" showInputMessage="1" showErrorMessage="1" xr:uid="{00000000-0002-0000-0700-000009000000}">
          <x14:formula1>
            <xm:f>Stammdaten_DropDown!$E$103:$E$104</xm:f>
          </x14:formula1>
          <xm:sqref>H80</xm:sqref>
        </x14:dataValidation>
        <x14:dataValidation type="list" allowBlank="1" showInputMessage="1" showErrorMessage="1" xr:uid="{00000000-0002-0000-0700-00000A000000}">
          <x14:formula1>
            <xm:f>Stammdaten_DropDown!$E$107:$E$110</xm:f>
          </x14:formula1>
          <xm:sqref>K80</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18">
    <tabColor theme="5" tint="0.39997558519241921"/>
    <pageSetUpPr fitToPage="1"/>
  </sheetPr>
  <dimension ref="A1:R140"/>
  <sheetViews>
    <sheetView zoomScaleNormal="100" workbookViewId="0">
      <selection activeCell="G15" sqref="G15:K15"/>
    </sheetView>
  </sheetViews>
  <sheetFormatPr baseColWidth="10" defaultColWidth="11.5703125" defaultRowHeight="12.75" x14ac:dyDescent="0.2"/>
  <cols>
    <col min="1" max="1" width="2.7109375" style="402" customWidth="1"/>
    <col min="2" max="2" width="1.42578125" style="402" customWidth="1"/>
    <col min="3" max="3" width="2" style="402" customWidth="1"/>
    <col min="4" max="4" width="3.5703125" style="244" customWidth="1"/>
    <col min="5" max="5" width="11.5703125" style="244"/>
    <col min="6" max="6" width="9.7109375" style="244" customWidth="1"/>
    <col min="7" max="7" width="14.5703125" style="244" customWidth="1"/>
    <col min="8" max="8" width="9.42578125" style="244" customWidth="1"/>
    <col min="9" max="9" width="14.42578125" style="244" customWidth="1"/>
    <col min="10" max="10" width="9" style="244" customWidth="1"/>
    <col min="11" max="11" width="11.5703125" style="244"/>
    <col min="12" max="12" width="3.5703125" style="244" customWidth="1"/>
    <col min="13" max="13" width="2.28515625" style="244" customWidth="1"/>
    <col min="14" max="14" width="11.5703125" style="402"/>
    <col min="15" max="15" width="14.5703125" style="402" customWidth="1"/>
    <col min="16" max="16" width="45.140625" style="402" customWidth="1"/>
    <col min="17" max="17" width="11.5703125" style="402"/>
    <col min="18" max="18" width="71" style="402" hidden="1" customWidth="1"/>
    <col min="19" max="16384" width="11.5703125" style="402"/>
  </cols>
  <sheetData>
    <row r="1" spans="1:16" s="244" customFormat="1" ht="5.0999999999999996" customHeight="1" x14ac:dyDescent="0.2"/>
    <row r="2" spans="1:16" s="244" customFormat="1" ht="45" customHeight="1" x14ac:dyDescent="0.2">
      <c r="D2" s="390" t="s">
        <v>1043</v>
      </c>
      <c r="F2" s="390"/>
      <c r="G2" s="320"/>
      <c r="H2" s="319"/>
      <c r="I2" s="319"/>
      <c r="J2" s="319"/>
      <c r="K2" s="319"/>
    </row>
    <row r="3" spans="1:16" s="235" customFormat="1" ht="21" customHeight="1" x14ac:dyDescent="0.2">
      <c r="B3" s="236"/>
      <c r="D3" s="318" t="s">
        <v>945</v>
      </c>
      <c r="F3" s="238"/>
      <c r="H3" s="237"/>
      <c r="I3" s="237"/>
      <c r="J3" s="237"/>
      <c r="K3" s="237"/>
      <c r="L3" s="994" t="str">
        <f>CONCATENATE(LohntabelleM!G1," / ",LohntabelleM!I1)</f>
        <v>V6.0 / 2026</v>
      </c>
      <c r="M3" s="237"/>
      <c r="N3" s="237"/>
    </row>
    <row r="4" spans="1:16" s="244" customFormat="1" ht="6.75" customHeight="1" x14ac:dyDescent="0.2">
      <c r="A4" s="239"/>
      <c r="B4" s="240"/>
      <c r="C4" s="240"/>
      <c r="D4" s="240"/>
      <c r="E4" s="240"/>
      <c r="F4" s="240"/>
      <c r="G4" s="240"/>
      <c r="H4" s="242"/>
      <c r="I4" s="243"/>
      <c r="J4" s="242"/>
      <c r="K4" s="242"/>
      <c r="L4" s="242"/>
      <c r="N4" s="237"/>
    </row>
    <row r="5" spans="1:16" s="244" customFormat="1" ht="6" customHeight="1" x14ac:dyDescent="0.2">
      <c r="B5" s="240"/>
      <c r="F5" s="390"/>
      <c r="G5" s="320"/>
      <c r="H5" s="319"/>
      <c r="I5" s="319"/>
      <c r="J5" s="319"/>
      <c r="K5" s="319"/>
    </row>
    <row r="6" spans="1:16" s="244" customFormat="1" ht="5.0999999999999996" customHeight="1" x14ac:dyDescent="0.2">
      <c r="B6" s="240"/>
      <c r="D6" s="59"/>
      <c r="E6" s="315"/>
      <c r="F6" s="316"/>
      <c r="G6" s="317"/>
      <c r="H6" s="315"/>
      <c r="I6" s="315"/>
      <c r="J6" s="315"/>
      <c r="K6" s="315"/>
      <c r="L6" s="60"/>
    </row>
    <row r="7" spans="1:16" s="244" customFormat="1" x14ac:dyDescent="0.2">
      <c r="B7" s="240"/>
      <c r="D7" s="61"/>
      <c r="E7" s="318" t="s">
        <v>770</v>
      </c>
      <c r="F7" s="319"/>
      <c r="G7" s="320"/>
      <c r="H7" s="319"/>
      <c r="I7" s="319"/>
      <c r="J7" s="319"/>
      <c r="K7" s="319"/>
      <c r="L7" s="62"/>
    </row>
    <row r="8" spans="1:16" s="244" customFormat="1" x14ac:dyDescent="0.2">
      <c r="B8" s="240"/>
      <c r="D8" s="61"/>
      <c r="E8" s="245"/>
      <c r="F8" s="245"/>
      <c r="G8" s="246"/>
      <c r="H8" s="245"/>
      <c r="I8" s="245"/>
      <c r="J8" s="245"/>
      <c r="K8" s="245"/>
      <c r="L8" s="62"/>
    </row>
    <row r="9" spans="1:16" s="244" customFormat="1" x14ac:dyDescent="0.2">
      <c r="B9" s="240"/>
      <c r="D9" s="61"/>
      <c r="E9" s="245" t="s">
        <v>967</v>
      </c>
      <c r="F9" s="245"/>
      <c r="G9" s="1006" t="str">
        <f>IF(MAAnrede&lt;&gt;"",MAAnrede,"")</f>
        <v/>
      </c>
      <c r="H9" s="245"/>
      <c r="I9" s="245"/>
      <c r="J9" s="245"/>
      <c r="K9" s="245"/>
      <c r="L9" s="62"/>
    </row>
    <row r="10" spans="1:16" s="244" customFormat="1" x14ac:dyDescent="0.2">
      <c r="B10" s="240"/>
      <c r="D10" s="61"/>
      <c r="E10" s="245"/>
      <c r="F10" s="245"/>
      <c r="G10" s="246"/>
      <c r="H10" s="245"/>
      <c r="I10" s="245"/>
      <c r="J10" s="245"/>
      <c r="K10" s="245"/>
      <c r="L10" s="62"/>
      <c r="P10" s="431"/>
    </row>
    <row r="11" spans="1:16" s="244" customFormat="1" ht="12.6" customHeight="1" x14ac:dyDescent="0.2">
      <c r="B11" s="240"/>
      <c r="D11" s="61"/>
      <c r="E11" s="245" t="s">
        <v>756</v>
      </c>
      <c r="F11" s="245"/>
      <c r="G11" s="1181" t="str">
        <f>IF(MAName&lt;&gt;"",MAName,"")</f>
        <v/>
      </c>
      <c r="H11" s="1181"/>
      <c r="I11" s="245" t="s">
        <v>757</v>
      </c>
      <c r="J11" s="1181" t="str">
        <f>IF(MAVorname&lt;&gt;"",MAVorname,"")</f>
        <v/>
      </c>
      <c r="K11" s="1181"/>
      <c r="L11" s="62"/>
      <c r="N11" s="1149" t="s">
        <v>1029</v>
      </c>
      <c r="O11" s="1150"/>
      <c r="P11" s="431"/>
    </row>
    <row r="12" spans="1:16" s="244" customFormat="1" ht="12.6" customHeight="1" x14ac:dyDescent="0.2">
      <c r="B12" s="240"/>
      <c r="D12" s="61"/>
      <c r="E12" s="245"/>
      <c r="F12" s="245"/>
      <c r="G12" s="246"/>
      <c r="H12" s="245"/>
      <c r="I12" s="245"/>
      <c r="J12" s="245"/>
      <c r="K12" s="245"/>
      <c r="L12" s="62"/>
      <c r="N12" s="1151"/>
      <c r="O12" s="1152"/>
      <c r="P12" s="675"/>
    </row>
    <row r="13" spans="1:16" s="244" customFormat="1" x14ac:dyDescent="0.2">
      <c r="B13" s="240"/>
      <c r="D13" s="61"/>
      <c r="E13" s="245" t="s">
        <v>763</v>
      </c>
      <c r="F13" s="245"/>
      <c r="G13" s="1181" t="str">
        <f>IF(MAVertragsNr&lt;&gt;"",MAVertragsNr,"")</f>
        <v/>
      </c>
      <c r="H13" s="1181"/>
      <c r="I13" s="245" t="s">
        <v>762</v>
      </c>
      <c r="J13" s="1181" t="str">
        <f>IF(MAPersID&lt;&gt;"",MAPersID,"")</f>
        <v/>
      </c>
      <c r="K13" s="1181"/>
      <c r="L13" s="62"/>
      <c r="P13" s="431"/>
    </row>
    <row r="14" spans="1:16" s="244" customFormat="1" x14ac:dyDescent="0.2">
      <c r="B14" s="240"/>
      <c r="D14" s="61"/>
      <c r="E14" s="245"/>
      <c r="F14" s="245"/>
      <c r="G14" s="246"/>
      <c r="H14" s="245"/>
      <c r="I14" s="245"/>
      <c r="J14" s="245"/>
      <c r="K14" s="245"/>
      <c r="L14" s="62"/>
    </row>
    <row r="15" spans="1:16" s="244" customFormat="1" x14ac:dyDescent="0.2">
      <c r="B15" s="240"/>
      <c r="D15" s="61"/>
      <c r="E15" s="245" t="s">
        <v>755</v>
      </c>
      <c r="F15" s="245"/>
      <c r="G15" s="1135"/>
      <c r="H15" s="1135"/>
      <c r="I15" s="1135"/>
      <c r="J15" s="1135"/>
      <c r="K15" s="1135"/>
      <c r="L15" s="62"/>
    </row>
    <row r="16" spans="1:16" s="244" customFormat="1" x14ac:dyDescent="0.2">
      <c r="B16" s="240"/>
      <c r="D16" s="61"/>
      <c r="E16" s="245"/>
      <c r="F16" s="245"/>
      <c r="G16" s="246"/>
      <c r="H16" s="245"/>
      <c r="I16" s="245"/>
      <c r="J16" s="245"/>
      <c r="K16" s="245"/>
      <c r="L16" s="62"/>
    </row>
    <row r="17" spans="2:12" s="244" customFormat="1" x14ac:dyDescent="0.2">
      <c r="B17" s="240"/>
      <c r="D17" s="61"/>
      <c r="E17" s="245" t="s">
        <v>758</v>
      </c>
      <c r="F17" s="245"/>
      <c r="G17" s="215"/>
      <c r="H17" s="566" t="s">
        <v>759</v>
      </c>
      <c r="I17" s="1135"/>
      <c r="J17" s="1135"/>
      <c r="K17" s="1135"/>
      <c r="L17" s="62"/>
    </row>
    <row r="18" spans="2:12" s="244" customFormat="1" x14ac:dyDescent="0.2">
      <c r="B18" s="240"/>
      <c r="D18" s="61"/>
      <c r="E18" s="245"/>
      <c r="F18" s="245"/>
      <c r="G18" s="246"/>
      <c r="H18" s="245"/>
      <c r="I18" s="245"/>
      <c r="J18" s="245"/>
      <c r="K18" s="246"/>
      <c r="L18" s="62"/>
    </row>
    <row r="19" spans="2:12" s="244" customFormat="1" x14ac:dyDescent="0.2">
      <c r="B19" s="240"/>
      <c r="D19" s="61"/>
      <c r="E19" s="245" t="s">
        <v>760</v>
      </c>
      <c r="F19" s="245"/>
      <c r="G19" s="258" t="str">
        <f>IF(MAGeburtsdatum="","",MAGeburtsdatum)</f>
        <v/>
      </c>
      <c r="H19" s="245"/>
      <c r="I19" s="245" t="s">
        <v>768</v>
      </c>
      <c r="J19" s="1135"/>
      <c r="K19" s="1135"/>
      <c r="L19" s="62"/>
    </row>
    <row r="20" spans="2:12" s="244" customFormat="1" x14ac:dyDescent="0.2">
      <c r="B20" s="240"/>
      <c r="D20" s="61"/>
      <c r="E20" s="245"/>
      <c r="F20" s="245"/>
      <c r="G20" s="245"/>
      <c r="H20" s="245"/>
      <c r="I20" s="245"/>
      <c r="J20" s="245"/>
      <c r="K20" s="246"/>
      <c r="L20" s="62"/>
    </row>
    <row r="21" spans="2:12" s="244" customFormat="1" x14ac:dyDescent="0.2">
      <c r="B21" s="240"/>
      <c r="D21" s="61"/>
      <c r="E21" s="245" t="s">
        <v>769</v>
      </c>
      <c r="F21" s="245"/>
      <c r="G21" s="1135"/>
      <c r="H21" s="1135"/>
      <c r="I21" s="335" t="s">
        <v>1030</v>
      </c>
      <c r="J21" s="1135"/>
      <c r="K21" s="1135"/>
      <c r="L21" s="62"/>
    </row>
    <row r="22" spans="2:12" s="244" customFormat="1" x14ac:dyDescent="0.2">
      <c r="B22" s="240"/>
      <c r="D22" s="61"/>
      <c r="E22" s="245"/>
      <c r="F22" s="245"/>
      <c r="G22" s="245"/>
      <c r="H22" s="245"/>
      <c r="I22" s="245"/>
      <c r="J22" s="693" t="s">
        <v>1031</v>
      </c>
      <c r="L22" s="62"/>
    </row>
    <row r="23" spans="2:12" s="244" customFormat="1" x14ac:dyDescent="0.2">
      <c r="B23" s="240"/>
      <c r="D23" s="61"/>
      <c r="E23" s="245" t="s">
        <v>1044</v>
      </c>
      <c r="G23" s="1135"/>
      <c r="H23" s="1135"/>
      <c r="I23" s="1135"/>
      <c r="J23" s="1135"/>
      <c r="K23" s="1135"/>
      <c r="L23" s="62"/>
    </row>
    <row r="24" spans="2:12" s="244" customFormat="1" x14ac:dyDescent="0.2">
      <c r="B24" s="240"/>
      <c r="D24" s="61"/>
      <c r="E24" s="245"/>
      <c r="H24" s="319"/>
      <c r="L24" s="62"/>
    </row>
    <row r="25" spans="2:12" s="244" customFormat="1" ht="13.15" customHeight="1" x14ac:dyDescent="0.2">
      <c r="B25" s="240"/>
      <c r="D25" s="61"/>
      <c r="E25" s="336" t="s">
        <v>825</v>
      </c>
      <c r="F25" s="1190" t="s">
        <v>1072</v>
      </c>
      <c r="G25" s="1190"/>
      <c r="H25" s="1190"/>
      <c r="I25" s="1190"/>
      <c r="J25" s="1190"/>
      <c r="K25" s="340"/>
      <c r="L25" s="62"/>
    </row>
    <row r="26" spans="2:12" s="244" customFormat="1" ht="13.15" customHeight="1" x14ac:dyDescent="0.2">
      <c r="B26" s="240"/>
      <c r="D26" s="61"/>
      <c r="E26" s="336"/>
      <c r="F26" s="1190" t="s">
        <v>1070</v>
      </c>
      <c r="G26" s="1190"/>
      <c r="H26" s="1190"/>
      <c r="I26" s="1190"/>
      <c r="J26" s="1190"/>
      <c r="K26" s="1190"/>
      <c r="L26" s="62"/>
    </row>
    <row r="27" spans="2:12" s="244" customFormat="1" ht="12.6" customHeight="1" x14ac:dyDescent="0.2">
      <c r="B27" s="240"/>
      <c r="D27" s="61"/>
      <c r="E27" s="336"/>
      <c r="F27" s="1190" t="s">
        <v>1071</v>
      </c>
      <c r="G27" s="1190"/>
      <c r="H27" s="1190"/>
      <c r="I27" s="1190"/>
      <c r="J27" s="340"/>
      <c r="K27" s="340"/>
      <c r="L27" s="62"/>
    </row>
    <row r="28" spans="2:12" s="244" customFormat="1" ht="12.6" customHeight="1" x14ac:dyDescent="0.2">
      <c r="B28" s="240"/>
      <c r="D28" s="61"/>
      <c r="E28" s="336"/>
      <c r="F28" s="1190" t="s">
        <v>1073</v>
      </c>
      <c r="G28" s="1190"/>
      <c r="H28" s="340"/>
      <c r="I28" s="340"/>
      <c r="J28" s="340"/>
      <c r="K28" s="340"/>
      <c r="L28" s="62"/>
    </row>
    <row r="29" spans="2:12" s="244" customFormat="1" ht="8.1" customHeight="1" x14ac:dyDescent="0.2">
      <c r="B29" s="240"/>
      <c r="D29" s="63"/>
      <c r="E29" s="64"/>
      <c r="F29" s="64"/>
      <c r="G29" s="65"/>
      <c r="H29" s="64"/>
      <c r="I29" s="64"/>
      <c r="J29" s="64"/>
      <c r="K29" s="64"/>
      <c r="L29" s="66"/>
    </row>
    <row r="30" spans="2:12" s="244" customFormat="1" ht="6" customHeight="1" x14ac:dyDescent="0.2">
      <c r="B30" s="240"/>
      <c r="E30" s="245"/>
      <c r="F30" s="245"/>
      <c r="G30" s="246"/>
      <c r="H30" s="245"/>
      <c r="I30" s="245"/>
      <c r="J30" s="245"/>
      <c r="K30" s="245"/>
    </row>
    <row r="31" spans="2:12" s="244" customFormat="1" ht="5.0999999999999996" customHeight="1" x14ac:dyDescent="0.2">
      <c r="B31" s="240"/>
      <c r="D31" s="59"/>
      <c r="E31" s="269"/>
      <c r="F31" s="269"/>
      <c r="G31" s="270"/>
      <c r="H31" s="269"/>
      <c r="I31" s="269"/>
      <c r="J31" s="269"/>
      <c r="K31" s="269"/>
      <c r="L31" s="60"/>
    </row>
    <row r="32" spans="2:12" s="244" customFormat="1" ht="13.35" customHeight="1" x14ac:dyDescent="0.2">
      <c r="B32" s="240"/>
      <c r="D32" s="61"/>
      <c r="E32" s="318" t="s">
        <v>931</v>
      </c>
      <c r="F32" s="245"/>
      <c r="G32" s="246"/>
      <c r="H32" s="245"/>
      <c r="I32" s="245"/>
      <c r="J32" s="245"/>
      <c r="K32" s="245"/>
      <c r="L32" s="62"/>
    </row>
    <row r="33" spans="2:12" s="244" customFormat="1" ht="13.35" customHeight="1" x14ac:dyDescent="0.2">
      <c r="B33" s="240"/>
      <c r="D33" s="61"/>
      <c r="E33" s="245"/>
      <c r="F33" s="245"/>
      <c r="G33" s="246"/>
      <c r="H33" s="245"/>
      <c r="I33" s="245"/>
      <c r="J33" s="245"/>
      <c r="K33" s="245"/>
      <c r="L33" s="62"/>
    </row>
    <row r="34" spans="2:12" s="244" customFormat="1" ht="13.35" customHeight="1" x14ac:dyDescent="0.2">
      <c r="B34" s="240"/>
      <c r="D34" s="61"/>
      <c r="E34" s="245" t="s">
        <v>821</v>
      </c>
      <c r="F34" s="245"/>
      <c r="G34" s="1007"/>
      <c r="H34" s="633" t="s">
        <v>988</v>
      </c>
      <c r="J34" s="1135"/>
      <c r="K34" s="1135"/>
      <c r="L34" s="62"/>
    </row>
    <row r="35" spans="2:12" s="244" customFormat="1" ht="13.35" customHeight="1" x14ac:dyDescent="0.2">
      <c r="B35" s="240"/>
      <c r="D35" s="61"/>
      <c r="E35" s="319"/>
      <c r="F35" s="337"/>
      <c r="G35" s="320"/>
      <c r="H35" s="319"/>
      <c r="I35" s="340"/>
      <c r="J35" s="319"/>
      <c r="K35" s="319"/>
      <c r="L35" s="62"/>
    </row>
    <row r="36" spans="2:12" s="244" customFormat="1" ht="13.35" customHeight="1" x14ac:dyDescent="0.2">
      <c r="B36" s="240"/>
      <c r="D36" s="61"/>
      <c r="E36" s="335" t="s">
        <v>990</v>
      </c>
      <c r="F36" s="246"/>
      <c r="G36" s="1007"/>
      <c r="H36" s="645"/>
      <c r="L36" s="62"/>
    </row>
    <row r="37" spans="2:12" s="244" customFormat="1" ht="13.35" customHeight="1" x14ac:dyDescent="0.2">
      <c r="B37" s="240"/>
      <c r="D37" s="61"/>
      <c r="E37" s="342"/>
      <c r="F37" s="245"/>
      <c r="H37" s="342"/>
      <c r="L37" s="62"/>
    </row>
    <row r="38" spans="2:12" s="244" customFormat="1" ht="13.35" customHeight="1" x14ac:dyDescent="0.2">
      <c r="B38" s="240"/>
      <c r="D38" s="61"/>
      <c r="E38" s="566" t="s">
        <v>1111</v>
      </c>
      <c r="F38" s="245"/>
      <c r="H38" s="245" t="s">
        <v>1112</v>
      </c>
      <c r="K38" s="239" t="s">
        <v>1113</v>
      </c>
      <c r="L38" s="62"/>
    </row>
    <row r="39" spans="2:12" s="244" customFormat="1" ht="13.35" customHeight="1" x14ac:dyDescent="0.2">
      <c r="B39" s="240"/>
      <c r="D39" s="61"/>
      <c r="E39" s="342"/>
      <c r="F39" s="245"/>
      <c r="H39" s="342"/>
      <c r="L39" s="62"/>
    </row>
    <row r="40" spans="2:12" s="244" customFormat="1" ht="13.35" customHeight="1" x14ac:dyDescent="0.2">
      <c r="B40" s="240"/>
      <c r="D40" s="61"/>
      <c r="E40" s="566" t="s">
        <v>1114</v>
      </c>
      <c r="F40" s="245"/>
      <c r="H40" s="245" t="s">
        <v>1115</v>
      </c>
      <c r="K40" s="239" t="s">
        <v>1218</v>
      </c>
      <c r="L40" s="62"/>
    </row>
    <row r="41" spans="2:12" s="244" customFormat="1" ht="13.35" customHeight="1" x14ac:dyDescent="0.2">
      <c r="B41" s="240"/>
      <c r="D41" s="61"/>
      <c r="E41" s="342"/>
      <c r="F41" s="245"/>
      <c r="H41" s="245"/>
      <c r="I41" s="245"/>
      <c r="K41" s="392"/>
      <c r="L41" s="62"/>
    </row>
    <row r="42" spans="2:12" s="244" customFormat="1" ht="13.35" customHeight="1" x14ac:dyDescent="0.2">
      <c r="B42" s="240"/>
      <c r="D42" s="61"/>
      <c r="E42" s="245" t="s">
        <v>1045</v>
      </c>
      <c r="F42" s="1135"/>
      <c r="G42" s="1135"/>
      <c r="H42" s="1135"/>
      <c r="I42" s="262" t="s">
        <v>1219</v>
      </c>
      <c r="J42" s="1192"/>
      <c r="K42" s="1192"/>
      <c r="L42" s="62"/>
    </row>
    <row r="43" spans="2:12" s="244" customFormat="1" ht="13.35" customHeight="1" x14ac:dyDescent="0.2">
      <c r="B43" s="240"/>
      <c r="D43" s="61"/>
      <c r="E43" s="319"/>
      <c r="F43" s="319"/>
      <c r="H43" s="319"/>
      <c r="J43" s="774" t="s">
        <v>1220</v>
      </c>
      <c r="L43" s="62"/>
    </row>
    <row r="44" spans="2:12" s="244" customFormat="1" ht="13.35" customHeight="1" x14ac:dyDescent="0.2">
      <c r="B44" s="240"/>
      <c r="D44" s="61"/>
      <c r="E44" s="319"/>
      <c r="F44" s="319"/>
      <c r="H44" s="319"/>
      <c r="I44" s="774"/>
      <c r="L44" s="62"/>
    </row>
    <row r="45" spans="2:12" s="244" customFormat="1" ht="13.35" customHeight="1" x14ac:dyDescent="0.2">
      <c r="B45" s="240"/>
      <c r="D45" s="61"/>
      <c r="E45" s="245" t="s">
        <v>1046</v>
      </c>
      <c r="F45" s="319"/>
      <c r="G45" s="1135"/>
      <c r="H45" s="1135"/>
      <c r="I45" s="262" t="s">
        <v>827</v>
      </c>
      <c r="K45" s="1010"/>
      <c r="L45" s="62"/>
    </row>
    <row r="46" spans="2:12" s="244" customFormat="1" ht="13.35" customHeight="1" x14ac:dyDescent="0.2">
      <c r="B46" s="240"/>
      <c r="D46" s="61"/>
      <c r="E46" s="245"/>
      <c r="F46" s="245"/>
      <c r="G46" s="246"/>
      <c r="H46" s="245"/>
      <c r="I46" s="245"/>
      <c r="J46" s="245"/>
      <c r="K46" s="245"/>
      <c r="L46" s="62"/>
    </row>
    <row r="47" spans="2:12" s="244" customFormat="1" ht="13.35" customHeight="1" x14ac:dyDescent="0.2">
      <c r="B47" s="240"/>
      <c r="D47" s="61"/>
      <c r="E47" s="245"/>
      <c r="F47" s="245"/>
      <c r="G47" s="246"/>
      <c r="H47" s="245"/>
      <c r="I47" s="245"/>
      <c r="J47" s="245"/>
      <c r="K47" s="427"/>
      <c r="L47" s="62"/>
    </row>
    <row r="48" spans="2:12" s="244" customFormat="1" ht="13.35" customHeight="1" x14ac:dyDescent="0.2">
      <c r="B48" s="240"/>
      <c r="D48" s="61"/>
      <c r="E48" s="245" t="s">
        <v>822</v>
      </c>
      <c r="F48" s="343"/>
      <c r="G48" s="1001"/>
      <c r="H48" s="761" t="s">
        <v>7</v>
      </c>
      <c r="I48" s="1001"/>
      <c r="L48" s="62"/>
    </row>
    <row r="49" spans="1:16" s="244" customFormat="1" ht="13.35" customHeight="1" x14ac:dyDescent="0.2">
      <c r="B49" s="240"/>
      <c r="D49" s="61"/>
      <c r="E49" s="345" t="s">
        <v>824</v>
      </c>
      <c r="F49" s="239"/>
      <c r="H49" s="346"/>
      <c r="I49" s="346"/>
      <c r="J49" s="280"/>
      <c r="K49" s="346"/>
      <c r="L49" s="62"/>
    </row>
    <row r="50" spans="1:16" s="244" customFormat="1" ht="7.15" customHeight="1" x14ac:dyDescent="0.2">
      <c r="B50" s="240"/>
      <c r="D50" s="61"/>
      <c r="E50" s="239"/>
      <c r="F50" s="239"/>
      <c r="G50" s="345"/>
      <c r="H50" s="346"/>
      <c r="I50" s="346"/>
      <c r="J50" s="280"/>
      <c r="K50" s="346"/>
      <c r="L50" s="62"/>
    </row>
    <row r="51" spans="1:16" s="244" customFormat="1" ht="13.35" customHeight="1" x14ac:dyDescent="0.2">
      <c r="B51" s="240"/>
      <c r="D51" s="61"/>
      <c r="E51" s="343" t="s">
        <v>1122</v>
      </c>
      <c r="F51" s="239"/>
      <c r="I51" s="1007"/>
      <c r="J51" s="577"/>
      <c r="L51" s="62"/>
    </row>
    <row r="52" spans="1:16" s="244" customFormat="1" ht="8.1" customHeight="1" x14ac:dyDescent="0.2">
      <c r="B52" s="240"/>
      <c r="D52" s="63"/>
      <c r="E52" s="64"/>
      <c r="F52" s="64"/>
      <c r="G52" s="64"/>
      <c r="H52" s="64"/>
      <c r="I52" s="64"/>
      <c r="J52" s="401"/>
      <c r="K52" s="348"/>
      <c r="L52" s="66"/>
    </row>
    <row r="53" spans="1:16" s="244" customFormat="1" ht="6" customHeight="1" x14ac:dyDescent="0.2">
      <c r="E53" s="245"/>
      <c r="F53" s="245"/>
      <c r="G53" s="246"/>
      <c r="H53" s="245"/>
      <c r="I53" s="245"/>
      <c r="J53" s="245"/>
      <c r="K53" s="245"/>
    </row>
    <row r="54" spans="1:16" s="244" customFormat="1" x14ac:dyDescent="0.2">
      <c r="D54" s="318" t="s">
        <v>1221</v>
      </c>
      <c r="F54" s="245"/>
      <c r="G54" s="246"/>
      <c r="H54" s="245"/>
      <c r="I54" s="245"/>
      <c r="J54" s="245"/>
      <c r="K54" s="245"/>
      <c r="N54" s="1161" t="s">
        <v>2000</v>
      </c>
      <c r="O54" s="1161"/>
      <c r="P54" s="1161"/>
    </row>
    <row r="55" spans="1:16" s="244" customFormat="1" ht="4.5" customHeight="1" x14ac:dyDescent="0.2">
      <c r="D55" s="318"/>
      <c r="F55" s="245"/>
      <c r="G55" s="246"/>
      <c r="H55" s="245"/>
      <c r="I55" s="245"/>
      <c r="J55" s="245"/>
      <c r="K55" s="245"/>
      <c r="N55" s="1161"/>
      <c r="O55" s="1161"/>
      <c r="P55" s="1161"/>
    </row>
    <row r="56" spans="1:16" s="244" customFormat="1" ht="6.75" customHeight="1" x14ac:dyDescent="0.2">
      <c r="A56" s="239"/>
      <c r="B56" s="240"/>
      <c r="C56" s="240"/>
      <c r="D56" s="240"/>
      <c r="E56" s="240"/>
      <c r="F56" s="241"/>
      <c r="G56" s="240"/>
      <c r="H56" s="242"/>
      <c r="I56" s="243"/>
      <c r="J56" s="242"/>
      <c r="K56" s="242"/>
      <c r="L56" s="242"/>
      <c r="N56" s="1161"/>
      <c r="O56" s="1161"/>
      <c r="P56" s="1161"/>
    </row>
    <row r="57" spans="1:16" s="244" customFormat="1" ht="5.25" customHeight="1" x14ac:dyDescent="0.2">
      <c r="B57" s="240"/>
      <c r="E57" s="245"/>
      <c r="F57" s="245"/>
      <c r="G57" s="246"/>
      <c r="H57" s="245"/>
      <c r="I57" s="245"/>
      <c r="J57" s="245"/>
      <c r="K57" s="245"/>
      <c r="N57" s="1161"/>
      <c r="O57" s="1161"/>
      <c r="P57" s="1161"/>
    </row>
    <row r="58" spans="1:16" s="244" customFormat="1" ht="5.0999999999999996" customHeight="1" x14ac:dyDescent="0.2">
      <c r="B58" s="240"/>
      <c r="D58" s="59"/>
      <c r="E58" s="269"/>
      <c r="F58" s="269"/>
      <c r="G58" s="270"/>
      <c r="H58" s="269"/>
      <c r="I58" s="269"/>
      <c r="J58" s="269"/>
      <c r="K58" s="269"/>
      <c r="L58" s="271"/>
      <c r="N58" s="1161"/>
      <c r="O58" s="1161"/>
      <c r="P58" s="1161"/>
    </row>
    <row r="59" spans="1:16" s="244" customFormat="1" x14ac:dyDescent="0.2">
      <c r="B59" s="240"/>
      <c r="D59" s="61"/>
      <c r="E59" s="562" t="s">
        <v>941</v>
      </c>
      <c r="F59" s="439"/>
      <c r="G59" s="553"/>
      <c r="H59" s="439"/>
      <c r="I59" s="439"/>
      <c r="J59" s="439"/>
      <c r="K59" s="439"/>
      <c r="L59" s="62"/>
      <c r="N59" s="1161"/>
      <c r="O59" s="1161"/>
      <c r="P59" s="1161"/>
    </row>
    <row r="60" spans="1:16" s="244" customFormat="1" x14ac:dyDescent="0.2">
      <c r="B60" s="240"/>
      <c r="D60" s="61"/>
      <c r="E60" s="432"/>
      <c r="F60" s="432"/>
      <c r="G60" s="433"/>
      <c r="H60" s="432"/>
      <c r="I60" s="432"/>
      <c r="J60" s="432"/>
      <c r="K60" s="432"/>
      <c r="L60" s="62"/>
      <c r="N60" s="1161"/>
      <c r="O60" s="1161"/>
      <c r="P60" s="1161"/>
    </row>
    <row r="61" spans="1:16" s="244" customFormat="1" x14ac:dyDescent="0.2">
      <c r="B61" s="240"/>
      <c r="D61" s="695" t="s">
        <v>955</v>
      </c>
      <c r="F61" s="439"/>
      <c r="G61" s="548"/>
      <c r="H61" s="432"/>
      <c r="I61" s="432" t="s">
        <v>971</v>
      </c>
      <c r="J61" s="432"/>
      <c r="K61" s="546"/>
      <c r="L61" s="62"/>
      <c r="N61" s="1161"/>
      <c r="O61" s="1161"/>
      <c r="P61" s="1161"/>
    </row>
    <row r="62" spans="1:16" s="244" customFormat="1" x14ac:dyDescent="0.2">
      <c r="B62" s="240"/>
      <c r="D62" s="696" t="s">
        <v>956</v>
      </c>
      <c r="F62" s="439"/>
      <c r="G62" s="439"/>
      <c r="H62" s="432"/>
      <c r="J62" s="432"/>
      <c r="K62" s="433"/>
      <c r="L62" s="62"/>
      <c r="N62" s="1161"/>
      <c r="O62" s="1161"/>
      <c r="P62" s="1161"/>
    </row>
    <row r="63" spans="1:16" s="244" customFormat="1" x14ac:dyDescent="0.2">
      <c r="B63" s="240"/>
      <c r="D63" s="61"/>
      <c r="E63" s="431"/>
      <c r="F63" s="439"/>
      <c r="G63" s="552"/>
      <c r="H63" s="432"/>
      <c r="I63" s="432"/>
      <c r="J63" s="432"/>
      <c r="K63" s="433"/>
      <c r="L63" s="62"/>
      <c r="N63" s="1161"/>
      <c r="O63" s="1161"/>
      <c r="P63" s="1161"/>
    </row>
    <row r="64" spans="1:16" s="244" customFormat="1" x14ac:dyDescent="0.2">
      <c r="B64" s="240"/>
      <c r="D64" s="61"/>
      <c r="E64" s="432" t="s">
        <v>996</v>
      </c>
      <c r="F64" s="432"/>
      <c r="G64" s="1003" t="str">
        <f>IF(MULohnberechnung&lt;&gt;"",MULohnberechnung,"")</f>
        <v/>
      </c>
      <c r="H64" s="732" t="s">
        <v>998</v>
      </c>
      <c r="I64" s="432" t="s">
        <v>1032</v>
      </c>
      <c r="J64" s="432"/>
      <c r="K64" s="1002"/>
      <c r="L64" s="62"/>
      <c r="M64" s="61"/>
      <c r="N64" s="1161"/>
      <c r="O64" s="1161"/>
      <c r="P64" s="1161"/>
    </row>
    <row r="65" spans="2:16" s="244" customFormat="1" x14ac:dyDescent="0.2">
      <c r="B65" s="240"/>
      <c r="D65" s="61"/>
      <c r="E65" s="432"/>
      <c r="F65" s="432"/>
      <c r="G65" s="433"/>
      <c r="H65" s="432"/>
      <c r="I65" s="432"/>
      <c r="J65" s="432"/>
      <c r="K65" s="432"/>
      <c r="L65" s="62"/>
      <c r="N65" s="1161"/>
      <c r="O65" s="1161"/>
      <c r="P65" s="1161"/>
    </row>
    <row r="66" spans="2:16" s="244" customFormat="1" x14ac:dyDescent="0.2">
      <c r="B66" s="240"/>
      <c r="D66" s="61"/>
      <c r="E66" s="245" t="str">
        <f>IF(G13&lt;&gt;"","LOGIB-Code bereits vorhanden","Höchstausbildung LOGIB*")</f>
        <v>Höchstausbildung LOGIB*</v>
      </c>
      <c r="F66" s="432"/>
      <c r="G66" s="842"/>
      <c r="H66" s="1138"/>
      <c r="I66" s="1138"/>
      <c r="J66" s="1138"/>
      <c r="K66" s="1138"/>
      <c r="L66" s="62"/>
      <c r="N66" s="1161"/>
      <c r="O66" s="1161"/>
      <c r="P66" s="1161"/>
    </row>
    <row r="67" spans="2:16" s="244" customFormat="1" x14ac:dyDescent="0.2">
      <c r="B67" s="240"/>
      <c r="D67" s="61"/>
      <c r="E67" s="986" t="s">
        <v>2023</v>
      </c>
      <c r="F67" s="432"/>
      <c r="G67" s="842"/>
      <c r="H67" s="432"/>
      <c r="I67" s="432"/>
      <c r="J67" s="432"/>
      <c r="K67" s="432"/>
      <c r="L67" s="62"/>
      <c r="N67" s="1161"/>
      <c r="O67" s="1161"/>
      <c r="P67" s="1161"/>
    </row>
    <row r="68" spans="2:16" s="244" customFormat="1" x14ac:dyDescent="0.2">
      <c r="B68" s="240"/>
      <c r="D68" s="61"/>
      <c r="E68" s="1194" t="s">
        <v>946</v>
      </c>
      <c r="F68" s="1194"/>
      <c r="G68" s="1138"/>
      <c r="H68" s="1138"/>
      <c r="I68" s="1138"/>
      <c r="J68" s="1138"/>
      <c r="K68" s="1138"/>
      <c r="L68" s="62"/>
      <c r="N68" s="1161"/>
      <c r="O68" s="1161"/>
      <c r="P68" s="1161"/>
    </row>
    <row r="69" spans="2:16" s="244" customFormat="1" ht="8.1" customHeight="1" x14ac:dyDescent="0.2">
      <c r="B69" s="240"/>
      <c r="D69" s="63"/>
      <c r="E69" s="267"/>
      <c r="F69" s="267"/>
      <c r="G69" s="267"/>
      <c r="H69" s="267"/>
      <c r="I69" s="267"/>
      <c r="J69" s="267"/>
      <c r="K69" s="267"/>
      <c r="L69" s="66"/>
      <c r="N69" s="1161"/>
      <c r="O69" s="1161"/>
      <c r="P69" s="1161"/>
    </row>
    <row r="70" spans="2:16" s="244" customFormat="1" ht="8.1" customHeight="1" x14ac:dyDescent="0.2">
      <c r="B70" s="240"/>
      <c r="D70" s="431"/>
      <c r="E70" s="762"/>
      <c r="F70" s="762"/>
      <c r="G70" s="762"/>
      <c r="H70" s="762"/>
      <c r="I70" s="762"/>
      <c r="J70" s="762"/>
      <c r="K70" s="762"/>
      <c r="L70" s="431"/>
      <c r="N70" s="1161"/>
      <c r="O70" s="1161"/>
      <c r="P70" s="1161"/>
    </row>
    <row r="71" spans="2:16" s="244" customFormat="1" ht="5.0999999999999996" customHeight="1" x14ac:dyDescent="0.2">
      <c r="B71" s="240"/>
      <c r="D71" s="59"/>
      <c r="E71" s="67"/>
      <c r="F71" s="67"/>
      <c r="G71" s="68"/>
      <c r="H71" s="67"/>
      <c r="I71" s="67"/>
      <c r="J71" s="67"/>
      <c r="K71" s="67"/>
      <c r="L71" s="203"/>
      <c r="N71" s="1161"/>
      <c r="O71" s="1161"/>
      <c r="P71" s="1161"/>
    </row>
    <row r="72" spans="2:16" s="244" customFormat="1" x14ac:dyDescent="0.2">
      <c r="B72" s="240"/>
      <c r="D72" s="61"/>
      <c r="E72" s="210" t="s">
        <v>929</v>
      </c>
      <c r="F72" s="210"/>
      <c r="G72" s="320"/>
      <c r="H72" s="319"/>
      <c r="I72" s="319"/>
      <c r="J72" s="319"/>
      <c r="K72" s="319"/>
      <c r="L72" s="266"/>
      <c r="N72" s="1161"/>
      <c r="O72" s="1161"/>
      <c r="P72" s="1161"/>
    </row>
    <row r="73" spans="2:16" s="244" customFormat="1" ht="6" customHeight="1" x14ac:dyDescent="0.2">
      <c r="B73" s="240"/>
      <c r="D73" s="61"/>
      <c r="E73" s="245"/>
      <c r="F73" s="245"/>
      <c r="G73" s="246"/>
      <c r="H73" s="245"/>
      <c r="I73" s="245"/>
      <c r="J73" s="245"/>
      <c r="K73" s="245"/>
      <c r="L73" s="266"/>
      <c r="N73" s="1161"/>
      <c r="O73" s="1161"/>
      <c r="P73" s="1161"/>
    </row>
    <row r="74" spans="2:16" s="244" customFormat="1" x14ac:dyDescent="0.2">
      <c r="B74" s="240"/>
      <c r="D74" s="61"/>
      <c r="E74" s="245" t="s">
        <v>940</v>
      </c>
      <c r="F74" s="245"/>
      <c r="G74" s="246"/>
      <c r="H74" s="245"/>
      <c r="I74" s="245"/>
      <c r="J74" s="1135"/>
      <c r="K74" s="1135"/>
      <c r="L74" s="266"/>
      <c r="N74" s="1161"/>
      <c r="O74" s="1161"/>
      <c r="P74" s="1161"/>
    </row>
    <row r="75" spans="2:16" s="244" customFormat="1" x14ac:dyDescent="0.2">
      <c r="B75" s="240"/>
      <c r="D75" s="61"/>
      <c r="E75" s="245"/>
      <c r="F75" s="429">
        <f>IF(BandLohnRechner="",0,1)</f>
        <v>0</v>
      </c>
      <c r="G75" s="246"/>
      <c r="H75" s="245"/>
      <c r="I75" s="245"/>
      <c r="J75" s="245"/>
      <c r="K75" s="245"/>
      <c r="L75" s="266"/>
      <c r="N75" s="1161"/>
      <c r="O75" s="1161"/>
      <c r="P75" s="1161"/>
    </row>
    <row r="76" spans="2:16" s="244" customFormat="1" x14ac:dyDescent="0.2">
      <c r="B76" s="240"/>
      <c r="D76" s="61"/>
      <c r="E76" s="275" t="s">
        <v>764</v>
      </c>
      <c r="F76" s="1005"/>
      <c r="G76" s="276" t="str">
        <f>IF(ISBLANK($J$74),IF(BandLohnBer="",IF(BandLohnRechner="","",BandLohnRechner),IF(BandLohnRechner="",BandLohnBer,"FEHLER")),"-")</f>
        <v/>
      </c>
      <c r="I76" s="275" t="s">
        <v>808</v>
      </c>
      <c r="J76" s="1005"/>
      <c r="K76" s="277" t="str">
        <f>IF(ISBLANK($J$74),IF(EWLohnBer="",IF(EWLohnRechner="","",EWLohnRechner),IF(EWLohnRechner="",EWLohnBer,"FEHLER")),"-")</f>
        <v/>
      </c>
      <c r="L76" s="266"/>
      <c r="N76" s="1161"/>
      <c r="O76" s="1161"/>
      <c r="P76" s="1161"/>
    </row>
    <row r="77" spans="2:16" s="244" customFormat="1" x14ac:dyDescent="0.2">
      <c r="B77" s="240"/>
      <c r="D77" s="61"/>
      <c r="E77" s="429" t="b">
        <f>AND(BandLohnBer&lt;&gt;"",BandLohnRechner&lt;&gt;"")</f>
        <v>0</v>
      </c>
      <c r="F77" s="245"/>
      <c r="G77" s="430" t="str">
        <f>IF(E77,"2 Lohnbänder gefunden","")</f>
        <v/>
      </c>
      <c r="H77" s="686" t="b">
        <f>AND(EWLohnBer&lt;&gt;"",EWLohnRechner&lt;&gt;"")</f>
        <v>0</v>
      </c>
      <c r="J77" s="538" t="str">
        <f>IF(H77,"2 Erfahrungswerte gefunden","")</f>
        <v/>
      </c>
      <c r="K77" s="538"/>
      <c r="L77" s="266"/>
      <c r="N77" s="1161"/>
      <c r="O77" s="1161"/>
      <c r="P77" s="1161"/>
    </row>
    <row r="78" spans="2:16" s="244" customFormat="1" x14ac:dyDescent="0.2">
      <c r="B78" s="240"/>
      <c r="D78" s="61"/>
      <c r="E78" s="275" t="s">
        <v>1100</v>
      </c>
      <c r="F78" s="245"/>
      <c r="G78" s="775" t="str">
        <f>IF(ISBLANK($J$74),IF(LohnLohnBer="",IF(LohnLohnRechner="","",LohnLohnRechner),IF(LohnLohnRechner="",LohnLohnBer,"FEHLER")),"-")</f>
        <v/>
      </c>
      <c r="H78" s="686"/>
      <c r="I78" s="275" t="s">
        <v>1100</v>
      </c>
      <c r="J78" s="538"/>
      <c r="K78" s="1025"/>
      <c r="L78" s="266"/>
      <c r="N78" s="1176" t="str">
        <f>Stammdaten_DropDown!A114</f>
        <v>Lohnentwicklung</v>
      </c>
      <c r="O78" s="1176"/>
      <c r="P78" s="1176"/>
    </row>
    <row r="79" spans="2:16" s="244" customFormat="1" x14ac:dyDescent="0.2">
      <c r="B79" s="240"/>
      <c r="D79" s="61"/>
      <c r="E79" s="429"/>
      <c r="F79" s="245"/>
      <c r="G79" s="760"/>
      <c r="H79" s="686"/>
      <c r="J79" s="538"/>
      <c r="K79" s="538"/>
      <c r="L79" s="266"/>
      <c r="N79" s="1185" t="str">
        <f>Stammdaten_DropDown!A115</f>
        <v>Bitte angeben, ob eine individuelle Lohnentwicklung gewährt werden soll.</v>
      </c>
      <c r="O79" s="1185"/>
      <c r="P79" s="1185"/>
    </row>
    <row r="80" spans="2:16" s="244" customFormat="1" x14ac:dyDescent="0.2">
      <c r="B80" s="240"/>
      <c r="D80" s="61"/>
      <c r="E80" s="847" t="str">
        <f>CONCATENATE("Lohnentwicklung per 01.01.",LohntabelleM!I1+1," gewähren?")</f>
        <v>Lohnentwicklung per 01.01.2027 gewähren?</v>
      </c>
      <c r="H80" s="1005"/>
      <c r="I80" s="275"/>
      <c r="J80" s="862" t="s">
        <v>1948</v>
      </c>
      <c r="K80" s="871" t="str">
        <f>L80</f>
        <v/>
      </c>
      <c r="L80" s="858" t="str">
        <f>IF(H80="Ja","A",IF(H80="Nein","NA",""))</f>
        <v/>
      </c>
      <c r="N80" s="1185" t="str">
        <f>Stammdaten_DropDown!A116</f>
        <v>Bei einem Neueintritt nach dem 01.07.2026 ist keine individuelle Lohnentwicklung vorgesehen.</v>
      </c>
      <c r="O80" s="1185"/>
      <c r="P80" s="1185"/>
    </row>
    <row r="81" spans="2:18" s="244" customFormat="1" x14ac:dyDescent="0.2">
      <c r="B81" s="240"/>
      <c r="D81" s="61"/>
      <c r="E81" s="245"/>
      <c r="F81" s="245"/>
      <c r="G81" s="245"/>
      <c r="H81" s="245"/>
      <c r="I81" s="429" t="b">
        <f>AND(LohnLohnBer&lt;&gt;"",LohnLohnRechner&lt;&gt;"")</f>
        <v>0</v>
      </c>
      <c r="J81" s="1173" t="str">
        <f>IF(I81,"2 Löhne gefunden","")</f>
        <v/>
      </c>
      <c r="K81" s="1173"/>
      <c r="L81" s="266"/>
      <c r="N81" s="1185" t="str">
        <f>Stammdaten_DropDown!A117</f>
        <v>In dem Fall ist das Prädikat auf dem Wert «NA» (keine Beurteilung) zu belassen.</v>
      </c>
      <c r="O81" s="1185"/>
      <c r="P81" s="1185"/>
    </row>
    <row r="82" spans="2:18" s="244" customFormat="1" x14ac:dyDescent="0.2">
      <c r="B82" s="240"/>
      <c r="D82" s="61"/>
      <c r="E82" s="245" t="s">
        <v>966</v>
      </c>
      <c r="F82" s="245"/>
      <c r="G82" s="1005"/>
      <c r="H82" s="1142" t="s">
        <v>1069</v>
      </c>
      <c r="I82" s="1142"/>
      <c r="J82" s="1141" t="str">
        <f>_xlfn.IFNA(VLOOKUP(G82,Stammdaten_DropDown!$B$14:$C$55,2,FALSE),"")</f>
        <v/>
      </c>
      <c r="K82" s="1141"/>
      <c r="L82" s="266"/>
      <c r="N82" s="856"/>
      <c r="O82" s="537"/>
      <c r="P82" s="537"/>
    </row>
    <row r="83" spans="2:18" s="244" customFormat="1" ht="8.1" customHeight="1" x14ac:dyDescent="0.2">
      <c r="B83" s="240"/>
      <c r="D83" s="63"/>
      <c r="E83" s="64"/>
      <c r="F83" s="64"/>
      <c r="G83" s="65"/>
      <c r="H83" s="64"/>
      <c r="I83" s="64"/>
      <c r="J83" s="64"/>
      <c r="K83" s="64"/>
      <c r="L83" s="279"/>
      <c r="N83" s="1193" t="str">
        <f>Stammdaten_DropDown!A118</f>
        <v xml:space="preserve">Falls eine individuelle  Lohnentwicklung gewährt werden soll, ist das entsprechende Prädikat aus der relevanten MAG-Phase im Dropdown-Menu auszuwählen. </v>
      </c>
      <c r="O83" s="1193"/>
      <c r="P83" s="1193"/>
    </row>
    <row r="84" spans="2:18" s="244" customFormat="1" ht="6" customHeight="1" x14ac:dyDescent="0.2">
      <c r="B84" s="240"/>
      <c r="E84" s="239"/>
      <c r="F84" s="239"/>
      <c r="G84" s="280"/>
      <c r="H84" s="239"/>
      <c r="I84" s="239"/>
      <c r="J84" s="239"/>
      <c r="K84" s="239"/>
      <c r="N84" s="1193"/>
      <c r="O84" s="1193"/>
      <c r="P84" s="1193"/>
    </row>
    <row r="85" spans="2:18" s="244" customFormat="1" ht="5.0999999999999996" customHeight="1" x14ac:dyDescent="0.2">
      <c r="B85" s="240"/>
      <c r="D85" s="59"/>
      <c r="E85" s="67"/>
      <c r="F85" s="67"/>
      <c r="G85" s="68"/>
      <c r="H85" s="67"/>
      <c r="I85" s="67"/>
      <c r="J85" s="67"/>
      <c r="K85" s="67"/>
      <c r="L85" s="60"/>
      <c r="N85" s="1193"/>
      <c r="O85" s="1193"/>
      <c r="P85" s="1193"/>
    </row>
    <row r="86" spans="2:18" s="244" customFormat="1" x14ac:dyDescent="0.2">
      <c r="B86" s="240"/>
      <c r="D86" s="61"/>
      <c r="E86" s="1165" t="s">
        <v>978</v>
      </c>
      <c r="F86" s="1165"/>
      <c r="G86" s="1165"/>
      <c r="H86" s="1165"/>
      <c r="I86" s="1165"/>
      <c r="J86" s="1165"/>
      <c r="K86" s="319"/>
      <c r="L86" s="62"/>
      <c r="N86" s="1193"/>
      <c r="O86" s="1193"/>
      <c r="P86" s="1193"/>
    </row>
    <row r="87" spans="2:18" s="244" customFormat="1" x14ac:dyDescent="0.2">
      <c r="B87" s="240"/>
      <c r="D87" s="61"/>
      <c r="E87" s="245"/>
      <c r="F87" s="245"/>
      <c r="G87" s="246"/>
      <c r="H87" s="245"/>
      <c r="I87" s="245"/>
      <c r="J87" s="245"/>
      <c r="K87" s="245"/>
      <c r="L87" s="62"/>
      <c r="N87" s="1185" t="str">
        <f>Stammdaten_DropDown!A119</f>
        <v>Ist noch keine Beurteilung hinterlegt, so ist das Prädikat auf «A» zu belassen.</v>
      </c>
      <c r="O87" s="1185"/>
      <c r="P87" s="1185"/>
      <c r="R87" s="244" t="s">
        <v>1036</v>
      </c>
    </row>
    <row r="88" spans="2:18" s="244" customFormat="1" x14ac:dyDescent="0.2">
      <c r="B88" s="240"/>
      <c r="D88" s="61"/>
      <c r="E88" s="1136"/>
      <c r="F88" s="1136"/>
      <c r="G88" s="1136"/>
      <c r="H88" s="1136"/>
      <c r="I88" s="1136"/>
      <c r="J88" s="1136"/>
      <c r="K88" s="1136"/>
      <c r="L88" s="62"/>
      <c r="R88" s="349">
        <f>E88</f>
        <v>0</v>
      </c>
    </row>
    <row r="89" spans="2:18" s="244" customFormat="1" x14ac:dyDescent="0.2">
      <c r="B89" s="240"/>
      <c r="D89" s="61"/>
      <c r="E89" s="1136"/>
      <c r="F89" s="1136"/>
      <c r="G89" s="1136"/>
      <c r="H89" s="1136"/>
      <c r="I89" s="1136"/>
      <c r="J89" s="1136"/>
      <c r="K89" s="1136"/>
      <c r="L89" s="62"/>
      <c r="R89" s="349">
        <f>E89</f>
        <v>0</v>
      </c>
    </row>
    <row r="90" spans="2:18" s="244" customFormat="1" x14ac:dyDescent="0.2">
      <c r="B90" s="240"/>
      <c r="D90" s="61"/>
      <c r="E90" s="1136"/>
      <c r="F90" s="1136"/>
      <c r="G90" s="1136"/>
      <c r="H90" s="1136"/>
      <c r="I90" s="1136"/>
      <c r="J90" s="1136"/>
      <c r="K90" s="1136"/>
      <c r="L90" s="62"/>
      <c r="R90" s="349">
        <f>E90</f>
        <v>0</v>
      </c>
    </row>
    <row r="91" spans="2:18" s="244" customFormat="1" ht="8.1" customHeight="1" x14ac:dyDescent="0.2">
      <c r="B91" s="240"/>
      <c r="D91" s="63"/>
      <c r="E91" s="64"/>
      <c r="F91" s="64"/>
      <c r="G91" s="65"/>
      <c r="H91" s="64"/>
      <c r="I91" s="64"/>
      <c r="J91" s="64"/>
      <c r="K91" s="64"/>
      <c r="L91" s="66"/>
    </row>
    <row r="92" spans="2:18" s="244" customFormat="1" ht="6" customHeight="1" x14ac:dyDescent="0.2">
      <c r="B92" s="240"/>
      <c r="E92" s="239"/>
      <c r="F92" s="239"/>
      <c r="G92" s="280"/>
      <c r="H92" s="239"/>
      <c r="I92" s="239"/>
      <c r="J92" s="239"/>
      <c r="K92" s="239"/>
    </row>
    <row r="93" spans="2:18" s="244" customFormat="1" ht="5.0999999999999996" customHeight="1" x14ac:dyDescent="0.2">
      <c r="B93" s="240"/>
      <c r="D93" s="59"/>
      <c r="E93" s="67"/>
      <c r="F93" s="67"/>
      <c r="G93" s="68"/>
      <c r="H93" s="67"/>
      <c r="I93" s="67"/>
      <c r="J93" s="67"/>
      <c r="K93" s="67"/>
      <c r="L93" s="60"/>
    </row>
    <row r="94" spans="2:18" s="244" customFormat="1" x14ac:dyDescent="0.2">
      <c r="B94" s="240"/>
      <c r="D94" s="61"/>
      <c r="E94" s="1165" t="s">
        <v>767</v>
      </c>
      <c r="F94" s="1165"/>
      <c r="G94" s="1165"/>
      <c r="H94" s="319"/>
      <c r="I94" s="319"/>
      <c r="J94" s="319"/>
      <c r="K94" s="319"/>
      <c r="L94" s="62"/>
    </row>
    <row r="95" spans="2:18" s="244" customFormat="1" x14ac:dyDescent="0.2">
      <c r="B95" s="240"/>
      <c r="D95" s="61"/>
      <c r="E95" s="245"/>
      <c r="F95" s="245"/>
      <c r="G95" s="246"/>
      <c r="H95" s="245"/>
      <c r="I95" s="245"/>
      <c r="J95" s="245"/>
      <c r="K95" s="245"/>
      <c r="L95" s="62"/>
    </row>
    <row r="96" spans="2:18" s="244" customFormat="1" x14ac:dyDescent="0.2">
      <c r="B96" s="240"/>
      <c r="D96" s="61"/>
      <c r="E96" s="1136"/>
      <c r="F96" s="1136"/>
      <c r="G96" s="1136"/>
      <c r="H96" s="1136"/>
      <c r="I96" s="1136"/>
      <c r="J96" s="1136"/>
      <c r="K96" s="1136"/>
      <c r="L96" s="62"/>
      <c r="R96" s="349">
        <f>E96</f>
        <v>0</v>
      </c>
    </row>
    <row r="97" spans="2:18" s="244" customFormat="1" x14ac:dyDescent="0.2">
      <c r="B97" s="240"/>
      <c r="D97" s="61"/>
      <c r="E97" s="1136"/>
      <c r="F97" s="1136"/>
      <c r="G97" s="1136"/>
      <c r="H97" s="1136"/>
      <c r="I97" s="1136"/>
      <c r="J97" s="1136"/>
      <c r="K97" s="1136"/>
      <c r="L97" s="62"/>
      <c r="R97" s="349">
        <f>E97</f>
        <v>0</v>
      </c>
    </row>
    <row r="98" spans="2:18" s="244" customFormat="1" x14ac:dyDescent="0.2">
      <c r="B98" s="240"/>
      <c r="D98" s="61"/>
      <c r="E98" s="1136"/>
      <c r="F98" s="1136"/>
      <c r="G98" s="1136"/>
      <c r="H98" s="1136"/>
      <c r="I98" s="1136"/>
      <c r="J98" s="1136"/>
      <c r="K98" s="1136"/>
      <c r="L98" s="62"/>
      <c r="R98" s="349">
        <f>E98</f>
        <v>0</v>
      </c>
    </row>
    <row r="99" spans="2:18" s="244" customFormat="1" ht="8.1" customHeight="1" x14ac:dyDescent="0.2">
      <c r="B99" s="240"/>
      <c r="D99" s="63"/>
      <c r="E99" s="64"/>
      <c r="F99" s="64"/>
      <c r="G99" s="65"/>
      <c r="H99" s="64"/>
      <c r="I99" s="64"/>
      <c r="J99" s="64"/>
      <c r="K99" s="64"/>
      <c r="L99" s="66"/>
    </row>
    <row r="100" spans="2:18" s="244" customFormat="1" ht="10.9" customHeight="1" x14ac:dyDescent="0.2">
      <c r="B100" s="240"/>
      <c r="E100" s="245"/>
      <c r="F100" s="245"/>
      <c r="G100" s="246"/>
      <c r="H100" s="245"/>
      <c r="I100" s="245"/>
      <c r="J100" s="245"/>
      <c r="K100" s="245"/>
      <c r="L100" s="245"/>
    </row>
    <row r="101" spans="2:18" s="244" customFormat="1" ht="73.349999999999994" customHeight="1" x14ac:dyDescent="0.2">
      <c r="B101" s="240"/>
      <c r="D101" s="1143" t="s">
        <v>959</v>
      </c>
      <c r="E101" s="1143"/>
      <c r="F101" s="1143"/>
      <c r="G101" s="1143"/>
      <c r="H101" s="1143"/>
      <c r="I101" s="1143"/>
      <c r="J101" s="1143"/>
      <c r="K101" s="1143"/>
      <c r="L101" s="1143"/>
    </row>
    <row r="102" spans="2:18" s="244" customFormat="1" ht="18.75" customHeight="1" x14ac:dyDescent="0.2">
      <c r="B102" s="240"/>
      <c r="D102" s="1143"/>
      <c r="E102" s="1143"/>
      <c r="F102" s="1143"/>
      <c r="G102" s="1143"/>
      <c r="H102" s="1143"/>
      <c r="I102" s="1143"/>
      <c r="J102" s="1143"/>
      <c r="K102" s="1143"/>
      <c r="L102" s="1143"/>
    </row>
    <row r="103" spans="2:18" s="244" customFormat="1" x14ac:dyDescent="0.2"/>
    <row r="104" spans="2:18" s="244" customFormat="1" x14ac:dyDescent="0.2"/>
    <row r="105" spans="2:18" s="244" customFormat="1" x14ac:dyDescent="0.2"/>
    <row r="106" spans="2:18" s="244" customFormat="1" x14ac:dyDescent="0.2"/>
    <row r="107" spans="2:18" s="244" customFormat="1" x14ac:dyDescent="0.2"/>
    <row r="108" spans="2:18" s="244" customFormat="1" x14ac:dyDescent="0.2"/>
    <row r="109" spans="2:18" s="244" customFormat="1" x14ac:dyDescent="0.2"/>
    <row r="110" spans="2:18" s="244" customFormat="1" x14ac:dyDescent="0.2"/>
    <row r="111" spans="2:18" s="244" customFormat="1" x14ac:dyDescent="0.2"/>
    <row r="112" spans="2:18" s="244" customFormat="1" x14ac:dyDescent="0.2"/>
    <row r="113" s="244" customFormat="1" x14ac:dyDescent="0.2"/>
    <row r="114" s="244" customFormat="1" x14ac:dyDescent="0.2"/>
    <row r="115" s="244" customFormat="1" x14ac:dyDescent="0.2"/>
    <row r="116" s="244" customFormat="1" x14ac:dyDescent="0.2"/>
    <row r="117" s="244" customFormat="1" x14ac:dyDescent="0.2"/>
    <row r="118" s="244" customFormat="1" x14ac:dyDescent="0.2"/>
    <row r="119" s="244" customFormat="1" x14ac:dyDescent="0.2"/>
    <row r="120" s="244" customFormat="1" x14ac:dyDescent="0.2"/>
    <row r="121" s="244" customFormat="1" x14ac:dyDescent="0.2"/>
    <row r="122" s="244" customFormat="1" x14ac:dyDescent="0.2"/>
    <row r="123" s="244" customFormat="1" x14ac:dyDescent="0.2"/>
    <row r="124" s="244" customFormat="1" x14ac:dyDescent="0.2"/>
    <row r="125" s="244" customFormat="1" x14ac:dyDescent="0.2"/>
    <row r="126" s="244" customFormat="1" x14ac:dyDescent="0.2"/>
    <row r="127" s="244" customFormat="1" x14ac:dyDescent="0.2"/>
    <row r="128" s="244" customFormat="1" x14ac:dyDescent="0.2"/>
    <row r="129" s="244" customFormat="1" x14ac:dyDescent="0.2"/>
    <row r="130" s="244" customFormat="1" x14ac:dyDescent="0.2"/>
    <row r="131" s="244" customFormat="1" x14ac:dyDescent="0.2"/>
    <row r="132" s="244" customFormat="1" x14ac:dyDescent="0.2"/>
    <row r="133" s="244" customFormat="1" x14ac:dyDescent="0.2"/>
    <row r="134" s="244" customFormat="1" x14ac:dyDescent="0.2"/>
    <row r="135" s="244" customFormat="1" x14ac:dyDescent="0.2"/>
    <row r="136" s="244" customFormat="1" x14ac:dyDescent="0.2"/>
    <row r="137" s="244" customFormat="1" x14ac:dyDescent="0.2"/>
    <row r="138" s="244" customFormat="1" x14ac:dyDescent="0.2"/>
    <row r="139" s="244" customFormat="1" x14ac:dyDescent="0.2"/>
    <row r="140" s="244" customFormat="1" x14ac:dyDescent="0.2"/>
  </sheetData>
  <sheetProtection algorithmName="SHA-512" hashValue="Z8oxjFByBBxHR5VMWnCkZRxf4IwnJ6JFJ373EBuH2VF/Zd6q2t3vPOJXn7HqcAcKTXFg9zFkSxI91d33EyPRtA==" saltValue="qFO+qbu3NQ0rOd9XsQfbIQ==" spinCount="100000" sheet="1" objects="1" scenarios="1"/>
  <mergeCells count="42">
    <mergeCell ref="N54:P77"/>
    <mergeCell ref="N11:O12"/>
    <mergeCell ref="H66:K66"/>
    <mergeCell ref="N78:P78"/>
    <mergeCell ref="N79:P79"/>
    <mergeCell ref="G21:H21"/>
    <mergeCell ref="F42:H42"/>
    <mergeCell ref="G11:H11"/>
    <mergeCell ref="J11:K11"/>
    <mergeCell ref="G13:H13"/>
    <mergeCell ref="J13:K13"/>
    <mergeCell ref="G15:K15"/>
    <mergeCell ref="I17:K17"/>
    <mergeCell ref="F27:I27"/>
    <mergeCell ref="F28:G28"/>
    <mergeCell ref="D101:L102"/>
    <mergeCell ref="E90:K90"/>
    <mergeCell ref="E94:G94"/>
    <mergeCell ref="E96:K96"/>
    <mergeCell ref="E97:K97"/>
    <mergeCell ref="E98:K98"/>
    <mergeCell ref="N80:P80"/>
    <mergeCell ref="N81:P81"/>
    <mergeCell ref="N83:P86"/>
    <mergeCell ref="N87:P87"/>
    <mergeCell ref="J19:K19"/>
    <mergeCell ref="J21:K21"/>
    <mergeCell ref="G23:K23"/>
    <mergeCell ref="F25:J25"/>
    <mergeCell ref="G45:H45"/>
    <mergeCell ref="J42:K42"/>
    <mergeCell ref="J74:K74"/>
    <mergeCell ref="F26:K26"/>
    <mergeCell ref="E68:F68"/>
    <mergeCell ref="G68:K68"/>
    <mergeCell ref="E86:J86"/>
    <mergeCell ref="J34:K34"/>
    <mergeCell ref="E88:K88"/>
    <mergeCell ref="E89:K89"/>
    <mergeCell ref="J81:K81"/>
    <mergeCell ref="H82:I82"/>
    <mergeCell ref="J82:K82"/>
  </mergeCells>
  <conditionalFormatting sqref="G78">
    <cfRule type="expression" dxfId="163" priority="9">
      <formula>$F$75=0</formula>
    </cfRule>
    <cfRule type="expression" dxfId="162" priority="180">
      <formula>$I$81</formula>
    </cfRule>
  </conditionalFormatting>
  <conditionalFormatting sqref="G76">
    <cfRule type="expression" dxfId="161" priority="12">
      <formula>$F$75=0</formula>
    </cfRule>
    <cfRule type="expression" dxfId="160" priority="17">
      <formula>E77</formula>
    </cfRule>
  </conditionalFormatting>
  <conditionalFormatting sqref="K76">
    <cfRule type="expression" dxfId="159" priority="11">
      <formula>$F$75=0</formula>
    </cfRule>
    <cfRule type="expression" dxfId="158" priority="184">
      <formula>H77</formula>
    </cfRule>
  </conditionalFormatting>
  <conditionalFormatting sqref="F76">
    <cfRule type="expression" dxfId="157" priority="14">
      <formula>$F$75=1</formula>
    </cfRule>
  </conditionalFormatting>
  <conditionalFormatting sqref="J76">
    <cfRule type="expression" dxfId="156" priority="13">
      <formula>$F$75=1</formula>
    </cfRule>
  </conditionalFormatting>
  <conditionalFormatting sqref="K78">
    <cfRule type="expression" dxfId="155" priority="8">
      <formula>$F$75=1</formula>
    </cfRule>
  </conditionalFormatting>
  <conditionalFormatting sqref="E78">
    <cfRule type="expression" dxfId="154" priority="7">
      <formula>$F$75=0</formula>
    </cfRule>
  </conditionalFormatting>
  <conditionalFormatting sqref="I78">
    <cfRule type="expression" dxfId="153" priority="6">
      <formula>$F$75=1</formula>
    </cfRule>
  </conditionalFormatting>
  <conditionalFormatting sqref="J80">
    <cfRule type="expression" dxfId="152" priority="5">
      <formula>#REF!</formula>
    </cfRule>
  </conditionalFormatting>
  <conditionalFormatting sqref="J80:K80 N81:P87">
    <cfRule type="expression" dxfId="151" priority="4">
      <formula>$H$80=""</formula>
    </cfRule>
  </conditionalFormatting>
  <conditionalFormatting sqref="E68:K68 E72:K82 N78:P98">
    <cfRule type="expression" dxfId="150" priority="2">
      <formula>AND($G$13="",$H$66="")</formula>
    </cfRule>
  </conditionalFormatting>
  <conditionalFormatting sqref="E67 H66:K66">
    <cfRule type="expression" dxfId="149" priority="1">
      <formula>$G$13&lt;&gt;""</formula>
    </cfRule>
  </conditionalFormatting>
  <dataValidations count="9">
    <dataValidation type="list" allowBlank="1" showInputMessage="1" showErrorMessage="1" sqref="J34:K34" xr:uid="{00000000-0002-0000-0800-000000000000}">
      <formula1>AnstellungBF</formula1>
    </dataValidation>
    <dataValidation type="list" operator="greaterThan" allowBlank="1" showInputMessage="1" showErrorMessage="1" errorTitle="Fehler" error="Geben Sie ein gültiges Datum dd.mm.yyyy ein!" sqref="G21:H21" xr:uid="{00000000-0002-0000-0800-000001000000}">
      <formula1>Zivilstand</formula1>
    </dataValidation>
    <dataValidation allowBlank="1" showInputMessage="1" sqref="L82 J82" xr:uid="{00000000-0002-0000-0800-000002000000}"/>
    <dataValidation operator="greaterThan" showInputMessage="1" showErrorMessage="1" errorTitle="Fehler" error="Geben Sie ein gültiges Datum dd.mm.yyyy ein!" sqref="K41 H49:H50 I48 K49:K50" xr:uid="{00000000-0002-0000-0800-000003000000}"/>
    <dataValidation type="whole" operator="greaterThan" allowBlank="1" showInputMessage="1" showErrorMessage="1" errorTitle="Fehler" error="Ungültige Postleitzahl" sqref="G17" xr:uid="{00000000-0002-0000-0800-000004000000}">
      <formula1>0</formula1>
    </dataValidation>
    <dataValidation type="date" operator="greaterThan" allowBlank="1" showInputMessage="1" showErrorMessage="1" errorTitle="Fehler" error="Geben Sie ein gültiges Datum dd.mm.yyyy ein!" sqref="G34 G19:G20 G22 K61 G61:G63" xr:uid="{00000000-0002-0000-0800-000005000000}">
      <formula1>1</formula1>
    </dataValidation>
    <dataValidation operator="greaterThan" allowBlank="1" showInputMessage="1" showErrorMessage="1" errorTitle="Fehler" error="Pensum als Ganzzahl angeben" sqref="G78 J80" xr:uid="{00000000-0002-0000-0800-000006000000}"/>
    <dataValidation type="list" allowBlank="1" showInputMessage="1" showErrorMessage="1" sqref="J21" xr:uid="{00000000-0002-0000-0800-000007000000}">
      <formula1>GewBewilligung</formula1>
    </dataValidation>
    <dataValidation type="list" allowBlank="1" showInputMessage="1" showErrorMessage="1" sqref="G45:H45" xr:uid="{00000000-0002-0000-0800-000008000000}">
      <formula1>Pflichtlektionen</formula1>
    </dataValidation>
  </dataValidations>
  <hyperlinks>
    <hyperlink ref="N11:O12" location="Grunddaten!E9" display="Zurück zu Grunddaten" xr:uid="{00000000-0004-0000-0800-000000000000}"/>
  </hyperlinks>
  <pageMargins left="0.70866141732283472" right="0.70866141732283472" top="0.78740157480314965" bottom="0.78740157480314965" header="0.31496062992125984" footer="0.31496062992125984"/>
  <pageSetup paperSize="9" scale="96" fitToHeight="0" orientation="portrait" r:id="rId1"/>
  <headerFooter>
    <oddFooter>Seite &amp;P von &amp;N</oddFooter>
  </headerFooter>
  <rowBreaks count="1" manualBreakCount="1">
    <brk id="52" max="16383" man="1"/>
  </rowBreaks>
  <ignoredErrors>
    <ignoredError sqref="K8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87077" r:id="rId4" name="Check Box 5">
              <controlPr defaultSize="0" autoFill="0" autoLine="0" autoPict="0">
                <anchor moveWithCells="1">
                  <from>
                    <xdr:col>4</xdr:col>
                    <xdr:colOff>28575</xdr:colOff>
                    <xdr:row>36</xdr:row>
                    <xdr:rowOff>123825</xdr:rowOff>
                  </from>
                  <to>
                    <xdr:col>6</xdr:col>
                    <xdr:colOff>219075</xdr:colOff>
                    <xdr:row>38</xdr:row>
                    <xdr:rowOff>38100</xdr:rowOff>
                  </to>
                </anchor>
              </controlPr>
            </control>
          </mc:Choice>
        </mc:AlternateContent>
        <mc:AlternateContent xmlns:mc="http://schemas.openxmlformats.org/markup-compatibility/2006">
          <mc:Choice Requires="x14">
            <control shapeId="387078" r:id="rId5" name="Check Box 6">
              <controlPr defaultSize="0" autoFill="0" autoLine="0" autoPict="0">
                <anchor moveWithCells="1">
                  <from>
                    <xdr:col>6</xdr:col>
                    <xdr:colOff>638175</xdr:colOff>
                    <xdr:row>38</xdr:row>
                    <xdr:rowOff>95250</xdr:rowOff>
                  </from>
                  <to>
                    <xdr:col>8</xdr:col>
                    <xdr:colOff>304800</xdr:colOff>
                    <xdr:row>40</xdr:row>
                    <xdr:rowOff>57150</xdr:rowOff>
                  </to>
                </anchor>
              </controlPr>
            </control>
          </mc:Choice>
        </mc:AlternateContent>
        <mc:AlternateContent xmlns:mc="http://schemas.openxmlformats.org/markup-compatibility/2006">
          <mc:Choice Requires="x14">
            <control shapeId="387079" r:id="rId6" name="Check Box 7">
              <controlPr defaultSize="0" autoFill="0" autoLine="0" autoPict="0">
                <anchor moveWithCells="1">
                  <from>
                    <xdr:col>6</xdr:col>
                    <xdr:colOff>638175</xdr:colOff>
                    <xdr:row>36</xdr:row>
                    <xdr:rowOff>123825</xdr:rowOff>
                  </from>
                  <to>
                    <xdr:col>8</xdr:col>
                    <xdr:colOff>723900</xdr:colOff>
                    <xdr:row>38</xdr:row>
                    <xdr:rowOff>38100</xdr:rowOff>
                  </to>
                </anchor>
              </controlPr>
            </control>
          </mc:Choice>
        </mc:AlternateContent>
        <mc:AlternateContent xmlns:mc="http://schemas.openxmlformats.org/markup-compatibility/2006">
          <mc:Choice Requires="x14">
            <control shapeId="387080" r:id="rId7" name="Check Box 8">
              <controlPr defaultSize="0" autoFill="0" autoLine="0" autoPict="0">
                <anchor moveWithCells="1">
                  <from>
                    <xdr:col>4</xdr:col>
                    <xdr:colOff>28575</xdr:colOff>
                    <xdr:row>38</xdr:row>
                    <xdr:rowOff>95250</xdr:rowOff>
                  </from>
                  <to>
                    <xdr:col>6</xdr:col>
                    <xdr:colOff>114300</xdr:colOff>
                    <xdr:row>40</xdr:row>
                    <xdr:rowOff>57150</xdr:rowOff>
                  </to>
                </anchor>
              </controlPr>
            </control>
          </mc:Choice>
        </mc:AlternateContent>
        <mc:AlternateContent xmlns:mc="http://schemas.openxmlformats.org/markup-compatibility/2006">
          <mc:Choice Requires="x14">
            <control shapeId="387081" r:id="rId8" name="Check Box 9">
              <controlPr defaultSize="0" autoFill="0" autoLine="0" autoPict="0">
                <anchor moveWithCells="1">
                  <from>
                    <xdr:col>9</xdr:col>
                    <xdr:colOff>409575</xdr:colOff>
                    <xdr:row>36</xdr:row>
                    <xdr:rowOff>123825</xdr:rowOff>
                  </from>
                  <to>
                    <xdr:col>12</xdr:col>
                    <xdr:colOff>19050</xdr:colOff>
                    <xdr:row>38</xdr:row>
                    <xdr:rowOff>38100</xdr:rowOff>
                  </to>
                </anchor>
              </controlPr>
            </control>
          </mc:Choice>
        </mc:AlternateContent>
        <mc:AlternateContent xmlns:mc="http://schemas.openxmlformats.org/markup-compatibility/2006">
          <mc:Choice Requires="x14">
            <control shapeId="387096" r:id="rId9" name="Check Box 24">
              <controlPr defaultSize="0" autoFill="0" autoLine="0" autoPict="0">
                <anchor moveWithCells="1">
                  <from>
                    <xdr:col>9</xdr:col>
                    <xdr:colOff>409575</xdr:colOff>
                    <xdr:row>38</xdr:row>
                    <xdr:rowOff>114300</xdr:rowOff>
                  </from>
                  <to>
                    <xdr:col>12</xdr:col>
                    <xdr:colOff>66675</xdr:colOff>
                    <xdr:row>40</xdr:row>
                    <xdr:rowOff>76200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800-000009000000}">
          <x14:formula1>
            <xm:f>Stammdaten_DropDown!$E$103:$E$104</xm:f>
          </x14:formula1>
          <xm:sqref>H80</xm:sqref>
        </x14:dataValidation>
        <x14:dataValidation type="list" allowBlank="1" showInputMessage="1" showErrorMessage="1" xr:uid="{00000000-0002-0000-0800-00000A000000}">
          <x14:formula1>
            <xm:f>Stammdaten_DropDown!$E$107:$E$110</xm:f>
          </x14:formula1>
          <xm:sqref>K80</xm:sqref>
        </x14:dataValidation>
        <x14:dataValidation type="list" allowBlank="1" showInputMessage="1" showErrorMessage="1" xr:uid="{00000000-0002-0000-0800-00000B000000}">
          <x14:formula1>
            <xm:f>Stammdaten_DropDown!$E$93:$E$100</xm:f>
          </x14:formula1>
          <xm:sqref>H66:K66</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F3EEFFB03F33B649ABBEEBA9B48597B0" ma:contentTypeVersion="8" ma:contentTypeDescription="Ein neues Dokument erstellen." ma:contentTypeScope="" ma:versionID="0ba84333aeef184e453a455b082a016a">
  <xsd:schema xmlns:xsd="http://www.w3.org/2001/XMLSchema" xmlns:xs="http://www.w3.org/2001/XMLSchema" xmlns:p="http://schemas.microsoft.com/office/2006/metadata/properties" xmlns:ns2="d97ec38d-b652-4c5a-ae1d-de067f7ca9b7" xmlns:ns3="2a6241a6-6988-4d74-8b16-4016c94cdfae" targetNamespace="http://schemas.microsoft.com/office/2006/metadata/properties" ma:root="true" ma:fieldsID="b2b5ae4ac94eb475e230d55e85c66d74" ns2:_="" ns3:_="">
    <xsd:import namespace="d97ec38d-b652-4c5a-ae1d-de067f7ca9b7"/>
    <xsd:import namespace="2a6241a6-6988-4d74-8b16-4016c94cdfa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7ec38d-b652-4c5a-ae1d-de067f7ca9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a6241a6-6988-4d74-8b16-4016c94cdfae" elementFormDefault="qualified">
    <xsd:import namespace="http://schemas.microsoft.com/office/2006/documentManagement/types"/>
    <xsd:import namespace="http://schemas.microsoft.com/office/infopath/2007/PartnerControls"/>
    <xsd:element name="SharedWithUsers" ma:index="14"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317551-DBC1-45CB-B509-8C347E15A3CC}">
  <ds:schemaRefs>
    <ds:schemaRef ds:uri="http://schemas.microsoft.com/sharepoint/v3/contenttype/forms"/>
  </ds:schemaRefs>
</ds:datastoreItem>
</file>

<file path=customXml/itemProps2.xml><?xml version="1.0" encoding="utf-8"?>
<ds:datastoreItem xmlns:ds="http://schemas.openxmlformats.org/officeDocument/2006/customXml" ds:itemID="{138843FF-DF4F-45A3-9725-C5BAF81374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97ec38d-b652-4c5a-ae1d-de067f7ca9b7"/>
    <ds:schemaRef ds:uri="2a6241a6-6988-4d74-8b16-4016c94cdfa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440606C-5DAE-481F-909C-F8FC147FC6A4}">
  <ds:schemaRefs>
    <ds:schemaRef ds:uri="http://purl.org/dc/terms/"/>
    <ds:schemaRef ds:uri="d97ec38d-b652-4c5a-ae1d-de067f7ca9b7"/>
    <ds:schemaRef ds:uri="http://schemas.microsoft.com/office/2006/documentManagement/types"/>
    <ds:schemaRef ds:uri="2a6241a6-6988-4d74-8b16-4016c94cdfa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30</vt:i4>
      </vt:variant>
      <vt:variant>
        <vt:lpstr>Benannte Bereiche</vt:lpstr>
      </vt:variant>
      <vt:variant>
        <vt:i4>105</vt:i4>
      </vt:variant>
    </vt:vector>
  </HeadingPairs>
  <TitlesOfParts>
    <vt:vector size="135" baseType="lpstr">
      <vt:lpstr>Release Notes</vt:lpstr>
      <vt:lpstr>Grunddaten</vt:lpstr>
      <vt:lpstr>Anstellung KigaPrim</vt:lpstr>
      <vt:lpstr>Externe Stv. KigaPrim</vt:lpstr>
      <vt:lpstr>Anstellung MS</vt:lpstr>
      <vt:lpstr>Externe Stv. MS</vt:lpstr>
      <vt:lpstr>Anstellung KPTF</vt:lpstr>
      <vt:lpstr>Externe Stv. KPTF</vt:lpstr>
      <vt:lpstr>Anstellung BFS</vt:lpstr>
      <vt:lpstr>Anstellung Sek I_Gym</vt:lpstr>
      <vt:lpstr>Externe Stv. Sek I_Gym</vt:lpstr>
      <vt:lpstr>UP Vertragsaenderung</vt:lpstr>
      <vt:lpstr>VP Anstellung</vt:lpstr>
      <vt:lpstr>VP Vertragsaenderung</vt:lpstr>
      <vt:lpstr>VP Zusätzlicher Vertrag</vt:lpstr>
      <vt:lpstr>VP Folgevertrag Stundenlohn</vt:lpstr>
      <vt:lpstr>Pensenberechnung</vt:lpstr>
      <vt:lpstr>Ferienplan Pensenberechnung</vt:lpstr>
      <vt:lpstr>Lohnrechner</vt:lpstr>
      <vt:lpstr>Lohnberechnung</vt:lpstr>
      <vt:lpstr>Wechsel max. 1 LB</vt:lpstr>
      <vt:lpstr>Wechsel gleiche Ausb. Anf.</vt:lpstr>
      <vt:lpstr>Wechsel anspruchsvollere Fkt.</vt:lpstr>
      <vt:lpstr>Druckeinstellungen</vt:lpstr>
      <vt:lpstr>Stammdaten_DropDown</vt:lpstr>
      <vt:lpstr>LohntabelleM</vt:lpstr>
      <vt:lpstr>LohntabelleJ</vt:lpstr>
      <vt:lpstr>A1-Texte</vt:lpstr>
      <vt:lpstr>MU-Daten</vt:lpstr>
      <vt:lpstr>Bewertungstabelle</vt:lpstr>
      <vt:lpstr>_A_Grunddaten</vt:lpstr>
      <vt:lpstr>AlterFerienanspruch</vt:lpstr>
      <vt:lpstr>Anrede</vt:lpstr>
      <vt:lpstr>Anstellung</vt:lpstr>
      <vt:lpstr>Anstellung2</vt:lpstr>
      <vt:lpstr>AnstellungBF</vt:lpstr>
      <vt:lpstr>AnstellungsartVP</vt:lpstr>
      <vt:lpstr>Aus_MU</vt:lpstr>
      <vt:lpstr>Ausbildung</vt:lpstr>
      <vt:lpstr>BandLohnBer</vt:lpstr>
      <vt:lpstr>BandLohnRechner</vt:lpstr>
      <vt:lpstr>BeginnArbeitsdauer</vt:lpstr>
      <vt:lpstr>BegründungFürBefristung</vt:lpstr>
      <vt:lpstr>BGLohnBer</vt:lpstr>
      <vt:lpstr>'Anstellung BFS'!Druckbereich</vt:lpstr>
      <vt:lpstr>'Anstellung KigaPrim'!Druckbereich</vt:lpstr>
      <vt:lpstr>'Anstellung KPTF'!Druckbereich</vt:lpstr>
      <vt:lpstr>'Anstellung MS'!Druckbereich</vt:lpstr>
      <vt:lpstr>'Anstellung Sek I_Gym'!Druckbereich</vt:lpstr>
      <vt:lpstr>'Externe Stv. KigaPrim'!Druckbereich</vt:lpstr>
      <vt:lpstr>'Externe Stv. KPTF'!Druckbereich</vt:lpstr>
      <vt:lpstr>'Externe Stv. MS'!Druckbereich</vt:lpstr>
      <vt:lpstr>'Externe Stv. Sek I_Gym'!Druckbereich</vt:lpstr>
      <vt:lpstr>Lohnberechnung!Druckbereich</vt:lpstr>
      <vt:lpstr>Lohnrechner!Druckbereich</vt:lpstr>
      <vt:lpstr>Pensenberechnung!Druckbereich</vt:lpstr>
      <vt:lpstr>'UP Vertragsaenderung'!Druckbereich</vt:lpstr>
      <vt:lpstr>'VP Anstellung'!Druckbereich</vt:lpstr>
      <vt:lpstr>'VP Folgevertrag Stundenlohn'!Druckbereich</vt:lpstr>
      <vt:lpstr>'VP Vertragsaenderung'!Druckbereich</vt:lpstr>
      <vt:lpstr>'VP Zusätzlicher Vertrag'!Druckbereich</vt:lpstr>
      <vt:lpstr>'Wechsel anspruchsvollere Fkt.'!Druckbereich</vt:lpstr>
      <vt:lpstr>'Wechsel gleiche Ausb. Anf.'!Druckbereich</vt:lpstr>
      <vt:lpstr>'Wechsel max. 1 LB'!Druckbereich</vt:lpstr>
      <vt:lpstr>'MU-Daten'!Drucktitel</vt:lpstr>
      <vt:lpstr>EffLohnLohnBer</vt:lpstr>
      <vt:lpstr>EndeArbeitsdauer</vt:lpstr>
      <vt:lpstr>EntscheidDesAmtesFürVolksschulen</vt:lpstr>
      <vt:lpstr>Erfahrungswert</vt:lpstr>
      <vt:lpstr>ESSprungManuell</vt:lpstr>
      <vt:lpstr>ESSprungManuell2</vt:lpstr>
      <vt:lpstr>EW_anspFu</vt:lpstr>
      <vt:lpstr>EW_glAusb</vt:lpstr>
      <vt:lpstr>EW_maxLB</vt:lpstr>
      <vt:lpstr>EWLohnBer</vt:lpstr>
      <vt:lpstr>EWLohnRechner</vt:lpstr>
      <vt:lpstr>Lohnberechnung!F</vt:lpstr>
      <vt:lpstr>Ferien_KJ</vt:lpstr>
      <vt:lpstr>Ferien_pro_Rata</vt:lpstr>
      <vt:lpstr>Ferien_WE</vt:lpstr>
      <vt:lpstr>Gepl_Wochenstunden</vt:lpstr>
      <vt:lpstr>GewBewilligung</vt:lpstr>
      <vt:lpstr>IndivBem</vt:lpstr>
      <vt:lpstr>KompetenzDerSchulleitung</vt:lpstr>
      <vt:lpstr>Kreuz</vt:lpstr>
      <vt:lpstr>LB_anspFu</vt:lpstr>
      <vt:lpstr>LB_glAusb</vt:lpstr>
      <vt:lpstr>LB_maxLB</vt:lpstr>
      <vt:lpstr>Lohn_anspFu</vt:lpstr>
      <vt:lpstr>Lohn_glAusb</vt:lpstr>
      <vt:lpstr>Lohn_maxLB</vt:lpstr>
      <vt:lpstr>Lohnband</vt:lpstr>
      <vt:lpstr>LohnBerLohn</vt:lpstr>
      <vt:lpstr>LohnBerNotiz</vt:lpstr>
      <vt:lpstr>LohnLohnBer</vt:lpstr>
      <vt:lpstr>LohnLohnRechner</vt:lpstr>
      <vt:lpstr>MAAnrede</vt:lpstr>
      <vt:lpstr>MAGeburtsdatum</vt:lpstr>
      <vt:lpstr>MAName</vt:lpstr>
      <vt:lpstr>MAPersID</vt:lpstr>
      <vt:lpstr>MAVertragsNr</vt:lpstr>
      <vt:lpstr>MAVorname</vt:lpstr>
      <vt:lpstr>MU_AnspFu</vt:lpstr>
      <vt:lpstr>MU_glAusb</vt:lpstr>
      <vt:lpstr>MU_maxLB</vt:lpstr>
      <vt:lpstr>MULohnberechnung</vt:lpstr>
      <vt:lpstr>Pensum</vt:lpstr>
      <vt:lpstr>Pflichtlektionen</vt:lpstr>
      <vt:lpstr>Regelung</vt:lpstr>
      <vt:lpstr>Schulferien_wArbeitsdauer</vt:lpstr>
      <vt:lpstr>SchulKindergartenTyp</vt:lpstr>
      <vt:lpstr>Schultypen</vt:lpstr>
      <vt:lpstr>SchultypKGPS</vt:lpstr>
      <vt:lpstr>SchultypSek1</vt:lpstr>
      <vt:lpstr>SekTyp</vt:lpstr>
      <vt:lpstr>Stunden_Vollpensum</vt:lpstr>
      <vt:lpstr>Stundenansatz_Tag</vt:lpstr>
      <vt:lpstr>Stundenansatz_Tag_ungerundet</vt:lpstr>
      <vt:lpstr>Stundenansatz_Woche</vt:lpstr>
      <vt:lpstr>Tage_Anstellung</vt:lpstr>
      <vt:lpstr>Tage_Anstellungen_oFerien</vt:lpstr>
      <vt:lpstr>Tage_ohne_Schulferien</vt:lpstr>
      <vt:lpstr>TechnEintrittsDatum</vt:lpstr>
      <vt:lpstr>TSMAnst</vt:lpstr>
      <vt:lpstr>UArtKindergarten</vt:lpstr>
      <vt:lpstr>UArtKreiskindergarten</vt:lpstr>
      <vt:lpstr>UArtKreisprimarschule</vt:lpstr>
      <vt:lpstr>UArtPrimarschule</vt:lpstr>
      <vt:lpstr>Umrechnungsfaktor_Tage</vt:lpstr>
      <vt:lpstr>UnterrichtsartKigaPrim</vt:lpstr>
      <vt:lpstr>Vertragsart</vt:lpstr>
      <vt:lpstr>VPFunktSchule</vt:lpstr>
      <vt:lpstr>Zeitwirtschaft</vt:lpstr>
      <vt:lpstr>Zivilstand</vt:lpstr>
      <vt:lpstr>Zurück_zu_Grundd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ES-Berechnung</dc:title>
  <dc:subject>ES-Berechnung bei Neueintritten und Funktionswechseln</dc:subject>
  <dc:creator>Thomas Schwarb</dc:creator>
  <cp:keywords>ES-Berechnung; Neueintritt; Erfahrungsjahre; A1; A2; MU, Modellumschreibung</cp:keywords>
  <cp:lastModifiedBy>Weber, Thomas FKD</cp:lastModifiedBy>
  <cp:lastPrinted>2025-04-09T08:24:12Z</cp:lastPrinted>
  <dcterms:created xsi:type="dcterms:W3CDTF">2000-09-11T15:55:43Z</dcterms:created>
  <dcterms:modified xsi:type="dcterms:W3CDTF">2025-12-18T12:18:17Z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0x010100F3EEFFB03F33B649ABBEEBA9B48597B0</vt:lpwstr>
  </property>
</Properties>
</file>