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omments1.xml" ContentType="application/vnd.openxmlformats-officedocument.spreadsheetml.comments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ate1904="1" codeName="DieseArbeitsmappe"/>
  <mc:AlternateContent xmlns:mc="http://schemas.openxmlformats.org/markup-compatibility/2006">
    <mc:Choice Requires="x15">
      <x15ac:absPath xmlns:x15ac="http://schemas.microsoft.com/office/spreadsheetml/2010/11/ac" url="R:\avs_neu\02 DL-öffentlich\08 Projekte-KB\0_abgeschlossene Projekte\Berufsauftrag\TP3_Instrumente\Instrumente\Instrumente 26_27\"/>
    </mc:Choice>
  </mc:AlternateContent>
  <xr:revisionPtr revIDLastSave="0" documentId="13_ncr:1_{B3D66FEE-0771-4958-B6DB-478FE475943D}" xr6:coauthVersionLast="47" xr6:coauthVersionMax="47" xr10:uidLastSave="{00000000-0000-0000-0000-000000000000}"/>
  <bookViews>
    <workbookView xWindow="28680" yWindow="-120" windowWidth="29040" windowHeight="16440" tabRatio="851" firstSheet="3" activeTab="3" xr2:uid="{00000000-000D-0000-FFFF-FFFF00000000}"/>
  </bookViews>
  <sheets>
    <sheet name="Dropdowns" sheetId="649" state="veryHidden" r:id="rId1"/>
    <sheet name="Grundlagen" sheetId="650" state="veryHidden" r:id="rId2"/>
    <sheet name="Berechnungen BA MS" sheetId="648" state="veryHidden" r:id="rId3"/>
    <sheet name="Aufgabenplanung" sheetId="647" r:id="rId4"/>
  </sheets>
  <externalReferences>
    <externalReference r:id="rId5"/>
  </externalReferences>
  <definedNames>
    <definedName name="AA_Heutiges_Datum">OFFSET(#REF!,MATCH(TODAY(),#REF!,0),0,1,1)</definedName>
    <definedName name="AA_Heutiges_Datum_2">#REF!</definedName>
    <definedName name="AproLektion">#REF!</definedName>
    <definedName name="BA_CDE1">Aufgabenplanung!$A$34</definedName>
    <definedName name="BA_CDE10">Aufgabenplanung!$A$44</definedName>
    <definedName name="BA_CDE11">Aufgabenplanung!$A$55</definedName>
    <definedName name="BA_CDE12">Aufgabenplanung!$A$56</definedName>
    <definedName name="BA_CDE13">Aufgabenplanung!$A$57</definedName>
    <definedName name="BA_CDE14">Aufgabenplanung!$A$58</definedName>
    <definedName name="BA_CDE15">Aufgabenplanung!$A$59</definedName>
    <definedName name="BA_CDE2">Aufgabenplanung!$A$35</definedName>
    <definedName name="BA_CDE3">Aufgabenplanung!$A$36</definedName>
    <definedName name="BA_CDE4">Aufgabenplanung!$A$38</definedName>
    <definedName name="BA_CDE5">Aufgabenplanung!$A$39</definedName>
    <definedName name="BA_CDE6">Aufgabenplanung!$A$40</definedName>
    <definedName name="BA_CDE7">Aufgabenplanung!$A$41</definedName>
    <definedName name="BA_CDE8">Aufgabenplanung!$A$42</definedName>
    <definedName name="BA_CDE9">Aufgabenplanung!$A$43</definedName>
    <definedName name="BA_EA1">Aufgabenplanung!#REF!</definedName>
    <definedName name="BA_EA2">Aufgabenplanung!#REF!</definedName>
    <definedName name="BA_EA3">Aufgabenplanung!#REF!</definedName>
    <definedName name="BA_EA4">Aufgabenplanung!#REF!</definedName>
    <definedName name="BA_EA5">Aufgabenplanung!#REF!</definedName>
    <definedName name="BA_EA6">Aufgabenplanung!#REF!</definedName>
    <definedName name="BproLektion">#REF!</definedName>
    <definedName name="CDEZeit">#REF!</definedName>
    <definedName name="Data_Feiertage">Grundlagen!$T:$T</definedName>
    <definedName name="Data_Feiertage_halb">Grundlagen!$X:$X</definedName>
    <definedName name="Data_Schulferien">Grundlagen!$Q:$Q</definedName>
    <definedName name="DD_Bereich_C">Dropdowns!$A$2:$A$13</definedName>
    <definedName name="DD_Bereich_C_MS">Dropdowns!$B$2:$B$11</definedName>
    <definedName name="DD_Schulstufen">Dropdowns!$J$2:$J$9</definedName>
    <definedName name="_xlnm.Print_Area" localSheetId="3">Aufgabenplanung!$A$1:$C$66</definedName>
    <definedName name="EA1_Gym">Dropdowns!$E$2:$E$6</definedName>
    <definedName name="EA1_PS">Dropdowns!$C$2:$C$5</definedName>
    <definedName name="EA1_SekI">Dropdowns!$D$2:$D$6</definedName>
    <definedName name="EA1_SekII">Dropdowns!$E$2:$E$4</definedName>
    <definedName name="EA1_SekII_BFS">Dropdowns!$F$2:$F$5</definedName>
    <definedName name="F1_start">#REF!</definedName>
    <definedName name="F1_stop">#REF!</definedName>
    <definedName name="F2_start">#REF!</definedName>
    <definedName name="F2_stop">#REF!</definedName>
    <definedName name="F3_start">#REF!</definedName>
    <definedName name="F3_stop">#REF!</definedName>
    <definedName name="F4_start">#REF!</definedName>
    <definedName name="F4_stop">#REF!</definedName>
    <definedName name="F5_start">#REF!</definedName>
    <definedName name="F5_stop">#REF!</definedName>
    <definedName name="Feiertage">#REF!</definedName>
    <definedName name="FeiertageHalb">#REF!</definedName>
    <definedName name="FH">Grundlagen!$AR$4:$AR$10</definedName>
    <definedName name="FT">Grundlagen!$AQ$4:$AQ$4</definedName>
    <definedName name="Geburtstag">#REF!</definedName>
    <definedName name="Jahr">#REF!</definedName>
    <definedName name="Jahreslektion">'Berechnungen BA MS'!$B$23</definedName>
    <definedName name="KorrLekt">#REF!</definedName>
    <definedName name="KorrLektAnz">#REF!</definedName>
    <definedName name="KorrUW">#REF!</definedName>
    <definedName name="manu_auto">IF(COUNTIFS(#REF!,"automatisch")=2,Dropdowns!$K$2,Dropdowns!$K$2:$K$3)</definedName>
    <definedName name="Monate">#REF!</definedName>
    <definedName name="Nachname">#REF!</definedName>
    <definedName name="NR">Grundlagen!$AO$4:$AO$8</definedName>
    <definedName name="Param1">Grundlagen!$AM$3</definedName>
    <definedName name="Param10">Grundlagen!$AM$12</definedName>
    <definedName name="Param2">Grundlagen!$AM$4</definedName>
    <definedName name="Param3">Grundlagen!$AM$5</definedName>
    <definedName name="Param4">Grundlagen!$AM$6</definedName>
    <definedName name="Param5">Grundlagen!$AM$7</definedName>
    <definedName name="Param6">Grundlagen!$AM$8</definedName>
    <definedName name="Param7">Grundlagen!$AM$9</definedName>
    <definedName name="Param8">Grundlagen!$AM$10</definedName>
    <definedName name="Param9">Grundlagen!$AM$11</definedName>
    <definedName name="Pensum">#REF!</definedName>
    <definedName name="Schuljahr">Grundlagen!$B$2</definedName>
    <definedName name="Schuljahre">Grundlagen!$B$2:$B$4</definedName>
    <definedName name="Sem1_start">#REF!</definedName>
    <definedName name="Sem1_stop">#REF!</definedName>
    <definedName name="Sem2_start">#REF!</definedName>
    <definedName name="Sem2_stop">#REF!</definedName>
    <definedName name="Sem2_wt2">#REF!</definedName>
    <definedName name="Sem2_wt3">#REF!</definedName>
    <definedName name="Sem2_wt4">#REF!</definedName>
    <definedName name="Sem2_wt5">#REF!</definedName>
    <definedName name="Sem2_wt6">#REF!</definedName>
    <definedName name="SF">Grundlagen!$AS$4:$AS$8</definedName>
    <definedName name="Soll_Arbeitszeit_23_24">Grundlagen!$N$1:$O$13</definedName>
    <definedName name="SollJAZ">#REF!</definedName>
    <definedName name="SollJAZCalc">#REF!</definedName>
    <definedName name="Stufe1">#REF!</definedName>
    <definedName name="Stufe2">#REF!</definedName>
    <definedName name="Stufe3">#REF!</definedName>
    <definedName name="Stufe4">#REF!</definedName>
    <definedName name="Stufe5">#REF!</definedName>
    <definedName name="Stufe6">#REF!</definedName>
    <definedName name="Stufe7">#REF!</definedName>
    <definedName name="Stufe8">#REF!</definedName>
    <definedName name="U_start">#REF!</definedName>
    <definedName name="U_stop">#REF!</definedName>
    <definedName name="Ueb_CDE1">#REF!</definedName>
    <definedName name="Ueb_CDE10">#REF!</definedName>
    <definedName name="Ueb_CDE11">#REF!</definedName>
    <definedName name="Ueb_CDE12">#REF!</definedName>
    <definedName name="Ueb_CDE13">#REF!</definedName>
    <definedName name="Ueb_CDE14">#REF!</definedName>
    <definedName name="Ueb_CDE15">#REF!</definedName>
    <definedName name="Ueb_CDE2">#REF!</definedName>
    <definedName name="Ueb_CDE3">#REF!</definedName>
    <definedName name="Ueb_CDE4">#REF!</definedName>
    <definedName name="Ueb_CDE5">#REF!</definedName>
    <definedName name="Ueb_CDE6">#REF!</definedName>
    <definedName name="Ueb_CDE7">#REF!</definedName>
    <definedName name="Ueb_CDE8">#REF!</definedName>
    <definedName name="Ueb_CDE9">#REF!</definedName>
    <definedName name="Ueb_EA1">#REF!</definedName>
    <definedName name="Ueb_EA2">#REF!</definedName>
    <definedName name="Ueb_EA3">#REF!</definedName>
    <definedName name="Ueb_EA4">#REF!</definedName>
    <definedName name="Ueb_EA5">#REF!</definedName>
    <definedName name="Ueb_EA6">#REF!</definedName>
    <definedName name="Unterrichtsfrei">#REF!</definedName>
    <definedName name="UTageSem1">#REF!</definedName>
    <definedName name="UU">Grundlagen!$AT$4</definedName>
    <definedName name="UU1_start">#REF!</definedName>
    <definedName name="UU1_stop">#REF!</definedName>
    <definedName name="UU2_start">#REF!</definedName>
    <definedName name="UU2_stop">#REF!</definedName>
    <definedName name="UU3_start">#REF!</definedName>
    <definedName name="UU3_stop">#REF!</definedName>
    <definedName name="VE_B">#REF!</definedName>
    <definedName name="VE_CDE">#REF!</definedName>
    <definedName name="VE_EA">#REF!</definedName>
    <definedName name="Vorname">#REF!</definedName>
    <definedName name="Vorsaldo">#REF!</definedName>
    <definedName name="VorsaldoFerien">#REF!</definedName>
    <definedName name="WE">Grundlagen!$AP$4:$AP$4</definedName>
    <definedName name="ZE_Auswahl_Monat">#REF!</definedName>
    <definedName name="ZE_B_auto">#REF!</definedName>
    <definedName name="ZE_B_manu">#REF!</definedName>
    <definedName name="ZE_CDE1">#REF!</definedName>
    <definedName name="ZE_CDE10">#REF!</definedName>
    <definedName name="ZE_CDE11">#REF!</definedName>
    <definedName name="ZE_CDE12">#REF!</definedName>
    <definedName name="ZE_CDE13">#REF!</definedName>
    <definedName name="ZE_CDE14">#REF!</definedName>
    <definedName name="ZE_CDE15">#REF!</definedName>
    <definedName name="ZE_CDE2">#REF!</definedName>
    <definedName name="ZE_CDE3">#REF!</definedName>
    <definedName name="ZE_CDE4">#REF!</definedName>
    <definedName name="ZE_CDE5">#REF!</definedName>
    <definedName name="ZE_CDE6">#REF!</definedName>
    <definedName name="ZE_CDE7">#REF!</definedName>
    <definedName name="ZE_CDE8">#REF!</definedName>
    <definedName name="ZE_CDE9">#REF!</definedName>
    <definedName name="ZE_EA1">#REF!</definedName>
    <definedName name="ZE_EA2">#REF!</definedName>
    <definedName name="ZE_EA3">#REF!</definedName>
    <definedName name="ZE_EA4">#REF!</definedName>
    <definedName name="ZE_EA5">#REF!</definedName>
    <definedName name="ZE_EA6">#REF!</definedName>
    <definedName name="Zus">#REF!</definedName>
  </definedNames>
  <calcPr calcId="191029" concurrentManualCount="1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5" i="650" l="1"/>
  <c r="I24" i="650"/>
  <c r="I23" i="650"/>
  <c r="I22" i="650"/>
  <c r="J21" i="650"/>
  <c r="J22" i="650" s="1"/>
  <c r="I21" i="650"/>
  <c r="J20" i="650"/>
  <c r="I20" i="650"/>
  <c r="AJ14" i="650"/>
  <c r="AG14" i="650"/>
  <c r="O14" i="650"/>
  <c r="C2" i="650" s="1"/>
  <c r="G14" i="650"/>
  <c r="G16" i="650" s="1"/>
  <c r="AJ13" i="650"/>
  <c r="AG13" i="650"/>
  <c r="K13" i="650"/>
  <c r="H13" i="650"/>
  <c r="AJ12" i="650"/>
  <c r="AG12" i="650"/>
  <c r="K12" i="650"/>
  <c r="AJ11" i="650"/>
  <c r="AG11" i="650"/>
  <c r="V11" i="650"/>
  <c r="H11" i="650"/>
  <c r="AR10" i="650"/>
  <c r="AJ10" i="650"/>
  <c r="AG10" i="650"/>
  <c r="V10" i="650"/>
  <c r="I10" i="650"/>
  <c r="I14" i="650" s="1"/>
  <c r="AR9" i="650"/>
  <c r="AJ9" i="650"/>
  <c r="AG9" i="650"/>
  <c r="V9" i="650"/>
  <c r="J9" i="650"/>
  <c r="J14" i="650" s="1"/>
  <c r="J16" i="650" s="1"/>
  <c r="AS8" i="650"/>
  <c r="AR8" i="650"/>
  <c r="AO8" i="650"/>
  <c r="AJ8" i="650"/>
  <c r="AG8" i="650"/>
  <c r="V8" i="650"/>
  <c r="AS7" i="650"/>
  <c r="AR7" i="650"/>
  <c r="AO7" i="650"/>
  <c r="AJ7" i="650"/>
  <c r="AG7" i="650"/>
  <c r="V7" i="650"/>
  <c r="AS6" i="650"/>
  <c r="AR6" i="650"/>
  <c r="AO6" i="650"/>
  <c r="AJ6" i="650"/>
  <c r="AG6" i="650"/>
  <c r="V6" i="650"/>
  <c r="J6" i="650"/>
  <c r="AS5" i="650"/>
  <c r="AR5" i="650"/>
  <c r="AO5" i="650"/>
  <c r="AJ5" i="650"/>
  <c r="AG5" i="650"/>
  <c r="Z5" i="650"/>
  <c r="V5" i="650"/>
  <c r="AT4" i="650"/>
  <c r="AS4" i="650"/>
  <c r="AR4" i="650"/>
  <c r="AQ4" i="650"/>
  <c r="AP4" i="650"/>
  <c r="AO4" i="650"/>
  <c r="AJ4" i="650"/>
  <c r="AG4" i="650"/>
  <c r="Z4" i="650"/>
  <c r="V4" i="650"/>
  <c r="AJ3" i="650"/>
  <c r="AG3" i="650"/>
  <c r="Z3" i="650"/>
  <c r="V3" i="650"/>
  <c r="G3" i="650"/>
  <c r="AJ2" i="650"/>
  <c r="AG2" i="650"/>
  <c r="Z2" i="650"/>
  <c r="V2" i="650"/>
  <c r="J2" i="650"/>
  <c r="J3" i="650" s="1"/>
  <c r="I2" i="650"/>
  <c r="W1" i="650"/>
  <c r="T1" i="650"/>
  <c r="P1" i="650"/>
  <c r="N1" i="650"/>
  <c r="L13" i="650" l="1"/>
  <c r="H14" i="650"/>
  <c r="H16" i="650" s="1"/>
  <c r="L16" i="650" s="1"/>
  <c r="Q105" i="650" a="1"/>
  <c r="Q105" i="650" s="1"/>
  <c r="R105" i="650" s="1"/>
  <c r="P106" i="650" a="1"/>
  <c r="P106" i="650" s="1"/>
  <c r="J23" i="650"/>
  <c r="P108" i="650" a="1"/>
  <c r="P108" i="650" s="1"/>
  <c r="K2" i="650"/>
  <c r="K3" i="650" s="1"/>
  <c r="K14" i="650"/>
  <c r="L12" i="650"/>
  <c r="P105" i="650" a="1"/>
  <c r="P105" i="650" s="1"/>
  <c r="P107" i="650" a="1"/>
  <c r="P107" i="650" s="1"/>
  <c r="Q109" i="650" a="1"/>
  <c r="Q109" i="650" s="1"/>
  <c r="R109" i="650" s="1"/>
  <c r="Q106" i="650" a="1"/>
  <c r="Q106" i="650" s="1"/>
  <c r="R106" i="650" s="1"/>
  <c r="P109" i="650" a="1"/>
  <c r="P109" i="650" s="1"/>
  <c r="Q108" i="650" a="1"/>
  <c r="Q108" i="650" s="1"/>
  <c r="R108" i="650" s="1"/>
  <c r="L11" i="650"/>
  <c r="P104" i="650" a="1"/>
  <c r="P104" i="650" s="1"/>
  <c r="L10" i="650"/>
  <c r="Q104" i="650" a="1"/>
  <c r="Q104" i="650" s="1"/>
  <c r="R104" i="650" s="1"/>
  <c r="P110" i="650" a="1"/>
  <c r="P110" i="650" s="1"/>
  <c r="Q107" i="650" a="1"/>
  <c r="Q107" i="650" s="1"/>
  <c r="R107" i="650" s="1"/>
  <c r="L9" i="650"/>
  <c r="Q110" i="650" a="1"/>
  <c r="Q110" i="650" s="1"/>
  <c r="R110" i="650" s="1"/>
  <c r="L14" i="650"/>
  <c r="J24" i="650" l="1"/>
  <c r="J25" i="650" l="1"/>
  <c r="P96" i="650" a="1"/>
  <c r="P96" i="650" s="1"/>
  <c r="P66" i="650" a="1"/>
  <c r="P66" i="650" s="1"/>
  <c r="Q82" i="650" l="1" a="1"/>
  <c r="Q82" i="650" s="1"/>
  <c r="R82" i="650" s="1"/>
  <c r="P74" i="650" a="1"/>
  <c r="P74" i="650" s="1"/>
  <c r="Q45" i="650" a="1"/>
  <c r="Q45" i="650" s="1"/>
  <c r="R45" i="650" s="1"/>
  <c r="Q67" i="650" a="1"/>
  <c r="Q67" i="650" s="1"/>
  <c r="R67" i="650" s="1"/>
  <c r="P65" i="650" a="1"/>
  <c r="P65" i="650" s="1"/>
  <c r="Q73" i="650" a="1"/>
  <c r="Q73" i="650" s="1"/>
  <c r="R73" i="650" s="1"/>
  <c r="P87" i="650" a="1"/>
  <c r="P87" i="650" s="1"/>
  <c r="P34" i="650" a="1"/>
  <c r="P34" i="650" s="1"/>
  <c r="Q52" i="650" a="1"/>
  <c r="Q52" i="650" s="1"/>
  <c r="R52" i="650" s="1"/>
  <c r="P81" i="650" a="1"/>
  <c r="P81" i="650" s="1"/>
  <c r="Q5" i="650" a="1"/>
  <c r="Q5" i="650" s="1"/>
  <c r="R5" i="650" s="1"/>
  <c r="Q21" i="650" a="1"/>
  <c r="Q21" i="650" s="1"/>
  <c r="R21" i="650" s="1"/>
  <c r="P97" i="650" a="1"/>
  <c r="P97" i="650" s="1"/>
  <c r="P17" i="650" a="1"/>
  <c r="P17" i="650" s="1"/>
  <c r="P99" i="650" a="1"/>
  <c r="P99" i="650" s="1"/>
  <c r="Q99" i="650" a="1"/>
  <c r="Q99" i="650" s="1"/>
  <c r="R99" i="650" s="1"/>
  <c r="Q13" i="650" a="1"/>
  <c r="Q13" i="650" s="1"/>
  <c r="R13" i="650" s="1"/>
  <c r="Q59" i="650" a="1"/>
  <c r="Q59" i="650" s="1"/>
  <c r="R59" i="650" s="1"/>
  <c r="Q10" i="650" a="1"/>
  <c r="Q10" i="650" s="1"/>
  <c r="R10" i="650" s="1"/>
  <c r="Q29" i="650" a="1"/>
  <c r="Q29" i="650" s="1"/>
  <c r="R29" i="650" s="1"/>
  <c r="P79" i="650" a="1"/>
  <c r="P79" i="650" s="1"/>
  <c r="Q8" i="650" a="1"/>
  <c r="Q8" i="650" s="1"/>
  <c r="R8" i="650" s="1"/>
  <c r="Q37" i="650" a="1"/>
  <c r="Q37" i="650" s="1"/>
  <c r="R37" i="650" s="1"/>
  <c r="P4" i="650" a="1"/>
  <c r="P4" i="650" s="1"/>
  <c r="Q86" i="650" a="1"/>
  <c r="Q86" i="650" s="1"/>
  <c r="R86" i="650" s="1"/>
  <c r="P72" i="650" a="1"/>
  <c r="P72" i="650" s="1"/>
  <c r="Q11" i="650" a="1"/>
  <c r="Q11" i="650" s="1"/>
  <c r="R11" i="650" s="1"/>
  <c r="Q90" i="650" a="1"/>
  <c r="Q90" i="650" s="1"/>
  <c r="R90" i="650" s="1"/>
  <c r="P13" i="650" a="1"/>
  <c r="P13" i="650" s="1"/>
  <c r="Q46" i="650" a="1"/>
  <c r="Q46" i="650" s="1"/>
  <c r="R46" i="650" s="1"/>
  <c r="P2" i="650" a="1"/>
  <c r="P2" i="650" s="1"/>
  <c r="P27" i="650" a="1"/>
  <c r="P27" i="650" s="1"/>
  <c r="Q14" i="650" a="1"/>
  <c r="Q14" i="650" s="1"/>
  <c r="R14" i="650" s="1"/>
  <c r="P35" i="650" a="1"/>
  <c r="P35" i="650" s="1"/>
  <c r="Q26" i="650" a="1"/>
  <c r="Q26" i="650" s="1"/>
  <c r="R26" i="650" s="1"/>
  <c r="P83" i="650" a="1"/>
  <c r="P83" i="650" s="1"/>
  <c r="P18" i="650" a="1"/>
  <c r="P18" i="650" s="1"/>
  <c r="Q55" i="650" a="1"/>
  <c r="Q55" i="650" s="1"/>
  <c r="R55" i="650" s="1"/>
  <c r="Q25" i="650" a="1"/>
  <c r="Q25" i="650" s="1"/>
  <c r="R25" i="650" s="1"/>
  <c r="P77" i="650" a="1"/>
  <c r="P77" i="650" s="1"/>
  <c r="Q78" i="650" a="1"/>
  <c r="Q78" i="650" s="1"/>
  <c r="R78" i="650" s="1"/>
  <c r="P85" i="650" a="1"/>
  <c r="P85" i="650" s="1"/>
  <c r="Q100" i="650" a="1"/>
  <c r="Q100" i="650" s="1"/>
  <c r="R100" i="650" s="1"/>
  <c r="P50" i="650" a="1"/>
  <c r="P50" i="650" s="1"/>
  <c r="Q30" i="650" a="1"/>
  <c r="Q30" i="650" s="1"/>
  <c r="R30" i="650" s="1"/>
  <c r="P101" i="650" a="1"/>
  <c r="P101" i="650" s="1"/>
  <c r="Q68" i="650" a="1"/>
  <c r="Q68" i="650" s="1"/>
  <c r="R68" i="650" s="1"/>
  <c r="P43" i="650" a="1"/>
  <c r="P43" i="650" s="1"/>
  <c r="P15" i="650" a="1"/>
  <c r="P15" i="650" s="1"/>
  <c r="Q50" i="650" a="1"/>
  <c r="Q50" i="650" s="1"/>
  <c r="R50" i="650" s="1"/>
  <c r="Q69" i="650" a="1"/>
  <c r="Q69" i="650" s="1"/>
  <c r="R69" i="650" s="1"/>
  <c r="P51" i="650" a="1"/>
  <c r="P51" i="650" s="1"/>
  <c r="P64" i="650" a="1"/>
  <c r="P64" i="650" s="1"/>
  <c r="Q44" i="650" a="1"/>
  <c r="Q44" i="650" s="1"/>
  <c r="R44" i="650" s="1"/>
  <c r="P80" i="650" a="1"/>
  <c r="P80" i="650" s="1"/>
  <c r="Q70" i="650" a="1"/>
  <c r="Q70" i="650" s="1"/>
  <c r="R70" i="650" s="1"/>
  <c r="P3" i="650" a="1"/>
  <c r="P3" i="650" s="1"/>
  <c r="P53" i="650" a="1"/>
  <c r="P53" i="650" s="1"/>
  <c r="Q89" i="650" a="1"/>
  <c r="Q89" i="650" s="1"/>
  <c r="R89" i="650" s="1"/>
  <c r="Q88" i="650" a="1"/>
  <c r="Q88" i="650" s="1"/>
  <c r="R88" i="650" s="1"/>
  <c r="Q18" i="650" a="1"/>
  <c r="Q18" i="650" s="1"/>
  <c r="R18" i="650" s="1"/>
  <c r="Q76" i="650" a="1"/>
  <c r="Q76" i="650" s="1"/>
  <c r="R76" i="650" s="1"/>
  <c r="Q58" i="650" a="1"/>
  <c r="Q58" i="650" s="1"/>
  <c r="R58" i="650" s="1"/>
  <c r="P19" i="650" a="1"/>
  <c r="P19" i="650" s="1"/>
  <c r="Q4" i="650" a="1"/>
  <c r="Q4" i="650" s="1"/>
  <c r="R4" i="650" s="1"/>
  <c r="Q27" i="650" a="1"/>
  <c r="Q27" i="650" s="1"/>
  <c r="R27" i="650" s="1"/>
  <c r="P16" i="650" a="1"/>
  <c r="P16" i="650" s="1"/>
  <c r="Q57" i="650" a="1"/>
  <c r="Q57" i="650" s="1"/>
  <c r="R57" i="650" s="1"/>
  <c r="P92" i="650" a="1"/>
  <c r="P92" i="650" s="1"/>
  <c r="Q79" i="650" a="1"/>
  <c r="Q79" i="650" s="1"/>
  <c r="R79" i="650" s="1"/>
  <c r="P12" i="650" a="1"/>
  <c r="P12" i="650" s="1"/>
  <c r="P5" i="650" a="1"/>
  <c r="P5" i="650" s="1"/>
  <c r="P9" i="650" a="1"/>
  <c r="P9" i="650" s="1"/>
  <c r="P26" i="650" a="1"/>
  <c r="P26" i="650" s="1"/>
  <c r="P33" i="650" a="1"/>
  <c r="P33" i="650" s="1"/>
  <c r="P36" i="650" a="1"/>
  <c r="P36" i="650" s="1"/>
  <c r="P44" i="650" a="1"/>
  <c r="P44" i="650" s="1"/>
  <c r="Q12" i="650" a="1"/>
  <c r="Q12" i="650" s="1"/>
  <c r="R12" i="650" s="1"/>
  <c r="P89" i="650" a="1"/>
  <c r="P89" i="650" s="1"/>
  <c r="P22" i="650" a="1"/>
  <c r="P22" i="650" s="1"/>
  <c r="Q36" i="650" a="1"/>
  <c r="Q36" i="650" s="1"/>
  <c r="R36" i="650" s="1"/>
  <c r="P75" i="650" a="1"/>
  <c r="P75" i="650" s="1"/>
  <c r="P10" i="650" a="1"/>
  <c r="P10" i="650" s="1"/>
  <c r="P62" i="650" a="1"/>
  <c r="P62" i="650" s="1"/>
  <c r="P30" i="650" a="1"/>
  <c r="P30" i="650" s="1"/>
  <c r="P31" i="650" a="1"/>
  <c r="P31" i="650" s="1"/>
  <c r="Q84" i="650" a="1"/>
  <c r="Q84" i="650" s="1"/>
  <c r="R84" i="650" s="1"/>
  <c r="P55" i="650" a="1"/>
  <c r="P55" i="650" s="1"/>
  <c r="Q34" i="650" a="1"/>
  <c r="Q34" i="650" s="1"/>
  <c r="R34" i="650" s="1"/>
  <c r="Q71" i="650" a="1"/>
  <c r="Q71" i="650" s="1"/>
  <c r="R71" i="650" s="1"/>
  <c r="P24" i="650" a="1"/>
  <c r="P24" i="650" s="1"/>
  <c r="Q19" i="650" a="1"/>
  <c r="Q19" i="650" s="1"/>
  <c r="R19" i="650" s="1"/>
  <c r="Q49" i="650" a="1"/>
  <c r="Q49" i="650" s="1"/>
  <c r="R49" i="650" s="1"/>
  <c r="Q94" i="650" a="1"/>
  <c r="Q94" i="650" s="1"/>
  <c r="R94" i="650" s="1"/>
  <c r="P103" i="650" a="1"/>
  <c r="P103" i="650" s="1"/>
  <c r="Q2" i="650" a="1"/>
  <c r="Q2" i="650" s="1"/>
  <c r="Q32" i="650" a="1"/>
  <c r="Q32" i="650" s="1"/>
  <c r="R32" i="650" s="1"/>
  <c r="P70" i="650" a="1"/>
  <c r="P70" i="650" s="1"/>
  <c r="P28" i="650" a="1"/>
  <c r="P28" i="650" s="1"/>
  <c r="Q35" i="650" a="1"/>
  <c r="Q35" i="650" s="1"/>
  <c r="R35" i="650" s="1"/>
  <c r="Q101" i="650" a="1"/>
  <c r="Q101" i="650" s="1"/>
  <c r="R101" i="650" s="1"/>
  <c r="Q28" i="650" a="1"/>
  <c r="Q28" i="650" s="1"/>
  <c r="R28" i="650" s="1"/>
  <c r="P56" i="650" a="1"/>
  <c r="P56" i="650" s="1"/>
  <c r="Q91" i="650" a="1"/>
  <c r="Q91" i="650" s="1"/>
  <c r="R91" i="650" s="1"/>
  <c r="P78" i="650" a="1"/>
  <c r="P78" i="650" s="1"/>
  <c r="Q75" i="650" a="1"/>
  <c r="Q75" i="650" s="1"/>
  <c r="R75" i="650" s="1"/>
  <c r="P47" i="650" a="1"/>
  <c r="P47" i="650" s="1"/>
  <c r="Q9" i="650" a="1"/>
  <c r="Q9" i="650" s="1"/>
  <c r="R9" i="650" s="1"/>
  <c r="Q54" i="650" a="1"/>
  <c r="Q54" i="650" s="1"/>
  <c r="R54" i="650" s="1"/>
  <c r="Q24" i="650" a="1"/>
  <c r="Q24" i="650" s="1"/>
  <c r="R24" i="650" s="1"/>
  <c r="Q22" i="650" a="1"/>
  <c r="Q22" i="650" s="1"/>
  <c r="R22" i="650" s="1"/>
  <c r="Q97" i="650" a="1"/>
  <c r="Q97" i="650" s="1"/>
  <c r="R97" i="650" s="1"/>
  <c r="Q47" i="650" a="1"/>
  <c r="Q47" i="650" s="1"/>
  <c r="R47" i="650" s="1"/>
  <c r="Q63" i="650" a="1"/>
  <c r="Q63" i="650" s="1"/>
  <c r="R63" i="650" s="1"/>
  <c r="P8" i="650" a="1"/>
  <c r="P8" i="650" s="1"/>
  <c r="Q33" i="650" a="1"/>
  <c r="Q33" i="650" s="1"/>
  <c r="R33" i="650" s="1"/>
  <c r="P29" i="650" a="1"/>
  <c r="P29" i="650" s="1"/>
  <c r="P61" i="650" a="1"/>
  <c r="P61" i="650" s="1"/>
  <c r="Q3" i="650" a="1"/>
  <c r="Q3" i="650" s="1"/>
  <c r="R3" i="650" s="1"/>
  <c r="P45" i="650" a="1"/>
  <c r="P45" i="650" s="1"/>
  <c r="P86" i="650" a="1"/>
  <c r="P86" i="650" s="1"/>
  <c r="P38" i="650" a="1"/>
  <c r="P38" i="650" s="1"/>
  <c r="P71" i="650" a="1"/>
  <c r="P71" i="650" s="1"/>
  <c r="P46" i="650" a="1"/>
  <c r="P46" i="650" s="1"/>
  <c r="Q40" i="650" a="1"/>
  <c r="Q40" i="650" s="1"/>
  <c r="R40" i="650" s="1"/>
  <c r="Q15" i="650" a="1"/>
  <c r="Q15" i="650" s="1"/>
  <c r="R15" i="650" s="1"/>
  <c r="Q72" i="650" a="1"/>
  <c r="Q72" i="650" s="1"/>
  <c r="R72" i="650" s="1"/>
  <c r="P84" i="650" a="1"/>
  <c r="P84" i="650" s="1"/>
  <c r="P32" i="650" a="1"/>
  <c r="P32" i="650" s="1"/>
  <c r="P93" i="650" a="1"/>
  <c r="P93" i="650" s="1"/>
  <c r="Q66" i="650" a="1"/>
  <c r="Q66" i="650" s="1"/>
  <c r="R66" i="650" s="1"/>
  <c r="Q74" i="650" a="1"/>
  <c r="Q74" i="650" s="1"/>
  <c r="R74" i="650" s="1"/>
  <c r="P41" i="650" a="1"/>
  <c r="P41" i="650" s="1"/>
  <c r="P37" i="650" a="1"/>
  <c r="P37" i="650" s="1"/>
  <c r="Q39" i="650" a="1"/>
  <c r="Q39" i="650" s="1"/>
  <c r="R39" i="650" s="1"/>
  <c r="P60" i="650" a="1"/>
  <c r="P60" i="650" s="1"/>
  <c r="Q62" i="650" a="1"/>
  <c r="Q62" i="650" s="1"/>
  <c r="R62" i="650" s="1"/>
  <c r="Q65" i="650" a="1"/>
  <c r="Q65" i="650" s="1"/>
  <c r="R65" i="650" s="1"/>
  <c r="P57" i="650" a="1"/>
  <c r="P57" i="650" s="1"/>
  <c r="Q41" i="650" a="1"/>
  <c r="Q41" i="650" s="1"/>
  <c r="R41" i="650" s="1"/>
  <c r="Q85" i="650" a="1"/>
  <c r="Q85" i="650" s="1"/>
  <c r="R85" i="650" s="1"/>
  <c r="P90" i="650" a="1"/>
  <c r="P90" i="650" s="1"/>
  <c r="Q51" i="650" a="1"/>
  <c r="Q51" i="650" s="1"/>
  <c r="R51" i="650" s="1"/>
  <c r="P49" i="650" a="1"/>
  <c r="P49" i="650" s="1"/>
  <c r="Q23" i="650" a="1"/>
  <c r="Q23" i="650" s="1"/>
  <c r="R23" i="650" s="1"/>
  <c r="Q96" i="650" a="1"/>
  <c r="Q96" i="650" s="1"/>
  <c r="R96" i="650" s="1"/>
  <c r="Q7" i="650" a="1"/>
  <c r="Q7" i="650" s="1"/>
  <c r="R7" i="650" s="1"/>
  <c r="Q17" i="650" a="1"/>
  <c r="Q17" i="650" s="1"/>
  <c r="R17" i="650" s="1"/>
  <c r="P42" i="650" a="1"/>
  <c r="P42" i="650" s="1"/>
  <c r="P68" i="650" a="1"/>
  <c r="P68" i="650" s="1"/>
  <c r="Q56" i="650" a="1"/>
  <c r="Q56" i="650" s="1"/>
  <c r="R56" i="650" s="1"/>
  <c r="P54" i="650" a="1"/>
  <c r="P54" i="650" s="1"/>
  <c r="Q48" i="650" a="1"/>
  <c r="Q48" i="650" s="1"/>
  <c r="R48" i="650" s="1"/>
  <c r="P59" i="650" a="1"/>
  <c r="P59" i="650" s="1"/>
  <c r="Q53" i="650" a="1"/>
  <c r="Q53" i="650" s="1"/>
  <c r="R53" i="650" s="1"/>
  <c r="P40" i="650" a="1"/>
  <c r="P40" i="650" s="1"/>
  <c r="P94" i="650" a="1"/>
  <c r="P94" i="650" s="1"/>
  <c r="P11" i="650" a="1"/>
  <c r="P11" i="650" s="1"/>
  <c r="Q98" i="650" a="1"/>
  <c r="Q98" i="650" s="1"/>
  <c r="R98" i="650" s="1"/>
  <c r="P69" i="650" a="1"/>
  <c r="P69" i="650" s="1"/>
  <c r="P52" i="650" a="1"/>
  <c r="P52" i="650" s="1"/>
  <c r="P48" i="650" a="1"/>
  <c r="P48" i="650" s="1"/>
  <c r="Q42" i="650" a="1"/>
  <c r="Q42" i="650" s="1"/>
  <c r="R42" i="650" s="1"/>
  <c r="Q31" i="650" a="1"/>
  <c r="Q31" i="650" s="1"/>
  <c r="R31" i="650" s="1"/>
  <c r="P6" i="650" a="1"/>
  <c r="P6" i="650" s="1"/>
  <c r="Q93" i="650" a="1"/>
  <c r="Q93" i="650" s="1"/>
  <c r="R93" i="650" s="1"/>
  <c r="Q38" i="650" a="1"/>
  <c r="Q38" i="650" s="1"/>
  <c r="R38" i="650" s="1"/>
  <c r="Q95" i="650" a="1"/>
  <c r="Q95" i="650" s="1"/>
  <c r="R95" i="650" s="1"/>
  <c r="Q80" i="650" a="1"/>
  <c r="Q80" i="650" s="1"/>
  <c r="R80" i="650" s="1"/>
  <c r="Q83" i="650" a="1"/>
  <c r="Q83" i="650" s="1"/>
  <c r="R83" i="650" s="1"/>
  <c r="Q43" i="650" a="1"/>
  <c r="Q43" i="650" s="1"/>
  <c r="R43" i="650" s="1"/>
  <c r="P20" i="650" a="1"/>
  <c r="P20" i="650" s="1"/>
  <c r="P67" i="650" a="1"/>
  <c r="P67" i="650" s="1"/>
  <c r="P91" i="650" a="1"/>
  <c r="P91" i="650" s="1"/>
  <c r="Q102" i="650" a="1"/>
  <c r="Q102" i="650" s="1"/>
  <c r="R102" i="650" s="1"/>
  <c r="P63" i="650" a="1"/>
  <c r="P63" i="650" s="1"/>
  <c r="P14" i="650" a="1"/>
  <c r="P14" i="650" s="1"/>
  <c r="Q20" i="650" a="1"/>
  <c r="Q20" i="650" s="1"/>
  <c r="R20" i="650" s="1"/>
  <c r="Q77" i="650" a="1"/>
  <c r="Q77" i="650" s="1"/>
  <c r="R77" i="650" s="1"/>
  <c r="P39" i="650" a="1"/>
  <c r="P39" i="650" s="1"/>
  <c r="P7" i="650" a="1"/>
  <c r="P7" i="650" s="1"/>
  <c r="Q16" i="650" a="1"/>
  <c r="Q16" i="650" s="1"/>
  <c r="R16" i="650" s="1"/>
  <c r="P76" i="650" a="1"/>
  <c r="P76" i="650" s="1"/>
  <c r="Q6" i="650" a="1"/>
  <c r="Q6" i="650" s="1"/>
  <c r="R6" i="650" s="1"/>
  <c r="Q103" i="650" a="1"/>
  <c r="Q103" i="650" s="1"/>
  <c r="R103" i="650" s="1"/>
  <c r="P21" i="650" a="1"/>
  <c r="P21" i="650" s="1"/>
  <c r="P23" i="650" a="1"/>
  <c r="P23" i="650" s="1"/>
  <c r="Q64" i="650" a="1"/>
  <c r="Q64" i="650" s="1"/>
  <c r="R64" i="650" s="1"/>
  <c r="P25" i="650" a="1"/>
  <c r="P25" i="650" s="1"/>
  <c r="P82" i="650" a="1"/>
  <c r="P82" i="650" s="1"/>
  <c r="Q87" i="650" a="1"/>
  <c r="Q87" i="650" s="1"/>
  <c r="R87" i="650" s="1"/>
  <c r="P58" i="650" a="1"/>
  <c r="P58" i="650" s="1"/>
  <c r="P102" i="650" a="1"/>
  <c r="P102" i="650" s="1"/>
  <c r="Q61" i="650" a="1"/>
  <c r="Q61" i="650" s="1"/>
  <c r="R61" i="650" s="1"/>
  <c r="Q81" i="650" a="1"/>
  <c r="Q81" i="650" s="1"/>
  <c r="R81" i="650" s="1"/>
  <c r="Q60" i="650" a="1"/>
  <c r="Q60" i="650" s="1"/>
  <c r="R60" i="650" s="1"/>
  <c r="Q92" i="650" a="1"/>
  <c r="Q92" i="650" s="1"/>
  <c r="R92" i="650" s="1"/>
  <c r="P100" i="650" a="1"/>
  <c r="P100" i="650" s="1"/>
  <c r="P95" i="650" a="1"/>
  <c r="P95" i="650" s="1"/>
  <c r="P73" i="650" a="1"/>
  <c r="P73" i="650" s="1"/>
  <c r="P98" i="650" a="1"/>
  <c r="P98" i="650" s="1"/>
  <c r="P88" i="650" a="1"/>
  <c r="P88" i="650" s="1"/>
  <c r="U11" i="650" l="1"/>
  <c r="Y5" i="650"/>
  <c r="Y3" i="650"/>
  <c r="U6" i="650"/>
  <c r="U5" i="650"/>
  <c r="U3" i="650"/>
  <c r="Y2" i="650"/>
  <c r="U2" i="650"/>
  <c r="U10" i="650"/>
  <c r="Y4" i="650"/>
  <c r="R2" i="650"/>
  <c r="U4" i="650"/>
  <c r="U9" i="650"/>
  <c r="U7" i="650"/>
  <c r="U8" i="650"/>
  <c r="H2" i="650" l="1"/>
  <c r="L2" i="650" l="1"/>
  <c r="H3" i="650"/>
  <c r="L3" i="650" s="1"/>
  <c r="B6" i="647" l="1"/>
  <c r="B6" i="648" l="1"/>
  <c r="B5" i="648"/>
  <c r="B14" i="647"/>
  <c r="A28" i="647" l="1"/>
  <c r="B25" i="647" l="1"/>
  <c r="J27" i="648" l="1"/>
  <c r="B10" i="648"/>
  <c r="E4" i="647" l="1"/>
  <c r="E7" i="647" l="1"/>
  <c r="E6" i="647"/>
  <c r="E5" i="647"/>
  <c r="D26" i="647" l="1"/>
  <c r="B9" i="648"/>
  <c r="A29" i="647" l="1"/>
  <c r="B15" i="647"/>
  <c r="B3" i="648"/>
  <c r="B12" i="648" s="1"/>
  <c r="B2" i="648"/>
  <c r="B14" i="648" s="1"/>
  <c r="B17" i="647" l="1"/>
  <c r="B7" i="648" s="1"/>
  <c r="A33" i="648"/>
  <c r="A32" i="648"/>
  <c r="A31" i="648"/>
  <c r="C26" i="647"/>
  <c r="B16" i="647"/>
  <c r="C27" i="647"/>
  <c r="A17" i="647" l="1"/>
  <c r="B16" i="648"/>
  <c r="A30" i="648"/>
  <c r="G33" i="648"/>
  <c r="G32" i="648"/>
  <c r="B20" i="647"/>
  <c r="B4" i="648"/>
  <c r="B13" i="648" s="1"/>
  <c r="B27" i="648" s="1"/>
  <c r="A42" i="648" l="1"/>
  <c r="B23" i="648"/>
  <c r="B52" i="647" s="1" a="1"/>
  <c r="B52" i="647" s="1"/>
  <c r="B24" i="648"/>
  <c r="G31" i="648"/>
  <c r="B8" i="648"/>
  <c r="G30" i="648"/>
  <c r="G27" i="648"/>
  <c r="G29" i="648"/>
  <c r="G28" i="648"/>
  <c r="B30" i="648"/>
  <c r="C30" i="648" s="1"/>
  <c r="B27" i="647"/>
  <c r="B15" i="648"/>
  <c r="B17" i="648" s="1"/>
  <c r="B32" i="648"/>
  <c r="C32" i="648" s="1"/>
  <c r="B31" i="648"/>
  <c r="C31" i="648" s="1"/>
  <c r="B33" i="648" l="1"/>
  <c r="C33" i="648" s="1"/>
  <c r="C27" i="648"/>
  <c r="C42" i="648" s="1"/>
  <c r="B18" i="648"/>
  <c r="B19" i="648" s="1"/>
  <c r="B28" i="647" s="1"/>
  <c r="C28" i="647" s="1"/>
  <c r="B60" i="647" a="1"/>
  <c r="B60" i="647" s="1"/>
  <c r="A54" i="647"/>
  <c r="B62" i="647" l="1"/>
  <c r="C62" i="647" s="1"/>
  <c r="B29" i="648"/>
  <c r="C36" i="648"/>
  <c r="D27" i="648"/>
  <c r="I27" i="648" s="1"/>
  <c r="B28" i="648"/>
  <c r="B36" i="648" l="1"/>
  <c r="E36" i="648"/>
  <c r="J36" i="648" s="1"/>
  <c r="D36" i="648"/>
  <c r="C29" i="648"/>
  <c r="E42" i="648" s="1"/>
  <c r="D29" i="648"/>
  <c r="D30" i="648"/>
  <c r="D33" i="648"/>
  <c r="D28" i="648"/>
  <c r="I28" i="648" s="1"/>
  <c r="D31" i="648"/>
  <c r="D32" i="648"/>
  <c r="I32" i="648" s="1"/>
  <c r="C28" i="648"/>
  <c r="D42" i="648" s="1"/>
  <c r="I33" i="648" l="1"/>
  <c r="B29" i="647"/>
  <c r="F28" i="648"/>
  <c r="F27" i="648"/>
  <c r="F33" i="648"/>
  <c r="F30" i="648"/>
  <c r="F29" i="648"/>
  <c r="F32" i="648"/>
  <c r="F31" i="648"/>
  <c r="I29" i="648"/>
  <c r="E29" i="648"/>
  <c r="E30" i="648"/>
  <c r="E33" i="648"/>
  <c r="I30" i="648"/>
  <c r="E32" i="648"/>
  <c r="J32" i="648" s="1"/>
  <c r="I31" i="648"/>
  <c r="E31" i="648"/>
  <c r="I36" i="648"/>
  <c r="E28" i="648"/>
  <c r="D34" i="648"/>
  <c r="D35" i="648" s="1"/>
  <c r="C29" i="647" l="1"/>
  <c r="D34" i="647"/>
  <c r="D35" i="647" s="1"/>
  <c r="D36" i="647" s="1"/>
  <c r="D37" i="647" s="1"/>
  <c r="D38" i="647" s="1"/>
  <c r="D39" i="647" s="1"/>
  <c r="D40" i="647" s="1"/>
  <c r="D41" i="647" s="1"/>
  <c r="D42" i="647" s="1"/>
  <c r="D43" i="647" s="1"/>
  <c r="D44" i="647" s="1"/>
  <c r="J33" i="648"/>
  <c r="J29" i="648"/>
  <c r="J30" i="648"/>
  <c r="J31" i="648"/>
  <c r="E34" i="648"/>
  <c r="E35" i="648" s="1"/>
  <c r="F35" i="648" s="1"/>
  <c r="J28" i="648"/>
  <c r="D37" i="648"/>
  <c r="D45" i="647" l="1"/>
  <c r="D46" i="647" s="1"/>
  <c r="D47" i="647" s="1"/>
  <c r="D48" i="647" s="1"/>
  <c r="D49" i="647" s="1"/>
  <c r="D50" i="647" s="1"/>
  <c r="D51" i="647" s="1"/>
  <c r="D55" i="647" s="1"/>
  <c r="D56" i="647" s="1"/>
  <c r="D57" i="647" s="1"/>
  <c r="D58" i="647" s="1"/>
  <c r="D59" i="647" s="1"/>
  <c r="E37" i="648"/>
  <c r="D38" i="648"/>
  <c r="E43" i="648"/>
  <c r="C43" i="648"/>
  <c r="D43" i="648"/>
  <c r="E38" i="648" l="1"/>
  <c r="F38" i="648" s="1"/>
  <c r="A43" i="64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Schiegg, Michael BKSD</author>
  </authors>
  <commentList>
    <comment ref="E1" authorId="0" shapeId="0" xr:uid="{4EC95162-FCC8-46A4-BE6D-AA2D3668D90F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Wenn 1. Mai = Wochenende dann + 0.2 Tage</t>
        </r>
      </text>
    </comment>
    <comment ref="G2" authorId="0" shapeId="0" xr:uid="{3EF079C4-8B4E-4002-B5E1-CE398D902444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Anzahl Ferientage einer LP ohne zusätzliche Ferientage (sollte 25 sein und bleiben)</t>
        </r>
      </text>
    </comment>
    <comment ref="H2" authorId="0" shapeId="0" xr:uid="{ACC8A00B-58B7-4CC5-954F-980C627036FE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Anzahl Werktage in der Unterrichtsfreien Zeit abzüglich Feiertage.</t>
        </r>
      </text>
    </comment>
    <comment ref="I2" authorId="0" shapeId="0" xr:uid="{9D6557BC-D06C-417D-B1D0-6D8F175DE302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Anzahl Tage, die aufs Wochenende fallen zwischen dem 1. und dem letzten Tag des Schuljahrs</t>
        </r>
      </text>
    </comment>
    <comment ref="S11" authorId="0" shapeId="0" xr:uid="{9B33A702-5CFA-4D00-948F-B26739F74445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Nicht immer bezahlt. Wenn nicht bezahlt, dann unter Schulferien eintragen--&gt;Untterichtsfreier Tag!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<sst xmlns="http://schemas.openxmlformats.org/spreadsheetml/2006/main" count="335" uniqueCount="225">
  <si>
    <t>Jahresarbeitszeit</t>
  </si>
  <si>
    <t>Ferienanspruch</t>
  </si>
  <si>
    <t>von</t>
  </si>
  <si>
    <t>bis</t>
  </si>
  <si>
    <t>JAZ</t>
  </si>
  <si>
    <t>Anzahl Lektionen</t>
  </si>
  <si>
    <t>Ferien</t>
  </si>
  <si>
    <t>Alter</t>
  </si>
  <si>
    <t>Ferientage</t>
  </si>
  <si>
    <t>Lektionen</t>
  </si>
  <si>
    <t>Schulstufe</t>
  </si>
  <si>
    <t>Total</t>
  </si>
  <si>
    <t>A</t>
  </si>
  <si>
    <t>B</t>
  </si>
  <si>
    <t>Auswahl Tagestätigkeit</t>
  </si>
  <si>
    <t>Definition Auswahlfelder</t>
  </si>
  <si>
    <t>Funktion</t>
  </si>
  <si>
    <t>Mögliche Auswahlmenüs</t>
  </si>
  <si>
    <t>Unterrichtstag</t>
  </si>
  <si>
    <t>SUM A-E</t>
  </si>
  <si>
    <t>Wochenende</t>
  </si>
  <si>
    <t>Feiertag</t>
  </si>
  <si>
    <t>Feiertag halb</t>
  </si>
  <si>
    <t>Schulferien</t>
  </si>
  <si>
    <t>Unbezahlter Urlaub</t>
  </si>
  <si>
    <t>unterrichtsfreie Arbeitszeit</t>
  </si>
  <si>
    <t>SUM B-E</t>
  </si>
  <si>
    <t>NR</t>
  </si>
  <si>
    <t>WE</t>
  </si>
  <si>
    <t>FT</t>
  </si>
  <si>
    <t>FH</t>
  </si>
  <si>
    <t>SF</t>
  </si>
  <si>
    <t>UU</t>
  </si>
  <si>
    <t>August</t>
  </si>
  <si>
    <t>Kindergarten</t>
  </si>
  <si>
    <t>ausserschulischer Unterricht</t>
  </si>
  <si>
    <t>September</t>
  </si>
  <si>
    <t>bezahlte Abwesenheit</t>
  </si>
  <si>
    <t>=SOLL</t>
  </si>
  <si>
    <t>Herbst</t>
  </si>
  <si>
    <t>Oktober</t>
  </si>
  <si>
    <t>Musikschule</t>
  </si>
  <si>
    <t>Gleitzeit</t>
  </si>
  <si>
    <t>=0</t>
  </si>
  <si>
    <t>Weihnachten</t>
  </si>
  <si>
    <t>November</t>
  </si>
  <si>
    <t>Fasnacht</t>
  </si>
  <si>
    <t>Dezember</t>
  </si>
  <si>
    <t>Frühjahr</t>
  </si>
  <si>
    <t>Januar</t>
  </si>
  <si>
    <t>Sommer</t>
  </si>
  <si>
    <t>Februar</t>
  </si>
  <si>
    <t>März</t>
  </si>
  <si>
    <t>unbezahlter Urlaub</t>
  </si>
  <si>
    <t>April</t>
  </si>
  <si>
    <t>Mai</t>
  </si>
  <si>
    <t>Juni</t>
  </si>
  <si>
    <t>Juli</t>
  </si>
  <si>
    <t>Allgemeine Informationen</t>
  </si>
  <si>
    <t>Schulstufe:</t>
  </si>
  <si>
    <t>Schule:</t>
  </si>
  <si>
    <t>Schuljahr:</t>
  </si>
  <si>
    <t>Informationen zur Lehrperson</t>
  </si>
  <si>
    <t xml:space="preserve">Name: </t>
  </si>
  <si>
    <t xml:space="preserve">Vorname: </t>
  </si>
  <si>
    <t xml:space="preserve">Geburtsdatum (DD.MM.JJJJ): </t>
  </si>
  <si>
    <t>SOLL-Arbeitszeit bei 100% Anstellungsgrad</t>
  </si>
  <si>
    <t>Abzüglich 25 Ferientage</t>
  </si>
  <si>
    <t>Soll-Arbeitszeit allg.</t>
  </si>
  <si>
    <t>Absenzen von mehr als 1 Woche (Anz. Wochen)</t>
  </si>
  <si>
    <t>Umwandlung 13. Monatslohn (Anz. Wochen)</t>
  </si>
  <si>
    <t>Nettosollarbeitszeit</t>
  </si>
  <si>
    <t>Berechnung individuelle Soll-Arbeitszeit</t>
  </si>
  <si>
    <t>In Jahreslektionen</t>
  </si>
  <si>
    <t>Stellen-%</t>
  </si>
  <si>
    <t>Vollpensum (Pflichtstunden)</t>
  </si>
  <si>
    <t>Effektiv erteilte Unterrichtslektionen</t>
  </si>
  <si>
    <t>Weitere Lektionen für Spezialfunktionen (EA1 und EA2)</t>
  </si>
  <si>
    <t>Total Grundauftrag (A/B/C/D/E)</t>
  </si>
  <si>
    <t>Vereinbarung</t>
  </si>
  <si>
    <t>Bereiche C und D</t>
  </si>
  <si>
    <t>Anzahl</t>
  </si>
  <si>
    <t>Einheit</t>
  </si>
  <si>
    <t>Saldo C/D/E</t>
  </si>
  <si>
    <t>allfällige schulinterne Pauschale</t>
  </si>
  <si>
    <t>Stunden</t>
  </si>
  <si>
    <t>SCHIWEs</t>
  </si>
  <si>
    <t>Besprechung mit SL/MAG</t>
  </si>
  <si>
    <t>Elternabende</t>
  </si>
  <si>
    <t>Schulkonvente</t>
  </si>
  <si>
    <t>Schulveranstaltungen</t>
  </si>
  <si>
    <t>Mögliche Auswahl</t>
  </si>
  <si>
    <t>Bitte auswählen</t>
  </si>
  <si>
    <t>Total Bereiche C und D</t>
  </si>
  <si>
    <t>Total Bereich E</t>
  </si>
  <si>
    <t>TOTAL C/D/E</t>
  </si>
  <si>
    <t>Klassenleitung</t>
  </si>
  <si>
    <t>Bitte angeben</t>
  </si>
  <si>
    <t>Datum:</t>
  </si>
  <si>
    <t>Schulleitung:</t>
  </si>
  <si>
    <t>Lehrperson:</t>
  </si>
  <si>
    <t>Aufteilung A/B/C/D/E technisch</t>
  </si>
  <si>
    <t>Jahr</t>
  </si>
  <si>
    <t>SOLL-Arbeitszeit (nur 5 Wochen Ferien abgezogen)</t>
  </si>
  <si>
    <t>Anzahl Schulwoche insgeamt</t>
  </si>
  <si>
    <t>Anzahl Wochen Unterrichtsfreie Zeit</t>
  </si>
  <si>
    <t>Berechnung Anteile</t>
  </si>
  <si>
    <t>Anteil in %</t>
  </si>
  <si>
    <t>Total Stunden</t>
  </si>
  <si>
    <t>Pensum in Schulwoche</t>
  </si>
  <si>
    <t>Pensum in Schulferien (exkl. Ferien)</t>
  </si>
  <si>
    <t>Bereich A</t>
  </si>
  <si>
    <t>Stunden/Woche</t>
  </si>
  <si>
    <t>Stunden/Jahr</t>
  </si>
  <si>
    <t>C/D/E</t>
  </si>
  <si>
    <t>Davon:</t>
  </si>
  <si>
    <t>(in %)</t>
  </si>
  <si>
    <t>Bereich C</t>
  </si>
  <si>
    <t>EA1 PS</t>
  </si>
  <si>
    <t>EA 1 Sek I</t>
  </si>
  <si>
    <t>EA1 Sek II</t>
  </si>
  <si>
    <t>EA1 Sek II Berufsfachschule</t>
  </si>
  <si>
    <t>Gymnasium und FMS</t>
  </si>
  <si>
    <t>Berufsfachschulen und schulische Module Brückenangebote</t>
  </si>
  <si>
    <t>Berufsmaturitätsschule und WMS</t>
  </si>
  <si>
    <t>PICTS</t>
  </si>
  <si>
    <t>Stundenplaner/in</t>
  </si>
  <si>
    <t>Unterricht Mehrjahrgangsklasse</t>
  </si>
  <si>
    <t>Laufbahnverantwortliche/r</t>
  </si>
  <si>
    <t>Beauftragte/r BWB</t>
  </si>
  <si>
    <t>Arbeitsgruppen/Kommissionen</t>
  </si>
  <si>
    <t>Beratung Schüler/innen u. Eltern</t>
  </si>
  <si>
    <t>Lagerbegleitung (max. 4h/Tag)</t>
  </si>
  <si>
    <t>Standortgespräche</t>
  </si>
  <si>
    <t>Anteil A/B</t>
  </si>
  <si>
    <t>Anteil C/D/E</t>
  </si>
  <si>
    <t>Primarschule</t>
  </si>
  <si>
    <t>Sekundarschule</t>
  </si>
  <si>
    <t>Psychomotorik und Logopädie</t>
  </si>
  <si>
    <t>automatisch</t>
  </si>
  <si>
    <t>Gesamtes Jahr</t>
  </si>
  <si>
    <t>Auffahrt</t>
  </si>
  <si>
    <t>Pfingstmontag</t>
  </si>
  <si>
    <t>Nationalfeiertag</t>
  </si>
  <si>
    <t>Weihnachtstag</t>
  </si>
  <si>
    <t>Stephanstag</t>
  </si>
  <si>
    <t>Neujahr</t>
  </si>
  <si>
    <t>Karfreitag</t>
  </si>
  <si>
    <t>Ostermontag</t>
  </si>
  <si>
    <t>Silverster Nachmittag</t>
  </si>
  <si>
    <t>Heiligabend Nachmittag</t>
  </si>
  <si>
    <t>Fasnachtsmontag Nachmittag</t>
  </si>
  <si>
    <t>Fasnachstmittwoch Nachmittag</t>
  </si>
  <si>
    <t>Bereich EA1/EA2</t>
  </si>
  <si>
    <t>Stunden/Woche inkl. EA1/EA2</t>
  </si>
  <si>
    <t>Jahr inkl. EA1/EA2</t>
  </si>
  <si>
    <t>Wochentag</t>
  </si>
  <si>
    <t>Anzahl Arbeitswochen</t>
  </si>
  <si>
    <t>Jahreslektion</t>
  </si>
  <si>
    <t>manuell</t>
  </si>
  <si>
    <t>Korrektur SOLL-Arbeitszeit aufgrund Alter</t>
  </si>
  <si>
    <t>Pflichtstunden</t>
  </si>
  <si>
    <t>Bereich C MS</t>
  </si>
  <si>
    <t>Elternarbeit</t>
  </si>
  <si>
    <t>Konvente</t>
  </si>
  <si>
    <t>MAGs</t>
  </si>
  <si>
    <t>Unterrichtsbesuche</t>
  </si>
  <si>
    <t>Evaluation</t>
  </si>
  <si>
    <t>Instrumentenpräsentationen</t>
  </si>
  <si>
    <t>Gemeinschaftliches Arbeiten in unterrichtsfreier Zeit (2 Tage)</t>
  </si>
  <si>
    <t>Kompensation angeordnete Überzeit</t>
  </si>
  <si>
    <t>Bereiche C, D und E gemäss individueller Gewichtung</t>
  </si>
  <si>
    <t>Vollpensum (Pflichtlektionen)</t>
  </si>
  <si>
    <t>Schulstufen</t>
  </si>
  <si>
    <t>Für SVERWEIS</t>
  </si>
  <si>
    <t>manuell/automatisch</t>
  </si>
  <si>
    <t>Projekte/Arbeitsgruppen</t>
  </si>
  <si>
    <t>Aufführungen SuS</t>
  </si>
  <si>
    <t>Korepetieren</t>
  </si>
  <si>
    <t>Variable Grundlagen</t>
  </si>
  <si>
    <t>Fixe Grundlagen</t>
  </si>
  <si>
    <t>Aktuelles Schuljahr</t>
  </si>
  <si>
    <t>Tag der Arbeit</t>
  </si>
  <si>
    <t>Jahreslektion für Spezialfunktionen (EA1/EA2)</t>
  </si>
  <si>
    <t>Bereich B (Residualgrösse)</t>
  </si>
  <si>
    <t>Anteil vom Grundauftrag</t>
  </si>
  <si>
    <t>Pensum CDE in %</t>
  </si>
  <si>
    <t>Pensum A in %</t>
  </si>
  <si>
    <t>Pensum A in Stunden</t>
  </si>
  <si>
    <t>Pensum CDE in Stunden</t>
  </si>
  <si>
    <t>Pensum B in %</t>
  </si>
  <si>
    <t>Pensum B in Stunden</t>
  </si>
  <si>
    <t>Pensum EA in Stunden</t>
  </si>
  <si>
    <t>Pensum EA in %</t>
  </si>
  <si>
    <t>Pensum CDE altersbedingte Korrektur in h</t>
  </si>
  <si>
    <t>Pensum CDE altersbedingte Korrektur in %</t>
  </si>
  <si>
    <t>Korrektur um nicht bezahlte Abwesenheit</t>
  </si>
  <si>
    <t>Lektionen als Grundlage</t>
  </si>
  <si>
    <r>
      <t>Bereich C/D/E (</t>
    </r>
    <r>
      <rPr>
        <b/>
        <sz val="9"/>
        <color rgb="FFFF0000"/>
        <rFont val="Verdana"/>
        <family val="2"/>
      </rPr>
      <t>altersbedingte Korrektur berücksichtigt</t>
    </r>
    <r>
      <rPr>
        <sz val="9"/>
        <rFont val="Verdana"/>
        <family val="2"/>
      </rPr>
      <t>)</t>
    </r>
  </si>
  <si>
    <t>Arbeitszeit pro Tag UW</t>
  </si>
  <si>
    <t>Arbeitszeit pro Tag UFZ</t>
  </si>
  <si>
    <t>Berufsauftrag für Lehrpersonen der Musikschule</t>
  </si>
  <si>
    <t>Korrepetition</t>
  </si>
  <si>
    <t>Übersicht Arbeitstage</t>
  </si>
  <si>
    <t>unterrichts-freie Arbeits-zeit*</t>
  </si>
  <si>
    <t>Wochen-ende</t>
  </si>
  <si>
    <t>Feiertage</t>
  </si>
  <si>
    <t>Anzahl Tage</t>
  </si>
  <si>
    <t>Schuljahr von</t>
  </si>
  <si>
    <t>Schuljahr bis</t>
  </si>
  <si>
    <t>*(inkl. Arbeitszeit bei halben Feiertage und exkl. freier Freitag nach Auffahrt)</t>
  </si>
  <si>
    <t>Kontrollen</t>
  </si>
  <si>
    <t>Unterrichtsfreie Arbeitszeit</t>
  </si>
  <si>
    <t>freier Tag nach Auffahrt</t>
  </si>
  <si>
    <t>Total Tage in ZD</t>
  </si>
  <si>
    <t>Teil Sollarbeitszeit</t>
  </si>
  <si>
    <t>ja</t>
  </si>
  <si>
    <t>nein</t>
  </si>
  <si>
    <t>Anzahl Stunden</t>
  </si>
  <si>
    <t>2026/2027</t>
  </si>
  <si>
    <t>Summiert</t>
  </si>
  <si>
    <t>Datum</t>
  </si>
  <si>
    <t>Wochenende/Werktag</t>
  </si>
  <si>
    <t>Grundsätzlich fixe Grundlagen</t>
  </si>
  <si>
    <t>Logopädie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</si>
</sst>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 * #,##0.00_ ;_ * \-#,##0.00_ ;_ * &quot;-&quot;??_ ;_ @_ "/>
    <numFmt numFmtId="164" formatCode="0.0"/>
    <numFmt numFmtId="165" formatCode="0.000"/>
    <numFmt numFmtId="166" formatCode="_ * #,##0.0_ ;_ * \-#,##0.0_ ;_ * &quot;-&quot;??_ ;_ @_ "/>
    <numFmt numFmtId="167" formatCode="0.0%"/>
    <numFmt numFmtId="168" formatCode="#,##0.0\ &quot;h&quot;"/>
    <numFmt numFmtId="169" formatCode="_ * #,##0_ ;_ * \-#,##0_ ;_ * &quot;-&quot;??_ ;_ @_ "/>
    <numFmt numFmtId="170" formatCode="[$-F400]h:mm:ss\ AM/PM"/>
    <numFmt numFmtId="171" formatCode="0.0000"/>
    <numFmt numFmtId="172" formatCode="0.000%"/>
    <numFmt numFmtId="173" formatCode="_ * #,##0.0_ ;_ * \-#,##0.0_ ;_ * &quot;-&quot;?_ ;_ @_ "/>
  </numFmts>
  <fonts count="42" x14ac:knownFonts="1">
    <font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u/>
      <sz val="12"/>
      <color theme="10"/>
      <name val="Arial"/>
      <family val="2"/>
      <scheme val="minor"/>
    </font>
    <font>
      <u/>
      <sz val="12"/>
      <color theme="11"/>
      <name val="Arial"/>
      <family val="2"/>
      <scheme val="minor"/>
    </font>
    <font>
      <sz val="10"/>
      <name val="Verdana"/>
      <family val="2"/>
    </font>
    <font>
      <b/>
      <sz val="16"/>
      <name val="Arial"/>
      <family val="2"/>
    </font>
    <font>
      <sz val="10"/>
      <name val="Verdana"/>
      <family val="2"/>
    </font>
    <font>
      <sz val="12"/>
      <name val="Verdana"/>
      <family val="2"/>
    </font>
    <font>
      <b/>
      <sz val="12"/>
      <name val="Arial"/>
      <family val="2"/>
    </font>
    <font>
      <sz val="11"/>
      <name val="Verdana"/>
      <family val="2"/>
    </font>
    <font>
      <sz val="12"/>
      <name val="Arial"/>
      <family val="2"/>
    </font>
    <font>
      <sz val="11"/>
      <name val="Arial"/>
      <family val="2"/>
    </font>
    <font>
      <sz val="12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b/>
      <sz val="11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0"/>
      <name val="Verdana"/>
      <family val="2"/>
    </font>
    <font>
      <strike/>
      <sz val="10"/>
      <color rgb="FFFF0000"/>
      <name val="Verdana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u/>
      <sz val="10"/>
      <color theme="10"/>
      <name val="Verdana"/>
      <family val="2"/>
    </font>
    <font>
      <sz val="10"/>
      <color rgb="FFFF0000"/>
      <name val="Verdana"/>
      <family val="2"/>
    </font>
    <font>
      <sz val="10"/>
      <color theme="0" tint="-0.499984740745262"/>
      <name val="Verdana"/>
      <family val="2"/>
    </font>
    <font>
      <sz val="10"/>
      <color theme="1" tint="0.34998626667073579"/>
      <name val="Verdana"/>
      <family val="2"/>
    </font>
    <font>
      <sz val="12"/>
      <color theme="1" tint="0.34998626667073579"/>
      <name val="Arial"/>
      <family val="2"/>
      <scheme val="minor"/>
    </font>
    <font>
      <sz val="9"/>
      <name val="Verdana"/>
      <family val="2"/>
    </font>
    <font>
      <b/>
      <sz val="9"/>
      <color rgb="FFFF0000"/>
      <name val="Verdana"/>
      <family val="2"/>
    </font>
    <font>
      <sz val="12"/>
      <name val="Arial"/>
      <family val="2"/>
      <scheme val="major"/>
    </font>
    <font>
      <sz val="10"/>
      <name val="Arial"/>
      <family val="2"/>
      <scheme val="major"/>
    </font>
    <font>
      <sz val="10"/>
      <color theme="1"/>
      <name val="Arial"/>
      <family val="2"/>
      <scheme val="major"/>
    </font>
    <font>
      <sz val="12"/>
      <color theme="1"/>
      <name val="Arial"/>
      <family val="2"/>
      <scheme val="major"/>
    </font>
    <font>
      <u/>
      <sz val="10"/>
      <color theme="10"/>
      <name val="Arial"/>
      <family val="2"/>
      <scheme val="major"/>
    </font>
    <font>
      <b/>
      <sz val="12"/>
      <color theme="1"/>
      <name val="Arial"/>
      <family val="2"/>
      <scheme val="major"/>
    </font>
    <font>
      <b/>
      <sz val="10"/>
      <name val="Arial"/>
      <family val="2"/>
      <scheme val="major"/>
    </font>
    <font>
      <b/>
      <sz val="16"/>
      <color theme="1"/>
      <name val="Arial"/>
      <family val="2"/>
      <scheme val="major"/>
    </font>
    <font>
      <sz val="11"/>
      <name val="Arial"/>
      <family val="2"/>
      <scheme val="major"/>
    </font>
    <font>
      <b/>
      <sz val="12"/>
      <color theme="1" tint="0.499984740745262"/>
      <name val="Arial"/>
      <family val="2"/>
      <scheme val="major"/>
    </font>
    <font>
      <sz val="12"/>
      <color theme="1" tint="0.499984740745262"/>
      <name val="Arial"/>
      <family val="2"/>
      <scheme val="major"/>
    </font>
    <font>
      <b/>
      <sz val="12"/>
      <color rgb="FFFF0000"/>
      <name val="Arial"/>
      <family val="2"/>
      <scheme val="major"/>
    </font>
    <font>
      <b/>
      <sz val="10"/>
      <color rgb="FFFF0000"/>
      <name val="Arial"/>
      <family val="2"/>
      <scheme val="major"/>
    </font>
    <font>
      <sz val="10"/>
      <color rgb="FFFF0000"/>
      <name val="Arial"/>
      <family val="2"/>
      <scheme val="major"/>
    </font>
  </fonts>
  <fills count="21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thin">
        <color theme="0" tint="-0.249977111117893"/>
      </left>
      <right/>
      <top/>
      <bottom style="thin">
        <color theme="9" tint="-0.249977111117893"/>
      </bottom>
      <diagonal/>
    </border>
    <border>
      <left/>
      <right/>
      <top/>
      <bottom style="thin">
        <color theme="9" tint="-0.249977111117893"/>
      </bottom>
      <diagonal/>
    </border>
    <border>
      <left style="medium">
        <color theme="0" tint="-4.9989318521683403E-2"/>
      </left>
      <right/>
      <top style="medium">
        <color theme="0" tint="-4.9989318521683403E-2"/>
      </top>
      <bottom style="medium">
        <color theme="0" tint="-4.9989318521683403E-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9" tint="-0.249977111117893"/>
      </right>
      <top style="thin">
        <color theme="9" tint="-0.249977111117893"/>
      </top>
      <bottom/>
      <diagonal/>
    </border>
    <border>
      <left style="thin">
        <color theme="9" tint="-0.249977111117893"/>
      </left>
      <right/>
      <top style="thin">
        <color theme="9" tint="-0.249977111117893"/>
      </top>
      <bottom/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/>
      <diagonal/>
    </border>
    <border>
      <left/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 style="medium">
        <color rgb="FF7030A0"/>
      </bottom>
      <diagonal/>
    </border>
    <border>
      <left/>
      <right/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 style="medium">
        <color theme="0" tint="-4.9989318521683403E-2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7030A0"/>
      </left>
      <right style="medium">
        <color rgb="FF7030A0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rgb="FF7030A0"/>
      </left>
      <right/>
      <top style="medium">
        <color rgb="FF7030A0"/>
      </top>
      <bottom style="medium">
        <color rgb="FF7030A0"/>
      </bottom>
      <diagonal/>
    </border>
    <border>
      <left style="medium">
        <color rgb="FF7030A0"/>
      </left>
      <right style="medium">
        <color rgb="FF7030A0"/>
      </right>
      <top style="medium">
        <color theme="0" tint="-4.9989318521683403E-2"/>
      </top>
      <bottom style="medium">
        <color rgb="FF7030A0"/>
      </bottom>
      <diagonal/>
    </border>
    <border>
      <left style="medium">
        <color theme="0" tint="-4.9989318521683403E-2"/>
      </left>
      <right style="medium">
        <color theme="0" tint="-4.9989318521683403E-2"/>
      </right>
      <top/>
      <bottom style="medium">
        <color theme="0" tint="-4.9989318521683403E-2"/>
      </bottom>
      <diagonal/>
    </border>
    <border>
      <left/>
      <right/>
      <top/>
      <bottom style="medium">
        <color theme="0" tint="-4.9989318521683403E-2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61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251">
    <xf numFmtId="0" fontId="0" fillId="0" borderId="0" xfId="0"/>
    <xf numFmtId="0" fontId="5" fillId="4" borderId="0" xfId="56" applyFont="1" applyFill="1" applyAlignment="1" applyProtection="1">
      <alignment vertical="center"/>
    </xf>
    <xf numFmtId="0" fontId="4" fillId="0" borderId="0" xfId="56"/>
    <xf numFmtId="0" fontId="4" fillId="4" borderId="0" xfId="56" applyFill="1"/>
    <xf numFmtId="2" fontId="7" fillId="4" borderId="0" xfId="56" applyNumberFormat="1" applyFont="1" applyFill="1" applyAlignment="1" applyProtection="1">
      <alignment horizontal="center" vertical="center"/>
    </xf>
    <xf numFmtId="0" fontId="8" fillId="4" borderId="0" xfId="56" applyFont="1" applyFill="1" applyBorder="1" applyAlignment="1" applyProtection="1">
      <alignment horizontal="left" vertical="center"/>
    </xf>
    <xf numFmtId="0" fontId="9" fillId="4" borderId="0" xfId="56" applyFont="1" applyFill="1" applyAlignment="1">
      <alignment vertical="center"/>
    </xf>
    <xf numFmtId="0" fontId="10" fillId="4" borderId="0" xfId="56" applyFont="1" applyFill="1" applyAlignment="1" applyProtection="1">
      <alignment vertical="center"/>
    </xf>
    <xf numFmtId="2" fontId="10" fillId="4" borderId="0" xfId="56" applyNumberFormat="1" applyFont="1" applyFill="1" applyAlignment="1" applyProtection="1">
      <alignment horizontal="center" vertical="center"/>
    </xf>
    <xf numFmtId="2" fontId="11" fillId="4" borderId="0" xfId="56" applyNumberFormat="1" applyFont="1" applyFill="1" applyAlignment="1" applyProtection="1">
      <alignment vertical="center"/>
    </xf>
    <xf numFmtId="0" fontId="8" fillId="6" borderId="4" xfId="56" applyFont="1" applyFill="1" applyBorder="1" applyAlignment="1">
      <alignment vertical="center"/>
    </xf>
    <xf numFmtId="2" fontId="10" fillId="6" borderId="0" xfId="56" applyNumberFormat="1" applyFont="1" applyFill="1" applyAlignment="1" applyProtection="1">
      <alignment horizontal="center" vertical="center"/>
    </xf>
    <xf numFmtId="0" fontId="10" fillId="6" borderId="0" xfId="56" applyFont="1" applyFill="1" applyAlignment="1" applyProtection="1">
      <alignment vertical="center"/>
    </xf>
    <xf numFmtId="0" fontId="10" fillId="7" borderId="4" xfId="56" applyFont="1" applyFill="1" applyBorder="1" applyAlignment="1">
      <alignment horizontal="left" vertical="center"/>
    </xf>
    <xf numFmtId="0" fontId="11" fillId="4" borderId="0" xfId="56" applyFont="1" applyFill="1" applyAlignment="1">
      <alignment vertical="center"/>
    </xf>
    <xf numFmtId="0" fontId="10" fillId="4" borderId="0" xfId="56" applyFont="1" applyFill="1" applyAlignment="1">
      <alignment vertical="center"/>
    </xf>
    <xf numFmtId="0" fontId="8" fillId="4" borderId="0" xfId="56" applyFont="1" applyFill="1" applyAlignment="1" applyProtection="1">
      <alignment vertical="center"/>
    </xf>
    <xf numFmtId="2" fontId="8" fillId="4" borderId="0" xfId="56" applyNumberFormat="1" applyFont="1" applyFill="1" applyAlignment="1" applyProtection="1">
      <alignment horizontal="center" vertical="center"/>
    </xf>
    <xf numFmtId="0" fontId="10" fillId="4" borderId="0" xfId="56" applyFont="1" applyFill="1" applyBorder="1" applyAlignment="1" applyProtection="1">
      <alignment vertical="center"/>
    </xf>
    <xf numFmtId="166" fontId="10" fillId="9" borderId="0" xfId="57" applyNumberFormat="1" applyFont="1" applyFill="1" applyBorder="1" applyAlignment="1" applyProtection="1">
      <alignment horizontal="center" vertical="center"/>
    </xf>
    <xf numFmtId="166" fontId="10" fillId="9" borderId="0" xfId="57" applyNumberFormat="1" applyFont="1" applyFill="1" applyBorder="1" applyAlignment="1" applyProtection="1">
      <alignment horizontal="right" vertical="center"/>
    </xf>
    <xf numFmtId="9" fontId="10" fillId="4" borderId="0" xfId="58" applyFont="1" applyFill="1" applyAlignment="1">
      <alignment vertical="center"/>
    </xf>
    <xf numFmtId="43" fontId="10" fillId="8" borderId="5" xfId="57" applyFont="1" applyFill="1" applyBorder="1" applyAlignment="1" applyProtection="1">
      <alignment vertical="center"/>
      <protection locked="0"/>
    </xf>
    <xf numFmtId="166" fontId="8" fillId="9" borderId="0" xfId="57" applyNumberFormat="1" applyFont="1" applyFill="1" applyBorder="1" applyAlignment="1" applyProtection="1">
      <alignment horizontal="right" vertical="center"/>
    </xf>
    <xf numFmtId="0" fontId="8" fillId="4" borderId="0" xfId="56" applyFont="1" applyFill="1" applyBorder="1" applyAlignment="1">
      <alignment vertical="center"/>
    </xf>
    <xf numFmtId="0" fontId="10" fillId="10" borderId="4" xfId="56" applyFont="1" applyFill="1" applyBorder="1" applyAlignment="1">
      <alignment horizontal="left" vertical="center"/>
    </xf>
    <xf numFmtId="167" fontId="12" fillId="4" borderId="0" xfId="58" applyNumberFormat="1" applyFont="1" applyFill="1" applyAlignment="1">
      <alignment vertical="center"/>
    </xf>
    <xf numFmtId="0" fontId="8" fillId="11" borderId="0" xfId="56" applyFont="1" applyFill="1" applyAlignment="1">
      <alignment vertical="center"/>
    </xf>
    <xf numFmtId="168" fontId="8" fillId="11" borderId="0" xfId="57" applyNumberFormat="1" applyFont="1" applyFill="1" applyAlignment="1">
      <alignment vertical="center"/>
    </xf>
    <xf numFmtId="167" fontId="8" fillId="11" borderId="0" xfId="58" applyNumberFormat="1" applyFont="1" applyFill="1" applyAlignment="1">
      <alignment horizontal="right" vertical="center"/>
    </xf>
    <xf numFmtId="168" fontId="10" fillId="12" borderId="0" xfId="57" applyNumberFormat="1" applyFont="1" applyFill="1" applyBorder="1" applyAlignment="1" applyProtection="1">
      <alignment horizontal="right" vertical="center"/>
    </xf>
    <xf numFmtId="167" fontId="10" fillId="9" borderId="0" xfId="58" applyNumberFormat="1" applyFont="1" applyFill="1" applyAlignment="1">
      <alignment vertical="center"/>
    </xf>
    <xf numFmtId="0" fontId="8" fillId="13" borderId="0" xfId="56" applyFont="1" applyFill="1" applyBorder="1" applyAlignment="1" applyProtection="1">
      <alignment vertical="center"/>
    </xf>
    <xf numFmtId="0" fontId="10" fillId="13" borderId="0" xfId="56" applyFont="1" applyFill="1" applyBorder="1" applyAlignment="1" applyProtection="1">
      <alignment horizontal="center" vertical="center"/>
    </xf>
    <xf numFmtId="0" fontId="8" fillId="4" borderId="0" xfId="56" applyFont="1" applyFill="1" applyAlignment="1" applyProtection="1">
      <alignment horizontal="center" vertical="center"/>
    </xf>
    <xf numFmtId="0" fontId="8" fillId="10" borderId="0" xfId="56" applyFont="1" applyFill="1" applyBorder="1" applyAlignment="1" applyProtection="1">
      <alignment vertical="center"/>
    </xf>
    <xf numFmtId="0" fontId="10" fillId="10" borderId="0" xfId="56" applyFont="1" applyFill="1" applyBorder="1" applyAlignment="1">
      <alignment horizontal="left" vertical="center"/>
    </xf>
    <xf numFmtId="1" fontId="10" fillId="10" borderId="0" xfId="56" applyNumberFormat="1" applyFont="1" applyFill="1" applyBorder="1" applyAlignment="1" applyProtection="1">
      <alignment horizontal="center" vertical="center"/>
    </xf>
    <xf numFmtId="43" fontId="10" fillId="8" borderId="5" xfId="57" applyNumberFormat="1" applyFont="1" applyFill="1" applyBorder="1" applyAlignment="1" applyProtection="1">
      <alignment horizontal="right" vertical="center"/>
      <protection locked="0"/>
    </xf>
    <xf numFmtId="43" fontId="10" fillId="8" borderId="5" xfId="57" applyFont="1" applyFill="1" applyBorder="1" applyAlignment="1" applyProtection="1">
      <alignment horizontal="left" vertical="center"/>
      <protection locked="0"/>
    </xf>
    <xf numFmtId="166" fontId="11" fillId="4" borderId="0" xfId="57" applyNumberFormat="1" applyFont="1" applyFill="1" applyAlignment="1">
      <alignment vertical="center"/>
    </xf>
    <xf numFmtId="43" fontId="10" fillId="8" borderId="5" xfId="57" applyNumberFormat="1" applyFont="1" applyFill="1" applyBorder="1" applyAlignment="1" applyProtection="1">
      <alignment horizontal="center" vertical="center"/>
      <protection locked="0"/>
    </xf>
    <xf numFmtId="0" fontId="10" fillId="10" borderId="0" xfId="56" applyFont="1" applyFill="1" applyBorder="1" applyAlignment="1" applyProtection="1">
      <alignment vertical="center"/>
    </xf>
    <xf numFmtId="43" fontId="10" fillId="10" borderId="0" xfId="57" applyFont="1" applyFill="1" applyBorder="1" applyAlignment="1" applyProtection="1">
      <alignment horizontal="right" vertical="center"/>
    </xf>
    <xf numFmtId="167" fontId="10" fillId="10" borderId="0" xfId="58" applyNumberFormat="1" applyFont="1" applyFill="1" applyBorder="1" applyAlignment="1" applyProtection="1">
      <alignment horizontal="left" vertical="center"/>
    </xf>
    <xf numFmtId="0" fontId="10" fillId="4" borderId="0" xfId="56" applyFont="1" applyFill="1" applyBorder="1" applyAlignment="1" applyProtection="1">
      <alignment horizontal="center" vertical="center"/>
    </xf>
    <xf numFmtId="1" fontId="8" fillId="10" borderId="0" xfId="56" applyNumberFormat="1" applyFont="1" applyFill="1" applyBorder="1" applyAlignment="1" applyProtection="1">
      <alignment horizontal="center" vertical="center"/>
    </xf>
    <xf numFmtId="166" fontId="13" fillId="4" borderId="0" xfId="57" applyNumberFormat="1" applyFont="1" applyFill="1" applyAlignment="1">
      <alignment vertical="center"/>
    </xf>
    <xf numFmtId="1" fontId="10" fillId="4" borderId="0" xfId="56" applyNumberFormat="1" applyFont="1" applyFill="1" applyBorder="1" applyAlignment="1" applyProtection="1">
      <alignment horizontal="center" vertical="center"/>
    </xf>
    <xf numFmtId="166" fontId="8" fillId="10" borderId="0" xfId="56" applyNumberFormat="1" applyFont="1" applyFill="1" applyBorder="1" applyAlignment="1" applyProtection="1">
      <alignment horizontal="center" vertical="center"/>
    </xf>
    <xf numFmtId="167" fontId="10" fillId="10" borderId="0" xfId="58" applyNumberFormat="1" applyFont="1" applyFill="1" applyBorder="1" applyAlignment="1" applyProtection="1">
      <alignment horizontal="right" vertical="center"/>
    </xf>
    <xf numFmtId="0" fontId="14" fillId="4" borderId="0" xfId="56" applyFont="1" applyFill="1" applyAlignment="1">
      <alignment vertical="center"/>
    </xf>
    <xf numFmtId="0" fontId="15" fillId="4" borderId="0" xfId="56" applyFont="1" applyFill="1" applyAlignment="1">
      <alignment vertical="center"/>
    </xf>
    <xf numFmtId="0" fontId="9" fillId="4" borderId="0" xfId="56" applyFont="1" applyFill="1"/>
    <xf numFmtId="0" fontId="8" fillId="4" borderId="7" xfId="56" applyFont="1" applyFill="1" applyBorder="1" applyAlignment="1" applyProtection="1">
      <alignment vertical="center"/>
    </xf>
    <xf numFmtId="0" fontId="10" fillId="4" borderId="2" xfId="56" applyFont="1" applyFill="1" applyBorder="1" applyAlignment="1" applyProtection="1">
      <alignment vertical="center"/>
    </xf>
    <xf numFmtId="0" fontId="10" fillId="4" borderId="3" xfId="56" applyFont="1" applyFill="1" applyBorder="1" applyAlignment="1" applyProtection="1">
      <alignment vertical="center"/>
      <protection locked="0"/>
    </xf>
    <xf numFmtId="0" fontId="10" fillId="4" borderId="0" xfId="56" applyFont="1" applyFill="1" applyBorder="1" applyAlignment="1" applyProtection="1">
      <alignment vertical="center"/>
      <protection locked="0"/>
    </xf>
    <xf numFmtId="0" fontId="10" fillId="4" borderId="8" xfId="56" applyFont="1" applyFill="1" applyBorder="1" applyAlignment="1" applyProtection="1">
      <alignment vertical="center"/>
      <protection locked="0"/>
    </xf>
    <xf numFmtId="0" fontId="10" fillId="4" borderId="1" xfId="56" applyFont="1" applyFill="1" applyBorder="1" applyAlignment="1" applyProtection="1">
      <alignment vertical="center"/>
      <protection locked="0"/>
    </xf>
    <xf numFmtId="0" fontId="7" fillId="0" borderId="0" xfId="56" applyFont="1"/>
    <xf numFmtId="2" fontId="7" fillId="0" borderId="0" xfId="56" applyNumberFormat="1" applyFont="1" applyAlignment="1">
      <alignment horizontal="center"/>
    </xf>
    <xf numFmtId="2" fontId="9" fillId="0" borderId="0" xfId="56" applyNumberFormat="1" applyFont="1"/>
    <xf numFmtId="0" fontId="7" fillId="4" borderId="0" xfId="56" applyFont="1" applyFill="1" applyAlignment="1">
      <alignment vertical="center"/>
    </xf>
    <xf numFmtId="0" fontId="7" fillId="0" borderId="0" xfId="56" applyFont="1" applyAlignment="1">
      <alignment vertical="center"/>
    </xf>
    <xf numFmtId="0" fontId="10" fillId="0" borderId="0" xfId="56" applyFont="1" applyAlignment="1">
      <alignment vertical="center"/>
    </xf>
    <xf numFmtId="0" fontId="8" fillId="4" borderId="0" xfId="56" applyFont="1" applyFill="1" applyAlignment="1">
      <alignment vertical="center"/>
    </xf>
    <xf numFmtId="0" fontId="8" fillId="0" borderId="0" xfId="56" applyFont="1" applyAlignment="1">
      <alignment vertical="center"/>
    </xf>
    <xf numFmtId="0" fontId="9" fillId="0" borderId="0" xfId="56" applyFont="1" applyAlignment="1">
      <alignment vertical="center"/>
    </xf>
    <xf numFmtId="0" fontId="17" fillId="0" borderId="0" xfId="56" applyFont="1"/>
    <xf numFmtId="0" fontId="6" fillId="7" borderId="6" xfId="56" applyFont="1" applyFill="1" applyBorder="1"/>
    <xf numFmtId="2" fontId="4" fillId="9" borderId="6" xfId="56" applyNumberFormat="1" applyFill="1" applyBorder="1"/>
    <xf numFmtId="2" fontId="4" fillId="9" borderId="6" xfId="56" applyNumberFormat="1" applyFill="1" applyBorder="1" applyAlignment="1">
      <alignment horizontal="right"/>
    </xf>
    <xf numFmtId="0" fontId="4" fillId="9" borderId="6" xfId="56" applyFill="1" applyBorder="1"/>
    <xf numFmtId="0" fontId="6" fillId="9" borderId="6" xfId="56" applyFont="1" applyFill="1" applyBorder="1"/>
    <xf numFmtId="0" fontId="6" fillId="0" borderId="0" xfId="56" applyFont="1"/>
    <xf numFmtId="0" fontId="17" fillId="7" borderId="6" xfId="56" applyFont="1" applyFill="1" applyBorder="1"/>
    <xf numFmtId="0" fontId="6" fillId="7" borderId="6" xfId="56" applyFont="1" applyFill="1" applyBorder="1" applyAlignment="1">
      <alignment wrapText="1"/>
    </xf>
    <xf numFmtId="43" fontId="4" fillId="8" borderId="6" xfId="56" applyNumberFormat="1" applyFill="1" applyBorder="1"/>
    <xf numFmtId="43" fontId="4" fillId="0" borderId="6" xfId="56" applyNumberFormat="1" applyBorder="1"/>
    <xf numFmtId="10" fontId="0" fillId="8" borderId="6" xfId="58" applyNumberFormat="1" applyFont="1" applyFill="1" applyBorder="1"/>
    <xf numFmtId="43" fontId="0" fillId="9" borderId="6" xfId="57" applyFont="1" applyFill="1" applyBorder="1"/>
    <xf numFmtId="0" fontId="10" fillId="7" borderId="6" xfId="56" applyFont="1" applyFill="1" applyBorder="1" applyAlignment="1">
      <alignment vertical="center"/>
    </xf>
    <xf numFmtId="43" fontId="4" fillId="0" borderId="0" xfId="56" applyNumberFormat="1"/>
    <xf numFmtId="43" fontId="10" fillId="0" borderId="6" xfId="57" applyFont="1" applyBorder="1" applyAlignment="1">
      <alignment vertical="center"/>
    </xf>
    <xf numFmtId="167" fontId="10" fillId="0" borderId="0" xfId="56" applyNumberFormat="1" applyFont="1" applyAlignment="1">
      <alignment vertical="center"/>
    </xf>
    <xf numFmtId="167" fontId="10" fillId="0" borderId="6" xfId="58" applyNumberFormat="1" applyFont="1" applyBorder="1" applyAlignment="1">
      <alignment vertical="center"/>
    </xf>
    <xf numFmtId="164" fontId="10" fillId="0" borderId="0" xfId="56" applyNumberFormat="1" applyFont="1" applyAlignment="1">
      <alignment vertical="center"/>
    </xf>
    <xf numFmtId="0" fontId="4" fillId="0" borderId="0" xfId="56" applyAlignment="1">
      <alignment vertical="top" wrapText="1"/>
    </xf>
    <xf numFmtId="43" fontId="4" fillId="0" borderId="0" xfId="55" applyFont="1"/>
    <xf numFmtId="0" fontId="10" fillId="8" borderId="5" xfId="0" applyFont="1" applyFill="1" applyBorder="1" applyAlignment="1" applyProtection="1">
      <alignment horizontal="left" vertical="center"/>
      <protection locked="0"/>
    </xf>
    <xf numFmtId="0" fontId="10" fillId="8" borderId="5" xfId="56" applyFont="1" applyFill="1" applyBorder="1" applyAlignment="1" applyProtection="1">
      <alignment horizontal="left" vertical="center" shrinkToFit="1"/>
      <protection locked="0"/>
    </xf>
    <xf numFmtId="10" fontId="0" fillId="8" borderId="0" xfId="58" applyNumberFormat="1" applyFont="1" applyFill="1" applyBorder="1"/>
    <xf numFmtId="0" fontId="4" fillId="7" borderId="0" xfId="56" applyFont="1" applyFill="1" applyBorder="1"/>
    <xf numFmtId="171" fontId="4" fillId="0" borderId="0" xfId="56" applyNumberFormat="1"/>
    <xf numFmtId="0" fontId="4" fillId="7" borderId="6" xfId="56" applyFont="1" applyFill="1" applyBorder="1"/>
    <xf numFmtId="0" fontId="4" fillId="7" borderId="0" xfId="56" applyFill="1"/>
    <xf numFmtId="170" fontId="4" fillId="0" borderId="0" xfId="56" applyNumberFormat="1"/>
    <xf numFmtId="0" fontId="4" fillId="0" borderId="0" xfId="56" applyFont="1"/>
    <xf numFmtId="0" fontId="16" fillId="7" borderId="4" xfId="56" applyFont="1" applyFill="1" applyBorder="1" applyAlignment="1">
      <alignment horizontal="left" vertical="center" wrapText="1"/>
    </xf>
    <xf numFmtId="0" fontId="10" fillId="9" borderId="0" xfId="56" applyFont="1" applyFill="1" applyAlignment="1">
      <alignment vertical="center"/>
    </xf>
    <xf numFmtId="2" fontId="10" fillId="4" borderId="0" xfId="56" applyNumberFormat="1" applyFont="1" applyFill="1" applyAlignment="1">
      <alignment vertical="center"/>
    </xf>
    <xf numFmtId="0" fontId="8" fillId="3" borderId="0" xfId="56" applyFont="1" applyFill="1" applyAlignment="1">
      <alignment vertical="center"/>
    </xf>
    <xf numFmtId="169" fontId="10" fillId="9" borderId="0" xfId="57" applyNumberFormat="1" applyFont="1" applyFill="1" applyBorder="1" applyAlignment="1" applyProtection="1">
      <alignment horizontal="right" vertical="center"/>
    </xf>
    <xf numFmtId="43" fontId="22" fillId="0" borderId="0" xfId="55" applyFont="1"/>
    <xf numFmtId="0" fontId="22" fillId="0" borderId="0" xfId="56" applyFont="1"/>
    <xf numFmtId="0" fontId="4" fillId="0" borderId="0" xfId="56" applyAlignment="1">
      <alignment wrapText="1"/>
    </xf>
    <xf numFmtId="0" fontId="4" fillId="10" borderId="9" xfId="56" applyFill="1" applyBorder="1" applyAlignment="1">
      <alignment vertical="top" wrapText="1"/>
    </xf>
    <xf numFmtId="0" fontId="6" fillId="10" borderId="9" xfId="56" applyFont="1" applyFill="1" applyBorder="1" applyAlignment="1">
      <alignment vertical="top" wrapText="1"/>
    </xf>
    <xf numFmtId="0" fontId="4" fillId="10" borderId="9" xfId="56" applyFont="1" applyFill="1" applyBorder="1" applyAlignment="1">
      <alignment vertical="top" wrapText="1"/>
    </xf>
    <xf numFmtId="0" fontId="6" fillId="8" borderId="9" xfId="56" applyFont="1" applyFill="1" applyBorder="1" applyAlignment="1">
      <alignment vertical="top" wrapText="1"/>
    </xf>
    <xf numFmtId="0" fontId="4" fillId="8" borderId="9" xfId="56" applyFill="1" applyBorder="1" applyAlignment="1">
      <alignment vertical="top" wrapText="1"/>
    </xf>
    <xf numFmtId="0" fontId="6" fillId="0" borderId="0" xfId="56" applyFont="1" applyAlignment="1">
      <alignment wrapText="1"/>
    </xf>
    <xf numFmtId="0" fontId="4" fillId="10" borderId="12" xfId="56" applyFill="1" applyBorder="1" applyAlignment="1">
      <alignment vertical="top" wrapText="1"/>
    </xf>
    <xf numFmtId="0" fontId="6" fillId="8" borderId="12" xfId="56" applyFont="1" applyFill="1" applyBorder="1" applyAlignment="1">
      <alignment vertical="top" wrapText="1"/>
    </xf>
    <xf numFmtId="0" fontId="4" fillId="10" borderId="12" xfId="56" applyFont="1" applyFill="1" applyBorder="1" applyAlignment="1">
      <alignment vertical="top" wrapText="1"/>
    </xf>
    <xf numFmtId="0" fontId="4" fillId="8" borderId="12" xfId="56" applyFill="1" applyBorder="1" applyAlignment="1">
      <alignment vertical="top" wrapText="1"/>
    </xf>
    <xf numFmtId="0" fontId="6" fillId="10" borderId="12" xfId="56" applyFont="1" applyFill="1" applyBorder="1" applyAlignment="1">
      <alignment vertical="top" wrapText="1"/>
    </xf>
    <xf numFmtId="0" fontId="4" fillId="0" borderId="0" xfId="56" applyFill="1" applyAlignment="1">
      <alignment vertical="top" wrapText="1"/>
    </xf>
    <xf numFmtId="0" fontId="18" fillId="0" borderId="0" xfId="56" applyFont="1" applyAlignment="1">
      <alignment vertical="top" wrapText="1"/>
    </xf>
    <xf numFmtId="43" fontId="4" fillId="5" borderId="6" xfId="56" applyNumberFormat="1" applyFill="1" applyBorder="1"/>
    <xf numFmtId="43" fontId="4" fillId="14" borderId="6" xfId="56" applyNumberFormat="1" applyFill="1" applyBorder="1"/>
    <xf numFmtId="10" fontId="4" fillId="0" borderId="0" xfId="60" applyNumberFormat="1" applyFont="1"/>
    <xf numFmtId="43" fontId="4" fillId="16" borderId="6" xfId="56" applyNumberFormat="1" applyFill="1" applyBorder="1"/>
    <xf numFmtId="10" fontId="4" fillId="16" borderId="6" xfId="60" applyNumberFormat="1" applyFont="1" applyFill="1" applyBorder="1"/>
    <xf numFmtId="43" fontId="4" fillId="15" borderId="6" xfId="56" applyNumberFormat="1" applyFill="1" applyBorder="1"/>
    <xf numFmtId="10" fontId="4" fillId="15" borderId="6" xfId="60" applyNumberFormat="1" applyFont="1" applyFill="1" applyBorder="1"/>
    <xf numFmtId="165" fontId="4" fillId="0" borderId="0" xfId="56" applyNumberFormat="1"/>
    <xf numFmtId="0" fontId="23" fillId="7" borderId="6" xfId="56" applyFont="1" applyFill="1" applyBorder="1" applyAlignment="1">
      <alignment wrapText="1"/>
    </xf>
    <xf numFmtId="10" fontId="23" fillId="0" borderId="0" xfId="60" applyNumberFormat="1" applyFont="1"/>
    <xf numFmtId="43" fontId="4" fillId="17" borderId="6" xfId="56" applyNumberFormat="1" applyFill="1" applyBorder="1"/>
    <xf numFmtId="10" fontId="4" fillId="17" borderId="6" xfId="60" applyNumberFormat="1" applyFont="1" applyFill="1" applyBorder="1"/>
    <xf numFmtId="10" fontId="0" fillId="8" borderId="13" xfId="58" applyNumberFormat="1" applyFont="1" applyFill="1" applyBorder="1"/>
    <xf numFmtId="43" fontId="4" fillId="8" borderId="13" xfId="56" applyNumberFormat="1" applyFill="1" applyBorder="1"/>
    <xf numFmtId="43" fontId="4" fillId="14" borderId="13" xfId="56" applyNumberFormat="1" applyFill="1" applyBorder="1"/>
    <xf numFmtId="0" fontId="4" fillId="7" borderId="14" xfId="56" applyFont="1" applyFill="1" applyBorder="1"/>
    <xf numFmtId="43" fontId="0" fillId="9" borderId="14" xfId="57" applyFont="1" applyFill="1" applyBorder="1"/>
    <xf numFmtId="43" fontId="24" fillId="7" borderId="6" xfId="56" applyNumberFormat="1" applyFont="1" applyFill="1" applyBorder="1"/>
    <xf numFmtId="10" fontId="25" fillId="8" borderId="6" xfId="58" applyNumberFormat="1" applyFont="1" applyFill="1" applyBorder="1"/>
    <xf numFmtId="43" fontId="23" fillId="0" borderId="0" xfId="55" applyFont="1"/>
    <xf numFmtId="166" fontId="4" fillId="8" borderId="6" xfId="56" applyNumberFormat="1" applyFill="1" applyBorder="1"/>
    <xf numFmtId="0" fontId="26" fillId="7" borderId="13" xfId="56" applyFont="1" applyFill="1" applyBorder="1"/>
    <xf numFmtId="0" fontId="15" fillId="7" borderId="4" xfId="56" applyFont="1" applyFill="1" applyBorder="1" applyAlignment="1">
      <alignment horizontal="left" vertical="center"/>
    </xf>
    <xf numFmtId="10" fontId="4" fillId="0" borderId="0" xfId="56" applyNumberFormat="1"/>
    <xf numFmtId="20" fontId="4" fillId="0" borderId="0" xfId="56" applyNumberFormat="1"/>
    <xf numFmtId="170" fontId="23" fillId="0" borderId="0" xfId="56" applyNumberFormat="1" applyFont="1"/>
    <xf numFmtId="43" fontId="4" fillId="9" borderId="6" xfId="55" applyFont="1" applyFill="1" applyBorder="1"/>
    <xf numFmtId="0" fontId="10" fillId="7" borderId="4" xfId="56" applyFont="1" applyFill="1" applyBorder="1" applyAlignment="1">
      <alignment horizontal="left" vertical="center" shrinkToFit="1"/>
    </xf>
    <xf numFmtId="0" fontId="28" fillId="10" borderId="9" xfId="0" applyFont="1" applyFill="1" applyBorder="1" applyAlignment="1">
      <alignment wrapText="1"/>
    </xf>
    <xf numFmtId="14" fontId="10" fillId="0" borderId="0" xfId="56" applyNumberFormat="1" applyFont="1" applyAlignment="1" applyProtection="1">
      <alignment vertical="center"/>
      <protection hidden="1"/>
    </xf>
    <xf numFmtId="167" fontId="10" fillId="0" borderId="0" xfId="60" applyNumberFormat="1" applyFont="1" applyAlignment="1">
      <alignment vertical="center"/>
    </xf>
    <xf numFmtId="0" fontId="29" fillId="0" borderId="0" xfId="56" applyFont="1"/>
    <xf numFmtId="14" fontId="30" fillId="0" borderId="24" xfId="0" applyNumberFormat="1" applyFont="1" applyBorder="1"/>
    <xf numFmtId="14" fontId="30" fillId="0" borderId="19" xfId="0" applyNumberFormat="1" applyFont="1" applyBorder="1"/>
    <xf numFmtId="43" fontId="29" fillId="0" borderId="0" xfId="55" applyFont="1"/>
    <xf numFmtId="43" fontId="29" fillId="0" borderId="0" xfId="56" applyNumberFormat="1" applyFont="1"/>
    <xf numFmtId="14" fontId="31" fillId="7" borderId="22" xfId="0" applyNumberFormat="1" applyFont="1" applyFill="1" applyBorder="1"/>
    <xf numFmtId="14" fontId="31" fillId="7" borderId="27" xfId="0" applyNumberFormat="1" applyFont="1" applyFill="1" applyBorder="1"/>
    <xf numFmtId="0" fontId="31" fillId="8" borderId="20" xfId="0" applyFont="1" applyFill="1" applyBorder="1"/>
    <xf numFmtId="173" fontId="31" fillId="8" borderId="20" xfId="0" applyNumberFormat="1" applyFont="1" applyFill="1" applyBorder="1"/>
    <xf numFmtId="14" fontId="31" fillId="7" borderId="21" xfId="0" applyNumberFormat="1" applyFont="1" applyFill="1" applyBorder="1"/>
    <xf numFmtId="14" fontId="31" fillId="7" borderId="23" xfId="0" applyNumberFormat="1" applyFont="1" applyFill="1" applyBorder="1"/>
    <xf numFmtId="14" fontId="31" fillId="7" borderId="25" xfId="0" applyNumberFormat="1" applyFont="1" applyFill="1" applyBorder="1"/>
    <xf numFmtId="0" fontId="31" fillId="7" borderId="21" xfId="0" applyFont="1" applyFill="1" applyBorder="1"/>
    <xf numFmtId="0" fontId="31" fillId="7" borderId="23" xfId="0" applyFont="1" applyFill="1" applyBorder="1"/>
    <xf numFmtId="0" fontId="31" fillId="7" borderId="25" xfId="0" applyFont="1" applyFill="1" applyBorder="1"/>
    <xf numFmtId="0" fontId="31" fillId="0" borderId="0" xfId="0" applyFont="1"/>
    <xf numFmtId="0" fontId="31" fillId="10" borderId="17" xfId="0" applyFont="1" applyFill="1" applyBorder="1" applyAlignment="1">
      <alignment wrapText="1"/>
    </xf>
    <xf numFmtId="0" fontId="32" fillId="10" borderId="17" xfId="59" applyFont="1" applyFill="1" applyBorder="1" applyAlignment="1">
      <alignment wrapText="1"/>
    </xf>
    <xf numFmtId="0" fontId="33" fillId="10" borderId="9" xfId="0" applyFont="1" applyFill="1" applyBorder="1" applyAlignment="1">
      <alignment wrapText="1"/>
    </xf>
    <xf numFmtId="0" fontId="28" fillId="8" borderId="9" xfId="0" applyFont="1" applyFill="1" applyBorder="1" applyAlignment="1">
      <alignment wrapText="1"/>
    </xf>
    <xf numFmtId="0" fontId="31" fillId="8" borderId="17" xfId="0" applyFont="1" applyFill="1" applyBorder="1" applyAlignment="1">
      <alignment wrapText="1"/>
    </xf>
    <xf numFmtId="0" fontId="31" fillId="10" borderId="9" xfId="0" applyFont="1" applyFill="1" applyBorder="1" applyAlignment="1">
      <alignment wrapText="1"/>
    </xf>
    <xf numFmtId="0" fontId="31" fillId="8" borderId="9" xfId="0" applyFont="1" applyFill="1" applyBorder="1" applyAlignment="1">
      <alignment wrapText="1"/>
    </xf>
    <xf numFmtId="0" fontId="29" fillId="8" borderId="9" xfId="56" applyFont="1" applyFill="1" applyBorder="1" applyAlignment="1">
      <alignment wrapText="1"/>
    </xf>
    <xf numFmtId="0" fontId="29" fillId="8" borderId="9" xfId="56" applyFont="1" applyFill="1" applyBorder="1" applyAlignment="1">
      <alignment horizontal="center" wrapText="1"/>
    </xf>
    <xf numFmtId="0" fontId="35" fillId="10" borderId="0" xfId="0" applyFont="1" applyFill="1" applyAlignment="1">
      <alignment wrapText="1"/>
    </xf>
    <xf numFmtId="0" fontId="31" fillId="10" borderId="0" xfId="0" applyFont="1" applyFill="1" applyAlignment="1">
      <alignment wrapText="1"/>
    </xf>
    <xf numFmtId="0" fontId="33" fillId="8" borderId="0" xfId="0" applyFont="1" applyFill="1" applyAlignment="1">
      <alignment wrapText="1"/>
    </xf>
    <xf numFmtId="0" fontId="31" fillId="8" borderId="0" xfId="0" applyFont="1" applyFill="1" applyAlignment="1">
      <alignment wrapText="1"/>
    </xf>
    <xf numFmtId="0" fontId="31" fillId="0" borderId="0" xfId="0" applyFont="1" applyAlignment="1">
      <alignment wrapText="1"/>
    </xf>
    <xf numFmtId="0" fontId="29" fillId="0" borderId="0" xfId="56" applyFont="1" applyAlignment="1">
      <alignment wrapText="1"/>
    </xf>
    <xf numFmtId="0" fontId="31" fillId="7" borderId="19" xfId="0" applyFont="1" applyFill="1" applyBorder="1"/>
    <xf numFmtId="166" fontId="31" fillId="8" borderId="20" xfId="55" applyNumberFormat="1" applyFont="1" applyFill="1" applyBorder="1"/>
    <xf numFmtId="0" fontId="31" fillId="10" borderId="12" xfId="0" applyFont="1" applyFill="1" applyBorder="1"/>
    <xf numFmtId="166" fontId="28" fillId="4" borderId="19" xfId="55" applyNumberFormat="1" applyFont="1" applyFill="1" applyBorder="1"/>
    <xf numFmtId="166" fontId="28" fillId="12" borderId="17" xfId="55" applyNumberFormat="1" applyFont="1" applyFill="1" applyBorder="1"/>
    <xf numFmtId="0" fontId="31" fillId="10" borderId="20" xfId="0" applyFont="1" applyFill="1" applyBorder="1"/>
    <xf numFmtId="0" fontId="31" fillId="7" borderId="18" xfId="0" applyFont="1" applyFill="1" applyBorder="1"/>
    <xf numFmtId="0" fontId="31" fillId="7" borderId="9" xfId="0" applyFont="1" applyFill="1" applyBorder="1"/>
    <xf numFmtId="0" fontId="31" fillId="8" borderId="12" xfId="0" applyFont="1" applyFill="1" applyBorder="1"/>
    <xf numFmtId="0" fontId="29" fillId="8" borderId="9" xfId="56" applyFont="1" applyFill="1" applyBorder="1"/>
    <xf numFmtId="0" fontId="29" fillId="7" borderId="9" xfId="56" applyFont="1" applyFill="1" applyBorder="1"/>
    <xf numFmtId="172" fontId="29" fillId="7" borderId="9" xfId="56" applyNumberFormat="1" applyFont="1" applyFill="1" applyBorder="1"/>
    <xf numFmtId="10" fontId="29" fillId="7" borderId="9" xfId="56" applyNumberFormat="1" applyFont="1" applyFill="1" applyBorder="1"/>
    <xf numFmtId="0" fontId="31" fillId="10" borderId="0" xfId="0" applyFont="1" applyFill="1"/>
    <xf numFmtId="0" fontId="33" fillId="2" borderId="0" xfId="0" applyFont="1" applyFill="1"/>
    <xf numFmtId="0" fontId="37" fillId="2" borderId="0" xfId="0" applyFont="1" applyFill="1"/>
    <xf numFmtId="0" fontId="33" fillId="8" borderId="0" xfId="0" applyFont="1" applyFill="1"/>
    <xf numFmtId="2" fontId="31" fillId="12" borderId="22" xfId="0" applyNumberFormat="1" applyFont="1" applyFill="1" applyBorder="1"/>
    <xf numFmtId="0" fontId="36" fillId="10" borderId="9" xfId="56" applyFont="1" applyFill="1" applyBorder="1" applyAlignment="1">
      <alignment horizontal="right"/>
    </xf>
    <xf numFmtId="0" fontId="38" fillId="7" borderId="9" xfId="0" applyFont="1" applyFill="1" applyBorder="1"/>
    <xf numFmtId="0" fontId="39" fillId="8" borderId="0" xfId="0" applyFont="1" applyFill="1"/>
    <xf numFmtId="14" fontId="31" fillId="0" borderId="24" xfId="0" applyNumberFormat="1" applyFont="1" applyBorder="1"/>
    <xf numFmtId="14" fontId="31" fillId="0" borderId="19" xfId="0" applyNumberFormat="1" applyFont="1" applyBorder="1"/>
    <xf numFmtId="0" fontId="36" fillId="7" borderId="9" xfId="56" applyFont="1" applyFill="1" applyBorder="1"/>
    <xf numFmtId="173" fontId="31" fillId="0" borderId="0" xfId="0" applyNumberFormat="1" applyFont="1"/>
    <xf numFmtId="0" fontId="38" fillId="7" borderId="9" xfId="0" quotePrefix="1" applyFont="1" applyFill="1" applyBorder="1"/>
    <xf numFmtId="0" fontId="40" fillId="0" borderId="0" xfId="56" applyFont="1"/>
    <xf numFmtId="0" fontId="34" fillId="18" borderId="0" xfId="56" applyFont="1" applyFill="1"/>
    <xf numFmtId="0" fontId="34" fillId="18" borderId="6" xfId="56" applyFont="1" applyFill="1" applyBorder="1"/>
    <xf numFmtId="164" fontId="34" fillId="18" borderId="6" xfId="56" applyNumberFormat="1" applyFont="1" applyFill="1" applyBorder="1"/>
    <xf numFmtId="16" fontId="31" fillId="10" borderId="20" xfId="0" applyNumberFormat="1" applyFont="1" applyFill="1" applyBorder="1"/>
    <xf numFmtId="16" fontId="31" fillId="0" borderId="0" xfId="0" applyNumberFormat="1" applyFont="1"/>
    <xf numFmtId="0" fontId="41" fillId="0" borderId="0" xfId="56" applyFont="1"/>
    <xf numFmtId="0" fontId="29" fillId="19" borderId="0" xfId="56" applyFont="1" applyFill="1"/>
    <xf numFmtId="0" fontId="29" fillId="19" borderId="28" xfId="56" applyFont="1" applyFill="1" applyBorder="1"/>
    <xf numFmtId="0" fontId="29" fillId="20" borderId="6" xfId="56" applyFont="1" applyFill="1" applyBorder="1"/>
    <xf numFmtId="0" fontId="41" fillId="20" borderId="6" xfId="56" applyFont="1" applyFill="1" applyBorder="1"/>
    <xf numFmtId="0" fontId="34" fillId="20" borderId="6" xfId="56" applyFont="1" applyFill="1" applyBorder="1"/>
    <xf numFmtId="43" fontId="41" fillId="0" borderId="0" xfId="55" applyFont="1"/>
    <xf numFmtId="2" fontId="29" fillId="20" borderId="6" xfId="56" applyNumberFormat="1" applyFont="1" applyFill="1" applyBorder="1"/>
    <xf numFmtId="166" fontId="41" fillId="20" borderId="6" xfId="55" applyNumberFormat="1" applyFont="1" applyFill="1" applyBorder="1"/>
    <xf numFmtId="173" fontId="29" fillId="20" borderId="6" xfId="56" applyNumberFormat="1" applyFont="1" applyFill="1" applyBorder="1"/>
    <xf numFmtId="43" fontId="41" fillId="20" borderId="6" xfId="55" applyFont="1" applyFill="1" applyBorder="1"/>
    <xf numFmtId="0" fontId="31" fillId="19" borderId="20" xfId="0" applyFont="1" applyFill="1" applyBorder="1"/>
    <xf numFmtId="0" fontId="29" fillId="18" borderId="6" xfId="56" applyFont="1" applyFill="1" applyBorder="1"/>
    <xf numFmtId="166" fontId="29" fillId="19" borderId="6" xfId="56" applyNumberFormat="1" applyFont="1" applyFill="1" applyBorder="1"/>
    <xf numFmtId="2" fontId="29" fillId="19" borderId="6" xfId="56" applyNumberFormat="1" applyFont="1" applyFill="1" applyBorder="1"/>
    <xf numFmtId="2" fontId="34" fillId="19" borderId="6" xfId="56" applyNumberFormat="1" applyFont="1" applyFill="1" applyBorder="1"/>
    <xf numFmtId="0" fontId="33" fillId="10" borderId="9" xfId="0" applyFont="1" applyFill="1" applyBorder="1"/>
    <xf numFmtId="166" fontId="33" fillId="7" borderId="26" xfId="55" applyNumberFormat="1" applyFont="1" applyFill="1" applyBorder="1"/>
    <xf numFmtId="14" fontId="31" fillId="0" borderId="0" xfId="0" applyNumberFormat="1" applyFont="1"/>
    <xf numFmtId="0" fontId="29" fillId="19" borderId="6" xfId="56" applyFont="1" applyFill="1" applyBorder="1"/>
    <xf numFmtId="172" fontId="29" fillId="0" borderId="0" xfId="56" applyNumberFormat="1" applyFont="1"/>
    <xf numFmtId="0" fontId="29" fillId="13" borderId="0" xfId="56" applyFont="1" applyFill="1"/>
    <xf numFmtId="2" fontId="29" fillId="0" borderId="0" xfId="56" applyNumberFormat="1" applyFont="1"/>
    <xf numFmtId="14" fontId="29" fillId="0" borderId="0" xfId="56" applyNumberFormat="1" applyFont="1"/>
    <xf numFmtId="0" fontId="36" fillId="10" borderId="9" xfId="56" applyFont="1" applyFill="1" applyBorder="1" applyAlignment="1">
      <alignment horizontal="center"/>
    </xf>
    <xf numFmtId="0" fontId="36" fillId="10" borderId="12" xfId="56" applyFont="1" applyFill="1" applyBorder="1" applyAlignment="1">
      <alignment horizontal="center" vertical="center" wrapText="1"/>
    </xf>
    <xf numFmtId="0" fontId="29" fillId="13" borderId="0" xfId="56" applyFont="1" applyFill="1" applyAlignment="1">
      <alignment horizontal="center" textRotation="90"/>
    </xf>
    <xf numFmtId="0" fontId="34" fillId="0" borderId="0" xfId="56" applyFont="1" applyAlignment="1">
      <alignment horizontal="center" wrapText="1"/>
    </xf>
    <xf numFmtId="0" fontId="28" fillId="10" borderId="12" xfId="0" applyFont="1" applyFill="1" applyBorder="1" applyAlignment="1">
      <alignment horizontal="center" wrapText="1"/>
    </xf>
    <xf numFmtId="0" fontId="28" fillId="10" borderId="18" xfId="0" applyFont="1" applyFill="1" applyBorder="1" applyAlignment="1">
      <alignment horizontal="center" wrapText="1"/>
    </xf>
    <xf numFmtId="14" fontId="10" fillId="8" borderId="5" xfId="56" applyNumberFormat="1" applyFont="1" applyFill="1" applyBorder="1" applyAlignment="1" applyProtection="1">
      <alignment horizontal="center" vertical="center"/>
      <protection locked="0"/>
    </xf>
    <xf numFmtId="0" fontId="10" fillId="7" borderId="10" xfId="56" applyFont="1" applyFill="1" applyBorder="1" applyAlignment="1">
      <alignment horizontal="center" vertical="center"/>
    </xf>
    <xf numFmtId="0" fontId="10" fillId="7" borderId="11" xfId="56" applyFont="1" applyFill="1" applyBorder="1" applyAlignment="1">
      <alignment horizontal="center" vertical="center"/>
    </xf>
    <xf numFmtId="2" fontId="10" fillId="8" borderId="5" xfId="56" applyNumberFormat="1" applyFont="1" applyFill="1" applyBorder="1" applyAlignment="1" applyProtection="1">
      <alignment horizontal="center" vertical="center" shrinkToFit="1"/>
      <protection locked="0"/>
    </xf>
    <xf numFmtId="0" fontId="10" fillId="9" borderId="15" xfId="56" applyNumberFormat="1" applyFont="1" applyFill="1" applyBorder="1" applyAlignment="1" applyProtection="1">
      <alignment horizontal="center" vertical="center"/>
    </xf>
    <xf numFmtId="0" fontId="10" fillId="9" borderId="16" xfId="56" applyNumberFormat="1" applyFont="1" applyFill="1" applyBorder="1" applyAlignment="1" applyProtection="1">
      <alignment horizontal="center" vertical="center"/>
    </xf>
    <xf numFmtId="2" fontId="10" fillId="8" borderId="5" xfId="56" applyNumberFormat="1" applyFont="1" applyFill="1" applyBorder="1" applyAlignment="1" applyProtection="1">
      <alignment horizontal="center" vertical="center"/>
      <protection locked="0"/>
    </xf>
  </cellXfs>
  <cellStyles count="61">
    <cellStyle name="Besuchter Hyperlink" xfId="2" builtinId="9" hidden="1"/>
    <cellStyle name="Besuchter Hyperlink" xfId="5" builtinId="9" hidden="1"/>
    <cellStyle name="Besuchter Hyperlink" xfId="36" builtinId="9" hidden="1"/>
    <cellStyle name="Besuchter Hyperlink" xfId="38" builtinId="9" hidden="1"/>
    <cellStyle name="Besuchter Hyperlink" xfId="42" builtinId="9" hidden="1"/>
    <cellStyle name="Besuchter Hyperlink" xfId="46" builtinId="9" hidden="1"/>
    <cellStyle name="Besuchter Hyperlink" xfId="50" builtinId="9" hidden="1"/>
    <cellStyle name="Besuchter Hyperlink" xfId="48" builtinId="9" hidden="1"/>
    <cellStyle name="Besuchter Hyperlink" xfId="32" builtinId="9" hidden="1"/>
    <cellStyle name="Besuchter Hyperlink" xfId="24" builtinId="9" hidden="1"/>
    <cellStyle name="Besuchter Hyperlink" xfId="16" builtinId="9" hidden="1"/>
    <cellStyle name="Besuchter Hyperlink" xfId="10" builtinId="9" hidden="1"/>
    <cellStyle name="Besuchter Hyperlink" xfId="12" builtinId="9" hidden="1"/>
    <cellStyle name="Besuchter Hyperlink" xfId="14" builtinId="9" hidden="1"/>
    <cellStyle name="Besuchter Hyperlink" xfId="4" builtinId="9" hidden="1"/>
    <cellStyle name="Besuchter Hyperlink" xfId="8" builtinId="9" hidden="1"/>
    <cellStyle name="Besuchter Hyperlink" xfId="6" builtinId="9" hidden="1"/>
    <cellStyle name="Besuchter Hyperlink" xfId="40" builtinId="9" hidden="1"/>
    <cellStyle name="Besuchter Hyperlink" xfId="44" builtinId="9" hidden="1"/>
    <cellStyle name="Besuchter Hyperlink" xfId="34" builtinId="9" hidden="1"/>
    <cellStyle name="Besuchter Hyperlink" xfId="20" builtinId="9" hidden="1"/>
    <cellStyle name="Besuchter Hyperlink" xfId="26" builtinId="9" hidden="1"/>
    <cellStyle name="Besuchter Hyperlink" xfId="28" builtinId="9" hidden="1"/>
    <cellStyle name="Besuchter Hyperlink" xfId="30" builtinId="9" hidden="1"/>
    <cellStyle name="Besuchter Hyperlink" xfId="22" builtinId="9" hidden="1"/>
    <cellStyle name="Besuchter Hyperlink" xfId="52" builtinId="9" hidden="1"/>
    <cellStyle name="Besuchter Hyperlink" xfId="18" builtinId="9" hidden="1"/>
    <cellStyle name="Besuchter Hyperlink" xfId="54" builtinId="9" hidden="1"/>
    <cellStyle name="Komma" xfId="55" builtinId="3"/>
    <cellStyle name="Komma 2" xfId="57" xr:uid="{00000000-0005-0000-0000-00001D000000}"/>
    <cellStyle name="Link" xfId="17" builtinId="8" hidden="1"/>
    <cellStyle name="Link" xfId="7" builtinId="8" hidden="1"/>
    <cellStyle name="Link" xfId="9" builtinId="8" hidden="1"/>
    <cellStyle name="Link" xfId="1" builtinId="8" hidden="1"/>
    <cellStyle name="Link" xfId="3" builtinId="8" hidden="1"/>
    <cellStyle name="Link" xfId="15" builtinId="8" hidden="1"/>
    <cellStyle name="Link" xfId="27" builtinId="8" hidden="1"/>
    <cellStyle name="Link" xfId="29" builtinId="8" hidden="1"/>
    <cellStyle name="Link" xfId="31" builtinId="8" hidden="1"/>
    <cellStyle name="Link" xfId="33" builtinId="8" hidden="1"/>
    <cellStyle name="Link" xfId="37" builtinId="8" hidden="1"/>
    <cellStyle name="Link" xfId="39" builtinId="8" hidden="1"/>
    <cellStyle name="Link" xfId="41" builtinId="8" hidden="1"/>
    <cellStyle name="Link" xfId="19" builtinId="8" hidden="1"/>
    <cellStyle name="Link" xfId="11" builtinId="8" hidden="1"/>
    <cellStyle name="Link" xfId="13" builtinId="8" hidden="1"/>
    <cellStyle name="Link" xfId="35" builtinId="8" hidden="1"/>
    <cellStyle name="Link" xfId="25" builtinId="8" hidden="1"/>
    <cellStyle name="Link" xfId="51" builtinId="8" hidden="1"/>
    <cellStyle name="Link" xfId="43" builtinId="8" hidden="1"/>
    <cellStyle name="Link" xfId="21" builtinId="8" hidden="1"/>
    <cellStyle name="Link" xfId="23" builtinId="8" hidden="1"/>
    <cellStyle name="Link" xfId="49" builtinId="8" hidden="1"/>
    <cellStyle name="Link" xfId="53" builtinId="8" hidden="1"/>
    <cellStyle name="Link" xfId="47" builtinId="8" hidden="1"/>
    <cellStyle name="Link" xfId="45" builtinId="8" hidden="1"/>
    <cellStyle name="Link" xfId="59" builtinId="8"/>
    <cellStyle name="Prozent" xfId="60" builtinId="5"/>
    <cellStyle name="Prozent 2" xfId="58" xr:uid="{00000000-0005-0000-0000-00003A000000}"/>
    <cellStyle name="Standard" xfId="0" builtinId="0"/>
    <cellStyle name="Standard 2" xfId="56" xr:uid="{00000000-0005-0000-0000-00003C000000}"/>
  </cellStyles>
  <dxfs count="21"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6" tint="0.59996337778862885"/>
      </font>
    </dxf>
    <dxf>
      <font>
        <color theme="0" tint="-0.34998626667073579"/>
      </font>
    </dxf>
    <dxf>
      <font>
        <color theme="6" tint="0.59996337778862885"/>
      </font>
    </dxf>
    <dxf>
      <font>
        <color theme="0" tint="-0.34998626667073579"/>
      </font>
    </dxf>
    <dxf>
      <font>
        <color theme="6" tint="0.59996337778862885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6" tint="0.59996337778862885"/>
      </font>
    </dxf>
    <dxf>
      <fill>
        <patternFill>
          <bgColor theme="5" tint="0.59996337778862885"/>
        </patternFill>
      </fill>
    </dxf>
    <dxf>
      <font>
        <color theme="6" tint="0.59996337778862885"/>
      </font>
    </dxf>
    <dxf>
      <font>
        <color auto="1"/>
      </font>
      <fill>
        <patternFill>
          <bgColor theme="0"/>
        </patternFill>
      </fill>
      <border>
        <left/>
        <right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6" tint="0.59996337778862885"/>
      </font>
    </dxf>
    <dxf>
      <font>
        <color theme="6" tint="0.59996337778862885"/>
      </font>
    </dxf>
    <dxf>
      <font>
        <color theme="0" tint="-0.34998626667073579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numFmt numFmtId="174" formatCode="&quot;DD.MM.JJJJ&quot;"/>
    </dxf>
  </dxfs>
  <tableStyles count="0" defaultTableStyle="TableStyleMedium9" defaultPivotStyle="PivotStyleMedium7"/>
  <colors>
    <mruColors>
      <color rgb="FFF0F0F0"/>
      <color rgb="FFE6E6E6"/>
      <color rgb="FFD2D2D2"/>
      <color rgb="FFFAFAFA"/>
      <color rgb="FFE2E1E3"/>
      <color rgb="FF0082DE"/>
      <color rgb="FFF0F0FF"/>
      <color rgb="FFF7FFED"/>
      <color rgb="FFFFF6E4"/>
      <color rgb="FFEBEB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60422_Formular%20AufgabenplanungSJ%2026_2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  <sheetName val="Grundlagen"/>
      <sheetName val="Berechnungen BA"/>
      <sheetName val="Aufgabenplanung"/>
      <sheetName val="ZD Vorerfassung"/>
      <sheetName val="Zeitdokumentation"/>
      <sheetName val="ZD Übersicht"/>
    </sheetNames>
    <sheetDataSet>
      <sheetData sheetId="0"/>
      <sheetData sheetId="1"/>
      <sheetData sheetId="2"/>
      <sheetData sheetId="3"/>
      <sheetData sheetId="4"/>
      <sheetData sheetId="5">
        <row r="3">
          <cell r="E3" t="str">
            <v>Total</v>
          </cell>
        </row>
        <row r="4">
          <cell r="E4">
            <v>0</v>
          </cell>
        </row>
        <row r="6">
          <cell r="E6" t="str">
            <v>Tätigkeit</v>
          </cell>
        </row>
        <row r="8">
          <cell r="E8" t="str">
            <v>Wochenende</v>
          </cell>
        </row>
        <row r="9">
          <cell r="E9" t="str">
            <v>Wochenende</v>
          </cell>
        </row>
        <row r="10">
          <cell r="E10" t="str">
            <v>unterrichtsfreie Arbeitszeit</v>
          </cell>
        </row>
        <row r="11">
          <cell r="E11" t="str">
            <v>unterrichtsfreie Arbeitszeit</v>
          </cell>
        </row>
        <row r="12">
          <cell r="E12" t="str">
            <v>unterrichtsfreie Arbeitszeit</v>
          </cell>
        </row>
        <row r="13">
          <cell r="E13" t="str">
            <v>unterrichtsfreie Arbeitszeit</v>
          </cell>
        </row>
        <row r="14">
          <cell r="E14" t="str">
            <v>unterrichtsfreie Arbeitszeit</v>
          </cell>
        </row>
        <row r="15">
          <cell r="E15" t="str">
            <v>Wochenende</v>
          </cell>
        </row>
        <row r="16">
          <cell r="E16" t="str">
            <v>Wochenende</v>
          </cell>
        </row>
        <row r="17">
          <cell r="E17" t="str">
            <v>Unterrichtstag</v>
          </cell>
        </row>
        <row r="18">
          <cell r="E18" t="str">
            <v>Unterrichtstag</v>
          </cell>
        </row>
        <row r="19">
          <cell r="E19" t="str">
            <v>Unterrichtstag</v>
          </cell>
        </row>
        <row r="20">
          <cell r="E20" t="str">
            <v>Unterrichtstag</v>
          </cell>
        </row>
        <row r="21">
          <cell r="E21" t="str">
            <v>Unterrichtstag</v>
          </cell>
        </row>
        <row r="22">
          <cell r="E22" t="str">
            <v>Wochenende</v>
          </cell>
        </row>
        <row r="23">
          <cell r="E23" t="str">
            <v>Wochenende</v>
          </cell>
        </row>
        <row r="24">
          <cell r="E24" t="str">
            <v>Unterrichtstag</v>
          </cell>
        </row>
        <row r="25">
          <cell r="E25" t="str">
            <v>Unterrichtstag</v>
          </cell>
        </row>
        <row r="26">
          <cell r="E26" t="str">
            <v>Unterrichtstag</v>
          </cell>
        </row>
        <row r="27">
          <cell r="E27" t="str">
            <v>Unterrichtstag</v>
          </cell>
        </row>
        <row r="28">
          <cell r="E28" t="str">
            <v>Unterrichtstag</v>
          </cell>
        </row>
        <row r="29">
          <cell r="E29" t="str">
            <v>Wochenende</v>
          </cell>
        </row>
        <row r="30">
          <cell r="E30" t="str">
            <v>Wochenende</v>
          </cell>
        </row>
        <row r="31">
          <cell r="E31" t="str">
            <v>Unterrichtstag</v>
          </cell>
        </row>
        <row r="32">
          <cell r="E32" t="str">
            <v>Unterrichtstag</v>
          </cell>
        </row>
        <row r="33">
          <cell r="E33" t="str">
            <v>Unterrichtstag</v>
          </cell>
        </row>
        <row r="34">
          <cell r="E34" t="str">
            <v>Unterrichtstag</v>
          </cell>
        </row>
        <row r="35">
          <cell r="E35" t="str">
            <v>Unterrichtstag</v>
          </cell>
        </row>
        <row r="36">
          <cell r="E36" t="str">
            <v>Wochenende</v>
          </cell>
        </row>
        <row r="37">
          <cell r="E37" t="str">
            <v>Wochenende</v>
          </cell>
        </row>
        <row r="38">
          <cell r="E38" t="str">
            <v>Unterrichtstag</v>
          </cell>
        </row>
        <row r="39">
          <cell r="E39" t="str">
            <v>Unterrichtstag</v>
          </cell>
        </row>
        <row r="40">
          <cell r="E40" t="str">
            <v>Unterrichtstag</v>
          </cell>
        </row>
        <row r="41">
          <cell r="E41" t="str">
            <v>Unterrichtstag</v>
          </cell>
        </row>
        <row r="42">
          <cell r="E42" t="str">
            <v>Unterrichtstag</v>
          </cell>
        </row>
        <row r="43">
          <cell r="E43" t="str">
            <v>Wochenende</v>
          </cell>
        </row>
        <row r="44">
          <cell r="E44" t="str">
            <v>Wochenende</v>
          </cell>
        </row>
        <row r="45">
          <cell r="E45" t="str">
            <v>Unterrichtstag</v>
          </cell>
        </row>
        <row r="46">
          <cell r="E46" t="str">
            <v>Unterrichtstag</v>
          </cell>
        </row>
        <row r="47">
          <cell r="E47" t="str">
            <v>Unterrichtstag</v>
          </cell>
        </row>
        <row r="48">
          <cell r="E48" t="str">
            <v>Unterrichtstag</v>
          </cell>
        </row>
        <row r="49">
          <cell r="E49" t="str">
            <v>Unterrichtstag</v>
          </cell>
        </row>
        <row r="50">
          <cell r="E50" t="str">
            <v>Wochenende</v>
          </cell>
        </row>
        <row r="51">
          <cell r="E51" t="str">
            <v>Wochenende</v>
          </cell>
        </row>
        <row r="52">
          <cell r="E52" t="str">
            <v>Unterrichtstag</v>
          </cell>
        </row>
        <row r="53">
          <cell r="E53" t="str">
            <v>Unterrichtstag</v>
          </cell>
        </row>
        <row r="54">
          <cell r="E54" t="str">
            <v>Unterrichtstag</v>
          </cell>
        </row>
        <row r="55">
          <cell r="E55" t="str">
            <v>Unterrichtstag</v>
          </cell>
        </row>
        <row r="56">
          <cell r="E56" t="str">
            <v>Unterrichtstag</v>
          </cell>
        </row>
        <row r="57">
          <cell r="E57" t="str">
            <v>Wochenende</v>
          </cell>
        </row>
        <row r="58">
          <cell r="E58" t="str">
            <v>Wochenende</v>
          </cell>
        </row>
        <row r="59">
          <cell r="E59" t="str">
            <v>Unterrichtstag</v>
          </cell>
        </row>
        <row r="60">
          <cell r="E60" t="str">
            <v>Unterrichtstag</v>
          </cell>
        </row>
        <row r="61">
          <cell r="E61" t="str">
            <v>Unterrichtstag</v>
          </cell>
        </row>
        <row r="62">
          <cell r="E62" t="str">
            <v>Unterrichtstag</v>
          </cell>
        </row>
        <row r="63">
          <cell r="E63" t="str">
            <v>Unterrichtstag</v>
          </cell>
        </row>
        <row r="64">
          <cell r="E64" t="str">
            <v>Wochenende</v>
          </cell>
        </row>
        <row r="65">
          <cell r="E65" t="str">
            <v>Wochenende</v>
          </cell>
        </row>
        <row r="66">
          <cell r="E66" t="str">
            <v>unterrichtsfreie Arbeitszeit</v>
          </cell>
        </row>
        <row r="67">
          <cell r="E67" t="str">
            <v>unterrichtsfreie Arbeitszeit</v>
          </cell>
        </row>
        <row r="68">
          <cell r="E68" t="str">
            <v>unterrichtsfreie Arbeitszeit</v>
          </cell>
        </row>
        <row r="69">
          <cell r="E69" t="str">
            <v>unterrichtsfreie Arbeitszeit</v>
          </cell>
        </row>
        <row r="70">
          <cell r="E70" t="str">
            <v>unterrichtsfreie Arbeitszeit</v>
          </cell>
        </row>
        <row r="71">
          <cell r="E71" t="str">
            <v>Wochenende</v>
          </cell>
        </row>
        <row r="72">
          <cell r="E72" t="str">
            <v>Wochenende</v>
          </cell>
        </row>
        <row r="73">
          <cell r="E73" t="str">
            <v>unterrichtsfreie Arbeitszeit</v>
          </cell>
        </row>
        <row r="74">
          <cell r="E74" t="str">
            <v>unterrichtsfreie Arbeitszeit</v>
          </cell>
        </row>
        <row r="75">
          <cell r="E75" t="str">
            <v>unterrichtsfreie Arbeitszeit</v>
          </cell>
        </row>
        <row r="76">
          <cell r="E76" t="str">
            <v>unterrichtsfreie Arbeitszeit</v>
          </cell>
        </row>
        <row r="77">
          <cell r="E77" t="str">
            <v>unterrichtsfreie Arbeitszeit</v>
          </cell>
        </row>
        <row r="78">
          <cell r="E78" t="str">
            <v>Wochenende</v>
          </cell>
        </row>
        <row r="79">
          <cell r="E79" t="str">
            <v>Wochenende</v>
          </cell>
        </row>
        <row r="80">
          <cell r="E80" t="str">
            <v>Unterrichtstag</v>
          </cell>
        </row>
        <row r="81">
          <cell r="E81" t="str">
            <v>Unterrichtstag</v>
          </cell>
        </row>
        <row r="82">
          <cell r="E82" t="str">
            <v>Unterrichtstag</v>
          </cell>
        </row>
        <row r="83">
          <cell r="E83" t="str">
            <v>Unterrichtstag</v>
          </cell>
        </row>
        <row r="84">
          <cell r="E84" t="str">
            <v>Unterrichtstag</v>
          </cell>
        </row>
        <row r="85">
          <cell r="E85" t="str">
            <v>Wochenende</v>
          </cell>
        </row>
        <row r="86">
          <cell r="E86" t="str">
            <v>Wochenende</v>
          </cell>
        </row>
        <row r="87">
          <cell r="E87" t="str">
            <v>Unterrichtstag</v>
          </cell>
        </row>
        <row r="88">
          <cell r="E88" t="str">
            <v>Unterrichtstag</v>
          </cell>
        </row>
        <row r="89">
          <cell r="E89" t="str">
            <v>Unterrichtstag</v>
          </cell>
        </row>
        <row r="90">
          <cell r="E90" t="str">
            <v>Unterrichtstag</v>
          </cell>
        </row>
        <row r="91">
          <cell r="E91" t="str">
            <v>Unterrichtstag</v>
          </cell>
        </row>
        <row r="92">
          <cell r="E92" t="str">
            <v>Wochenende</v>
          </cell>
        </row>
        <row r="93">
          <cell r="E93" t="str">
            <v>Wochenende</v>
          </cell>
        </row>
        <row r="94">
          <cell r="E94" t="str">
            <v>Unterrichtstag</v>
          </cell>
        </row>
        <row r="95">
          <cell r="E95" t="str">
            <v>Unterrichtstag</v>
          </cell>
        </row>
        <row r="96">
          <cell r="E96" t="str">
            <v>Unterrichtstag</v>
          </cell>
        </row>
        <row r="97">
          <cell r="E97" t="str">
            <v>Unterrichtstag</v>
          </cell>
        </row>
        <row r="98">
          <cell r="E98" t="str">
            <v>Unterrichtstag</v>
          </cell>
        </row>
        <row r="99">
          <cell r="E99" t="str">
            <v>Wochenende</v>
          </cell>
        </row>
        <row r="100">
          <cell r="E100" t="str">
            <v>Wochenende</v>
          </cell>
        </row>
        <row r="101">
          <cell r="E101" t="str">
            <v>Unterrichtstag</v>
          </cell>
        </row>
        <row r="102">
          <cell r="E102" t="str">
            <v>Unterrichtstag</v>
          </cell>
        </row>
        <row r="103">
          <cell r="E103" t="str">
            <v>Unterrichtstag</v>
          </cell>
        </row>
        <row r="104">
          <cell r="E104" t="str">
            <v>Unterrichtstag</v>
          </cell>
        </row>
        <row r="105">
          <cell r="E105" t="str">
            <v>Unterrichtstag</v>
          </cell>
        </row>
        <row r="106">
          <cell r="E106" t="str">
            <v>Wochenende</v>
          </cell>
        </row>
        <row r="107">
          <cell r="E107" t="str">
            <v>Wochenende</v>
          </cell>
        </row>
        <row r="108">
          <cell r="E108" t="str">
            <v>Unterrichtstag</v>
          </cell>
        </row>
        <row r="109">
          <cell r="E109" t="str">
            <v>Unterrichtstag</v>
          </cell>
        </row>
        <row r="110">
          <cell r="E110" t="str">
            <v>Unterrichtstag</v>
          </cell>
        </row>
        <row r="111">
          <cell r="E111" t="str">
            <v>Unterrichtstag</v>
          </cell>
        </row>
        <row r="112">
          <cell r="E112" t="str">
            <v>Unterrichtstag</v>
          </cell>
        </row>
        <row r="113">
          <cell r="E113" t="str">
            <v>Wochenende</v>
          </cell>
        </row>
        <row r="114">
          <cell r="E114" t="str">
            <v>Wochenende</v>
          </cell>
        </row>
        <row r="115">
          <cell r="E115" t="str">
            <v>Unterrichtstag</v>
          </cell>
        </row>
        <row r="116">
          <cell r="E116" t="str">
            <v>Unterrichtstag</v>
          </cell>
        </row>
        <row r="117">
          <cell r="E117" t="str">
            <v>Unterrichtstag</v>
          </cell>
        </row>
        <row r="118">
          <cell r="E118" t="str">
            <v>Unterrichtstag</v>
          </cell>
        </row>
        <row r="119">
          <cell r="E119" t="str">
            <v>Unterrichtstag</v>
          </cell>
        </row>
        <row r="120">
          <cell r="E120" t="str">
            <v>Wochenende</v>
          </cell>
        </row>
        <row r="121">
          <cell r="E121" t="str">
            <v>Wochenende</v>
          </cell>
        </row>
        <row r="122">
          <cell r="E122" t="str">
            <v>Unterrichtstag</v>
          </cell>
        </row>
        <row r="123">
          <cell r="E123" t="str">
            <v>Unterrichtstag</v>
          </cell>
        </row>
        <row r="124">
          <cell r="E124" t="str">
            <v>Unterrichtstag</v>
          </cell>
        </row>
        <row r="125">
          <cell r="E125" t="str">
            <v>Unterrichtstag</v>
          </cell>
        </row>
        <row r="126">
          <cell r="E126" t="str">
            <v>Unterrichtstag</v>
          </cell>
        </row>
        <row r="127">
          <cell r="E127" t="str">
            <v>Wochenende</v>
          </cell>
        </row>
        <row r="128">
          <cell r="E128" t="str">
            <v>Wochenende</v>
          </cell>
        </row>
        <row r="129">
          <cell r="E129" t="str">
            <v>Unterrichtstag</v>
          </cell>
        </row>
        <row r="130">
          <cell r="E130" t="str">
            <v>Unterrichtstag</v>
          </cell>
        </row>
        <row r="131">
          <cell r="E131" t="str">
            <v>Unterrichtstag</v>
          </cell>
        </row>
        <row r="132">
          <cell r="E132" t="str">
            <v>Unterrichtstag</v>
          </cell>
        </row>
        <row r="133">
          <cell r="E133" t="str">
            <v>Unterrichtstag</v>
          </cell>
        </row>
        <row r="134">
          <cell r="E134" t="str">
            <v>Wochenende</v>
          </cell>
        </row>
        <row r="135">
          <cell r="E135" t="str">
            <v>Wochenende</v>
          </cell>
        </row>
        <row r="136">
          <cell r="E136" t="str">
            <v>Unterrichtstag</v>
          </cell>
        </row>
        <row r="137">
          <cell r="E137" t="str">
            <v>Unterrichtstag</v>
          </cell>
        </row>
        <row r="138">
          <cell r="E138" t="str">
            <v>Unterrichtstag</v>
          </cell>
        </row>
        <row r="139">
          <cell r="E139" t="str">
            <v>Unterrichtstag</v>
          </cell>
        </row>
        <row r="140">
          <cell r="E140" t="str">
            <v>Unterrichtstag</v>
          </cell>
        </row>
        <row r="141">
          <cell r="E141" t="str">
            <v>Wochenende</v>
          </cell>
        </row>
        <row r="142">
          <cell r="E142" t="str">
            <v>Wochenende</v>
          </cell>
        </row>
        <row r="143">
          <cell r="E143" t="str">
            <v>Unterrichtstag</v>
          </cell>
        </row>
        <row r="144">
          <cell r="E144" t="str">
            <v>Unterrichtstag</v>
          </cell>
        </row>
        <row r="145">
          <cell r="E145" t="str">
            <v>Unterrichtstag</v>
          </cell>
        </row>
        <row r="146">
          <cell r="E146" t="str">
            <v>Unterrichtstag</v>
          </cell>
        </row>
        <row r="147">
          <cell r="E147" t="str">
            <v>Unterrichtstag</v>
          </cell>
        </row>
        <row r="148">
          <cell r="E148" t="str">
            <v>Wochenende</v>
          </cell>
        </row>
        <row r="149">
          <cell r="E149" t="str">
            <v>Wochenende</v>
          </cell>
        </row>
        <row r="150">
          <cell r="E150" t="str">
            <v>unterrichtsfreie Arbeitszeit</v>
          </cell>
        </row>
        <row r="151">
          <cell r="E151" t="str">
            <v>unterrichtsfreie Arbeitszeit</v>
          </cell>
        </row>
        <row r="152">
          <cell r="E152" t="str">
            <v>unterrichtsfreie Arbeitszeit</v>
          </cell>
        </row>
        <row r="153">
          <cell r="E153" t="str">
            <v>Feiertag halb</v>
          </cell>
        </row>
        <row r="154">
          <cell r="E154" t="str">
            <v>Feiertag</v>
          </cell>
        </row>
        <row r="155">
          <cell r="E155" t="str">
            <v>Wochenende</v>
          </cell>
        </row>
        <row r="156">
          <cell r="E156" t="str">
            <v>Wochenende</v>
          </cell>
        </row>
        <row r="157">
          <cell r="E157" t="str">
            <v>unterrichtsfreie Arbeitszeit</v>
          </cell>
        </row>
        <row r="158">
          <cell r="E158" t="str">
            <v>unterrichtsfreie Arbeitszeit</v>
          </cell>
        </row>
        <row r="159">
          <cell r="E159" t="str">
            <v>unterrichtsfreie Arbeitszeit</v>
          </cell>
        </row>
        <row r="160">
          <cell r="E160" t="str">
            <v>Feiertag halb</v>
          </cell>
        </row>
        <row r="161">
          <cell r="E161" t="str">
            <v>Feiertag</v>
          </cell>
        </row>
        <row r="162">
          <cell r="E162" t="str">
            <v>Wochenende</v>
          </cell>
        </row>
        <row r="163">
          <cell r="E163" t="str">
            <v>Wochenende</v>
          </cell>
        </row>
        <row r="164">
          <cell r="E164" t="str">
            <v>Unterrichtstag</v>
          </cell>
        </row>
        <row r="165">
          <cell r="E165" t="str">
            <v>Unterrichtstag</v>
          </cell>
        </row>
        <row r="166">
          <cell r="E166" t="str">
            <v>Unterrichtstag</v>
          </cell>
        </row>
        <row r="167">
          <cell r="E167" t="str">
            <v>Unterrichtstag</v>
          </cell>
        </row>
        <row r="168">
          <cell r="E168" t="str">
            <v>Unterrichtstag</v>
          </cell>
        </row>
        <row r="169">
          <cell r="E169" t="str">
            <v>Wochenende</v>
          </cell>
        </row>
        <row r="170">
          <cell r="E170" t="str">
            <v>Wochenende</v>
          </cell>
        </row>
        <row r="171">
          <cell r="E171" t="str">
            <v>Unterrichtstag</v>
          </cell>
        </row>
        <row r="172">
          <cell r="E172" t="str">
            <v>Unterrichtstag</v>
          </cell>
        </row>
        <row r="173">
          <cell r="E173" t="str">
            <v>Unterrichtstag</v>
          </cell>
        </row>
        <row r="174">
          <cell r="E174" t="str">
            <v>Unterrichtstag</v>
          </cell>
        </row>
        <row r="175">
          <cell r="E175" t="str">
            <v>Unterrichtstag</v>
          </cell>
        </row>
        <row r="176">
          <cell r="E176" t="str">
            <v>Wochenende</v>
          </cell>
        </row>
        <row r="177">
          <cell r="E177" t="str">
            <v>Wochenende</v>
          </cell>
        </row>
        <row r="178">
          <cell r="E178" t="str">
            <v>Unterrichtstag</v>
          </cell>
        </row>
        <row r="179">
          <cell r="E179" t="str">
            <v>Unterrichtstag</v>
          </cell>
        </row>
        <row r="180">
          <cell r="E180" t="str">
            <v>Unterrichtstag</v>
          </cell>
        </row>
        <row r="181">
          <cell r="E181" t="str">
            <v>Unterrichtstag</v>
          </cell>
        </row>
        <row r="182">
          <cell r="E182" t="str">
            <v>Unterrichtstag</v>
          </cell>
        </row>
        <row r="183">
          <cell r="E183" t="str">
            <v>Wochenende</v>
          </cell>
        </row>
        <row r="184">
          <cell r="E184" t="str">
            <v>Wochenende</v>
          </cell>
        </row>
        <row r="185">
          <cell r="E185" t="str">
            <v>Unterrichtstag</v>
          </cell>
        </row>
        <row r="186">
          <cell r="E186" t="str">
            <v>Unterrichtstag</v>
          </cell>
        </row>
        <row r="187">
          <cell r="E187" t="str">
            <v>Unterrichtstag</v>
          </cell>
        </row>
        <row r="188">
          <cell r="E188" t="str">
            <v>Unterrichtstag</v>
          </cell>
        </row>
        <row r="189">
          <cell r="E189" t="str">
            <v>Unterrichtstag</v>
          </cell>
        </row>
        <row r="190">
          <cell r="E190" t="str">
            <v>Wochenende</v>
          </cell>
        </row>
        <row r="191">
          <cell r="E191" t="str">
            <v>Wochenende</v>
          </cell>
        </row>
        <row r="192">
          <cell r="E192" t="str">
            <v>Unterrichtstag</v>
          </cell>
        </row>
        <row r="193">
          <cell r="E193" t="str">
            <v>Unterrichtstag</v>
          </cell>
        </row>
        <row r="194">
          <cell r="E194" t="str">
            <v>Unterrichtstag</v>
          </cell>
        </row>
        <row r="195">
          <cell r="E195" t="str">
            <v>Unterrichtstag</v>
          </cell>
        </row>
        <row r="196">
          <cell r="E196" t="str">
            <v>Unterrichtstag</v>
          </cell>
        </row>
        <row r="197">
          <cell r="E197" t="str">
            <v>Wochenende</v>
          </cell>
        </row>
        <row r="198">
          <cell r="E198" t="str">
            <v>Wochenende</v>
          </cell>
        </row>
        <row r="199">
          <cell r="E199" t="str">
            <v>unterrichtsfreie Arbeitszeit</v>
          </cell>
        </row>
        <row r="200">
          <cell r="E200" t="str">
            <v>unterrichtsfreie Arbeitszeit</v>
          </cell>
        </row>
        <row r="201">
          <cell r="E201" t="str">
            <v>unterrichtsfreie Arbeitszeit</v>
          </cell>
        </row>
        <row r="202">
          <cell r="E202" t="str">
            <v>unterrichtsfreie Arbeitszeit</v>
          </cell>
        </row>
        <row r="203">
          <cell r="E203" t="str">
            <v>unterrichtsfreie Arbeitszeit</v>
          </cell>
        </row>
        <row r="204">
          <cell r="E204" t="str">
            <v>Wochenende</v>
          </cell>
        </row>
        <row r="205">
          <cell r="E205" t="str">
            <v>Wochenende</v>
          </cell>
        </row>
        <row r="206">
          <cell r="E206" t="str">
            <v>Feiertag halb</v>
          </cell>
        </row>
        <row r="207">
          <cell r="E207" t="str">
            <v>unterrichtsfreie Arbeitszeit</v>
          </cell>
        </row>
        <row r="208">
          <cell r="E208" t="str">
            <v>Feiertag halb</v>
          </cell>
        </row>
        <row r="209">
          <cell r="E209" t="str">
            <v>unterrichtsfreie Arbeitszeit</v>
          </cell>
        </row>
        <row r="210">
          <cell r="E210" t="str">
            <v>unterrichtsfreie Arbeitszeit</v>
          </cell>
        </row>
        <row r="211">
          <cell r="E211" t="str">
            <v>Wochenende</v>
          </cell>
        </row>
        <row r="212">
          <cell r="E212" t="str">
            <v>Wochenende</v>
          </cell>
        </row>
        <row r="213">
          <cell r="E213" t="str">
            <v>Unterrichtstag</v>
          </cell>
        </row>
        <row r="214">
          <cell r="E214" t="str">
            <v>Unterrichtstag</v>
          </cell>
        </row>
        <row r="215">
          <cell r="E215" t="str">
            <v>Unterrichtstag</v>
          </cell>
        </row>
        <row r="216">
          <cell r="E216" t="str">
            <v>Unterrichtstag</v>
          </cell>
        </row>
        <row r="217">
          <cell r="E217" t="str">
            <v>Unterrichtstag</v>
          </cell>
        </row>
        <row r="218">
          <cell r="E218" t="str">
            <v>Wochenende</v>
          </cell>
        </row>
        <row r="219">
          <cell r="E219" t="str">
            <v>Wochenende</v>
          </cell>
        </row>
        <row r="220">
          <cell r="E220" t="str">
            <v>Unterrichtstag</v>
          </cell>
        </row>
        <row r="221">
          <cell r="E221" t="str">
            <v>Unterrichtstag</v>
          </cell>
        </row>
        <row r="222">
          <cell r="E222" t="str">
            <v>Unterrichtstag</v>
          </cell>
        </row>
        <row r="223">
          <cell r="E223" t="str">
            <v>Unterrichtstag</v>
          </cell>
        </row>
        <row r="224">
          <cell r="E224" t="str">
            <v>Unterrichtstag</v>
          </cell>
        </row>
        <row r="225">
          <cell r="E225" t="str">
            <v>Wochenende</v>
          </cell>
        </row>
        <row r="226">
          <cell r="E226" t="str">
            <v>Wochenende</v>
          </cell>
        </row>
        <row r="227">
          <cell r="E227" t="str">
            <v>Unterrichtstag</v>
          </cell>
        </row>
        <row r="228">
          <cell r="E228" t="str">
            <v>Unterrichtstag</v>
          </cell>
        </row>
        <row r="229">
          <cell r="E229" t="str">
            <v>Unterrichtstag</v>
          </cell>
        </row>
        <row r="230">
          <cell r="E230" t="str">
            <v>Unterrichtstag</v>
          </cell>
        </row>
        <row r="231">
          <cell r="E231" t="str">
            <v>Unterrichtstag</v>
          </cell>
        </row>
        <row r="232">
          <cell r="E232" t="str">
            <v>Wochenende</v>
          </cell>
        </row>
        <row r="233">
          <cell r="E233" t="str">
            <v>Wochenende</v>
          </cell>
        </row>
        <row r="234">
          <cell r="E234" t="str">
            <v>Unterrichtstag</v>
          </cell>
        </row>
        <row r="235">
          <cell r="E235" t="str">
            <v>Unterrichtstag</v>
          </cell>
        </row>
        <row r="236">
          <cell r="E236" t="str">
            <v>Unterrichtstag</v>
          </cell>
        </row>
        <row r="237">
          <cell r="E237" t="str">
            <v>Unterrichtstag</v>
          </cell>
        </row>
        <row r="238">
          <cell r="E238" t="str">
            <v>Unterrichtstag</v>
          </cell>
        </row>
        <row r="239">
          <cell r="E239" t="str">
            <v>Wochenende</v>
          </cell>
        </row>
        <row r="240">
          <cell r="E240" t="str">
            <v>Wochenende</v>
          </cell>
        </row>
        <row r="241">
          <cell r="E241" t="str">
            <v>unterrichtsfreie Arbeitszeit</v>
          </cell>
        </row>
        <row r="242">
          <cell r="E242" t="str">
            <v>unterrichtsfreie Arbeitszeit</v>
          </cell>
        </row>
        <row r="243">
          <cell r="E243" t="str">
            <v>unterrichtsfreie Arbeitszeit</v>
          </cell>
        </row>
        <row r="244">
          <cell r="E244" t="str">
            <v>unterrichtsfreie Arbeitszeit</v>
          </cell>
        </row>
        <row r="245">
          <cell r="E245" t="str">
            <v>Feiertag</v>
          </cell>
        </row>
        <row r="246">
          <cell r="E246" t="str">
            <v>Wochenende</v>
          </cell>
        </row>
        <row r="247">
          <cell r="E247" t="str">
            <v>Wochenende</v>
          </cell>
        </row>
        <row r="248">
          <cell r="E248" t="str">
            <v>Feiertag</v>
          </cell>
        </row>
        <row r="249">
          <cell r="E249" t="str">
            <v>unterrichtsfreie Arbeitszeit</v>
          </cell>
        </row>
        <row r="250">
          <cell r="E250" t="str">
            <v>unterrichtsfreie Arbeitszeit</v>
          </cell>
        </row>
        <row r="251">
          <cell r="E251" t="str">
            <v>unterrichtsfreie Arbeitszeit</v>
          </cell>
        </row>
        <row r="252">
          <cell r="E252" t="str">
            <v>unterrichtsfreie Arbeitszeit</v>
          </cell>
        </row>
        <row r="253">
          <cell r="E253" t="str">
            <v>Wochenende</v>
          </cell>
        </row>
        <row r="254">
          <cell r="E254" t="str">
            <v>Wochenende</v>
          </cell>
        </row>
        <row r="255">
          <cell r="E255" t="str">
            <v>Unterrichtstag</v>
          </cell>
        </row>
        <row r="256">
          <cell r="E256" t="str">
            <v>Unterrichtstag</v>
          </cell>
        </row>
        <row r="257">
          <cell r="E257" t="str">
            <v>Unterrichtstag</v>
          </cell>
        </row>
        <row r="258">
          <cell r="E258" t="str">
            <v>Unterrichtstag</v>
          </cell>
        </row>
        <row r="259">
          <cell r="E259" t="str">
            <v>Unterrichtstag</v>
          </cell>
        </row>
        <row r="260">
          <cell r="E260" t="str">
            <v>Wochenende</v>
          </cell>
        </row>
        <row r="261">
          <cell r="E261" t="str">
            <v>Wochenende</v>
          </cell>
        </row>
        <row r="262">
          <cell r="E262" t="str">
            <v>Unterrichtstag</v>
          </cell>
        </row>
        <row r="263">
          <cell r="E263" t="str">
            <v>Unterrichtstag</v>
          </cell>
        </row>
        <row r="264">
          <cell r="E264" t="str">
            <v>Unterrichtstag</v>
          </cell>
        </row>
        <row r="265">
          <cell r="E265" t="str">
            <v>Unterrichtstag</v>
          </cell>
        </row>
        <row r="266">
          <cell r="E266" t="str">
            <v>Unterrichtstag</v>
          </cell>
        </row>
        <row r="267">
          <cell r="E267" t="str">
            <v>Wochenende</v>
          </cell>
        </row>
        <row r="268">
          <cell r="E268" t="str">
            <v>Wochenende</v>
          </cell>
        </row>
        <row r="269">
          <cell r="E269" t="str">
            <v>Unterrichtstag</v>
          </cell>
        </row>
        <row r="270">
          <cell r="E270" t="str">
            <v>Unterrichtstag</v>
          </cell>
        </row>
        <row r="271">
          <cell r="E271" t="str">
            <v>Unterrichtstag</v>
          </cell>
        </row>
        <row r="272">
          <cell r="E272" t="str">
            <v>Unterrichtstag</v>
          </cell>
        </row>
        <row r="273">
          <cell r="E273" t="str">
            <v>Unterrichtstag</v>
          </cell>
        </row>
        <row r="274">
          <cell r="E274" t="str">
            <v>Wochenende</v>
          </cell>
        </row>
        <row r="275">
          <cell r="E275" t="str">
            <v>Wochenende</v>
          </cell>
        </row>
        <row r="276">
          <cell r="E276" t="str">
            <v>Unterrichtstag</v>
          </cell>
        </row>
        <row r="277">
          <cell r="E277" t="str">
            <v>Unterrichtstag</v>
          </cell>
        </row>
        <row r="278">
          <cell r="E278" t="str">
            <v>Unterrichtstag</v>
          </cell>
        </row>
        <row r="279">
          <cell r="E279" t="str">
            <v>Unterrichtstag</v>
          </cell>
        </row>
        <row r="280">
          <cell r="E280" t="str">
            <v>Unterrichtstag</v>
          </cell>
        </row>
        <row r="281">
          <cell r="E281" t="str">
            <v>Wochenende</v>
          </cell>
        </row>
        <row r="282">
          <cell r="E282" t="str">
            <v>Wochenende</v>
          </cell>
        </row>
        <row r="283">
          <cell r="E283" t="str">
            <v>Unterrichtstag</v>
          </cell>
        </row>
        <row r="284">
          <cell r="E284" t="str">
            <v>Unterrichtstag</v>
          </cell>
        </row>
        <row r="285">
          <cell r="E285" t="str">
            <v>Unterrichtstag</v>
          </cell>
        </row>
        <row r="286">
          <cell r="E286" t="str">
            <v>Feiertag</v>
          </cell>
        </row>
        <row r="287">
          <cell r="E287" t="str">
            <v>Feiertag</v>
          </cell>
        </row>
        <row r="288">
          <cell r="E288" t="str">
            <v>Wochenende</v>
          </cell>
        </row>
        <row r="289">
          <cell r="E289" t="str">
            <v>Wochenende</v>
          </cell>
        </row>
        <row r="290">
          <cell r="E290" t="str">
            <v>Unterrichtstag</v>
          </cell>
        </row>
        <row r="291">
          <cell r="E291" t="str">
            <v>Unterrichtstag</v>
          </cell>
        </row>
        <row r="292">
          <cell r="E292" t="str">
            <v>Unterrichtstag</v>
          </cell>
        </row>
        <row r="293">
          <cell r="E293" t="str">
            <v>Unterrichtstag</v>
          </cell>
        </row>
        <row r="294">
          <cell r="E294" t="str">
            <v>Unterrichtstag</v>
          </cell>
        </row>
        <row r="295">
          <cell r="E295" t="str">
            <v>Wochenende</v>
          </cell>
        </row>
        <row r="296">
          <cell r="E296" t="str">
            <v>Wochenende</v>
          </cell>
        </row>
        <row r="297">
          <cell r="E297" t="str">
            <v>Feiertag</v>
          </cell>
        </row>
        <row r="298">
          <cell r="E298" t="str">
            <v>Unterrichtstag</v>
          </cell>
        </row>
        <row r="299">
          <cell r="E299" t="str">
            <v>Unterrichtstag</v>
          </cell>
        </row>
        <row r="300">
          <cell r="E300" t="str">
            <v>Unterrichtstag</v>
          </cell>
        </row>
        <row r="301">
          <cell r="E301" t="str">
            <v>Unterrichtstag</v>
          </cell>
        </row>
        <row r="302">
          <cell r="E302" t="str">
            <v>Wochenende</v>
          </cell>
        </row>
        <row r="303">
          <cell r="E303" t="str">
            <v>Wochenende</v>
          </cell>
        </row>
        <row r="304">
          <cell r="E304" t="str">
            <v>Unterrichtstag</v>
          </cell>
        </row>
        <row r="305">
          <cell r="E305" t="str">
            <v>Unterrichtstag</v>
          </cell>
        </row>
        <row r="306">
          <cell r="E306" t="str">
            <v>Unterrichtstag</v>
          </cell>
        </row>
        <row r="307">
          <cell r="E307" t="str">
            <v>Unterrichtstag</v>
          </cell>
        </row>
        <row r="308">
          <cell r="E308" t="str">
            <v>Unterrichtstag</v>
          </cell>
        </row>
        <row r="309">
          <cell r="E309" t="str">
            <v>Wochenende</v>
          </cell>
        </row>
        <row r="310">
          <cell r="E310" t="str">
            <v>Wochenende</v>
          </cell>
        </row>
        <row r="311">
          <cell r="E311" t="str">
            <v>Unterrichtstag</v>
          </cell>
        </row>
        <row r="312">
          <cell r="E312" t="str">
            <v>Unterrichtstag</v>
          </cell>
        </row>
        <row r="313">
          <cell r="E313" t="str">
            <v>Unterrichtstag</v>
          </cell>
        </row>
        <row r="314">
          <cell r="E314" t="str">
            <v>Unterrichtstag</v>
          </cell>
        </row>
        <row r="315">
          <cell r="E315" t="str">
            <v>Unterrichtstag</v>
          </cell>
        </row>
        <row r="316">
          <cell r="E316" t="str">
            <v>Wochenende</v>
          </cell>
        </row>
        <row r="317">
          <cell r="E317" t="str">
            <v>Wochenende</v>
          </cell>
        </row>
        <row r="318">
          <cell r="E318" t="str">
            <v>Unterrichtstag</v>
          </cell>
        </row>
        <row r="319">
          <cell r="E319" t="str">
            <v>Unterrichtstag</v>
          </cell>
        </row>
        <row r="320">
          <cell r="E320" t="str">
            <v>Unterrichtstag</v>
          </cell>
        </row>
        <row r="321">
          <cell r="E321" t="str">
            <v>Unterrichtstag</v>
          </cell>
        </row>
        <row r="322">
          <cell r="E322" t="str">
            <v>Unterrichtstag</v>
          </cell>
        </row>
        <row r="323">
          <cell r="E323" t="str">
            <v>Wochenende</v>
          </cell>
        </row>
        <row r="324">
          <cell r="E324" t="str">
            <v>Wochenende</v>
          </cell>
        </row>
        <row r="325">
          <cell r="E325" t="str">
            <v>Unterrichtstag</v>
          </cell>
        </row>
        <row r="326">
          <cell r="E326" t="str">
            <v>Unterrichtstag</v>
          </cell>
        </row>
        <row r="327">
          <cell r="E327" t="str">
            <v>Unterrichtstag</v>
          </cell>
        </row>
        <row r="328">
          <cell r="E328" t="str">
            <v>Unterrichtstag</v>
          </cell>
        </row>
        <row r="329">
          <cell r="E329" t="str">
            <v>Unterrichtstag</v>
          </cell>
        </row>
        <row r="330">
          <cell r="E330" t="str">
            <v>Wochenende</v>
          </cell>
        </row>
        <row r="331">
          <cell r="E331" t="str">
            <v>Wochenende</v>
          </cell>
        </row>
        <row r="332">
          <cell r="E332" t="str">
            <v>Unterrichtstag</v>
          </cell>
        </row>
        <row r="333">
          <cell r="E333" t="str">
            <v>Unterrichtstag</v>
          </cell>
        </row>
        <row r="334">
          <cell r="E334" t="str">
            <v>Unterrichtstag</v>
          </cell>
        </row>
        <row r="335">
          <cell r="E335" t="str">
            <v>Unterrichtstag</v>
          </cell>
        </row>
        <row r="336">
          <cell r="E336" t="str">
            <v>Unterrichtstag</v>
          </cell>
        </row>
        <row r="337">
          <cell r="E337" t="str">
            <v>Wochenende</v>
          </cell>
        </row>
        <row r="338">
          <cell r="E338" t="str">
            <v>Wochenende</v>
          </cell>
        </row>
        <row r="339">
          <cell r="E339" t="str">
            <v>Unterrichtstag</v>
          </cell>
        </row>
        <row r="340">
          <cell r="E340" t="str">
            <v>Unterrichtstag</v>
          </cell>
        </row>
        <row r="341">
          <cell r="E341" t="str">
            <v>Unterrichtstag</v>
          </cell>
        </row>
        <row r="342">
          <cell r="E342" t="str">
            <v>Unterrichtstag</v>
          </cell>
        </row>
        <row r="343">
          <cell r="E343" t="str">
            <v>Unterrichtstag</v>
          </cell>
        </row>
        <row r="344">
          <cell r="E344" t="str">
            <v>Wochenende</v>
          </cell>
        </row>
        <row r="345">
          <cell r="E345" t="str">
            <v>Wochenende</v>
          </cell>
        </row>
        <row r="346">
          <cell r="E346" t="str">
            <v>unterrichtsfreie Arbeitszeit</v>
          </cell>
        </row>
        <row r="347">
          <cell r="E347" t="str">
            <v>unterrichtsfreie Arbeitszeit</v>
          </cell>
        </row>
        <row r="348">
          <cell r="E348" t="str">
            <v>unterrichtsfreie Arbeitszeit</v>
          </cell>
        </row>
        <row r="349">
          <cell r="E349" t="str">
            <v>unterrichtsfreie Arbeitszeit</v>
          </cell>
        </row>
        <row r="350">
          <cell r="E350" t="str">
            <v>unterrichtsfreie Arbeitszeit</v>
          </cell>
        </row>
        <row r="351">
          <cell r="E351" t="str">
            <v>Wochenende</v>
          </cell>
        </row>
        <row r="352">
          <cell r="E352" t="str">
            <v>Wochenende</v>
          </cell>
        </row>
        <row r="353">
          <cell r="E353" t="str">
            <v>unterrichtsfreie Arbeitszeit</v>
          </cell>
        </row>
        <row r="354">
          <cell r="E354" t="str">
            <v>unterrichtsfreie Arbeitszeit</v>
          </cell>
        </row>
        <row r="355">
          <cell r="E355" t="str">
            <v>unterrichtsfreie Arbeitszeit</v>
          </cell>
        </row>
        <row r="356">
          <cell r="E356" t="str">
            <v>unterrichtsfreie Arbeitszeit</v>
          </cell>
        </row>
        <row r="357">
          <cell r="E357" t="str">
            <v>unterrichtsfreie Arbeitszeit</v>
          </cell>
        </row>
        <row r="358">
          <cell r="E358" t="str">
            <v>Wochenende</v>
          </cell>
        </row>
        <row r="359">
          <cell r="E359" t="str">
            <v>Wochenende</v>
          </cell>
        </row>
        <row r="360">
          <cell r="E360" t="str">
            <v>unterrichtsfreie Arbeitszeit</v>
          </cell>
        </row>
        <row r="361">
          <cell r="E361" t="str">
            <v>unterrichtsfreie Arbeitszeit</v>
          </cell>
        </row>
        <row r="362">
          <cell r="E362" t="str">
            <v>unterrichtsfreie Arbeitszeit</v>
          </cell>
        </row>
        <row r="363">
          <cell r="E363" t="str">
            <v>unterrichtsfreie Arbeitszeit</v>
          </cell>
        </row>
        <row r="364">
          <cell r="E364" t="str">
            <v>unterrichtsfreie Arbeitszeit</v>
          </cell>
        </row>
        <row r="365">
          <cell r="E365" t="str">
            <v>Wochenende</v>
          </cell>
        </row>
        <row r="366">
          <cell r="E366" t="str">
            <v>Wochenende</v>
          </cell>
        </row>
        <row r="367">
          <cell r="E367" t="str">
            <v>unterrichtsfreie Arbeitszeit</v>
          </cell>
        </row>
        <row r="368">
          <cell r="E368" t="str">
            <v>unterrichtsfreie Arbeitszeit</v>
          </cell>
        </row>
        <row r="369">
          <cell r="E369" t="str">
            <v>unterrichtsfreie Arbeitszeit</v>
          </cell>
        </row>
        <row r="370">
          <cell r="E370" t="str">
            <v>unterrichtsfreie Arbeitszeit</v>
          </cell>
        </row>
        <row r="371">
          <cell r="E371" t="str">
            <v>unterrichtsfreie Arbeitszeit</v>
          </cell>
        </row>
        <row r="372">
          <cell r="E372" t="str">
            <v>Wochenende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-Design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baselland.ch/politik-und-behorden/direktionen/finanz-und-kirchendirektion/personalamt/arbeitszeiten" TargetMode="External"/><Relationship Id="rId1" Type="http://schemas.openxmlformats.org/officeDocument/2006/relationships/hyperlink" Target="https://www.baselland.ch/politik-und-behorden/direktionen/finanz-und-kirchendirektion/personalamt/arbeitszeiten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3">
    <tabColor rgb="FFFFC000"/>
  </sheetPr>
  <dimension ref="A1:K29"/>
  <sheetViews>
    <sheetView zoomScale="85" zoomScaleNormal="85" workbookViewId="0">
      <pane ySplit="1" topLeftCell="A2" activePane="bottomLeft" state="frozen"/>
      <selection pane="bottomLeft"/>
    </sheetView>
  </sheetViews>
  <sheetFormatPr baseColWidth="10" defaultRowHeight="12.75" x14ac:dyDescent="0.2"/>
  <cols>
    <col min="1" max="11" width="17.77734375" style="106" customWidth="1"/>
    <col min="12" max="16384" width="11.5546875" style="2"/>
  </cols>
  <sheetData>
    <row r="1" spans="1:11" s="88" customFormat="1" ht="39" thickBot="1" x14ac:dyDescent="0.25">
      <c r="A1" s="108" t="s">
        <v>117</v>
      </c>
      <c r="B1" s="109" t="s">
        <v>162</v>
      </c>
      <c r="C1" s="110" t="s">
        <v>118</v>
      </c>
      <c r="D1" s="110" t="s">
        <v>119</v>
      </c>
      <c r="E1" s="110" t="s">
        <v>120</v>
      </c>
      <c r="F1" s="110" t="s">
        <v>121</v>
      </c>
      <c r="G1" s="108" t="s">
        <v>122</v>
      </c>
      <c r="H1" s="108" t="s">
        <v>123</v>
      </c>
      <c r="I1" s="108" t="s">
        <v>124</v>
      </c>
      <c r="J1" s="111" t="s">
        <v>173</v>
      </c>
      <c r="K1" s="107" t="s">
        <v>175</v>
      </c>
    </row>
    <row r="2" spans="1:11" ht="51.75" thickBot="1" x14ac:dyDescent="0.25">
      <c r="A2" s="107" t="s">
        <v>169</v>
      </c>
      <c r="B2" s="113" t="s">
        <v>163</v>
      </c>
      <c r="C2" s="110" t="s">
        <v>96</v>
      </c>
      <c r="D2" s="110" t="s">
        <v>96</v>
      </c>
      <c r="E2" s="110" t="s">
        <v>96</v>
      </c>
      <c r="F2" s="114" t="s">
        <v>96</v>
      </c>
      <c r="G2" s="107">
        <v>22</v>
      </c>
      <c r="H2" s="107">
        <v>22</v>
      </c>
      <c r="I2" s="113">
        <v>22</v>
      </c>
      <c r="J2" s="114" t="s">
        <v>34</v>
      </c>
      <c r="K2" s="107" t="s">
        <v>159</v>
      </c>
    </row>
    <row r="3" spans="1:11" ht="26.25" thickBot="1" x14ac:dyDescent="0.25">
      <c r="A3" s="107" t="s">
        <v>84</v>
      </c>
      <c r="B3" s="115" t="s">
        <v>177</v>
      </c>
      <c r="C3" s="111" t="s">
        <v>125</v>
      </c>
      <c r="D3" s="110" t="s">
        <v>125</v>
      </c>
      <c r="E3" s="111" t="s">
        <v>125</v>
      </c>
      <c r="F3" s="116" t="s">
        <v>125</v>
      </c>
      <c r="G3" s="107">
        <v>26</v>
      </c>
      <c r="H3" s="107">
        <v>23</v>
      </c>
      <c r="I3" s="117">
        <v>26</v>
      </c>
      <c r="J3" s="114" t="s">
        <v>136</v>
      </c>
      <c r="K3" s="107" t="s">
        <v>139</v>
      </c>
    </row>
    <row r="4" spans="1:11" ht="26.25" thickBot="1" x14ac:dyDescent="0.25">
      <c r="A4" s="108" t="s">
        <v>86</v>
      </c>
      <c r="B4" s="115" t="s">
        <v>176</v>
      </c>
      <c r="C4" s="111" t="s">
        <v>126</v>
      </c>
      <c r="D4" s="111" t="s">
        <v>126</v>
      </c>
      <c r="E4" s="111" t="s">
        <v>126</v>
      </c>
      <c r="F4" s="111" t="s">
        <v>126</v>
      </c>
      <c r="G4" s="88"/>
      <c r="H4" s="107">
        <v>24</v>
      </c>
      <c r="I4" s="88"/>
      <c r="J4" s="110" t="s">
        <v>137</v>
      </c>
      <c r="K4" s="88"/>
    </row>
    <row r="5" spans="1:11" ht="26.25" thickBot="1" x14ac:dyDescent="0.25">
      <c r="A5" s="108" t="s">
        <v>89</v>
      </c>
      <c r="B5" s="109" t="s">
        <v>164</v>
      </c>
      <c r="C5" s="111" t="s">
        <v>127</v>
      </c>
      <c r="D5" s="110" t="s">
        <v>128</v>
      </c>
      <c r="E5" s="118"/>
      <c r="F5" s="111" t="s">
        <v>129</v>
      </c>
      <c r="G5" s="88"/>
      <c r="H5" s="107">
        <v>26</v>
      </c>
      <c r="I5" s="88"/>
      <c r="J5" s="110" t="s">
        <v>122</v>
      </c>
      <c r="K5" s="88"/>
    </row>
    <row r="6" spans="1:11" ht="39" thickBot="1" x14ac:dyDescent="0.25">
      <c r="A6" s="108" t="s">
        <v>87</v>
      </c>
      <c r="B6" s="109" t="s">
        <v>86</v>
      </c>
      <c r="C6" s="88"/>
      <c r="D6" s="111" t="s">
        <v>129</v>
      </c>
      <c r="E6" s="118"/>
      <c r="F6" s="118"/>
      <c r="G6" s="88"/>
      <c r="H6" s="88"/>
      <c r="I6" s="88"/>
      <c r="J6" s="110" t="s">
        <v>123</v>
      </c>
      <c r="K6" s="88"/>
    </row>
    <row r="7" spans="1:11" ht="26.25" thickBot="1" x14ac:dyDescent="0.25">
      <c r="A7" s="108" t="s">
        <v>130</v>
      </c>
      <c r="B7" s="109" t="s">
        <v>165</v>
      </c>
      <c r="C7" s="118"/>
      <c r="D7" s="88"/>
      <c r="E7" s="118"/>
      <c r="F7" s="118"/>
      <c r="G7" s="88"/>
      <c r="H7" s="88"/>
      <c r="I7" s="88"/>
      <c r="J7" s="110" t="s">
        <v>124</v>
      </c>
      <c r="K7" s="88"/>
    </row>
    <row r="8" spans="1:11" ht="13.5" thickBot="1" x14ac:dyDescent="0.25">
      <c r="A8" s="108" t="s">
        <v>90</v>
      </c>
      <c r="B8" s="109" t="s">
        <v>166</v>
      </c>
      <c r="C8" s="88"/>
      <c r="D8" s="88"/>
      <c r="E8" s="88"/>
      <c r="F8" s="88"/>
      <c r="G8" s="88"/>
      <c r="H8" s="88"/>
      <c r="I8" s="88"/>
      <c r="J8" s="110" t="s">
        <v>41</v>
      </c>
      <c r="K8" s="88"/>
    </row>
    <row r="9" spans="1:11" ht="26.25" thickBot="1" x14ac:dyDescent="0.25">
      <c r="A9" s="108" t="s">
        <v>131</v>
      </c>
      <c r="B9" s="109" t="s">
        <v>167</v>
      </c>
      <c r="C9" s="88"/>
      <c r="D9" s="88"/>
      <c r="E9" s="119"/>
      <c r="F9" s="119"/>
      <c r="G9" s="88"/>
      <c r="H9" s="88"/>
      <c r="I9" s="88"/>
      <c r="J9" s="110" t="s">
        <v>138</v>
      </c>
      <c r="K9" s="88"/>
    </row>
    <row r="10" spans="1:11" ht="13.5" thickBot="1" x14ac:dyDescent="0.25">
      <c r="A10" s="108" t="s">
        <v>88</v>
      </c>
      <c r="B10" s="109" t="s">
        <v>178</v>
      </c>
      <c r="C10" s="119"/>
      <c r="D10" s="88"/>
      <c r="E10" s="88"/>
      <c r="F10" s="88"/>
      <c r="G10" s="88"/>
      <c r="H10" s="88"/>
      <c r="I10" s="88"/>
      <c r="J10" s="88"/>
      <c r="K10" s="88"/>
    </row>
    <row r="11" spans="1:11" ht="26.25" thickBot="1" x14ac:dyDescent="0.25">
      <c r="A11" s="108" t="s">
        <v>132</v>
      </c>
      <c r="B11" s="109" t="s">
        <v>168</v>
      </c>
      <c r="C11" s="119"/>
      <c r="D11" s="88"/>
      <c r="E11" s="88"/>
      <c r="F11" s="88"/>
      <c r="G11" s="88"/>
      <c r="H11" s="88"/>
      <c r="I11" s="88"/>
      <c r="J11" s="88"/>
      <c r="K11" s="88"/>
    </row>
    <row r="12" spans="1:11" ht="13.5" thickBot="1" x14ac:dyDescent="0.25">
      <c r="A12" s="108" t="s">
        <v>133</v>
      </c>
      <c r="B12" s="88"/>
      <c r="C12" s="88"/>
      <c r="D12" s="88"/>
      <c r="E12" s="88"/>
      <c r="F12" s="88"/>
      <c r="G12" s="88"/>
      <c r="H12" s="88"/>
      <c r="I12" s="88"/>
      <c r="J12" s="88"/>
      <c r="K12" s="88"/>
    </row>
    <row r="13" spans="1:11" ht="26.25" thickBot="1" x14ac:dyDescent="0.25">
      <c r="A13" s="108" t="s">
        <v>170</v>
      </c>
      <c r="C13" s="88"/>
      <c r="D13" s="88"/>
      <c r="E13" s="88"/>
      <c r="F13" s="88"/>
      <c r="G13" s="88"/>
      <c r="H13" s="88"/>
      <c r="I13" s="88"/>
      <c r="J13" s="88"/>
      <c r="K13" s="88"/>
    </row>
    <row r="26" spans="1:2" x14ac:dyDescent="0.2">
      <c r="A26" s="112"/>
      <c r="B26" s="112"/>
    </row>
    <row r="29" spans="1:2" x14ac:dyDescent="0.2">
      <c r="A29" s="112"/>
      <c r="B29" s="112"/>
    </row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4">
    <tabColor rgb="FFFFC000"/>
  </sheetPr>
  <dimension ref="A1:AU252"/>
  <sheetViews>
    <sheetView topLeftCell="AA1" zoomScaleNormal="100" workbookViewId="0"/>
  </sheetViews>
  <sheetFormatPr baseColWidth="10" defaultColWidth="11.5546875" defaultRowHeight="15" x14ac:dyDescent="0.2"/>
  <cols>
    <col min="1" max="1" width="3.5546875" style="235" bestFit="1" customWidth="1"/>
    <col min="2" max="3" width="11.33203125" style="151" customWidth="1"/>
    <col min="4" max="4" width="3.77734375" style="166" customWidth="1"/>
    <col min="5" max="7" width="8.21875" style="151" customWidth="1"/>
    <col min="8" max="8" width="9.33203125" style="151" customWidth="1"/>
    <col min="9" max="12" width="8.21875" style="151" customWidth="1"/>
    <col min="13" max="13" width="3.109375" style="166" customWidth="1"/>
    <col min="14" max="14" width="16.33203125" style="166" customWidth="1"/>
    <col min="15" max="15" width="8.109375" style="166" customWidth="1"/>
    <col min="16" max="16" width="11.5546875" style="166"/>
    <col min="17" max="18" width="14.44140625" style="166" customWidth="1"/>
    <col min="19" max="19" width="13.88671875" style="166" bestFit="1" customWidth="1"/>
    <col min="20" max="20" width="26.77734375" style="166" bestFit="1" customWidth="1"/>
    <col min="21" max="22" width="9.77734375" style="166" bestFit="1" customWidth="1"/>
    <col min="23" max="23" width="26.5546875" style="166" bestFit="1" customWidth="1"/>
    <col min="24" max="24" width="9.88671875" style="166" bestFit="1" customWidth="1"/>
    <col min="25" max="26" width="9.77734375" style="166" bestFit="1" customWidth="1"/>
    <col min="27" max="27" width="3.5546875" style="235" bestFit="1" customWidth="1"/>
    <col min="28" max="30" width="6.5546875" style="151" customWidth="1"/>
    <col min="31" max="31" width="45" style="151" bestFit="1" customWidth="1"/>
    <col min="32" max="36" width="11.33203125" style="151" customWidth="1"/>
    <col min="37" max="37" width="3.5546875" style="235" bestFit="1" customWidth="1"/>
    <col min="38" max="47" width="11.21875" style="166" customWidth="1"/>
    <col min="48" max="16384" width="11.5546875" style="151"/>
  </cols>
  <sheetData>
    <row r="1" spans="1:47" s="181" customFormat="1" ht="62.25" thickBot="1" x14ac:dyDescent="0.35">
      <c r="A1" s="240" t="s">
        <v>179</v>
      </c>
      <c r="B1" s="167" t="s">
        <v>181</v>
      </c>
      <c r="C1" s="168" t="s">
        <v>4</v>
      </c>
      <c r="D1" s="166"/>
      <c r="E1" s="242" t="s">
        <v>203</v>
      </c>
      <c r="F1" s="243"/>
      <c r="G1" s="148" t="s">
        <v>6</v>
      </c>
      <c r="H1" s="148" t="s">
        <v>204</v>
      </c>
      <c r="I1" s="148" t="s">
        <v>205</v>
      </c>
      <c r="J1" s="148" t="s">
        <v>18</v>
      </c>
      <c r="K1" s="148" t="s">
        <v>206</v>
      </c>
      <c r="L1" s="148" t="s">
        <v>11</v>
      </c>
      <c r="M1" s="166"/>
      <c r="N1" s="169" t="str">
        <f>"SOLL-Arbeitszeit Schuljahr "&amp;Schuljahr</f>
        <v>SOLL-Arbeitszeit Schuljahr 2026/2027</v>
      </c>
      <c r="O1" s="168" t="s">
        <v>4</v>
      </c>
      <c r="P1" s="170" t="str">
        <f>"Schulferien Schuljahr "&amp;Schuljahr</f>
        <v>Schulferien Schuljahr 2026/2027</v>
      </c>
      <c r="Q1" s="171" t="s">
        <v>221</v>
      </c>
      <c r="R1" s="171" t="s">
        <v>222</v>
      </c>
      <c r="S1" s="172"/>
      <c r="T1" s="167" t="str">
        <f>"Feiertage Schuljahr "&amp;Schuljahr</f>
        <v>Feiertage Schuljahr 2026/2027</v>
      </c>
      <c r="U1" s="172" t="s">
        <v>23</v>
      </c>
      <c r="V1" s="172" t="s">
        <v>156</v>
      </c>
      <c r="W1" s="173" t="str">
        <f>"Feiertage halb Schuljahr "&amp;Schuljahr</f>
        <v>Feiertage halb Schuljahr 2026/2027</v>
      </c>
      <c r="X1" s="171"/>
      <c r="Y1" s="173" t="s">
        <v>23</v>
      </c>
      <c r="Z1" s="173" t="s">
        <v>156</v>
      </c>
      <c r="AA1" s="240" t="s">
        <v>223</v>
      </c>
      <c r="AB1" s="241" t="s">
        <v>1</v>
      </c>
      <c r="AC1" s="241"/>
      <c r="AD1" s="241"/>
      <c r="AE1" s="174" t="s">
        <v>5</v>
      </c>
      <c r="AF1" s="174" t="s">
        <v>9</v>
      </c>
      <c r="AG1" s="175" t="s">
        <v>174</v>
      </c>
      <c r="AH1" s="174" t="s">
        <v>134</v>
      </c>
      <c r="AI1" s="174" t="s">
        <v>135</v>
      </c>
      <c r="AJ1" s="174" t="s">
        <v>11</v>
      </c>
      <c r="AK1" s="240" t="s">
        <v>180</v>
      </c>
      <c r="AL1" s="176" t="s">
        <v>14</v>
      </c>
      <c r="AM1" s="177"/>
      <c r="AN1" s="177"/>
      <c r="AO1" s="178" t="s">
        <v>17</v>
      </c>
      <c r="AP1" s="179"/>
      <c r="AQ1" s="179"/>
      <c r="AR1" s="179"/>
      <c r="AS1" s="179"/>
      <c r="AT1" s="179"/>
      <c r="AU1" s="180"/>
    </row>
    <row r="2" spans="1:47" ht="16.5" thickBot="1" x14ac:dyDescent="0.3">
      <c r="A2" s="240"/>
      <c r="B2" s="182" t="s">
        <v>219</v>
      </c>
      <c r="C2" s="183">
        <f>+O14</f>
        <v>2108.4</v>
      </c>
      <c r="E2" s="184" t="s">
        <v>207</v>
      </c>
      <c r="F2" s="184"/>
      <c r="G2" s="185">
        <v>25</v>
      </c>
      <c r="H2" s="159">
        <f>COUNTIFS(R:R,"Werktag")-G2-SUMPRODUCT(U2:U11,V2:V11)-SUMPRODUCT(Y2:Y5,Z2:Z5)/2</f>
        <v>34</v>
      </c>
      <c r="I2" s="158">
        <f>COUNTIFS([1]Zeitdokumentation!E:E,"Wochenende")</f>
        <v>105</v>
      </c>
      <c r="J2" s="158">
        <f>COUNTIFS([1]Zeitdokumentation!E:E,"Unterrichtstag")</f>
        <v>192</v>
      </c>
      <c r="K2" s="158">
        <f>SUM(V1:V11)+SUM(Z1:Z5)*0.5</f>
        <v>9</v>
      </c>
      <c r="L2" s="186">
        <f>SUM(G2:K2)</f>
        <v>365</v>
      </c>
      <c r="N2" s="184" t="s">
        <v>33</v>
      </c>
      <c r="O2" s="163">
        <v>176.4</v>
      </c>
      <c r="P2" s="158" t="str" cm="1">
        <f t="array" ref="P2">IF(ROW(A1)&gt;SUM($I$20:$I$25),"",INDEX($F$20:$F$25,SUMPRODUCT(($J$20:$J$25&lt;ROW(A1))*1)+1))</f>
        <v>Sommer</v>
      </c>
      <c r="Q2" s="156" cm="1">
        <f t="array" ref="Q2">IF(ROW(A1)&gt;SUM($I$20:$I$25),"",INDEX($G$20:$G$25,SUMPRODUCT(($J$20:$J$25&lt;ROW(A1))*1)+1)+ROW(A1)-IF(SUMPRODUCT(($J$20:$J$25&lt;ROW(A1))*1)+1=1,1,INDEX($J$20:$J$25,SUMPRODUCT(($J$20:$J$25&lt;ROW(A1))*1)+1-1)+1))</f>
        <v>44773</v>
      </c>
      <c r="R2" s="157" t="str">
        <f>IF(Q2="","",IF(WEEKDAY(Q2,2)&gt;5,"Wochenende","Werktag"))</f>
        <v>Wochenende</v>
      </c>
      <c r="S2" s="187" t="s">
        <v>143</v>
      </c>
      <c r="T2" s="160">
        <v>44773</v>
      </c>
      <c r="U2" s="188">
        <f t="shared" ref="U2:U11" si="0">COUNTIF(Q:Q,T2)</f>
        <v>1</v>
      </c>
      <c r="V2" s="189">
        <f t="shared" ref="V2:V11" si="1">IF(WEEKDAY(T2,2)&gt;5,0,1)</f>
        <v>0</v>
      </c>
      <c r="W2" s="190" t="s">
        <v>150</v>
      </c>
      <c r="X2" s="160">
        <v>44918</v>
      </c>
      <c r="Y2" s="188">
        <f>COUNTIF(Q:Q,X2)</f>
        <v>1</v>
      </c>
      <c r="Z2" s="189">
        <f>IF(WEEKDAY(X2,2)&gt;5,0,1)</f>
        <v>1</v>
      </c>
      <c r="AA2" s="240"/>
      <c r="AB2" s="238" t="s">
        <v>7</v>
      </c>
      <c r="AC2" s="238"/>
      <c r="AD2" s="239" t="s">
        <v>8</v>
      </c>
      <c r="AE2" s="191" t="s">
        <v>34</v>
      </c>
      <c r="AF2" s="192">
        <v>28</v>
      </c>
      <c r="AG2" s="192" t="str">
        <f>+AE2&amp;AF2</f>
        <v>Kindergarten28</v>
      </c>
      <c r="AH2" s="193">
        <v>0.83799999999999997</v>
      </c>
      <c r="AI2" s="193">
        <v>0.16200000000000001</v>
      </c>
      <c r="AJ2" s="194">
        <f t="shared" ref="AJ2:AJ12" si="2">SUM(AH2:AI2)</f>
        <v>1</v>
      </c>
      <c r="AK2" s="240"/>
      <c r="AL2" s="195"/>
      <c r="AM2" s="196" t="s">
        <v>15</v>
      </c>
      <c r="AN2" s="197" t="s">
        <v>16</v>
      </c>
      <c r="AO2" s="198" t="s">
        <v>18</v>
      </c>
      <c r="AP2" s="198" t="s">
        <v>20</v>
      </c>
      <c r="AQ2" s="198" t="s">
        <v>21</v>
      </c>
      <c r="AR2" s="198" t="s">
        <v>22</v>
      </c>
      <c r="AS2" s="198" t="s">
        <v>23</v>
      </c>
      <c r="AT2" s="198" t="s">
        <v>24</v>
      </c>
    </row>
    <row r="3" spans="1:47" ht="16.5" thickBot="1" x14ac:dyDescent="0.3">
      <c r="A3" s="240"/>
      <c r="B3" s="166" t="s">
        <v>208</v>
      </c>
      <c r="C3" s="166" t="s">
        <v>209</v>
      </c>
      <c r="E3" s="184" t="s">
        <v>157</v>
      </c>
      <c r="F3" s="184"/>
      <c r="G3" s="158">
        <f>+G2/5</f>
        <v>5</v>
      </c>
      <c r="H3" s="158">
        <f>+H2/5</f>
        <v>6.8</v>
      </c>
      <c r="I3" s="166"/>
      <c r="J3" s="158">
        <f>+J2/5</f>
        <v>38.4</v>
      </c>
      <c r="K3" s="158">
        <f>+K2/5</f>
        <v>1.8</v>
      </c>
      <c r="L3" s="199">
        <f>SUM(G3:K3)</f>
        <v>52</v>
      </c>
      <c r="N3" s="184" t="s">
        <v>36</v>
      </c>
      <c r="O3" s="164">
        <v>184.8</v>
      </c>
      <c r="P3" s="158" t="str" cm="1">
        <f t="array" ref="P3">IF(ROW(A2)&gt;SUM($I$20:$I$25),"",INDEX($F$20:$F$25,SUMPRODUCT(($J$20:$J$25&lt;ROW(A2))*1)+1))</f>
        <v>Sommer</v>
      </c>
      <c r="Q3" s="156" cm="1">
        <f t="array" ref="Q3">IF(ROW(A2)&gt;SUM($I$20:$I$25),"",INDEX($G$20:$G$25,SUMPRODUCT(($J$20:$J$25&lt;ROW(A2))*1)+1)+ROW(A2)-IF(SUMPRODUCT(($J$20:$J$25&lt;ROW(A2))*1)+1=1,1,INDEX($J$20:$J$25,SUMPRODUCT(($J$20:$J$25&lt;ROW(A2))*1)+1-1)+1))</f>
        <v>44774</v>
      </c>
      <c r="R3" s="157" t="str">
        <f t="shared" ref="R3:R66" si="3">IF(Q3="","",IF(WEEKDAY(Q3,2)&gt;5,"Wochenende","Werktag"))</f>
        <v>Wochenende</v>
      </c>
      <c r="S3" s="187" t="s">
        <v>144</v>
      </c>
      <c r="T3" s="161">
        <v>44919</v>
      </c>
      <c r="U3" s="188">
        <f t="shared" si="0"/>
        <v>1</v>
      </c>
      <c r="V3" s="189">
        <f t="shared" si="1"/>
        <v>1</v>
      </c>
      <c r="W3" s="190" t="s">
        <v>149</v>
      </c>
      <c r="X3" s="161">
        <v>44925</v>
      </c>
      <c r="Y3" s="188">
        <f>COUNTIF(Q:Q,X3)</f>
        <v>1</v>
      </c>
      <c r="Z3" s="189">
        <f>IF(WEEKDAY(X3,2)&gt;5,0,1)</f>
        <v>1</v>
      </c>
      <c r="AA3" s="240"/>
      <c r="AB3" s="200" t="s">
        <v>2</v>
      </c>
      <c r="AC3" s="200" t="s">
        <v>3</v>
      </c>
      <c r="AD3" s="239"/>
      <c r="AE3" s="191" t="s">
        <v>136</v>
      </c>
      <c r="AF3" s="192">
        <v>28</v>
      </c>
      <c r="AG3" s="192" t="str">
        <f t="shared" ref="AG3:AG14" si="4">+AE3&amp;AF3</f>
        <v>Primarschule28</v>
      </c>
      <c r="AH3" s="193">
        <v>0.83799999999999997</v>
      </c>
      <c r="AI3" s="193">
        <v>0.16200000000000001</v>
      </c>
      <c r="AJ3" s="194">
        <f t="shared" si="2"/>
        <v>1</v>
      </c>
      <c r="AK3" s="240"/>
      <c r="AL3" s="195">
        <v>1</v>
      </c>
      <c r="AM3" s="189" t="s">
        <v>18</v>
      </c>
      <c r="AN3" s="201" t="s">
        <v>19</v>
      </c>
      <c r="AO3" s="202" t="s">
        <v>27</v>
      </c>
      <c r="AP3" s="202" t="s">
        <v>28</v>
      </c>
      <c r="AQ3" s="202" t="s">
        <v>29</v>
      </c>
      <c r="AR3" s="202" t="s">
        <v>30</v>
      </c>
      <c r="AS3" s="202" t="s">
        <v>31</v>
      </c>
      <c r="AT3" s="202" t="s">
        <v>32</v>
      </c>
    </row>
    <row r="4" spans="1:47" ht="15.75" thickBot="1" x14ac:dyDescent="0.25">
      <c r="A4" s="240"/>
      <c r="B4" s="203">
        <v>44773</v>
      </c>
      <c r="C4" s="204">
        <v>45137</v>
      </c>
      <c r="E4" s="166" t="s">
        <v>210</v>
      </c>
      <c r="F4" s="166"/>
      <c r="G4" s="166"/>
      <c r="H4" s="166"/>
      <c r="I4" s="166"/>
      <c r="J4" s="166"/>
      <c r="K4" s="166"/>
      <c r="L4" s="166"/>
      <c r="N4" s="184" t="s">
        <v>40</v>
      </c>
      <c r="O4" s="164">
        <v>184.8</v>
      </c>
      <c r="P4" s="158" t="str" cm="1">
        <f t="array" ref="P4">IF(ROW(A3)&gt;SUM($I$20:$I$25),"",INDEX($F$20:$F$25,SUMPRODUCT(($J$20:$J$25&lt;ROW(A3))*1)+1))</f>
        <v>Sommer</v>
      </c>
      <c r="Q4" s="156" cm="1">
        <f t="array" ref="Q4">IF(ROW(A3)&gt;SUM($I$20:$I$25),"",INDEX($G$20:$G$25,SUMPRODUCT(($J$20:$J$25&lt;ROW(A3))*1)+1)+ROW(A3)-IF(SUMPRODUCT(($J$20:$J$25&lt;ROW(A3))*1)+1=1,1,INDEX($J$20:$J$25,SUMPRODUCT(($J$20:$J$25&lt;ROW(A3))*1)+1-1)+1))</f>
        <v>44775</v>
      </c>
      <c r="R4" s="157" t="str">
        <f t="shared" si="3"/>
        <v>Werktag</v>
      </c>
      <c r="S4" s="187" t="s">
        <v>145</v>
      </c>
      <c r="T4" s="161">
        <v>44920</v>
      </c>
      <c r="U4" s="188">
        <f t="shared" si="0"/>
        <v>1</v>
      </c>
      <c r="V4" s="189">
        <f t="shared" si="1"/>
        <v>0</v>
      </c>
      <c r="W4" s="190" t="s">
        <v>151</v>
      </c>
      <c r="X4" s="161">
        <v>44971</v>
      </c>
      <c r="Y4" s="188">
        <f>COUNTIF(Q:Q,X4)</f>
        <v>1</v>
      </c>
      <c r="Z4" s="189">
        <f>IF(WEEKDAY(X4,2)&gt;5,0,1)</f>
        <v>1</v>
      </c>
      <c r="AA4" s="240"/>
      <c r="AB4" s="205">
        <v>0</v>
      </c>
      <c r="AC4" s="205">
        <v>49</v>
      </c>
      <c r="AD4" s="205">
        <v>25</v>
      </c>
      <c r="AE4" s="191" t="s">
        <v>137</v>
      </c>
      <c r="AF4" s="192">
        <v>27</v>
      </c>
      <c r="AG4" s="192" t="str">
        <f t="shared" si="4"/>
        <v>Sekundarschule27</v>
      </c>
      <c r="AH4" s="193">
        <v>0.87</v>
      </c>
      <c r="AI4" s="193">
        <v>0.13</v>
      </c>
      <c r="AJ4" s="194">
        <f t="shared" si="2"/>
        <v>1</v>
      </c>
      <c r="AK4" s="240"/>
      <c r="AL4" s="195">
        <v>2</v>
      </c>
      <c r="AM4" s="189" t="s">
        <v>25</v>
      </c>
      <c r="AN4" s="201" t="s">
        <v>26</v>
      </c>
      <c r="AO4" s="189" t="str">
        <f>Param1</f>
        <v>Unterrichtstag</v>
      </c>
      <c r="AP4" s="189" t="str">
        <f>Param7</f>
        <v>Wochenende</v>
      </c>
      <c r="AQ4" s="189" t="str">
        <f>Param8</f>
        <v>Feiertag</v>
      </c>
      <c r="AR4" s="189" t="str">
        <f>Param1</f>
        <v>Unterrichtstag</v>
      </c>
      <c r="AS4" s="189" t="str">
        <f>Param2</f>
        <v>unterrichtsfreie Arbeitszeit</v>
      </c>
      <c r="AT4" s="189" t="str">
        <f>Param10</f>
        <v>unbezahlter Urlaub</v>
      </c>
    </row>
    <row r="5" spans="1:47" ht="15.75" thickBot="1" x14ac:dyDescent="0.25">
      <c r="A5" s="240"/>
      <c r="B5" s="166"/>
      <c r="C5" s="166"/>
      <c r="E5" s="166"/>
      <c r="F5" s="166"/>
      <c r="G5" s="166"/>
      <c r="H5" s="166"/>
      <c r="I5" s="166"/>
      <c r="J5" s="166"/>
      <c r="K5" s="166"/>
      <c r="L5" s="166"/>
      <c r="N5" s="184" t="s">
        <v>45</v>
      </c>
      <c r="O5" s="164">
        <v>176.4</v>
      </c>
      <c r="P5" s="158" t="str" cm="1">
        <f t="array" ref="P5">IF(ROW(A4)&gt;SUM($I$20:$I$25),"",INDEX($F$20:$F$25,SUMPRODUCT(($J$20:$J$25&lt;ROW(A4))*1)+1))</f>
        <v>Sommer</v>
      </c>
      <c r="Q5" s="156" cm="1">
        <f t="array" ref="Q5">IF(ROW(A4)&gt;SUM($I$20:$I$25),"",INDEX($G$20:$G$25,SUMPRODUCT(($J$20:$J$25&lt;ROW(A4))*1)+1)+ROW(A4)-IF(SUMPRODUCT(($J$20:$J$25&lt;ROW(A4))*1)+1=1,1,INDEX($J$20:$J$25,SUMPRODUCT(($J$20:$J$25&lt;ROW(A4))*1)+1-1)+1))</f>
        <v>44776</v>
      </c>
      <c r="R5" s="157" t="str">
        <f t="shared" si="3"/>
        <v>Werktag</v>
      </c>
      <c r="S5" s="187" t="s">
        <v>146</v>
      </c>
      <c r="T5" s="161">
        <v>44926</v>
      </c>
      <c r="U5" s="188">
        <f t="shared" si="0"/>
        <v>1</v>
      </c>
      <c r="V5" s="189">
        <f t="shared" si="1"/>
        <v>1</v>
      </c>
      <c r="W5" s="190" t="s">
        <v>152</v>
      </c>
      <c r="X5" s="162">
        <v>44973</v>
      </c>
      <c r="Y5" s="188">
        <f>COUNTIF(Q:Q,X5)</f>
        <v>1</v>
      </c>
      <c r="Z5" s="189">
        <f>IF(WEEKDAY(X5,2)&gt;5,0,1)</f>
        <v>1</v>
      </c>
      <c r="AA5" s="240"/>
      <c r="AB5" s="205">
        <v>50</v>
      </c>
      <c r="AC5" s="205">
        <v>59</v>
      </c>
      <c r="AD5" s="205">
        <v>27</v>
      </c>
      <c r="AE5" s="191" t="s">
        <v>122</v>
      </c>
      <c r="AF5" s="192">
        <v>22</v>
      </c>
      <c r="AG5" s="192" t="str">
        <f t="shared" si="4"/>
        <v>Gymnasium und FMS22</v>
      </c>
      <c r="AH5" s="193">
        <v>0.878</v>
      </c>
      <c r="AI5" s="193">
        <v>0.122</v>
      </c>
      <c r="AJ5" s="194">
        <f t="shared" si="2"/>
        <v>1</v>
      </c>
      <c r="AK5" s="240"/>
      <c r="AL5" s="195">
        <v>3</v>
      </c>
      <c r="AM5" s="189" t="s">
        <v>35</v>
      </c>
      <c r="AN5" s="201" t="s">
        <v>26</v>
      </c>
      <c r="AO5" s="189" t="str">
        <f>Param2</f>
        <v>unterrichtsfreie Arbeitszeit</v>
      </c>
      <c r="AP5" s="189"/>
      <c r="AQ5" s="189"/>
      <c r="AR5" s="189" t="str">
        <f>Param2</f>
        <v>unterrichtsfreie Arbeitszeit</v>
      </c>
      <c r="AS5" s="189" t="str">
        <f>Param3</f>
        <v>ausserschulischer Unterricht</v>
      </c>
      <c r="AT5" s="189"/>
    </row>
    <row r="6" spans="1:47" ht="15.75" thickBot="1" x14ac:dyDescent="0.25">
      <c r="A6" s="240"/>
      <c r="B6" s="166"/>
      <c r="C6" s="166"/>
      <c r="E6" s="166"/>
      <c r="F6" s="166"/>
      <c r="G6" s="166"/>
      <c r="H6" s="206"/>
      <c r="I6" s="166"/>
      <c r="J6" s="166">
        <f>COUNTIFS([1]Zeitdokumentation!E:E,"Unterrichtstag")</f>
        <v>192</v>
      </c>
      <c r="K6" s="166"/>
      <c r="L6" s="166"/>
      <c r="N6" s="184" t="s">
        <v>47</v>
      </c>
      <c r="O6" s="164">
        <v>176.4</v>
      </c>
      <c r="P6" s="158" t="str" cm="1">
        <f t="array" ref="P6">IF(ROW(A5)&gt;SUM($I$20:$I$25),"",INDEX($F$20:$F$25,SUMPRODUCT(($J$20:$J$25&lt;ROW(A5))*1)+1))</f>
        <v>Sommer</v>
      </c>
      <c r="Q6" s="156" cm="1">
        <f t="array" ref="Q6">IF(ROW(A5)&gt;SUM($I$20:$I$25),"",INDEX($G$20:$G$25,SUMPRODUCT(($J$20:$J$25&lt;ROW(A5))*1)+1)+ROW(A5)-IF(SUMPRODUCT(($J$20:$J$25&lt;ROW(A5))*1)+1=1,1,INDEX($J$20:$J$25,SUMPRODUCT(($J$20:$J$25&lt;ROW(A5))*1)+1-1)+1))</f>
        <v>44777</v>
      </c>
      <c r="R6" s="157" t="str">
        <f t="shared" si="3"/>
        <v>Werktag</v>
      </c>
      <c r="S6" s="187" t="s">
        <v>147</v>
      </c>
      <c r="T6" s="161">
        <v>45010</v>
      </c>
      <c r="U6" s="188">
        <f t="shared" si="0"/>
        <v>1</v>
      </c>
      <c r="V6" s="189">
        <f t="shared" si="1"/>
        <v>1</v>
      </c>
      <c r="AA6" s="240"/>
      <c r="AB6" s="205">
        <v>60</v>
      </c>
      <c r="AC6" s="205">
        <v>65</v>
      </c>
      <c r="AD6" s="205">
        <v>30</v>
      </c>
      <c r="AE6" s="191" t="s">
        <v>122</v>
      </c>
      <c r="AF6" s="192">
        <v>26</v>
      </c>
      <c r="AG6" s="192" t="str">
        <f t="shared" si="4"/>
        <v>Gymnasium und FMS26</v>
      </c>
      <c r="AH6" s="193">
        <v>0.871</v>
      </c>
      <c r="AI6" s="193">
        <v>0.129</v>
      </c>
      <c r="AJ6" s="194">
        <f t="shared" si="2"/>
        <v>1</v>
      </c>
      <c r="AK6" s="240"/>
      <c r="AL6" s="195">
        <v>4</v>
      </c>
      <c r="AM6" s="189" t="s">
        <v>37</v>
      </c>
      <c r="AN6" s="207" t="s">
        <v>38</v>
      </c>
      <c r="AO6" s="189" t="str">
        <f>Param3</f>
        <v>ausserschulischer Unterricht</v>
      </c>
      <c r="AP6" s="189"/>
      <c r="AQ6" s="189"/>
      <c r="AR6" s="189" t="str">
        <f>Param3</f>
        <v>ausserschulischer Unterricht</v>
      </c>
      <c r="AS6" s="189" t="str">
        <f>Param4</f>
        <v>bezahlte Abwesenheit</v>
      </c>
      <c r="AT6" s="189"/>
    </row>
    <row r="7" spans="1:47" ht="15.75" thickBot="1" x14ac:dyDescent="0.25">
      <c r="A7" s="240"/>
      <c r="B7" s="166"/>
      <c r="C7" s="166"/>
      <c r="E7" s="166"/>
      <c r="F7" s="166"/>
      <c r="G7" s="166"/>
      <c r="H7" s="166"/>
      <c r="I7" s="166"/>
      <c r="J7" s="166"/>
      <c r="K7" s="166"/>
      <c r="L7" s="166"/>
      <c r="N7" s="184" t="s">
        <v>49</v>
      </c>
      <c r="O7" s="164">
        <v>168</v>
      </c>
      <c r="P7" s="158" t="str" cm="1">
        <f t="array" ref="P7">IF(ROW(A6)&gt;SUM($I$20:$I$25),"",INDEX($F$20:$F$25,SUMPRODUCT(($J$20:$J$25&lt;ROW(A6))*1)+1))</f>
        <v>Sommer</v>
      </c>
      <c r="Q7" s="156" cm="1">
        <f t="array" ref="Q7">IF(ROW(A6)&gt;SUM($I$20:$I$25),"",INDEX($G$20:$G$25,SUMPRODUCT(($J$20:$J$25&lt;ROW(A6))*1)+1)+ROW(A6)-IF(SUMPRODUCT(($J$20:$J$25&lt;ROW(A6))*1)+1=1,1,INDEX($J$20:$J$25,SUMPRODUCT(($J$20:$J$25&lt;ROW(A6))*1)+1-1)+1))</f>
        <v>44778</v>
      </c>
      <c r="R7" s="157" t="str">
        <f t="shared" si="3"/>
        <v>Werktag</v>
      </c>
      <c r="S7" s="187" t="s">
        <v>148</v>
      </c>
      <c r="T7" s="161">
        <v>45013</v>
      </c>
      <c r="U7" s="188">
        <f t="shared" si="0"/>
        <v>1</v>
      </c>
      <c r="V7" s="189">
        <f t="shared" si="1"/>
        <v>1</v>
      </c>
      <c r="AA7" s="240"/>
      <c r="AE7" s="191" t="s">
        <v>123</v>
      </c>
      <c r="AF7" s="192">
        <v>22</v>
      </c>
      <c r="AG7" s="192" t="str">
        <f t="shared" si="4"/>
        <v>Berufsfachschulen und schulische Module Brückenangebote22</v>
      </c>
      <c r="AH7" s="193">
        <v>0.878</v>
      </c>
      <c r="AI7" s="193">
        <v>0.122</v>
      </c>
      <c r="AJ7" s="194">
        <f t="shared" si="2"/>
        <v>1</v>
      </c>
      <c r="AK7" s="240"/>
      <c r="AL7" s="195">
        <v>5</v>
      </c>
      <c r="AM7" s="189" t="s">
        <v>42</v>
      </c>
      <c r="AN7" s="207" t="s">
        <v>43</v>
      </c>
      <c r="AO7" s="189" t="str">
        <f>Param4</f>
        <v>bezahlte Abwesenheit</v>
      </c>
      <c r="AP7" s="189"/>
      <c r="AQ7" s="189"/>
      <c r="AR7" s="189" t="str">
        <f>Param4</f>
        <v>bezahlte Abwesenheit</v>
      </c>
      <c r="AS7" s="189" t="str">
        <f>Param5</f>
        <v>Gleitzeit</v>
      </c>
      <c r="AT7" s="189"/>
    </row>
    <row r="8" spans="1:47" ht="15.75" thickBot="1" x14ac:dyDescent="0.25">
      <c r="A8" s="240"/>
      <c r="B8" s="208"/>
      <c r="E8" s="209" t="s">
        <v>211</v>
      </c>
      <c r="F8" s="210"/>
      <c r="G8" s="210" t="s">
        <v>6</v>
      </c>
      <c r="H8" s="210" t="s">
        <v>204</v>
      </c>
      <c r="I8" s="210" t="s">
        <v>205</v>
      </c>
      <c r="J8" s="210" t="s">
        <v>18</v>
      </c>
      <c r="K8" s="211" t="s">
        <v>206</v>
      </c>
      <c r="L8" s="210" t="s">
        <v>11</v>
      </c>
      <c r="N8" s="184" t="s">
        <v>51</v>
      </c>
      <c r="O8" s="164">
        <v>159.6</v>
      </c>
      <c r="P8" s="158" t="str" cm="1">
        <f t="array" ref="P8">IF(ROW(A7)&gt;SUM($I$20:$I$25),"",INDEX($F$20:$F$25,SUMPRODUCT(($J$20:$J$25&lt;ROW(A7))*1)+1))</f>
        <v>Sommer</v>
      </c>
      <c r="Q8" s="156" cm="1">
        <f t="array" ref="Q8">IF(ROW(A7)&gt;SUM($I$20:$I$25),"",INDEX($G$20:$G$25,SUMPRODUCT(($J$20:$J$25&lt;ROW(A7))*1)+1)+ROW(A7)-IF(SUMPRODUCT(($J$20:$J$25&lt;ROW(A7))*1)+1=1,1,INDEX($J$20:$J$25,SUMPRODUCT(($J$20:$J$25&lt;ROW(A7))*1)+1-1)+1))</f>
        <v>44779</v>
      </c>
      <c r="R8" s="157" t="str">
        <f t="shared" si="3"/>
        <v>Werktag</v>
      </c>
      <c r="S8" s="212" t="s">
        <v>182</v>
      </c>
      <c r="T8" s="161">
        <v>45046</v>
      </c>
      <c r="U8" s="188">
        <f t="shared" si="0"/>
        <v>0</v>
      </c>
      <c r="V8" s="189">
        <f t="shared" si="1"/>
        <v>0</v>
      </c>
      <c r="Y8" s="213"/>
      <c r="Z8" s="213"/>
      <c r="AA8" s="240"/>
      <c r="AE8" s="191" t="s">
        <v>123</v>
      </c>
      <c r="AF8" s="192">
        <v>23</v>
      </c>
      <c r="AG8" s="192" t="str">
        <f t="shared" si="4"/>
        <v>Berufsfachschulen und schulische Module Brückenangebote23</v>
      </c>
      <c r="AH8" s="193">
        <v>0.876</v>
      </c>
      <c r="AI8" s="193">
        <v>0.124</v>
      </c>
      <c r="AJ8" s="194">
        <f t="shared" si="2"/>
        <v>1</v>
      </c>
      <c r="AK8" s="240"/>
      <c r="AL8" s="195">
        <v>6</v>
      </c>
      <c r="AM8" s="189" t="s">
        <v>6</v>
      </c>
      <c r="AN8" s="207" t="s">
        <v>38</v>
      </c>
      <c r="AO8" s="189" t="str">
        <f>Param5</f>
        <v>Gleitzeit</v>
      </c>
      <c r="AP8" s="189"/>
      <c r="AQ8" s="189"/>
      <c r="AR8" s="189" t="str">
        <f>Param5</f>
        <v>Gleitzeit</v>
      </c>
      <c r="AS8" s="189" t="str">
        <f>Param6</f>
        <v>Ferien</v>
      </c>
      <c r="AT8" s="189"/>
    </row>
    <row r="9" spans="1:47" ht="15.75" thickBot="1" x14ac:dyDescent="0.25">
      <c r="A9" s="240"/>
      <c r="B9" s="214"/>
      <c r="C9" s="214"/>
      <c r="E9" s="215" t="s">
        <v>18</v>
      </c>
      <c r="F9" s="216"/>
      <c r="G9" s="217"/>
      <c r="H9" s="217"/>
      <c r="I9" s="218"/>
      <c r="J9" s="217">
        <f>COUNTIFS([1]Zeitdokumentation!E:E,E9)</f>
        <v>192</v>
      </c>
      <c r="K9" s="218"/>
      <c r="L9" s="219">
        <f>SUM(G9:K9)</f>
        <v>192</v>
      </c>
      <c r="N9" s="184" t="s">
        <v>52</v>
      </c>
      <c r="O9" s="164">
        <v>176.4</v>
      </c>
      <c r="P9" s="158" t="str" cm="1">
        <f t="array" ref="P9">IF(ROW(A8)&gt;SUM($I$20:$I$25),"",INDEX($F$20:$F$25,SUMPRODUCT(($J$20:$J$25&lt;ROW(A8))*1)+1))</f>
        <v>Sommer</v>
      </c>
      <c r="Q9" s="156" cm="1">
        <f t="array" ref="Q9">IF(ROW(A8)&gt;SUM($I$20:$I$25),"",INDEX($G$20:$G$25,SUMPRODUCT(($J$20:$J$25&lt;ROW(A8))*1)+1)+ROW(A8)-IF(SUMPRODUCT(($J$20:$J$25&lt;ROW(A8))*1)+1=1,1,INDEX($J$20:$J$25,SUMPRODUCT(($J$20:$J$25&lt;ROW(A8))*1)+1-1)+1))</f>
        <v>44780</v>
      </c>
      <c r="R9" s="157" t="str">
        <f t="shared" si="3"/>
        <v>Wochenende</v>
      </c>
      <c r="S9" s="187" t="s">
        <v>141</v>
      </c>
      <c r="T9" s="161">
        <v>45051</v>
      </c>
      <c r="U9" s="188">
        <f t="shared" si="0"/>
        <v>0</v>
      </c>
      <c r="V9" s="189">
        <f t="shared" si="1"/>
        <v>1</v>
      </c>
      <c r="AA9" s="240"/>
      <c r="AE9" s="191" t="s">
        <v>123</v>
      </c>
      <c r="AF9" s="192">
        <v>24</v>
      </c>
      <c r="AG9" s="192" t="str">
        <f t="shared" si="4"/>
        <v>Berufsfachschulen und schulische Module Brückenangebote24</v>
      </c>
      <c r="AH9" s="193">
        <v>0.874</v>
      </c>
      <c r="AI9" s="193">
        <v>0.126</v>
      </c>
      <c r="AJ9" s="194">
        <f t="shared" si="2"/>
        <v>1</v>
      </c>
      <c r="AK9" s="240"/>
      <c r="AL9" s="195">
        <v>7</v>
      </c>
      <c r="AM9" s="189" t="s">
        <v>20</v>
      </c>
      <c r="AN9" s="201" t="s">
        <v>26</v>
      </c>
      <c r="AO9" s="189"/>
      <c r="AP9" s="189"/>
      <c r="AQ9" s="189"/>
      <c r="AR9" s="189" t="str">
        <f>Param6</f>
        <v>Ferien</v>
      </c>
      <c r="AS9" s="189"/>
      <c r="AT9" s="189"/>
    </row>
    <row r="10" spans="1:47" ht="15.75" thickBot="1" x14ac:dyDescent="0.25">
      <c r="A10" s="240"/>
      <c r="B10" s="214"/>
      <c r="C10" s="220"/>
      <c r="E10" s="215" t="s">
        <v>20</v>
      </c>
      <c r="F10" s="216"/>
      <c r="G10" s="217"/>
      <c r="H10" s="221"/>
      <c r="I10" s="217">
        <f>COUNTIFS([1]Zeitdokumentation!E:E,E10)</f>
        <v>105</v>
      </c>
      <c r="J10" s="222"/>
      <c r="K10" s="222"/>
      <c r="L10" s="219">
        <f t="shared" ref="L10:L13" si="5">SUM(G10:K10)</f>
        <v>105</v>
      </c>
      <c r="N10" s="184" t="s">
        <v>54</v>
      </c>
      <c r="O10" s="164">
        <v>184.8</v>
      </c>
      <c r="P10" s="158" t="str" cm="1">
        <f t="array" ref="P10">IF(ROW(A9)&gt;SUM($I$20:$I$25),"",INDEX($F$20:$F$25,SUMPRODUCT(($J$20:$J$25&lt;ROW(A9))*1)+1))</f>
        <v>Sommer</v>
      </c>
      <c r="Q10" s="156" cm="1">
        <f t="array" ref="Q10">IF(ROW(A9)&gt;SUM($I$20:$I$25),"",INDEX($G$20:$G$25,SUMPRODUCT(($J$20:$J$25&lt;ROW(A9))*1)+1)+ROW(A9)-IF(SUMPRODUCT(($J$20:$J$25&lt;ROW(A9))*1)+1=1,1,INDEX($J$20:$J$25,SUMPRODUCT(($J$20:$J$25&lt;ROW(A9))*1)+1-1)+1))</f>
        <v>44781</v>
      </c>
      <c r="R10" s="157" t="str">
        <f t="shared" si="3"/>
        <v>Wochenende</v>
      </c>
      <c r="S10" s="187" t="s">
        <v>142</v>
      </c>
      <c r="T10" s="162">
        <v>45062</v>
      </c>
      <c r="U10" s="188">
        <f t="shared" si="0"/>
        <v>0</v>
      </c>
      <c r="V10" s="189">
        <f t="shared" si="1"/>
        <v>1</v>
      </c>
      <c r="AA10" s="240"/>
      <c r="AE10" s="191" t="s">
        <v>123</v>
      </c>
      <c r="AF10" s="192">
        <v>26</v>
      </c>
      <c r="AG10" s="192" t="str">
        <f t="shared" si="4"/>
        <v>Berufsfachschulen und schulische Module Brückenangebote26</v>
      </c>
      <c r="AH10" s="193">
        <v>0.871</v>
      </c>
      <c r="AI10" s="193">
        <v>0.129</v>
      </c>
      <c r="AJ10" s="194">
        <f t="shared" si="2"/>
        <v>1</v>
      </c>
      <c r="AK10" s="240"/>
      <c r="AL10" s="195">
        <v>8</v>
      </c>
      <c r="AM10" s="189" t="s">
        <v>21</v>
      </c>
      <c r="AN10" s="201" t="s">
        <v>26</v>
      </c>
      <c r="AO10" s="189"/>
      <c r="AP10" s="189"/>
      <c r="AQ10" s="189"/>
      <c r="AR10" s="189" t="str">
        <f>Param9</f>
        <v>Feiertag halb</v>
      </c>
      <c r="AS10" s="189"/>
      <c r="AT10" s="189"/>
    </row>
    <row r="11" spans="1:47" ht="15.75" thickBot="1" x14ac:dyDescent="0.25">
      <c r="A11" s="240"/>
      <c r="B11" s="214"/>
      <c r="C11" s="214"/>
      <c r="E11" s="215" t="s">
        <v>212</v>
      </c>
      <c r="F11" s="216"/>
      <c r="G11" s="217"/>
      <c r="H11" s="223">
        <f>COUNTIFS([1]Zeitdokumentation!E:E,E11)-G2</f>
        <v>32</v>
      </c>
      <c r="I11" s="224"/>
      <c r="J11" s="224"/>
      <c r="K11" s="224"/>
      <c r="L11" s="219">
        <f t="shared" si="5"/>
        <v>32</v>
      </c>
      <c r="N11" s="184" t="s">
        <v>55</v>
      </c>
      <c r="O11" s="164">
        <v>151.19999999999999</v>
      </c>
      <c r="P11" s="158" t="str" cm="1">
        <f t="array" ref="P11">IF(ROW(A10)&gt;SUM($I$20:$I$25),"",INDEX($F$20:$F$25,SUMPRODUCT(($J$20:$J$25&lt;ROW(A10))*1)+1))</f>
        <v>Herbst</v>
      </c>
      <c r="Q11" s="156" cm="1">
        <f t="array" ref="Q11">IF(ROW(A10)&gt;SUM($I$20:$I$25),"",INDEX($G$20:$G$25,SUMPRODUCT(($J$20:$J$25&lt;ROW(A10))*1)+1)+ROW(A10)-IF(SUMPRODUCT(($J$20:$J$25&lt;ROW(A10))*1)+1=1,1,INDEX($J$20:$J$25,SUMPRODUCT(($J$20:$J$25&lt;ROW(A10))*1)+1-1)+1))</f>
        <v>44829</v>
      </c>
      <c r="R11" s="157" t="str">
        <f t="shared" si="3"/>
        <v>Wochenende</v>
      </c>
      <c r="S11" s="225" t="s">
        <v>213</v>
      </c>
      <c r="T11" s="162">
        <v>45052</v>
      </c>
      <c r="U11" s="188">
        <f t="shared" si="0"/>
        <v>0</v>
      </c>
      <c r="V11" s="189">
        <f t="shared" si="1"/>
        <v>1</v>
      </c>
      <c r="AA11" s="240"/>
      <c r="AE11" s="191" t="s">
        <v>124</v>
      </c>
      <c r="AF11" s="192">
        <v>22</v>
      </c>
      <c r="AG11" s="192" t="str">
        <f t="shared" si="4"/>
        <v>Berufsmaturitätsschule und WMS22</v>
      </c>
      <c r="AH11" s="193">
        <v>0.878</v>
      </c>
      <c r="AI11" s="193">
        <v>0.122</v>
      </c>
      <c r="AJ11" s="194">
        <f t="shared" si="2"/>
        <v>1</v>
      </c>
      <c r="AK11" s="240"/>
      <c r="AL11" s="195">
        <v>9</v>
      </c>
      <c r="AM11" s="189" t="s">
        <v>22</v>
      </c>
      <c r="AN11" s="201" t="s">
        <v>26</v>
      </c>
    </row>
    <row r="12" spans="1:47" ht="15.75" thickBot="1" x14ac:dyDescent="0.25">
      <c r="A12" s="240"/>
      <c r="B12" s="214"/>
      <c r="E12" s="215" t="s">
        <v>21</v>
      </c>
      <c r="F12" s="216"/>
      <c r="G12" s="217"/>
      <c r="H12" s="221"/>
      <c r="I12" s="218"/>
      <c r="J12" s="218"/>
      <c r="K12" s="217">
        <f>COUNTIFS([1]Zeitdokumentation!E:E,E12)</f>
        <v>7</v>
      </c>
      <c r="L12" s="219">
        <f t="shared" si="5"/>
        <v>7</v>
      </c>
      <c r="N12" s="184" t="s">
        <v>56</v>
      </c>
      <c r="O12" s="164">
        <v>184.8</v>
      </c>
      <c r="P12" s="158" t="str" cm="1">
        <f t="array" ref="P12">IF(ROW(A11)&gt;SUM($I$20:$I$25),"",INDEX($F$20:$F$25,SUMPRODUCT(($J$20:$J$25&lt;ROW(A11))*1)+1))</f>
        <v>Herbst</v>
      </c>
      <c r="Q12" s="156" cm="1">
        <f t="array" ref="Q12">IF(ROW(A11)&gt;SUM($I$20:$I$25),"",INDEX($G$20:$G$25,SUMPRODUCT(($J$20:$J$25&lt;ROW(A11))*1)+1)+ROW(A11)-IF(SUMPRODUCT(($J$20:$J$25&lt;ROW(A11))*1)+1=1,1,INDEX($J$20:$J$25,SUMPRODUCT(($J$20:$J$25&lt;ROW(A11))*1)+1-1)+1))</f>
        <v>44830</v>
      </c>
      <c r="R12" s="157" t="str">
        <f t="shared" si="3"/>
        <v>Wochenende</v>
      </c>
      <c r="AA12" s="240"/>
      <c r="AE12" s="191" t="s">
        <v>124</v>
      </c>
      <c r="AF12" s="192">
        <v>26</v>
      </c>
      <c r="AG12" s="192" t="str">
        <f t="shared" si="4"/>
        <v>Berufsmaturitätsschule und WMS26</v>
      </c>
      <c r="AH12" s="193">
        <v>0.871</v>
      </c>
      <c r="AI12" s="193">
        <v>0.129</v>
      </c>
      <c r="AJ12" s="194">
        <f t="shared" si="2"/>
        <v>1</v>
      </c>
      <c r="AK12" s="240"/>
      <c r="AL12" s="195">
        <v>10</v>
      </c>
      <c r="AM12" s="189" t="s">
        <v>53</v>
      </c>
      <c r="AN12" s="207" t="s">
        <v>43</v>
      </c>
    </row>
    <row r="13" spans="1:47" ht="15.75" thickBot="1" x14ac:dyDescent="0.25">
      <c r="A13" s="240"/>
      <c r="E13" s="215" t="s">
        <v>22</v>
      </c>
      <c r="F13" s="216"/>
      <c r="G13" s="217"/>
      <c r="H13" s="217">
        <f>COUNTIFS([1]Zeitdokumentation!E:E,E13)/2</f>
        <v>2</v>
      </c>
      <c r="I13" s="217"/>
      <c r="J13" s="217"/>
      <c r="K13" s="217">
        <f>COUNTIFS([1]Zeitdokumentation!E:E,E13)/2</f>
        <v>2</v>
      </c>
      <c r="L13" s="219">
        <f t="shared" si="5"/>
        <v>4</v>
      </c>
      <c r="N13" s="184" t="s">
        <v>57</v>
      </c>
      <c r="O13" s="165">
        <v>184.8</v>
      </c>
      <c r="P13" s="158" t="str" cm="1">
        <f t="array" ref="P13">IF(ROW(A12)&gt;SUM($I$20:$I$25),"",INDEX($F$20:$F$25,SUMPRODUCT(($J$20:$J$25&lt;ROW(A12))*1)+1))</f>
        <v>Herbst</v>
      </c>
      <c r="Q13" s="156" cm="1">
        <f t="array" ref="Q13">IF(ROW(A12)&gt;SUM($I$20:$I$25),"",INDEX($G$20:$G$25,SUMPRODUCT(($J$20:$J$25&lt;ROW(A12))*1)+1)+ROW(A12)-IF(SUMPRODUCT(($J$20:$J$25&lt;ROW(A12))*1)+1=1,1,INDEX($J$20:$J$25,SUMPRODUCT(($J$20:$J$25&lt;ROW(A12))*1)+1-1)+1))</f>
        <v>44831</v>
      </c>
      <c r="R13" s="157" t="str">
        <f t="shared" si="3"/>
        <v>Werktag</v>
      </c>
      <c r="AA13" s="240"/>
      <c r="AE13" s="191" t="s">
        <v>41</v>
      </c>
      <c r="AF13" s="192">
        <v>27</v>
      </c>
      <c r="AG13" s="192" t="str">
        <f t="shared" si="4"/>
        <v>Musikschule27</v>
      </c>
      <c r="AH13" s="193">
        <v>0.83799999999999997</v>
      </c>
      <c r="AI13" s="193">
        <v>0.16200000000000001</v>
      </c>
      <c r="AJ13" s="194">
        <f>SUM(AH13:AI13)</f>
        <v>1</v>
      </c>
      <c r="AK13" s="240"/>
    </row>
    <row r="14" spans="1:47" ht="16.5" thickBot="1" x14ac:dyDescent="0.3">
      <c r="A14" s="240"/>
      <c r="E14" s="209" t="s">
        <v>214</v>
      </c>
      <c r="F14" s="226"/>
      <c r="G14" s="227">
        <f>+G2</f>
        <v>25</v>
      </c>
      <c r="H14" s="228">
        <f>SUM(H9:H13)</f>
        <v>34</v>
      </c>
      <c r="I14" s="228">
        <f t="shared" ref="I14:K14" si="6">SUM(I9:I13)</f>
        <v>105</v>
      </c>
      <c r="J14" s="228">
        <f t="shared" si="6"/>
        <v>192</v>
      </c>
      <c r="K14" s="228">
        <f t="shared" si="6"/>
        <v>9</v>
      </c>
      <c r="L14" s="229">
        <f>SUM(G14:K14)</f>
        <v>365</v>
      </c>
      <c r="N14" s="230" t="s">
        <v>140</v>
      </c>
      <c r="O14" s="231">
        <f>SUM(O2:O13)</f>
        <v>2108.4</v>
      </c>
      <c r="P14" s="158" t="str" cm="1">
        <f t="array" ref="P14">IF(ROW(A13)&gt;SUM($I$20:$I$25),"",INDEX($F$20:$F$25,SUMPRODUCT(($J$20:$J$25&lt;ROW(A13))*1)+1))</f>
        <v>Herbst</v>
      </c>
      <c r="Q14" s="156" cm="1">
        <f t="array" ref="Q14">IF(ROW(A13)&gt;SUM($I$20:$I$25),"",INDEX($G$20:$G$25,SUMPRODUCT(($J$20:$J$25&lt;ROW(A13))*1)+1)+ROW(A13)-IF(SUMPRODUCT(($J$20:$J$25&lt;ROW(A13))*1)+1=1,1,INDEX($J$20:$J$25,SUMPRODUCT(($J$20:$J$25&lt;ROW(A13))*1)+1-1)+1))</f>
        <v>44832</v>
      </c>
      <c r="R14" s="157" t="str">
        <f t="shared" si="3"/>
        <v>Werktag</v>
      </c>
      <c r="T14" s="232"/>
      <c r="X14" s="232"/>
      <c r="AA14" s="240"/>
      <c r="AE14" s="191" t="s">
        <v>224</v>
      </c>
      <c r="AF14" s="192">
        <v>28</v>
      </c>
      <c r="AG14" s="192" t="str">
        <f t="shared" si="4"/>
        <v>Logopädie28</v>
      </c>
      <c r="AH14" s="193">
        <v>0.83799999999999997</v>
      </c>
      <c r="AI14" s="193">
        <v>0.16200000000000001</v>
      </c>
      <c r="AJ14" s="194">
        <f>SUM(AH14:AI14)</f>
        <v>1</v>
      </c>
      <c r="AK14" s="240"/>
    </row>
    <row r="15" spans="1:47" ht="15.75" thickBot="1" x14ac:dyDescent="0.25">
      <c r="A15" s="240"/>
      <c r="E15" s="215" t="s">
        <v>215</v>
      </c>
      <c r="F15" s="233"/>
      <c r="G15" s="217" t="s">
        <v>216</v>
      </c>
      <c r="H15" s="217" t="s">
        <v>216</v>
      </c>
      <c r="I15" s="217" t="s">
        <v>217</v>
      </c>
      <c r="J15" s="217" t="s">
        <v>216</v>
      </c>
      <c r="K15" s="217" t="s">
        <v>217</v>
      </c>
      <c r="L15" s="219"/>
      <c r="P15" s="158" t="str" cm="1">
        <f t="array" ref="P15">IF(ROW(A14)&gt;SUM($I$20:$I$25),"",INDEX($F$20:$F$25,SUMPRODUCT(($J$20:$J$25&lt;ROW(A14))*1)+1))</f>
        <v>Herbst</v>
      </c>
      <c r="Q15" s="156" cm="1">
        <f t="array" ref="Q15">IF(ROW(A14)&gt;SUM($I$20:$I$25),"",INDEX($G$20:$G$25,SUMPRODUCT(($J$20:$J$25&lt;ROW(A14))*1)+1)+ROW(A14)-IF(SUMPRODUCT(($J$20:$J$25&lt;ROW(A14))*1)+1=1,1,INDEX($J$20:$J$25,SUMPRODUCT(($J$20:$J$25&lt;ROW(A14))*1)+1-1)+1))</f>
        <v>44833</v>
      </c>
      <c r="R15" s="157" t="str">
        <f t="shared" si="3"/>
        <v>Werktag</v>
      </c>
      <c r="T15" s="232"/>
      <c r="X15" s="232"/>
      <c r="AA15" s="240"/>
      <c r="AH15" s="234"/>
      <c r="AI15" s="234"/>
      <c r="AK15" s="240"/>
    </row>
    <row r="16" spans="1:47" ht="15.75" thickBot="1" x14ac:dyDescent="0.25">
      <c r="A16" s="240"/>
      <c r="E16" s="209" t="s">
        <v>218</v>
      </c>
      <c r="F16" s="226"/>
      <c r="G16" s="227">
        <f>+G14*8.4</f>
        <v>210</v>
      </c>
      <c r="H16" s="228">
        <f>+H14*8.4</f>
        <v>285.60000000000002</v>
      </c>
      <c r="I16" s="228"/>
      <c r="J16" s="228">
        <f>+J14*8.4</f>
        <v>1612.8000000000002</v>
      </c>
      <c r="K16" s="228"/>
      <c r="L16" s="229">
        <f>SUM(G16:K16)</f>
        <v>2108.4</v>
      </c>
      <c r="P16" s="158" t="str" cm="1">
        <f t="array" ref="P16">IF(ROW(A15)&gt;SUM($I$20:$I$25),"",INDEX($F$20:$F$25,SUMPRODUCT(($J$20:$J$25&lt;ROW(A15))*1)+1))</f>
        <v>Herbst</v>
      </c>
      <c r="Q16" s="156" cm="1">
        <f t="array" ref="Q16">IF(ROW(A15)&gt;SUM($I$20:$I$25),"",INDEX($G$20:$G$25,SUMPRODUCT(($J$20:$J$25&lt;ROW(A15))*1)+1)+ROW(A15)-IF(SUMPRODUCT(($J$20:$J$25&lt;ROW(A15))*1)+1=1,1,INDEX($J$20:$J$25,SUMPRODUCT(($J$20:$J$25&lt;ROW(A15))*1)+1-1)+1))</f>
        <v>44834</v>
      </c>
      <c r="R16" s="157" t="str">
        <f t="shared" si="3"/>
        <v>Werktag</v>
      </c>
      <c r="T16" s="232"/>
      <c r="X16" s="232"/>
      <c r="AA16" s="240"/>
      <c r="AH16" s="234"/>
      <c r="AI16" s="234"/>
      <c r="AK16" s="240"/>
    </row>
    <row r="17" spans="6:35" ht="15.75" thickBot="1" x14ac:dyDescent="0.25">
      <c r="J17" s="236"/>
      <c r="P17" s="158" t="str" cm="1">
        <f t="array" ref="P17">IF(ROW(A16)&gt;SUM($I$20:$I$25),"",INDEX($F$20:$F$25,SUMPRODUCT(($J$20:$J$25&lt;ROW(A16))*1)+1))</f>
        <v>Herbst</v>
      </c>
      <c r="Q17" s="156" cm="1">
        <f t="array" ref="Q17">IF(ROW(A16)&gt;SUM($I$20:$I$25),"",INDEX($G$20:$G$25,SUMPRODUCT(($J$20:$J$25&lt;ROW(A16))*1)+1)+ROW(A16)-IF(SUMPRODUCT(($J$20:$J$25&lt;ROW(A16))*1)+1=1,1,INDEX($J$20:$J$25,SUMPRODUCT(($J$20:$J$25&lt;ROW(A16))*1)+1-1)+1))</f>
        <v>44835</v>
      </c>
      <c r="R17" s="157" t="str">
        <f t="shared" si="3"/>
        <v>Werktag</v>
      </c>
      <c r="T17" s="232"/>
      <c r="X17" s="232"/>
      <c r="AH17" s="234"/>
      <c r="AI17" s="234"/>
    </row>
    <row r="18" spans="6:35" ht="15.75" thickBot="1" x14ac:dyDescent="0.25">
      <c r="P18" s="158" t="str" cm="1">
        <f t="array" ref="P18">IF(ROW(A17)&gt;SUM($I$20:$I$25),"",INDEX($F$20:$F$25,SUMPRODUCT(($J$20:$J$25&lt;ROW(A17))*1)+1))</f>
        <v>Herbst</v>
      </c>
      <c r="Q18" s="156" cm="1">
        <f t="array" ref="Q18">IF(ROW(A17)&gt;SUM($I$20:$I$25),"",INDEX($G$20:$G$25,SUMPRODUCT(($J$20:$J$25&lt;ROW(A17))*1)+1)+ROW(A17)-IF(SUMPRODUCT(($J$20:$J$25&lt;ROW(A17))*1)+1=1,1,INDEX($J$20:$J$25,SUMPRODUCT(($J$20:$J$25&lt;ROW(A17))*1)+1-1)+1))</f>
        <v>44836</v>
      </c>
      <c r="R18" s="157" t="str">
        <f t="shared" si="3"/>
        <v>Wochenende</v>
      </c>
      <c r="T18" s="232"/>
      <c r="AH18" s="234"/>
      <c r="AI18" s="234"/>
    </row>
    <row r="19" spans="6:35" ht="15.75" thickBot="1" x14ac:dyDescent="0.25">
      <c r="F19" s="151" t="s">
        <v>6</v>
      </c>
      <c r="G19" s="151" t="s">
        <v>2</v>
      </c>
      <c r="H19" s="151" t="s">
        <v>3</v>
      </c>
      <c r="I19" s="151" t="s">
        <v>207</v>
      </c>
      <c r="J19" s="151" t="s">
        <v>220</v>
      </c>
      <c r="P19" s="158" t="str" cm="1">
        <f t="array" ref="P19">IF(ROW(A18)&gt;SUM($I$20:$I$25),"",INDEX($F$20:$F$25,SUMPRODUCT(($J$20:$J$25&lt;ROW(A18))*1)+1))</f>
        <v>Herbst</v>
      </c>
      <c r="Q19" s="156" cm="1">
        <f t="array" ref="Q19">IF(ROW(A18)&gt;SUM($I$20:$I$25),"",INDEX($G$20:$G$25,SUMPRODUCT(($J$20:$J$25&lt;ROW(A18))*1)+1)+ROW(A18)-IF(SUMPRODUCT(($J$20:$J$25&lt;ROW(A18))*1)+1=1,1,INDEX($J$20:$J$25,SUMPRODUCT(($J$20:$J$25&lt;ROW(A18))*1)+1-1)+1))</f>
        <v>44837</v>
      </c>
      <c r="R19" s="157" t="str">
        <f t="shared" si="3"/>
        <v>Wochenende</v>
      </c>
      <c r="T19" s="232"/>
      <c r="AH19" s="234"/>
      <c r="AI19" s="234"/>
    </row>
    <row r="20" spans="6:35" ht="15.75" thickBot="1" x14ac:dyDescent="0.25">
      <c r="F20" s="151" t="s">
        <v>50</v>
      </c>
      <c r="G20" s="152">
        <v>44773</v>
      </c>
      <c r="H20" s="153">
        <v>44781</v>
      </c>
      <c r="I20" s="154">
        <f>+H20-G20+1</f>
        <v>9</v>
      </c>
      <c r="J20" s="155">
        <f>+I20</f>
        <v>9</v>
      </c>
      <c r="P20" s="158" t="str" cm="1">
        <f t="array" ref="P20">IF(ROW(A19)&gt;SUM($I$20:$I$25),"",INDEX($F$20:$F$25,SUMPRODUCT(($J$20:$J$25&lt;ROW(A19))*1)+1))</f>
        <v>Herbst</v>
      </c>
      <c r="Q20" s="156" cm="1">
        <f t="array" ref="Q20">IF(ROW(A19)&gt;SUM($I$20:$I$25),"",INDEX($G$20:$G$25,SUMPRODUCT(($J$20:$J$25&lt;ROW(A19))*1)+1)+ROW(A19)-IF(SUMPRODUCT(($J$20:$J$25&lt;ROW(A19))*1)+1=1,1,INDEX($J$20:$J$25,SUMPRODUCT(($J$20:$J$25&lt;ROW(A19))*1)+1-1)+1))</f>
        <v>44838</v>
      </c>
      <c r="R20" s="157" t="str">
        <f t="shared" si="3"/>
        <v>Werktag</v>
      </c>
      <c r="T20" s="232"/>
      <c r="AH20" s="234"/>
      <c r="AI20" s="234"/>
    </row>
    <row r="21" spans="6:35" ht="15.75" thickBot="1" x14ac:dyDescent="0.25">
      <c r="F21" s="151" t="s">
        <v>39</v>
      </c>
      <c r="G21" s="152">
        <v>44829</v>
      </c>
      <c r="H21" s="153">
        <v>44844</v>
      </c>
      <c r="I21" s="154">
        <f t="shared" ref="I21:I25" si="7">+H21-G21+1</f>
        <v>16</v>
      </c>
      <c r="J21" s="155">
        <f>+I21+J20</f>
        <v>25</v>
      </c>
      <c r="P21" s="158" t="str" cm="1">
        <f t="array" ref="P21">IF(ROW(A20)&gt;SUM($I$20:$I$25),"",INDEX($F$20:$F$25,SUMPRODUCT(($J$20:$J$25&lt;ROW(A20))*1)+1))</f>
        <v>Herbst</v>
      </c>
      <c r="Q21" s="156" cm="1">
        <f t="array" ref="Q21">IF(ROW(A20)&gt;SUM($I$20:$I$25),"",INDEX($G$20:$G$25,SUMPRODUCT(($J$20:$J$25&lt;ROW(A20))*1)+1)+ROW(A20)-IF(SUMPRODUCT(($J$20:$J$25&lt;ROW(A20))*1)+1=1,1,INDEX($J$20:$J$25,SUMPRODUCT(($J$20:$J$25&lt;ROW(A20))*1)+1-1)+1))</f>
        <v>44839</v>
      </c>
      <c r="R21" s="157" t="str">
        <f t="shared" si="3"/>
        <v>Werktag</v>
      </c>
      <c r="T21" s="232"/>
      <c r="AH21" s="234"/>
      <c r="AI21" s="234"/>
    </row>
    <row r="22" spans="6:35" ht="15.75" thickBot="1" x14ac:dyDescent="0.25">
      <c r="F22" s="151" t="s">
        <v>44</v>
      </c>
      <c r="G22" s="152">
        <v>44913</v>
      </c>
      <c r="H22" s="153">
        <v>44928</v>
      </c>
      <c r="I22" s="154">
        <f t="shared" si="7"/>
        <v>16</v>
      </c>
      <c r="J22" s="155">
        <f>+I22+J21</f>
        <v>41</v>
      </c>
      <c r="P22" s="158" t="str" cm="1">
        <f t="array" ref="P22">IF(ROW(A21)&gt;SUM($I$20:$I$25),"",INDEX($F$20:$F$25,SUMPRODUCT(($J$20:$J$25&lt;ROW(A21))*1)+1))</f>
        <v>Herbst</v>
      </c>
      <c r="Q22" s="156" cm="1">
        <f t="array" ref="Q22">IF(ROW(A21)&gt;SUM($I$20:$I$25),"",INDEX($G$20:$G$25,SUMPRODUCT(($J$20:$J$25&lt;ROW(A21))*1)+1)+ROW(A21)-IF(SUMPRODUCT(($J$20:$J$25&lt;ROW(A21))*1)+1=1,1,INDEX($J$20:$J$25,SUMPRODUCT(($J$20:$J$25&lt;ROW(A21))*1)+1-1)+1))</f>
        <v>44840</v>
      </c>
      <c r="R22" s="157" t="str">
        <f t="shared" si="3"/>
        <v>Werktag</v>
      </c>
      <c r="T22" s="232"/>
      <c r="AH22" s="234"/>
      <c r="AI22" s="234"/>
    </row>
    <row r="23" spans="6:35" ht="15.75" thickBot="1" x14ac:dyDescent="0.25">
      <c r="F23" s="151" t="s">
        <v>46</v>
      </c>
      <c r="G23" s="152">
        <v>44962</v>
      </c>
      <c r="H23" s="153">
        <v>44977</v>
      </c>
      <c r="I23" s="154">
        <f t="shared" si="7"/>
        <v>16</v>
      </c>
      <c r="J23" s="155">
        <f>+I23+J22</f>
        <v>57</v>
      </c>
      <c r="P23" s="158" t="str" cm="1">
        <f t="array" ref="P23">IF(ROW(A22)&gt;SUM($I$20:$I$25),"",INDEX($F$20:$F$25,SUMPRODUCT(($J$20:$J$25&lt;ROW(A22))*1)+1))</f>
        <v>Herbst</v>
      </c>
      <c r="Q23" s="156" cm="1">
        <f t="array" ref="Q23">IF(ROW(A22)&gt;SUM($I$20:$I$25),"",INDEX($G$20:$G$25,SUMPRODUCT(($J$20:$J$25&lt;ROW(A22))*1)+1)+ROW(A22)-IF(SUMPRODUCT(($J$20:$J$25&lt;ROW(A22))*1)+1=1,1,INDEX($J$20:$J$25,SUMPRODUCT(($J$20:$J$25&lt;ROW(A22))*1)+1-1)+1))</f>
        <v>44841</v>
      </c>
      <c r="R23" s="157" t="str">
        <f t="shared" si="3"/>
        <v>Werktag</v>
      </c>
      <c r="T23" s="232"/>
      <c r="AH23" s="234"/>
      <c r="AI23" s="234"/>
    </row>
    <row r="24" spans="6:35" ht="15.75" thickBot="1" x14ac:dyDescent="0.25">
      <c r="F24" s="151" t="s">
        <v>48</v>
      </c>
      <c r="G24" s="152">
        <v>45004</v>
      </c>
      <c r="H24" s="153">
        <v>45019</v>
      </c>
      <c r="I24" s="154">
        <f t="shared" si="7"/>
        <v>16</v>
      </c>
      <c r="J24" s="155">
        <f>+I24+J23</f>
        <v>73</v>
      </c>
      <c r="P24" s="158" t="str" cm="1">
        <f t="array" ref="P24">IF(ROW(A23)&gt;SUM($I$20:$I$25),"",INDEX($F$20:$F$25,SUMPRODUCT(($J$20:$J$25&lt;ROW(A23))*1)+1))</f>
        <v>Herbst</v>
      </c>
      <c r="Q24" s="156" cm="1">
        <f t="array" ref="Q24">IF(ROW(A23)&gt;SUM($I$20:$I$25),"",INDEX($G$20:$G$25,SUMPRODUCT(($J$20:$J$25&lt;ROW(A23))*1)+1)+ROW(A23)-IF(SUMPRODUCT(($J$20:$J$25&lt;ROW(A23))*1)+1=1,1,INDEX($J$20:$J$25,SUMPRODUCT(($J$20:$J$25&lt;ROW(A23))*1)+1-1)+1))</f>
        <v>44842</v>
      </c>
      <c r="R24" s="157" t="str">
        <f t="shared" si="3"/>
        <v>Werktag</v>
      </c>
      <c r="T24" s="232"/>
      <c r="AH24" s="234"/>
      <c r="AI24" s="234"/>
    </row>
    <row r="25" spans="6:35" ht="15.75" thickBot="1" x14ac:dyDescent="0.25">
      <c r="F25" s="151" t="s">
        <v>50</v>
      </c>
      <c r="G25" s="152">
        <v>45109</v>
      </c>
      <c r="H25" s="153">
        <v>45137</v>
      </c>
      <c r="I25" s="154">
        <f t="shared" si="7"/>
        <v>29</v>
      </c>
      <c r="J25" s="155">
        <f>+I25+J24</f>
        <v>102</v>
      </c>
      <c r="P25" s="158" t="str" cm="1">
        <f t="array" ref="P25">IF(ROW(A24)&gt;SUM($I$20:$I$25),"",INDEX($F$20:$F$25,SUMPRODUCT(($J$20:$J$25&lt;ROW(A24))*1)+1))</f>
        <v>Herbst</v>
      </c>
      <c r="Q25" s="156" cm="1">
        <f t="array" ref="Q25">IF(ROW(A24)&gt;SUM($I$20:$I$25),"",INDEX($G$20:$G$25,SUMPRODUCT(($J$20:$J$25&lt;ROW(A24))*1)+1)+ROW(A24)-IF(SUMPRODUCT(($J$20:$J$25&lt;ROW(A24))*1)+1=1,1,INDEX($J$20:$J$25,SUMPRODUCT(($J$20:$J$25&lt;ROW(A24))*1)+1-1)+1))</f>
        <v>44843</v>
      </c>
      <c r="R25" s="157" t="str">
        <f t="shared" si="3"/>
        <v>Wochenende</v>
      </c>
      <c r="T25" s="232"/>
      <c r="AH25" s="234"/>
      <c r="AI25" s="234"/>
    </row>
    <row r="26" spans="6:35" ht="15.75" thickBot="1" x14ac:dyDescent="0.25">
      <c r="P26" s="158" t="str" cm="1">
        <f t="array" ref="P26">IF(ROW(A25)&gt;SUM($I$20:$I$25),"",INDEX($F$20:$F$25,SUMPRODUCT(($J$20:$J$25&lt;ROW(A25))*1)+1))</f>
        <v>Herbst</v>
      </c>
      <c r="Q26" s="156" cm="1">
        <f t="array" ref="Q26">IF(ROW(A25)&gt;SUM($I$20:$I$25),"",INDEX($G$20:$G$25,SUMPRODUCT(($J$20:$J$25&lt;ROW(A25))*1)+1)+ROW(A25)-IF(SUMPRODUCT(($J$20:$J$25&lt;ROW(A25))*1)+1=1,1,INDEX($J$20:$J$25,SUMPRODUCT(($J$20:$J$25&lt;ROW(A25))*1)+1-1)+1))</f>
        <v>44844</v>
      </c>
      <c r="R26" s="157" t="str">
        <f t="shared" si="3"/>
        <v>Wochenende</v>
      </c>
      <c r="T26" s="232"/>
      <c r="AH26" s="234"/>
      <c r="AI26" s="234"/>
    </row>
    <row r="27" spans="6:35" ht="15.75" thickBot="1" x14ac:dyDescent="0.25">
      <c r="G27" s="237"/>
      <c r="P27" s="158" t="str" cm="1">
        <f t="array" ref="P27">IF(ROW(A26)&gt;SUM($I$20:$I$25),"",INDEX($F$20:$F$25,SUMPRODUCT(($J$20:$J$25&lt;ROW(A26))*1)+1))</f>
        <v>Weihnachten</v>
      </c>
      <c r="Q27" s="156" cm="1">
        <f t="array" ref="Q27">IF(ROW(A26)&gt;SUM($I$20:$I$25),"",INDEX($G$20:$G$25,SUMPRODUCT(($J$20:$J$25&lt;ROW(A26))*1)+1)+ROW(A26)-IF(SUMPRODUCT(($J$20:$J$25&lt;ROW(A26))*1)+1=1,1,INDEX($J$20:$J$25,SUMPRODUCT(($J$20:$J$25&lt;ROW(A26))*1)+1-1)+1))</f>
        <v>44913</v>
      </c>
      <c r="R27" s="157" t="str">
        <f t="shared" si="3"/>
        <v>Wochenende</v>
      </c>
      <c r="T27" s="232"/>
      <c r="AH27" s="234"/>
      <c r="AI27" s="234"/>
    </row>
    <row r="28" spans="6:35" ht="15.75" thickBot="1" x14ac:dyDescent="0.25">
      <c r="G28" s="237"/>
      <c r="P28" s="158" t="str" cm="1">
        <f t="array" ref="P28">IF(ROW(A27)&gt;SUM($I$20:$I$25),"",INDEX($F$20:$F$25,SUMPRODUCT(($J$20:$J$25&lt;ROW(A27))*1)+1))</f>
        <v>Weihnachten</v>
      </c>
      <c r="Q28" s="156" cm="1">
        <f t="array" ref="Q28">IF(ROW(A27)&gt;SUM($I$20:$I$25),"",INDEX($G$20:$G$25,SUMPRODUCT(($J$20:$J$25&lt;ROW(A27))*1)+1)+ROW(A27)-IF(SUMPRODUCT(($J$20:$J$25&lt;ROW(A27))*1)+1=1,1,INDEX($J$20:$J$25,SUMPRODUCT(($J$20:$J$25&lt;ROW(A27))*1)+1-1)+1))</f>
        <v>44914</v>
      </c>
      <c r="R28" s="157" t="str">
        <f t="shared" si="3"/>
        <v>Wochenende</v>
      </c>
      <c r="T28" s="232"/>
      <c r="AH28" s="234"/>
      <c r="AI28" s="234"/>
    </row>
    <row r="29" spans="6:35" ht="15.75" thickBot="1" x14ac:dyDescent="0.25">
      <c r="G29" s="237"/>
      <c r="P29" s="158" t="str" cm="1">
        <f t="array" ref="P29">IF(ROW(A28)&gt;SUM($I$20:$I$25),"",INDEX($F$20:$F$25,SUMPRODUCT(($J$20:$J$25&lt;ROW(A28))*1)+1))</f>
        <v>Weihnachten</v>
      </c>
      <c r="Q29" s="156" cm="1">
        <f t="array" ref="Q29">IF(ROW(A28)&gt;SUM($I$20:$I$25),"",INDEX($G$20:$G$25,SUMPRODUCT(($J$20:$J$25&lt;ROW(A28))*1)+1)+ROW(A28)-IF(SUMPRODUCT(($J$20:$J$25&lt;ROW(A28))*1)+1=1,1,INDEX($J$20:$J$25,SUMPRODUCT(($J$20:$J$25&lt;ROW(A28))*1)+1-1)+1))</f>
        <v>44915</v>
      </c>
      <c r="R29" s="157" t="str">
        <f t="shared" si="3"/>
        <v>Werktag</v>
      </c>
      <c r="T29" s="232"/>
      <c r="AH29" s="234"/>
      <c r="AI29" s="234"/>
    </row>
    <row r="30" spans="6:35" ht="15.75" thickBot="1" x14ac:dyDescent="0.25">
      <c r="G30" s="237"/>
      <c r="P30" s="158" t="str" cm="1">
        <f t="array" ref="P30">IF(ROW(A29)&gt;SUM($I$20:$I$25),"",INDEX($F$20:$F$25,SUMPRODUCT(($J$20:$J$25&lt;ROW(A29))*1)+1))</f>
        <v>Weihnachten</v>
      </c>
      <c r="Q30" s="156" cm="1">
        <f t="array" ref="Q30">IF(ROW(A29)&gt;SUM($I$20:$I$25),"",INDEX($G$20:$G$25,SUMPRODUCT(($J$20:$J$25&lt;ROW(A29))*1)+1)+ROW(A29)-IF(SUMPRODUCT(($J$20:$J$25&lt;ROW(A29))*1)+1=1,1,INDEX($J$20:$J$25,SUMPRODUCT(($J$20:$J$25&lt;ROW(A29))*1)+1-1)+1))</f>
        <v>44916</v>
      </c>
      <c r="R30" s="157" t="str">
        <f t="shared" si="3"/>
        <v>Werktag</v>
      </c>
      <c r="T30" s="232"/>
    </row>
    <row r="31" spans="6:35" ht="15.75" thickBot="1" x14ac:dyDescent="0.25">
      <c r="G31" s="237"/>
      <c r="P31" s="158" t="str" cm="1">
        <f t="array" ref="P31">IF(ROW(A30)&gt;SUM($I$20:$I$25),"",INDEX($F$20:$F$25,SUMPRODUCT(($J$20:$J$25&lt;ROW(A30))*1)+1))</f>
        <v>Weihnachten</v>
      </c>
      <c r="Q31" s="156" cm="1">
        <f t="array" ref="Q31">IF(ROW(A30)&gt;SUM($I$20:$I$25),"",INDEX($G$20:$G$25,SUMPRODUCT(($J$20:$J$25&lt;ROW(A30))*1)+1)+ROW(A30)-IF(SUMPRODUCT(($J$20:$J$25&lt;ROW(A30))*1)+1=1,1,INDEX($J$20:$J$25,SUMPRODUCT(($J$20:$J$25&lt;ROW(A30))*1)+1-1)+1))</f>
        <v>44917</v>
      </c>
      <c r="R31" s="157" t="str">
        <f t="shared" si="3"/>
        <v>Werktag</v>
      </c>
      <c r="T31" s="232"/>
    </row>
    <row r="32" spans="6:35" ht="15.75" thickBot="1" x14ac:dyDescent="0.25">
      <c r="G32" s="237"/>
      <c r="P32" s="158" t="str" cm="1">
        <f t="array" ref="P32">IF(ROW(A31)&gt;SUM($I$20:$I$25),"",INDEX($F$20:$F$25,SUMPRODUCT(($J$20:$J$25&lt;ROW(A31))*1)+1))</f>
        <v>Weihnachten</v>
      </c>
      <c r="Q32" s="156" cm="1">
        <f t="array" ref="Q32">IF(ROW(A31)&gt;SUM($I$20:$I$25),"",INDEX($G$20:$G$25,SUMPRODUCT(($J$20:$J$25&lt;ROW(A31))*1)+1)+ROW(A31)-IF(SUMPRODUCT(($J$20:$J$25&lt;ROW(A31))*1)+1=1,1,INDEX($J$20:$J$25,SUMPRODUCT(($J$20:$J$25&lt;ROW(A31))*1)+1-1)+1))</f>
        <v>44918</v>
      </c>
      <c r="R32" s="157" t="str">
        <f t="shared" si="3"/>
        <v>Werktag</v>
      </c>
      <c r="T32" s="232"/>
    </row>
    <row r="33" spans="7:20" ht="15.75" thickBot="1" x14ac:dyDescent="0.25">
      <c r="G33" s="237"/>
      <c r="P33" s="158" t="str" cm="1">
        <f t="array" ref="P33">IF(ROW(A32)&gt;SUM($I$20:$I$25),"",INDEX($F$20:$F$25,SUMPRODUCT(($J$20:$J$25&lt;ROW(A32))*1)+1))</f>
        <v>Weihnachten</v>
      </c>
      <c r="Q33" s="156" cm="1">
        <f t="array" ref="Q33">IF(ROW(A32)&gt;SUM($I$20:$I$25),"",INDEX($G$20:$G$25,SUMPRODUCT(($J$20:$J$25&lt;ROW(A32))*1)+1)+ROW(A32)-IF(SUMPRODUCT(($J$20:$J$25&lt;ROW(A32))*1)+1=1,1,INDEX($J$20:$J$25,SUMPRODUCT(($J$20:$J$25&lt;ROW(A32))*1)+1-1)+1))</f>
        <v>44919</v>
      </c>
      <c r="R33" s="157" t="str">
        <f t="shared" si="3"/>
        <v>Werktag</v>
      </c>
      <c r="T33" s="232"/>
    </row>
    <row r="34" spans="7:20" ht="15.75" thickBot="1" x14ac:dyDescent="0.25">
      <c r="G34" s="237"/>
      <c r="P34" s="158" t="str" cm="1">
        <f t="array" ref="P34">IF(ROW(A33)&gt;SUM($I$20:$I$25),"",INDEX($F$20:$F$25,SUMPRODUCT(($J$20:$J$25&lt;ROW(A33))*1)+1))</f>
        <v>Weihnachten</v>
      </c>
      <c r="Q34" s="156" cm="1">
        <f t="array" ref="Q34">IF(ROW(A33)&gt;SUM($I$20:$I$25),"",INDEX($G$20:$G$25,SUMPRODUCT(($J$20:$J$25&lt;ROW(A33))*1)+1)+ROW(A33)-IF(SUMPRODUCT(($J$20:$J$25&lt;ROW(A33))*1)+1=1,1,INDEX($J$20:$J$25,SUMPRODUCT(($J$20:$J$25&lt;ROW(A33))*1)+1-1)+1))</f>
        <v>44920</v>
      </c>
      <c r="R34" s="157" t="str">
        <f t="shared" si="3"/>
        <v>Wochenende</v>
      </c>
      <c r="T34" s="232"/>
    </row>
    <row r="35" spans="7:20" ht="15.75" thickBot="1" x14ac:dyDescent="0.25">
      <c r="G35" s="237"/>
      <c r="P35" s="158" t="str" cm="1">
        <f t="array" ref="P35">IF(ROW(A34)&gt;SUM($I$20:$I$25),"",INDEX($F$20:$F$25,SUMPRODUCT(($J$20:$J$25&lt;ROW(A34))*1)+1))</f>
        <v>Weihnachten</v>
      </c>
      <c r="Q35" s="156" cm="1">
        <f t="array" ref="Q35">IF(ROW(A34)&gt;SUM($I$20:$I$25),"",INDEX($G$20:$G$25,SUMPRODUCT(($J$20:$J$25&lt;ROW(A34))*1)+1)+ROW(A34)-IF(SUMPRODUCT(($J$20:$J$25&lt;ROW(A34))*1)+1=1,1,INDEX($J$20:$J$25,SUMPRODUCT(($J$20:$J$25&lt;ROW(A34))*1)+1-1)+1))</f>
        <v>44921</v>
      </c>
      <c r="R35" s="157" t="str">
        <f t="shared" si="3"/>
        <v>Wochenende</v>
      </c>
      <c r="T35" s="232"/>
    </row>
    <row r="36" spans="7:20" ht="15.75" thickBot="1" x14ac:dyDescent="0.25">
      <c r="G36" s="237"/>
      <c r="P36" s="158" t="str" cm="1">
        <f t="array" ref="P36">IF(ROW(A35)&gt;SUM($I$20:$I$25),"",INDEX($F$20:$F$25,SUMPRODUCT(($J$20:$J$25&lt;ROW(A35))*1)+1))</f>
        <v>Weihnachten</v>
      </c>
      <c r="Q36" s="156" cm="1">
        <f t="array" ref="Q36">IF(ROW(A35)&gt;SUM($I$20:$I$25),"",INDEX($G$20:$G$25,SUMPRODUCT(($J$20:$J$25&lt;ROW(A35))*1)+1)+ROW(A35)-IF(SUMPRODUCT(($J$20:$J$25&lt;ROW(A35))*1)+1=1,1,INDEX($J$20:$J$25,SUMPRODUCT(($J$20:$J$25&lt;ROW(A35))*1)+1-1)+1))</f>
        <v>44922</v>
      </c>
      <c r="R36" s="157" t="str">
        <f t="shared" si="3"/>
        <v>Werktag</v>
      </c>
      <c r="T36" s="232"/>
    </row>
    <row r="37" spans="7:20" ht="15.75" thickBot="1" x14ac:dyDescent="0.25">
      <c r="G37" s="237"/>
      <c r="P37" s="158" t="str" cm="1">
        <f t="array" ref="P37">IF(ROW(A36)&gt;SUM($I$20:$I$25),"",INDEX($F$20:$F$25,SUMPRODUCT(($J$20:$J$25&lt;ROW(A36))*1)+1))</f>
        <v>Weihnachten</v>
      </c>
      <c r="Q37" s="156" cm="1">
        <f t="array" ref="Q37">IF(ROW(A36)&gt;SUM($I$20:$I$25),"",INDEX($G$20:$G$25,SUMPRODUCT(($J$20:$J$25&lt;ROW(A36))*1)+1)+ROW(A36)-IF(SUMPRODUCT(($J$20:$J$25&lt;ROW(A36))*1)+1=1,1,INDEX($J$20:$J$25,SUMPRODUCT(($J$20:$J$25&lt;ROW(A36))*1)+1-1)+1))</f>
        <v>44923</v>
      </c>
      <c r="R37" s="157" t="str">
        <f t="shared" si="3"/>
        <v>Werktag</v>
      </c>
      <c r="T37" s="232"/>
    </row>
    <row r="38" spans="7:20" ht="15.75" thickBot="1" x14ac:dyDescent="0.25">
      <c r="G38" s="237"/>
      <c r="P38" s="158" t="str" cm="1">
        <f t="array" ref="P38">IF(ROW(A37)&gt;SUM($I$20:$I$25),"",INDEX($F$20:$F$25,SUMPRODUCT(($J$20:$J$25&lt;ROW(A37))*1)+1))</f>
        <v>Weihnachten</v>
      </c>
      <c r="Q38" s="156" cm="1">
        <f t="array" ref="Q38">IF(ROW(A37)&gt;SUM($I$20:$I$25),"",INDEX($G$20:$G$25,SUMPRODUCT(($J$20:$J$25&lt;ROW(A37))*1)+1)+ROW(A37)-IF(SUMPRODUCT(($J$20:$J$25&lt;ROW(A37))*1)+1=1,1,INDEX($J$20:$J$25,SUMPRODUCT(($J$20:$J$25&lt;ROW(A37))*1)+1-1)+1))</f>
        <v>44924</v>
      </c>
      <c r="R38" s="157" t="str">
        <f t="shared" si="3"/>
        <v>Werktag</v>
      </c>
      <c r="T38" s="232"/>
    </row>
    <row r="39" spans="7:20" ht="15.75" thickBot="1" x14ac:dyDescent="0.25">
      <c r="G39" s="237"/>
      <c r="P39" s="158" t="str" cm="1">
        <f t="array" ref="P39">IF(ROW(A38)&gt;SUM($I$20:$I$25),"",INDEX($F$20:$F$25,SUMPRODUCT(($J$20:$J$25&lt;ROW(A38))*1)+1))</f>
        <v>Weihnachten</v>
      </c>
      <c r="Q39" s="156" cm="1">
        <f t="array" ref="Q39">IF(ROW(A38)&gt;SUM($I$20:$I$25),"",INDEX($G$20:$G$25,SUMPRODUCT(($J$20:$J$25&lt;ROW(A38))*1)+1)+ROW(A38)-IF(SUMPRODUCT(($J$20:$J$25&lt;ROW(A38))*1)+1=1,1,INDEX($J$20:$J$25,SUMPRODUCT(($J$20:$J$25&lt;ROW(A38))*1)+1-1)+1))</f>
        <v>44925</v>
      </c>
      <c r="R39" s="157" t="str">
        <f t="shared" si="3"/>
        <v>Werktag</v>
      </c>
      <c r="T39" s="232"/>
    </row>
    <row r="40" spans="7:20" ht="15.75" thickBot="1" x14ac:dyDescent="0.25">
      <c r="G40" s="237"/>
      <c r="P40" s="158" t="str" cm="1">
        <f t="array" ref="P40">IF(ROW(A39)&gt;SUM($I$20:$I$25),"",INDEX($F$20:$F$25,SUMPRODUCT(($J$20:$J$25&lt;ROW(A39))*1)+1))</f>
        <v>Weihnachten</v>
      </c>
      <c r="Q40" s="156" cm="1">
        <f t="array" ref="Q40">IF(ROW(A39)&gt;SUM($I$20:$I$25),"",INDEX($G$20:$G$25,SUMPRODUCT(($J$20:$J$25&lt;ROW(A39))*1)+1)+ROW(A39)-IF(SUMPRODUCT(($J$20:$J$25&lt;ROW(A39))*1)+1=1,1,INDEX($J$20:$J$25,SUMPRODUCT(($J$20:$J$25&lt;ROW(A39))*1)+1-1)+1))</f>
        <v>44926</v>
      </c>
      <c r="R40" s="157" t="str">
        <f t="shared" si="3"/>
        <v>Werktag</v>
      </c>
      <c r="T40" s="232"/>
    </row>
    <row r="41" spans="7:20" ht="15.75" thickBot="1" x14ac:dyDescent="0.25">
      <c r="G41" s="237"/>
      <c r="P41" s="158" t="str" cm="1">
        <f t="array" ref="P41">IF(ROW(A40)&gt;SUM($I$20:$I$25),"",INDEX($F$20:$F$25,SUMPRODUCT(($J$20:$J$25&lt;ROW(A40))*1)+1))</f>
        <v>Weihnachten</v>
      </c>
      <c r="Q41" s="156" cm="1">
        <f t="array" ref="Q41">IF(ROW(A40)&gt;SUM($I$20:$I$25),"",INDEX($G$20:$G$25,SUMPRODUCT(($J$20:$J$25&lt;ROW(A40))*1)+1)+ROW(A40)-IF(SUMPRODUCT(($J$20:$J$25&lt;ROW(A40))*1)+1=1,1,INDEX($J$20:$J$25,SUMPRODUCT(($J$20:$J$25&lt;ROW(A40))*1)+1-1)+1))</f>
        <v>44927</v>
      </c>
      <c r="R41" s="157" t="str">
        <f t="shared" si="3"/>
        <v>Wochenende</v>
      </c>
      <c r="T41" s="232"/>
    </row>
    <row r="42" spans="7:20" ht="15.75" thickBot="1" x14ac:dyDescent="0.25">
      <c r="G42" s="237"/>
      <c r="P42" s="158" t="str" cm="1">
        <f t="array" ref="P42">IF(ROW(A41)&gt;SUM($I$20:$I$25),"",INDEX($F$20:$F$25,SUMPRODUCT(($J$20:$J$25&lt;ROW(A41))*1)+1))</f>
        <v>Weihnachten</v>
      </c>
      <c r="Q42" s="156" cm="1">
        <f t="array" ref="Q42">IF(ROW(A41)&gt;SUM($I$20:$I$25),"",INDEX($G$20:$G$25,SUMPRODUCT(($J$20:$J$25&lt;ROW(A41))*1)+1)+ROW(A41)-IF(SUMPRODUCT(($J$20:$J$25&lt;ROW(A41))*1)+1=1,1,INDEX($J$20:$J$25,SUMPRODUCT(($J$20:$J$25&lt;ROW(A41))*1)+1-1)+1))</f>
        <v>44928</v>
      </c>
      <c r="R42" s="157" t="str">
        <f t="shared" si="3"/>
        <v>Wochenende</v>
      </c>
      <c r="T42" s="232"/>
    </row>
    <row r="43" spans="7:20" ht="15.75" thickBot="1" x14ac:dyDescent="0.25">
      <c r="G43" s="237"/>
      <c r="P43" s="158" t="str" cm="1">
        <f t="array" ref="P43">IF(ROW(A42)&gt;SUM($I$20:$I$25),"",INDEX($F$20:$F$25,SUMPRODUCT(($J$20:$J$25&lt;ROW(A42))*1)+1))</f>
        <v>Fasnacht</v>
      </c>
      <c r="Q43" s="156" cm="1">
        <f t="array" ref="Q43">IF(ROW(A42)&gt;SUM($I$20:$I$25),"",INDEX($G$20:$G$25,SUMPRODUCT(($J$20:$J$25&lt;ROW(A42))*1)+1)+ROW(A42)-IF(SUMPRODUCT(($J$20:$J$25&lt;ROW(A42))*1)+1=1,1,INDEX($J$20:$J$25,SUMPRODUCT(($J$20:$J$25&lt;ROW(A42))*1)+1-1)+1))</f>
        <v>44962</v>
      </c>
      <c r="R43" s="157" t="str">
        <f t="shared" si="3"/>
        <v>Wochenende</v>
      </c>
      <c r="T43" s="232"/>
    </row>
    <row r="44" spans="7:20" ht="15.75" thickBot="1" x14ac:dyDescent="0.25">
      <c r="G44" s="237"/>
      <c r="P44" s="158" t="str" cm="1">
        <f t="array" ref="P44">IF(ROW(A43)&gt;SUM($I$20:$I$25),"",INDEX($F$20:$F$25,SUMPRODUCT(($J$20:$J$25&lt;ROW(A43))*1)+1))</f>
        <v>Fasnacht</v>
      </c>
      <c r="Q44" s="156" cm="1">
        <f t="array" ref="Q44">IF(ROW(A43)&gt;SUM($I$20:$I$25),"",INDEX($G$20:$G$25,SUMPRODUCT(($J$20:$J$25&lt;ROW(A43))*1)+1)+ROW(A43)-IF(SUMPRODUCT(($J$20:$J$25&lt;ROW(A43))*1)+1=1,1,INDEX($J$20:$J$25,SUMPRODUCT(($J$20:$J$25&lt;ROW(A43))*1)+1-1)+1))</f>
        <v>44963</v>
      </c>
      <c r="R44" s="157" t="str">
        <f t="shared" si="3"/>
        <v>Wochenende</v>
      </c>
      <c r="T44" s="232"/>
    </row>
    <row r="45" spans="7:20" ht="15.75" thickBot="1" x14ac:dyDescent="0.25">
      <c r="G45" s="237"/>
      <c r="P45" s="158" t="str" cm="1">
        <f t="array" ref="P45">IF(ROW(A44)&gt;SUM($I$20:$I$25),"",INDEX($F$20:$F$25,SUMPRODUCT(($J$20:$J$25&lt;ROW(A44))*1)+1))</f>
        <v>Fasnacht</v>
      </c>
      <c r="Q45" s="156" cm="1">
        <f t="array" ref="Q45">IF(ROW(A44)&gt;SUM($I$20:$I$25),"",INDEX($G$20:$G$25,SUMPRODUCT(($J$20:$J$25&lt;ROW(A44))*1)+1)+ROW(A44)-IF(SUMPRODUCT(($J$20:$J$25&lt;ROW(A44))*1)+1=1,1,INDEX($J$20:$J$25,SUMPRODUCT(($J$20:$J$25&lt;ROW(A44))*1)+1-1)+1))</f>
        <v>44964</v>
      </c>
      <c r="R45" s="157" t="str">
        <f t="shared" si="3"/>
        <v>Werktag</v>
      </c>
      <c r="T45" s="232"/>
    </row>
    <row r="46" spans="7:20" ht="15.75" thickBot="1" x14ac:dyDescent="0.25">
      <c r="G46" s="237"/>
      <c r="P46" s="158" t="str" cm="1">
        <f t="array" ref="P46">IF(ROW(A45)&gt;SUM($I$20:$I$25),"",INDEX($F$20:$F$25,SUMPRODUCT(($J$20:$J$25&lt;ROW(A45))*1)+1))</f>
        <v>Fasnacht</v>
      </c>
      <c r="Q46" s="156" cm="1">
        <f t="array" ref="Q46">IF(ROW(A45)&gt;SUM($I$20:$I$25),"",INDEX($G$20:$G$25,SUMPRODUCT(($J$20:$J$25&lt;ROW(A45))*1)+1)+ROW(A45)-IF(SUMPRODUCT(($J$20:$J$25&lt;ROW(A45))*1)+1=1,1,INDEX($J$20:$J$25,SUMPRODUCT(($J$20:$J$25&lt;ROW(A45))*1)+1-1)+1))</f>
        <v>44965</v>
      </c>
      <c r="R46" s="157" t="str">
        <f t="shared" si="3"/>
        <v>Werktag</v>
      </c>
      <c r="T46" s="232"/>
    </row>
    <row r="47" spans="7:20" ht="15.75" thickBot="1" x14ac:dyDescent="0.25">
      <c r="G47" s="237"/>
      <c r="P47" s="158" t="str" cm="1">
        <f t="array" ref="P47">IF(ROW(A46)&gt;SUM($I$20:$I$25),"",INDEX($F$20:$F$25,SUMPRODUCT(($J$20:$J$25&lt;ROW(A46))*1)+1))</f>
        <v>Fasnacht</v>
      </c>
      <c r="Q47" s="156" cm="1">
        <f t="array" ref="Q47">IF(ROW(A46)&gt;SUM($I$20:$I$25),"",INDEX($G$20:$G$25,SUMPRODUCT(($J$20:$J$25&lt;ROW(A46))*1)+1)+ROW(A46)-IF(SUMPRODUCT(($J$20:$J$25&lt;ROW(A46))*1)+1=1,1,INDEX($J$20:$J$25,SUMPRODUCT(($J$20:$J$25&lt;ROW(A46))*1)+1-1)+1))</f>
        <v>44966</v>
      </c>
      <c r="R47" s="157" t="str">
        <f t="shared" si="3"/>
        <v>Werktag</v>
      </c>
      <c r="T47" s="232"/>
    </row>
    <row r="48" spans="7:20" ht="15.75" thickBot="1" x14ac:dyDescent="0.25">
      <c r="G48" s="237"/>
      <c r="P48" s="158" t="str" cm="1">
        <f t="array" ref="P48">IF(ROW(A47)&gt;SUM($I$20:$I$25),"",INDEX($F$20:$F$25,SUMPRODUCT(($J$20:$J$25&lt;ROW(A47))*1)+1))</f>
        <v>Fasnacht</v>
      </c>
      <c r="Q48" s="156" cm="1">
        <f t="array" ref="Q48">IF(ROW(A47)&gt;SUM($I$20:$I$25),"",INDEX($G$20:$G$25,SUMPRODUCT(($J$20:$J$25&lt;ROW(A47))*1)+1)+ROW(A47)-IF(SUMPRODUCT(($J$20:$J$25&lt;ROW(A47))*1)+1=1,1,INDEX($J$20:$J$25,SUMPRODUCT(($J$20:$J$25&lt;ROW(A47))*1)+1-1)+1))</f>
        <v>44967</v>
      </c>
      <c r="R48" s="157" t="str">
        <f t="shared" si="3"/>
        <v>Werktag</v>
      </c>
      <c r="T48" s="232"/>
    </row>
    <row r="49" spans="7:20" ht="15.75" thickBot="1" x14ac:dyDescent="0.25">
      <c r="G49" s="237"/>
      <c r="P49" s="158" t="str" cm="1">
        <f t="array" ref="P49">IF(ROW(A48)&gt;SUM($I$20:$I$25),"",INDEX($F$20:$F$25,SUMPRODUCT(($J$20:$J$25&lt;ROW(A48))*1)+1))</f>
        <v>Fasnacht</v>
      </c>
      <c r="Q49" s="156" cm="1">
        <f t="array" ref="Q49">IF(ROW(A48)&gt;SUM($I$20:$I$25),"",INDEX($G$20:$G$25,SUMPRODUCT(($J$20:$J$25&lt;ROW(A48))*1)+1)+ROW(A48)-IF(SUMPRODUCT(($J$20:$J$25&lt;ROW(A48))*1)+1=1,1,INDEX($J$20:$J$25,SUMPRODUCT(($J$20:$J$25&lt;ROW(A48))*1)+1-1)+1))</f>
        <v>44968</v>
      </c>
      <c r="R49" s="157" t="str">
        <f t="shared" si="3"/>
        <v>Werktag</v>
      </c>
      <c r="T49" s="232"/>
    </row>
    <row r="50" spans="7:20" ht="15.75" thickBot="1" x14ac:dyDescent="0.25">
      <c r="G50" s="237"/>
      <c r="P50" s="158" t="str" cm="1">
        <f t="array" ref="P50">IF(ROW(A49)&gt;SUM($I$20:$I$25),"",INDEX($F$20:$F$25,SUMPRODUCT(($J$20:$J$25&lt;ROW(A49))*1)+1))</f>
        <v>Fasnacht</v>
      </c>
      <c r="Q50" s="156" cm="1">
        <f t="array" ref="Q50">IF(ROW(A49)&gt;SUM($I$20:$I$25),"",INDEX($G$20:$G$25,SUMPRODUCT(($J$20:$J$25&lt;ROW(A49))*1)+1)+ROW(A49)-IF(SUMPRODUCT(($J$20:$J$25&lt;ROW(A49))*1)+1=1,1,INDEX($J$20:$J$25,SUMPRODUCT(($J$20:$J$25&lt;ROW(A49))*1)+1-1)+1))</f>
        <v>44969</v>
      </c>
      <c r="R50" s="157" t="str">
        <f t="shared" si="3"/>
        <v>Wochenende</v>
      </c>
      <c r="T50" s="232"/>
    </row>
    <row r="51" spans="7:20" ht="15.75" thickBot="1" x14ac:dyDescent="0.25">
      <c r="G51" s="237"/>
      <c r="P51" s="158" t="str" cm="1">
        <f t="array" ref="P51">IF(ROW(A50)&gt;SUM($I$20:$I$25),"",INDEX($F$20:$F$25,SUMPRODUCT(($J$20:$J$25&lt;ROW(A50))*1)+1))</f>
        <v>Fasnacht</v>
      </c>
      <c r="Q51" s="156" cm="1">
        <f t="array" ref="Q51">IF(ROW(A50)&gt;SUM($I$20:$I$25),"",INDEX($G$20:$G$25,SUMPRODUCT(($J$20:$J$25&lt;ROW(A50))*1)+1)+ROW(A50)-IF(SUMPRODUCT(($J$20:$J$25&lt;ROW(A50))*1)+1=1,1,INDEX($J$20:$J$25,SUMPRODUCT(($J$20:$J$25&lt;ROW(A50))*1)+1-1)+1))</f>
        <v>44970</v>
      </c>
      <c r="R51" s="157" t="str">
        <f t="shared" si="3"/>
        <v>Wochenende</v>
      </c>
      <c r="T51" s="232"/>
    </row>
    <row r="52" spans="7:20" ht="15.75" thickBot="1" x14ac:dyDescent="0.25">
      <c r="G52" s="237"/>
      <c r="P52" s="158" t="str" cm="1">
        <f t="array" ref="P52">IF(ROW(A51)&gt;SUM($I$20:$I$25),"",INDEX($F$20:$F$25,SUMPRODUCT(($J$20:$J$25&lt;ROW(A51))*1)+1))</f>
        <v>Fasnacht</v>
      </c>
      <c r="Q52" s="156" cm="1">
        <f t="array" ref="Q52">IF(ROW(A51)&gt;SUM($I$20:$I$25),"",INDEX($G$20:$G$25,SUMPRODUCT(($J$20:$J$25&lt;ROW(A51))*1)+1)+ROW(A51)-IF(SUMPRODUCT(($J$20:$J$25&lt;ROW(A51))*1)+1=1,1,INDEX($J$20:$J$25,SUMPRODUCT(($J$20:$J$25&lt;ROW(A51))*1)+1-1)+1))</f>
        <v>44971</v>
      </c>
      <c r="R52" s="157" t="str">
        <f t="shared" si="3"/>
        <v>Werktag</v>
      </c>
      <c r="T52" s="232"/>
    </row>
    <row r="53" spans="7:20" ht="15.75" thickBot="1" x14ac:dyDescent="0.25">
      <c r="G53" s="237"/>
      <c r="P53" s="158" t="str" cm="1">
        <f t="array" ref="P53">IF(ROW(A52)&gt;SUM($I$20:$I$25),"",INDEX($F$20:$F$25,SUMPRODUCT(($J$20:$J$25&lt;ROW(A52))*1)+1))</f>
        <v>Fasnacht</v>
      </c>
      <c r="Q53" s="156" cm="1">
        <f t="array" ref="Q53">IF(ROW(A52)&gt;SUM($I$20:$I$25),"",INDEX($G$20:$G$25,SUMPRODUCT(($J$20:$J$25&lt;ROW(A52))*1)+1)+ROW(A52)-IF(SUMPRODUCT(($J$20:$J$25&lt;ROW(A52))*1)+1=1,1,INDEX($J$20:$J$25,SUMPRODUCT(($J$20:$J$25&lt;ROW(A52))*1)+1-1)+1))</f>
        <v>44972</v>
      </c>
      <c r="R53" s="157" t="str">
        <f t="shared" si="3"/>
        <v>Werktag</v>
      </c>
      <c r="T53" s="232"/>
    </row>
    <row r="54" spans="7:20" ht="15.75" thickBot="1" x14ac:dyDescent="0.25">
      <c r="G54" s="237"/>
      <c r="P54" s="158" t="str" cm="1">
        <f t="array" ref="P54">IF(ROW(A53)&gt;SUM($I$20:$I$25),"",INDEX($F$20:$F$25,SUMPRODUCT(($J$20:$J$25&lt;ROW(A53))*1)+1))</f>
        <v>Fasnacht</v>
      </c>
      <c r="Q54" s="156" cm="1">
        <f t="array" ref="Q54">IF(ROW(A53)&gt;SUM($I$20:$I$25),"",INDEX($G$20:$G$25,SUMPRODUCT(($J$20:$J$25&lt;ROW(A53))*1)+1)+ROW(A53)-IF(SUMPRODUCT(($J$20:$J$25&lt;ROW(A53))*1)+1=1,1,INDEX($J$20:$J$25,SUMPRODUCT(($J$20:$J$25&lt;ROW(A53))*1)+1-1)+1))</f>
        <v>44973</v>
      </c>
      <c r="R54" s="157" t="str">
        <f t="shared" si="3"/>
        <v>Werktag</v>
      </c>
      <c r="T54" s="232"/>
    </row>
    <row r="55" spans="7:20" ht="15.75" thickBot="1" x14ac:dyDescent="0.25">
      <c r="G55" s="237"/>
      <c r="P55" s="158" t="str" cm="1">
        <f t="array" ref="P55">IF(ROW(A54)&gt;SUM($I$20:$I$25),"",INDEX($F$20:$F$25,SUMPRODUCT(($J$20:$J$25&lt;ROW(A54))*1)+1))</f>
        <v>Fasnacht</v>
      </c>
      <c r="Q55" s="156" cm="1">
        <f t="array" ref="Q55">IF(ROW(A54)&gt;SUM($I$20:$I$25),"",INDEX($G$20:$G$25,SUMPRODUCT(($J$20:$J$25&lt;ROW(A54))*1)+1)+ROW(A54)-IF(SUMPRODUCT(($J$20:$J$25&lt;ROW(A54))*1)+1=1,1,INDEX($J$20:$J$25,SUMPRODUCT(($J$20:$J$25&lt;ROW(A54))*1)+1-1)+1))</f>
        <v>44974</v>
      </c>
      <c r="R55" s="157" t="str">
        <f t="shared" si="3"/>
        <v>Werktag</v>
      </c>
      <c r="T55" s="232"/>
    </row>
    <row r="56" spans="7:20" ht="15.75" thickBot="1" x14ac:dyDescent="0.25">
      <c r="G56" s="237"/>
      <c r="P56" s="158" t="str" cm="1">
        <f t="array" ref="P56">IF(ROW(A55)&gt;SUM($I$20:$I$25),"",INDEX($F$20:$F$25,SUMPRODUCT(($J$20:$J$25&lt;ROW(A55))*1)+1))</f>
        <v>Fasnacht</v>
      </c>
      <c r="Q56" s="156" cm="1">
        <f t="array" ref="Q56">IF(ROW(A55)&gt;SUM($I$20:$I$25),"",INDEX($G$20:$G$25,SUMPRODUCT(($J$20:$J$25&lt;ROW(A55))*1)+1)+ROW(A55)-IF(SUMPRODUCT(($J$20:$J$25&lt;ROW(A55))*1)+1=1,1,INDEX($J$20:$J$25,SUMPRODUCT(($J$20:$J$25&lt;ROW(A55))*1)+1-1)+1))</f>
        <v>44975</v>
      </c>
      <c r="R56" s="157" t="str">
        <f t="shared" si="3"/>
        <v>Werktag</v>
      </c>
      <c r="T56" s="232"/>
    </row>
    <row r="57" spans="7:20" ht="15.75" thickBot="1" x14ac:dyDescent="0.25">
      <c r="G57" s="237"/>
      <c r="P57" s="158" t="str" cm="1">
        <f t="array" ref="P57">IF(ROW(A56)&gt;SUM($I$20:$I$25),"",INDEX($F$20:$F$25,SUMPRODUCT(($J$20:$J$25&lt;ROW(A56))*1)+1))</f>
        <v>Fasnacht</v>
      </c>
      <c r="Q57" s="156" cm="1">
        <f t="array" ref="Q57">IF(ROW(A56)&gt;SUM($I$20:$I$25),"",INDEX($G$20:$G$25,SUMPRODUCT(($J$20:$J$25&lt;ROW(A56))*1)+1)+ROW(A56)-IF(SUMPRODUCT(($J$20:$J$25&lt;ROW(A56))*1)+1=1,1,INDEX($J$20:$J$25,SUMPRODUCT(($J$20:$J$25&lt;ROW(A56))*1)+1-1)+1))</f>
        <v>44976</v>
      </c>
      <c r="R57" s="157" t="str">
        <f t="shared" si="3"/>
        <v>Wochenende</v>
      </c>
      <c r="T57" s="232"/>
    </row>
    <row r="58" spans="7:20" ht="15.75" thickBot="1" x14ac:dyDescent="0.25">
      <c r="G58" s="237"/>
      <c r="P58" s="158" t="str" cm="1">
        <f t="array" ref="P58">IF(ROW(A57)&gt;SUM($I$20:$I$25),"",INDEX($F$20:$F$25,SUMPRODUCT(($J$20:$J$25&lt;ROW(A57))*1)+1))</f>
        <v>Fasnacht</v>
      </c>
      <c r="Q58" s="156" cm="1">
        <f t="array" ref="Q58">IF(ROW(A57)&gt;SUM($I$20:$I$25),"",INDEX($G$20:$G$25,SUMPRODUCT(($J$20:$J$25&lt;ROW(A57))*1)+1)+ROW(A57)-IF(SUMPRODUCT(($J$20:$J$25&lt;ROW(A57))*1)+1=1,1,INDEX($J$20:$J$25,SUMPRODUCT(($J$20:$J$25&lt;ROW(A57))*1)+1-1)+1))</f>
        <v>44977</v>
      </c>
      <c r="R58" s="157" t="str">
        <f t="shared" si="3"/>
        <v>Wochenende</v>
      </c>
      <c r="T58" s="232"/>
    </row>
    <row r="59" spans="7:20" ht="15.75" thickBot="1" x14ac:dyDescent="0.25">
      <c r="G59" s="237"/>
      <c r="P59" s="158" t="str" cm="1">
        <f t="array" ref="P59">IF(ROW(A58)&gt;SUM($I$20:$I$25),"",INDEX($F$20:$F$25,SUMPRODUCT(($J$20:$J$25&lt;ROW(A58))*1)+1))</f>
        <v>Frühjahr</v>
      </c>
      <c r="Q59" s="156" cm="1">
        <f t="array" ref="Q59">IF(ROW(A58)&gt;SUM($I$20:$I$25),"",INDEX($G$20:$G$25,SUMPRODUCT(($J$20:$J$25&lt;ROW(A58))*1)+1)+ROW(A58)-IF(SUMPRODUCT(($J$20:$J$25&lt;ROW(A58))*1)+1=1,1,INDEX($J$20:$J$25,SUMPRODUCT(($J$20:$J$25&lt;ROW(A58))*1)+1-1)+1))</f>
        <v>45004</v>
      </c>
      <c r="R59" s="157" t="str">
        <f t="shared" si="3"/>
        <v>Wochenende</v>
      </c>
      <c r="T59" s="232"/>
    </row>
    <row r="60" spans="7:20" ht="15.75" thickBot="1" x14ac:dyDescent="0.25">
      <c r="G60" s="237"/>
      <c r="P60" s="158" t="str" cm="1">
        <f t="array" ref="P60">IF(ROW(A59)&gt;SUM($I$20:$I$25),"",INDEX($F$20:$F$25,SUMPRODUCT(($J$20:$J$25&lt;ROW(A59))*1)+1))</f>
        <v>Frühjahr</v>
      </c>
      <c r="Q60" s="156" cm="1">
        <f t="array" ref="Q60">IF(ROW(A59)&gt;SUM($I$20:$I$25),"",INDEX($G$20:$G$25,SUMPRODUCT(($J$20:$J$25&lt;ROW(A59))*1)+1)+ROW(A59)-IF(SUMPRODUCT(($J$20:$J$25&lt;ROW(A59))*1)+1=1,1,INDEX($J$20:$J$25,SUMPRODUCT(($J$20:$J$25&lt;ROW(A59))*1)+1-1)+1))</f>
        <v>45005</v>
      </c>
      <c r="R60" s="157" t="str">
        <f t="shared" si="3"/>
        <v>Wochenende</v>
      </c>
      <c r="T60" s="232"/>
    </row>
    <row r="61" spans="7:20" ht="15.75" thickBot="1" x14ac:dyDescent="0.25">
      <c r="G61" s="237"/>
      <c r="P61" s="158" t="str" cm="1">
        <f t="array" ref="P61">IF(ROW(A60)&gt;SUM($I$20:$I$25),"",INDEX($F$20:$F$25,SUMPRODUCT(($J$20:$J$25&lt;ROW(A60))*1)+1))</f>
        <v>Frühjahr</v>
      </c>
      <c r="Q61" s="156" cm="1">
        <f t="array" ref="Q61">IF(ROW(A60)&gt;SUM($I$20:$I$25),"",INDEX($G$20:$G$25,SUMPRODUCT(($J$20:$J$25&lt;ROW(A60))*1)+1)+ROW(A60)-IF(SUMPRODUCT(($J$20:$J$25&lt;ROW(A60))*1)+1=1,1,INDEX($J$20:$J$25,SUMPRODUCT(($J$20:$J$25&lt;ROW(A60))*1)+1-1)+1))</f>
        <v>45006</v>
      </c>
      <c r="R61" s="157" t="str">
        <f t="shared" si="3"/>
        <v>Werktag</v>
      </c>
      <c r="T61" s="232"/>
    </row>
    <row r="62" spans="7:20" ht="15.75" thickBot="1" x14ac:dyDescent="0.25">
      <c r="G62" s="237"/>
      <c r="P62" s="158" t="str" cm="1">
        <f t="array" ref="P62">IF(ROW(A61)&gt;SUM($I$20:$I$25),"",INDEX($F$20:$F$25,SUMPRODUCT(($J$20:$J$25&lt;ROW(A61))*1)+1))</f>
        <v>Frühjahr</v>
      </c>
      <c r="Q62" s="156" cm="1">
        <f t="array" ref="Q62">IF(ROW(A61)&gt;SUM($I$20:$I$25),"",INDEX($G$20:$G$25,SUMPRODUCT(($J$20:$J$25&lt;ROW(A61))*1)+1)+ROW(A61)-IF(SUMPRODUCT(($J$20:$J$25&lt;ROW(A61))*1)+1=1,1,INDEX($J$20:$J$25,SUMPRODUCT(($J$20:$J$25&lt;ROW(A61))*1)+1-1)+1))</f>
        <v>45007</v>
      </c>
      <c r="R62" s="157" t="str">
        <f t="shared" si="3"/>
        <v>Werktag</v>
      </c>
      <c r="T62" s="232"/>
    </row>
    <row r="63" spans="7:20" ht="15.75" thickBot="1" x14ac:dyDescent="0.25">
      <c r="G63" s="237"/>
      <c r="P63" s="158" t="str" cm="1">
        <f t="array" ref="P63">IF(ROW(A62)&gt;SUM($I$20:$I$25),"",INDEX($F$20:$F$25,SUMPRODUCT(($J$20:$J$25&lt;ROW(A62))*1)+1))</f>
        <v>Frühjahr</v>
      </c>
      <c r="Q63" s="156" cm="1">
        <f t="array" ref="Q63">IF(ROW(A62)&gt;SUM($I$20:$I$25),"",INDEX($G$20:$G$25,SUMPRODUCT(($J$20:$J$25&lt;ROW(A62))*1)+1)+ROW(A62)-IF(SUMPRODUCT(($J$20:$J$25&lt;ROW(A62))*1)+1=1,1,INDEX($J$20:$J$25,SUMPRODUCT(($J$20:$J$25&lt;ROW(A62))*1)+1-1)+1))</f>
        <v>45008</v>
      </c>
      <c r="R63" s="157" t="str">
        <f t="shared" si="3"/>
        <v>Werktag</v>
      </c>
      <c r="T63" s="232"/>
    </row>
    <row r="64" spans="7:20" ht="15.75" thickBot="1" x14ac:dyDescent="0.25">
      <c r="G64" s="237"/>
      <c r="P64" s="158" t="str" cm="1">
        <f t="array" ref="P64">IF(ROW(A63)&gt;SUM($I$20:$I$25),"",INDEX($F$20:$F$25,SUMPRODUCT(($J$20:$J$25&lt;ROW(A63))*1)+1))</f>
        <v>Frühjahr</v>
      </c>
      <c r="Q64" s="156" cm="1">
        <f t="array" ref="Q64">IF(ROW(A63)&gt;SUM($I$20:$I$25),"",INDEX($G$20:$G$25,SUMPRODUCT(($J$20:$J$25&lt;ROW(A63))*1)+1)+ROW(A63)-IF(SUMPRODUCT(($J$20:$J$25&lt;ROW(A63))*1)+1=1,1,INDEX($J$20:$J$25,SUMPRODUCT(($J$20:$J$25&lt;ROW(A63))*1)+1-1)+1))</f>
        <v>45009</v>
      </c>
      <c r="R64" s="157" t="str">
        <f t="shared" si="3"/>
        <v>Werktag</v>
      </c>
      <c r="T64" s="232"/>
    </row>
    <row r="65" spans="7:20" ht="15.75" thickBot="1" x14ac:dyDescent="0.25">
      <c r="G65" s="237"/>
      <c r="P65" s="158" t="str" cm="1">
        <f t="array" ref="P65">IF(ROW(A64)&gt;SUM($I$20:$I$25),"",INDEX($F$20:$F$25,SUMPRODUCT(($J$20:$J$25&lt;ROW(A64))*1)+1))</f>
        <v>Frühjahr</v>
      </c>
      <c r="Q65" s="156" cm="1">
        <f t="array" ref="Q65">IF(ROW(A64)&gt;SUM($I$20:$I$25),"",INDEX($G$20:$G$25,SUMPRODUCT(($J$20:$J$25&lt;ROW(A64))*1)+1)+ROW(A64)-IF(SUMPRODUCT(($J$20:$J$25&lt;ROW(A64))*1)+1=1,1,INDEX($J$20:$J$25,SUMPRODUCT(($J$20:$J$25&lt;ROW(A64))*1)+1-1)+1))</f>
        <v>45010</v>
      </c>
      <c r="R65" s="157" t="str">
        <f t="shared" si="3"/>
        <v>Werktag</v>
      </c>
      <c r="T65" s="232"/>
    </row>
    <row r="66" spans="7:20" ht="15.75" thickBot="1" x14ac:dyDescent="0.25">
      <c r="G66" s="237"/>
      <c r="P66" s="158" t="str" cm="1">
        <f t="array" ref="P66">IF(ROW(A65)&gt;SUM($I$20:$I$25),"",INDEX($F$20:$F$25,SUMPRODUCT(($J$20:$J$25&lt;ROW(A65))*1)+1))</f>
        <v>Frühjahr</v>
      </c>
      <c r="Q66" s="156" cm="1">
        <f t="array" ref="Q66">IF(ROW(A65)&gt;SUM($I$20:$I$25),"",INDEX($G$20:$G$25,SUMPRODUCT(($J$20:$J$25&lt;ROW(A65))*1)+1)+ROW(A65)-IF(SUMPRODUCT(($J$20:$J$25&lt;ROW(A65))*1)+1=1,1,INDEX($J$20:$J$25,SUMPRODUCT(($J$20:$J$25&lt;ROW(A65))*1)+1-1)+1))</f>
        <v>45011</v>
      </c>
      <c r="R66" s="157" t="str">
        <f t="shared" si="3"/>
        <v>Wochenende</v>
      </c>
      <c r="T66" s="232"/>
    </row>
    <row r="67" spans="7:20" ht="15.75" thickBot="1" x14ac:dyDescent="0.25">
      <c r="G67" s="237"/>
      <c r="P67" s="158" t="str" cm="1">
        <f t="array" ref="P67">IF(ROW(A66)&gt;SUM($I$20:$I$25),"",INDEX($F$20:$F$25,SUMPRODUCT(($J$20:$J$25&lt;ROW(A66))*1)+1))</f>
        <v>Frühjahr</v>
      </c>
      <c r="Q67" s="156" cm="1">
        <f t="array" ref="Q67">IF(ROW(A66)&gt;SUM($I$20:$I$25),"",INDEX($G$20:$G$25,SUMPRODUCT(($J$20:$J$25&lt;ROW(A66))*1)+1)+ROW(A66)-IF(SUMPRODUCT(($J$20:$J$25&lt;ROW(A66))*1)+1=1,1,INDEX($J$20:$J$25,SUMPRODUCT(($J$20:$J$25&lt;ROW(A66))*1)+1-1)+1))</f>
        <v>45012</v>
      </c>
      <c r="R67" s="157" t="str">
        <f t="shared" ref="R67:R110" si="8">IF(Q67="","",IF(WEEKDAY(Q67,2)&gt;5,"Wochenende","Werktag"))</f>
        <v>Wochenende</v>
      </c>
      <c r="T67" s="232"/>
    </row>
    <row r="68" spans="7:20" ht="15.75" thickBot="1" x14ac:dyDescent="0.25">
      <c r="G68" s="237"/>
      <c r="P68" s="158" t="str" cm="1">
        <f t="array" ref="P68">IF(ROW(A67)&gt;SUM($I$20:$I$25),"",INDEX($F$20:$F$25,SUMPRODUCT(($J$20:$J$25&lt;ROW(A67))*1)+1))</f>
        <v>Frühjahr</v>
      </c>
      <c r="Q68" s="156" cm="1">
        <f t="array" ref="Q68">IF(ROW(A67)&gt;SUM($I$20:$I$25),"",INDEX($G$20:$G$25,SUMPRODUCT(($J$20:$J$25&lt;ROW(A67))*1)+1)+ROW(A67)-IF(SUMPRODUCT(($J$20:$J$25&lt;ROW(A67))*1)+1=1,1,INDEX($J$20:$J$25,SUMPRODUCT(($J$20:$J$25&lt;ROW(A67))*1)+1-1)+1))</f>
        <v>45013</v>
      </c>
      <c r="R68" s="157" t="str">
        <f t="shared" si="8"/>
        <v>Werktag</v>
      </c>
      <c r="T68" s="232"/>
    </row>
    <row r="69" spans="7:20" ht="15.75" thickBot="1" x14ac:dyDescent="0.25">
      <c r="G69" s="237"/>
      <c r="P69" s="158" t="str" cm="1">
        <f t="array" ref="P69">IF(ROW(A68)&gt;SUM($I$20:$I$25),"",INDEX($F$20:$F$25,SUMPRODUCT(($J$20:$J$25&lt;ROW(A68))*1)+1))</f>
        <v>Frühjahr</v>
      </c>
      <c r="Q69" s="156" cm="1">
        <f t="array" ref="Q69">IF(ROW(A68)&gt;SUM($I$20:$I$25),"",INDEX($G$20:$G$25,SUMPRODUCT(($J$20:$J$25&lt;ROW(A68))*1)+1)+ROW(A68)-IF(SUMPRODUCT(($J$20:$J$25&lt;ROW(A68))*1)+1=1,1,INDEX($J$20:$J$25,SUMPRODUCT(($J$20:$J$25&lt;ROW(A68))*1)+1-1)+1))</f>
        <v>45014</v>
      </c>
      <c r="R69" s="157" t="str">
        <f t="shared" si="8"/>
        <v>Werktag</v>
      </c>
      <c r="T69" s="232"/>
    </row>
    <row r="70" spans="7:20" ht="15.75" thickBot="1" x14ac:dyDescent="0.25">
      <c r="G70" s="237"/>
      <c r="P70" s="158" t="str" cm="1">
        <f t="array" ref="P70">IF(ROW(A69)&gt;SUM($I$20:$I$25),"",INDEX($F$20:$F$25,SUMPRODUCT(($J$20:$J$25&lt;ROW(A69))*1)+1))</f>
        <v>Frühjahr</v>
      </c>
      <c r="Q70" s="156" cm="1">
        <f t="array" ref="Q70">IF(ROW(A69)&gt;SUM($I$20:$I$25),"",INDEX($G$20:$G$25,SUMPRODUCT(($J$20:$J$25&lt;ROW(A69))*1)+1)+ROW(A69)-IF(SUMPRODUCT(($J$20:$J$25&lt;ROW(A69))*1)+1=1,1,INDEX($J$20:$J$25,SUMPRODUCT(($J$20:$J$25&lt;ROW(A69))*1)+1-1)+1))</f>
        <v>45015</v>
      </c>
      <c r="R70" s="157" t="str">
        <f t="shared" si="8"/>
        <v>Werktag</v>
      </c>
      <c r="T70" s="232"/>
    </row>
    <row r="71" spans="7:20" ht="15.75" thickBot="1" x14ac:dyDescent="0.25">
      <c r="G71" s="237"/>
      <c r="P71" s="158" t="str" cm="1">
        <f t="array" ref="P71">IF(ROW(A70)&gt;SUM($I$20:$I$25),"",INDEX($F$20:$F$25,SUMPRODUCT(($J$20:$J$25&lt;ROW(A70))*1)+1))</f>
        <v>Frühjahr</v>
      </c>
      <c r="Q71" s="156" cm="1">
        <f t="array" ref="Q71">IF(ROW(A70)&gt;SUM($I$20:$I$25),"",INDEX($G$20:$G$25,SUMPRODUCT(($J$20:$J$25&lt;ROW(A70))*1)+1)+ROW(A70)-IF(SUMPRODUCT(($J$20:$J$25&lt;ROW(A70))*1)+1=1,1,INDEX($J$20:$J$25,SUMPRODUCT(($J$20:$J$25&lt;ROW(A70))*1)+1-1)+1))</f>
        <v>45016</v>
      </c>
      <c r="R71" s="157" t="str">
        <f t="shared" si="8"/>
        <v>Werktag</v>
      </c>
      <c r="T71" s="232"/>
    </row>
    <row r="72" spans="7:20" ht="15.75" thickBot="1" x14ac:dyDescent="0.25">
      <c r="G72" s="237"/>
      <c r="P72" s="158" t="str" cm="1">
        <f t="array" ref="P72">IF(ROW(A71)&gt;SUM($I$20:$I$25),"",INDEX($F$20:$F$25,SUMPRODUCT(($J$20:$J$25&lt;ROW(A71))*1)+1))</f>
        <v>Frühjahr</v>
      </c>
      <c r="Q72" s="156" cm="1">
        <f t="array" ref="Q72">IF(ROW(A71)&gt;SUM($I$20:$I$25),"",INDEX($G$20:$G$25,SUMPRODUCT(($J$20:$J$25&lt;ROW(A71))*1)+1)+ROW(A71)-IF(SUMPRODUCT(($J$20:$J$25&lt;ROW(A71))*1)+1=1,1,INDEX($J$20:$J$25,SUMPRODUCT(($J$20:$J$25&lt;ROW(A71))*1)+1-1)+1))</f>
        <v>45017</v>
      </c>
      <c r="R72" s="157" t="str">
        <f t="shared" si="8"/>
        <v>Werktag</v>
      </c>
      <c r="T72" s="232"/>
    </row>
    <row r="73" spans="7:20" ht="15.75" thickBot="1" x14ac:dyDescent="0.25">
      <c r="G73" s="237"/>
      <c r="P73" s="158" t="str" cm="1">
        <f t="array" ref="P73">IF(ROW(A72)&gt;SUM($I$20:$I$25),"",INDEX($F$20:$F$25,SUMPRODUCT(($J$20:$J$25&lt;ROW(A72))*1)+1))</f>
        <v>Frühjahr</v>
      </c>
      <c r="Q73" s="156" cm="1">
        <f t="array" ref="Q73">IF(ROW(A72)&gt;SUM($I$20:$I$25),"",INDEX($G$20:$G$25,SUMPRODUCT(($J$20:$J$25&lt;ROW(A72))*1)+1)+ROW(A72)-IF(SUMPRODUCT(($J$20:$J$25&lt;ROW(A72))*1)+1=1,1,INDEX($J$20:$J$25,SUMPRODUCT(($J$20:$J$25&lt;ROW(A72))*1)+1-1)+1))</f>
        <v>45018</v>
      </c>
      <c r="R73" s="157" t="str">
        <f t="shared" si="8"/>
        <v>Wochenende</v>
      </c>
      <c r="T73" s="232"/>
    </row>
    <row r="74" spans="7:20" ht="15.75" thickBot="1" x14ac:dyDescent="0.25">
      <c r="G74" s="237"/>
      <c r="P74" s="158" t="str" cm="1">
        <f t="array" ref="P74">IF(ROW(A73)&gt;SUM($I$20:$I$25),"",INDEX($F$20:$F$25,SUMPRODUCT(($J$20:$J$25&lt;ROW(A73))*1)+1))</f>
        <v>Frühjahr</v>
      </c>
      <c r="Q74" s="156" cm="1">
        <f t="array" ref="Q74">IF(ROW(A73)&gt;SUM($I$20:$I$25),"",INDEX($G$20:$G$25,SUMPRODUCT(($J$20:$J$25&lt;ROW(A73))*1)+1)+ROW(A73)-IF(SUMPRODUCT(($J$20:$J$25&lt;ROW(A73))*1)+1=1,1,INDEX($J$20:$J$25,SUMPRODUCT(($J$20:$J$25&lt;ROW(A73))*1)+1-1)+1))</f>
        <v>45019</v>
      </c>
      <c r="R74" s="157" t="str">
        <f t="shared" si="8"/>
        <v>Wochenende</v>
      </c>
      <c r="T74" s="232"/>
    </row>
    <row r="75" spans="7:20" ht="15.75" thickBot="1" x14ac:dyDescent="0.25">
      <c r="G75" s="237"/>
      <c r="P75" s="158" t="str" cm="1">
        <f t="array" ref="P75">IF(ROW(A74)&gt;SUM($I$20:$I$25),"",INDEX($F$20:$F$25,SUMPRODUCT(($J$20:$J$25&lt;ROW(A74))*1)+1))</f>
        <v>Sommer</v>
      </c>
      <c r="Q75" s="156" cm="1">
        <f t="array" ref="Q75">IF(ROW(A74)&gt;SUM($I$20:$I$25),"",INDEX($G$20:$G$25,SUMPRODUCT(($J$20:$J$25&lt;ROW(A74))*1)+1)+ROW(A74)-IF(SUMPRODUCT(($J$20:$J$25&lt;ROW(A74))*1)+1=1,1,INDEX($J$20:$J$25,SUMPRODUCT(($J$20:$J$25&lt;ROW(A74))*1)+1-1)+1))</f>
        <v>45109</v>
      </c>
      <c r="R75" s="157" t="str">
        <f t="shared" si="8"/>
        <v>Wochenende</v>
      </c>
      <c r="T75" s="232"/>
    </row>
    <row r="76" spans="7:20" ht="15.75" thickBot="1" x14ac:dyDescent="0.25">
      <c r="G76" s="237"/>
      <c r="P76" s="158" t="str" cm="1">
        <f t="array" ref="P76">IF(ROW(A75)&gt;SUM($I$20:$I$25),"",INDEX($F$20:$F$25,SUMPRODUCT(($J$20:$J$25&lt;ROW(A75))*1)+1))</f>
        <v>Sommer</v>
      </c>
      <c r="Q76" s="156" cm="1">
        <f t="array" ref="Q76">IF(ROW(A75)&gt;SUM($I$20:$I$25),"",INDEX($G$20:$G$25,SUMPRODUCT(($J$20:$J$25&lt;ROW(A75))*1)+1)+ROW(A75)-IF(SUMPRODUCT(($J$20:$J$25&lt;ROW(A75))*1)+1=1,1,INDEX($J$20:$J$25,SUMPRODUCT(($J$20:$J$25&lt;ROW(A75))*1)+1-1)+1))</f>
        <v>45110</v>
      </c>
      <c r="R76" s="157" t="str">
        <f t="shared" si="8"/>
        <v>Wochenende</v>
      </c>
      <c r="T76" s="232"/>
    </row>
    <row r="77" spans="7:20" ht="15.75" thickBot="1" x14ac:dyDescent="0.25">
      <c r="G77" s="237"/>
      <c r="P77" s="158" t="str" cm="1">
        <f t="array" ref="P77">IF(ROW(A76)&gt;SUM($I$20:$I$25),"",INDEX($F$20:$F$25,SUMPRODUCT(($J$20:$J$25&lt;ROW(A76))*1)+1))</f>
        <v>Sommer</v>
      </c>
      <c r="Q77" s="156" cm="1">
        <f t="array" ref="Q77">IF(ROW(A76)&gt;SUM($I$20:$I$25),"",INDEX($G$20:$G$25,SUMPRODUCT(($J$20:$J$25&lt;ROW(A76))*1)+1)+ROW(A76)-IF(SUMPRODUCT(($J$20:$J$25&lt;ROW(A76))*1)+1=1,1,INDEX($J$20:$J$25,SUMPRODUCT(($J$20:$J$25&lt;ROW(A76))*1)+1-1)+1))</f>
        <v>45111</v>
      </c>
      <c r="R77" s="157" t="str">
        <f t="shared" si="8"/>
        <v>Werktag</v>
      </c>
      <c r="T77" s="232"/>
    </row>
    <row r="78" spans="7:20" ht="15.75" thickBot="1" x14ac:dyDescent="0.25">
      <c r="G78" s="237"/>
      <c r="P78" s="158" t="str" cm="1">
        <f t="array" ref="P78">IF(ROW(A77)&gt;SUM($I$20:$I$25),"",INDEX($F$20:$F$25,SUMPRODUCT(($J$20:$J$25&lt;ROW(A77))*1)+1))</f>
        <v>Sommer</v>
      </c>
      <c r="Q78" s="156" cm="1">
        <f t="array" ref="Q78">IF(ROW(A77)&gt;SUM($I$20:$I$25),"",INDEX($G$20:$G$25,SUMPRODUCT(($J$20:$J$25&lt;ROW(A77))*1)+1)+ROW(A77)-IF(SUMPRODUCT(($J$20:$J$25&lt;ROW(A77))*1)+1=1,1,INDEX($J$20:$J$25,SUMPRODUCT(($J$20:$J$25&lt;ROW(A77))*1)+1-1)+1))</f>
        <v>45112</v>
      </c>
      <c r="R78" s="157" t="str">
        <f t="shared" si="8"/>
        <v>Werktag</v>
      </c>
      <c r="T78" s="232"/>
    </row>
    <row r="79" spans="7:20" ht="15.75" thickBot="1" x14ac:dyDescent="0.25">
      <c r="G79" s="237"/>
      <c r="P79" s="158" t="str" cm="1">
        <f t="array" ref="P79">IF(ROW(A78)&gt;SUM($I$20:$I$25),"",INDEX($F$20:$F$25,SUMPRODUCT(($J$20:$J$25&lt;ROW(A78))*1)+1))</f>
        <v>Sommer</v>
      </c>
      <c r="Q79" s="156" cm="1">
        <f t="array" ref="Q79">IF(ROW(A78)&gt;SUM($I$20:$I$25),"",INDEX($G$20:$G$25,SUMPRODUCT(($J$20:$J$25&lt;ROW(A78))*1)+1)+ROW(A78)-IF(SUMPRODUCT(($J$20:$J$25&lt;ROW(A78))*1)+1=1,1,INDEX($J$20:$J$25,SUMPRODUCT(($J$20:$J$25&lt;ROW(A78))*1)+1-1)+1))</f>
        <v>45113</v>
      </c>
      <c r="R79" s="157" t="str">
        <f t="shared" si="8"/>
        <v>Werktag</v>
      </c>
      <c r="T79" s="232"/>
    </row>
    <row r="80" spans="7:20" ht="15.75" thickBot="1" x14ac:dyDescent="0.25">
      <c r="G80" s="237"/>
      <c r="P80" s="158" t="str" cm="1">
        <f t="array" ref="P80">IF(ROW(A79)&gt;SUM($I$20:$I$25),"",INDEX($F$20:$F$25,SUMPRODUCT(($J$20:$J$25&lt;ROW(A79))*1)+1))</f>
        <v>Sommer</v>
      </c>
      <c r="Q80" s="156" cm="1">
        <f t="array" ref="Q80">IF(ROW(A79)&gt;SUM($I$20:$I$25),"",INDEX($G$20:$G$25,SUMPRODUCT(($J$20:$J$25&lt;ROW(A79))*1)+1)+ROW(A79)-IF(SUMPRODUCT(($J$20:$J$25&lt;ROW(A79))*1)+1=1,1,INDEX($J$20:$J$25,SUMPRODUCT(($J$20:$J$25&lt;ROW(A79))*1)+1-1)+1))</f>
        <v>45114</v>
      </c>
      <c r="R80" s="157" t="str">
        <f t="shared" si="8"/>
        <v>Werktag</v>
      </c>
      <c r="T80" s="232"/>
    </row>
    <row r="81" spans="7:20" ht="15.75" thickBot="1" x14ac:dyDescent="0.25">
      <c r="G81" s="237"/>
      <c r="P81" s="158" t="str" cm="1">
        <f t="array" ref="P81">IF(ROW(A80)&gt;SUM($I$20:$I$25),"",INDEX($F$20:$F$25,SUMPRODUCT(($J$20:$J$25&lt;ROW(A80))*1)+1))</f>
        <v>Sommer</v>
      </c>
      <c r="Q81" s="156" cm="1">
        <f t="array" ref="Q81">IF(ROW(A80)&gt;SUM($I$20:$I$25),"",INDEX($G$20:$G$25,SUMPRODUCT(($J$20:$J$25&lt;ROW(A80))*1)+1)+ROW(A80)-IF(SUMPRODUCT(($J$20:$J$25&lt;ROW(A80))*1)+1=1,1,INDEX($J$20:$J$25,SUMPRODUCT(($J$20:$J$25&lt;ROW(A80))*1)+1-1)+1))</f>
        <v>45115</v>
      </c>
      <c r="R81" s="157" t="str">
        <f t="shared" si="8"/>
        <v>Werktag</v>
      </c>
      <c r="T81" s="232"/>
    </row>
    <row r="82" spans="7:20" ht="15.75" thickBot="1" x14ac:dyDescent="0.25">
      <c r="G82" s="237"/>
      <c r="P82" s="158" t="str" cm="1">
        <f t="array" ref="P82">IF(ROW(A81)&gt;SUM($I$20:$I$25),"",INDEX($F$20:$F$25,SUMPRODUCT(($J$20:$J$25&lt;ROW(A81))*1)+1))</f>
        <v>Sommer</v>
      </c>
      <c r="Q82" s="156" cm="1">
        <f t="array" ref="Q82">IF(ROW(A81)&gt;SUM($I$20:$I$25),"",INDEX($G$20:$G$25,SUMPRODUCT(($J$20:$J$25&lt;ROW(A81))*1)+1)+ROW(A81)-IF(SUMPRODUCT(($J$20:$J$25&lt;ROW(A81))*1)+1=1,1,INDEX($J$20:$J$25,SUMPRODUCT(($J$20:$J$25&lt;ROW(A81))*1)+1-1)+1))</f>
        <v>45116</v>
      </c>
      <c r="R82" s="157" t="str">
        <f t="shared" si="8"/>
        <v>Wochenende</v>
      </c>
      <c r="T82" s="232"/>
    </row>
    <row r="83" spans="7:20" ht="15.75" thickBot="1" x14ac:dyDescent="0.25">
      <c r="G83" s="237"/>
      <c r="P83" s="158" t="str" cm="1">
        <f t="array" ref="P83">IF(ROW(A82)&gt;SUM($I$20:$I$25),"",INDEX($F$20:$F$25,SUMPRODUCT(($J$20:$J$25&lt;ROW(A82))*1)+1))</f>
        <v>Sommer</v>
      </c>
      <c r="Q83" s="156" cm="1">
        <f t="array" ref="Q83">IF(ROW(A82)&gt;SUM($I$20:$I$25),"",INDEX($G$20:$G$25,SUMPRODUCT(($J$20:$J$25&lt;ROW(A82))*1)+1)+ROW(A82)-IF(SUMPRODUCT(($J$20:$J$25&lt;ROW(A82))*1)+1=1,1,INDEX($J$20:$J$25,SUMPRODUCT(($J$20:$J$25&lt;ROW(A82))*1)+1-1)+1))</f>
        <v>45117</v>
      </c>
      <c r="R83" s="157" t="str">
        <f t="shared" si="8"/>
        <v>Wochenende</v>
      </c>
      <c r="T83" s="232"/>
    </row>
    <row r="84" spans="7:20" ht="15.75" thickBot="1" x14ac:dyDescent="0.25">
      <c r="G84" s="237"/>
      <c r="P84" s="158" t="str" cm="1">
        <f t="array" ref="P84">IF(ROW(A83)&gt;SUM($I$20:$I$25),"",INDEX($F$20:$F$25,SUMPRODUCT(($J$20:$J$25&lt;ROW(A83))*1)+1))</f>
        <v>Sommer</v>
      </c>
      <c r="Q84" s="156" cm="1">
        <f t="array" ref="Q84">IF(ROW(A83)&gt;SUM($I$20:$I$25),"",INDEX($G$20:$G$25,SUMPRODUCT(($J$20:$J$25&lt;ROW(A83))*1)+1)+ROW(A83)-IF(SUMPRODUCT(($J$20:$J$25&lt;ROW(A83))*1)+1=1,1,INDEX($J$20:$J$25,SUMPRODUCT(($J$20:$J$25&lt;ROW(A83))*1)+1-1)+1))</f>
        <v>45118</v>
      </c>
      <c r="R84" s="157" t="str">
        <f t="shared" si="8"/>
        <v>Werktag</v>
      </c>
      <c r="T84" s="232"/>
    </row>
    <row r="85" spans="7:20" ht="15.75" thickBot="1" x14ac:dyDescent="0.25">
      <c r="G85" s="237"/>
      <c r="P85" s="158" t="str" cm="1">
        <f t="array" ref="P85">IF(ROW(A84)&gt;SUM($I$20:$I$25),"",INDEX($F$20:$F$25,SUMPRODUCT(($J$20:$J$25&lt;ROW(A84))*1)+1))</f>
        <v>Sommer</v>
      </c>
      <c r="Q85" s="156" cm="1">
        <f t="array" ref="Q85">IF(ROW(A84)&gt;SUM($I$20:$I$25),"",INDEX($G$20:$G$25,SUMPRODUCT(($J$20:$J$25&lt;ROW(A84))*1)+1)+ROW(A84)-IF(SUMPRODUCT(($J$20:$J$25&lt;ROW(A84))*1)+1=1,1,INDEX($J$20:$J$25,SUMPRODUCT(($J$20:$J$25&lt;ROW(A84))*1)+1-1)+1))</f>
        <v>45119</v>
      </c>
      <c r="R85" s="157" t="str">
        <f t="shared" si="8"/>
        <v>Werktag</v>
      </c>
      <c r="T85" s="232"/>
    </row>
    <row r="86" spans="7:20" ht="15.75" thickBot="1" x14ac:dyDescent="0.25">
      <c r="G86" s="237"/>
      <c r="P86" s="158" t="str" cm="1">
        <f t="array" ref="P86">IF(ROW(A85)&gt;SUM($I$20:$I$25),"",INDEX($F$20:$F$25,SUMPRODUCT(($J$20:$J$25&lt;ROW(A85))*1)+1))</f>
        <v>Sommer</v>
      </c>
      <c r="Q86" s="156" cm="1">
        <f t="array" ref="Q86">IF(ROW(A85)&gt;SUM($I$20:$I$25),"",INDEX($G$20:$G$25,SUMPRODUCT(($J$20:$J$25&lt;ROW(A85))*1)+1)+ROW(A85)-IF(SUMPRODUCT(($J$20:$J$25&lt;ROW(A85))*1)+1=1,1,INDEX($J$20:$J$25,SUMPRODUCT(($J$20:$J$25&lt;ROW(A85))*1)+1-1)+1))</f>
        <v>45120</v>
      </c>
      <c r="R86" s="157" t="str">
        <f t="shared" si="8"/>
        <v>Werktag</v>
      </c>
      <c r="T86" s="232"/>
    </row>
    <row r="87" spans="7:20" ht="15.75" thickBot="1" x14ac:dyDescent="0.25">
      <c r="G87" s="237"/>
      <c r="P87" s="158" t="str" cm="1">
        <f t="array" ref="P87">IF(ROW(A86)&gt;SUM($I$20:$I$25),"",INDEX($F$20:$F$25,SUMPRODUCT(($J$20:$J$25&lt;ROW(A86))*1)+1))</f>
        <v>Sommer</v>
      </c>
      <c r="Q87" s="156" cm="1">
        <f t="array" ref="Q87">IF(ROW(A86)&gt;SUM($I$20:$I$25),"",INDEX($G$20:$G$25,SUMPRODUCT(($J$20:$J$25&lt;ROW(A86))*1)+1)+ROW(A86)-IF(SUMPRODUCT(($J$20:$J$25&lt;ROW(A86))*1)+1=1,1,INDEX($J$20:$J$25,SUMPRODUCT(($J$20:$J$25&lt;ROW(A86))*1)+1-1)+1))</f>
        <v>45121</v>
      </c>
      <c r="R87" s="157" t="str">
        <f t="shared" si="8"/>
        <v>Werktag</v>
      </c>
      <c r="T87" s="232"/>
    </row>
    <row r="88" spans="7:20" ht="15.75" thickBot="1" x14ac:dyDescent="0.25">
      <c r="G88" s="237"/>
      <c r="P88" s="158" t="str" cm="1">
        <f t="array" ref="P88">IF(ROW(A87)&gt;SUM($I$20:$I$25),"",INDEX($F$20:$F$25,SUMPRODUCT(($J$20:$J$25&lt;ROW(A87))*1)+1))</f>
        <v>Sommer</v>
      </c>
      <c r="Q88" s="156" cm="1">
        <f t="array" ref="Q88">IF(ROW(A87)&gt;SUM($I$20:$I$25),"",INDEX($G$20:$G$25,SUMPRODUCT(($J$20:$J$25&lt;ROW(A87))*1)+1)+ROW(A87)-IF(SUMPRODUCT(($J$20:$J$25&lt;ROW(A87))*1)+1=1,1,INDEX($J$20:$J$25,SUMPRODUCT(($J$20:$J$25&lt;ROW(A87))*1)+1-1)+1))</f>
        <v>45122</v>
      </c>
      <c r="R88" s="157" t="str">
        <f t="shared" si="8"/>
        <v>Werktag</v>
      </c>
      <c r="T88" s="232"/>
    </row>
    <row r="89" spans="7:20" ht="15.75" thickBot="1" x14ac:dyDescent="0.25">
      <c r="G89" s="237"/>
      <c r="P89" s="158" t="str" cm="1">
        <f t="array" ref="P89">IF(ROW(A88)&gt;SUM($I$20:$I$25),"",INDEX($F$20:$F$25,SUMPRODUCT(($J$20:$J$25&lt;ROW(A88))*1)+1))</f>
        <v>Sommer</v>
      </c>
      <c r="Q89" s="156" cm="1">
        <f t="array" ref="Q89">IF(ROW(A88)&gt;SUM($I$20:$I$25),"",INDEX($G$20:$G$25,SUMPRODUCT(($J$20:$J$25&lt;ROW(A88))*1)+1)+ROW(A88)-IF(SUMPRODUCT(($J$20:$J$25&lt;ROW(A88))*1)+1=1,1,INDEX($J$20:$J$25,SUMPRODUCT(($J$20:$J$25&lt;ROW(A88))*1)+1-1)+1))</f>
        <v>45123</v>
      </c>
      <c r="R89" s="157" t="str">
        <f t="shared" si="8"/>
        <v>Wochenende</v>
      </c>
      <c r="T89" s="232"/>
    </row>
    <row r="90" spans="7:20" ht="15.75" thickBot="1" x14ac:dyDescent="0.25">
      <c r="G90" s="237"/>
      <c r="P90" s="158" t="str" cm="1">
        <f t="array" ref="P90">IF(ROW(A89)&gt;SUM($I$20:$I$25),"",INDEX($F$20:$F$25,SUMPRODUCT(($J$20:$J$25&lt;ROW(A89))*1)+1))</f>
        <v>Sommer</v>
      </c>
      <c r="Q90" s="156" cm="1">
        <f t="array" ref="Q90">IF(ROW(A89)&gt;SUM($I$20:$I$25),"",INDEX($G$20:$G$25,SUMPRODUCT(($J$20:$J$25&lt;ROW(A89))*1)+1)+ROW(A89)-IF(SUMPRODUCT(($J$20:$J$25&lt;ROW(A89))*1)+1=1,1,INDEX($J$20:$J$25,SUMPRODUCT(($J$20:$J$25&lt;ROW(A89))*1)+1-1)+1))</f>
        <v>45124</v>
      </c>
      <c r="R90" s="157" t="str">
        <f t="shared" si="8"/>
        <v>Wochenende</v>
      </c>
      <c r="T90" s="232"/>
    </row>
    <row r="91" spans="7:20" ht="15.75" thickBot="1" x14ac:dyDescent="0.25">
      <c r="G91" s="237"/>
      <c r="P91" s="158" t="str" cm="1">
        <f t="array" ref="P91">IF(ROW(A90)&gt;SUM($I$20:$I$25),"",INDEX($F$20:$F$25,SUMPRODUCT(($J$20:$J$25&lt;ROW(A90))*1)+1))</f>
        <v>Sommer</v>
      </c>
      <c r="Q91" s="156" cm="1">
        <f t="array" ref="Q91">IF(ROW(A90)&gt;SUM($I$20:$I$25),"",INDEX($G$20:$G$25,SUMPRODUCT(($J$20:$J$25&lt;ROW(A90))*1)+1)+ROW(A90)-IF(SUMPRODUCT(($J$20:$J$25&lt;ROW(A90))*1)+1=1,1,INDEX($J$20:$J$25,SUMPRODUCT(($J$20:$J$25&lt;ROW(A90))*1)+1-1)+1))</f>
        <v>45125</v>
      </c>
      <c r="R91" s="157" t="str">
        <f t="shared" si="8"/>
        <v>Werktag</v>
      </c>
      <c r="T91" s="232"/>
    </row>
    <row r="92" spans="7:20" ht="15.75" thickBot="1" x14ac:dyDescent="0.25">
      <c r="G92" s="237"/>
      <c r="P92" s="158" t="str" cm="1">
        <f t="array" ref="P92">IF(ROW(A91)&gt;SUM($I$20:$I$25),"",INDEX($F$20:$F$25,SUMPRODUCT(($J$20:$J$25&lt;ROW(A91))*1)+1))</f>
        <v>Sommer</v>
      </c>
      <c r="Q92" s="156" cm="1">
        <f t="array" ref="Q92">IF(ROW(A91)&gt;SUM($I$20:$I$25),"",INDEX($G$20:$G$25,SUMPRODUCT(($J$20:$J$25&lt;ROW(A91))*1)+1)+ROW(A91)-IF(SUMPRODUCT(($J$20:$J$25&lt;ROW(A91))*1)+1=1,1,INDEX($J$20:$J$25,SUMPRODUCT(($J$20:$J$25&lt;ROW(A91))*1)+1-1)+1))</f>
        <v>45126</v>
      </c>
      <c r="R92" s="157" t="str">
        <f t="shared" si="8"/>
        <v>Werktag</v>
      </c>
      <c r="T92" s="232"/>
    </row>
    <row r="93" spans="7:20" ht="15.75" thickBot="1" x14ac:dyDescent="0.25">
      <c r="G93" s="237"/>
      <c r="P93" s="158" t="str" cm="1">
        <f t="array" ref="P93">IF(ROW(A92)&gt;SUM($I$20:$I$25),"",INDEX($F$20:$F$25,SUMPRODUCT(($J$20:$J$25&lt;ROW(A92))*1)+1))</f>
        <v>Sommer</v>
      </c>
      <c r="Q93" s="156" cm="1">
        <f t="array" ref="Q93">IF(ROW(A92)&gt;SUM($I$20:$I$25),"",INDEX($G$20:$G$25,SUMPRODUCT(($J$20:$J$25&lt;ROW(A92))*1)+1)+ROW(A92)-IF(SUMPRODUCT(($J$20:$J$25&lt;ROW(A92))*1)+1=1,1,INDEX($J$20:$J$25,SUMPRODUCT(($J$20:$J$25&lt;ROW(A92))*1)+1-1)+1))</f>
        <v>45127</v>
      </c>
      <c r="R93" s="157" t="str">
        <f t="shared" si="8"/>
        <v>Werktag</v>
      </c>
      <c r="T93" s="232"/>
    </row>
    <row r="94" spans="7:20" ht="15.75" thickBot="1" x14ac:dyDescent="0.25">
      <c r="G94" s="237"/>
      <c r="P94" s="158" t="str" cm="1">
        <f t="array" ref="P94">IF(ROW(A93)&gt;SUM($I$20:$I$25),"",INDEX($F$20:$F$25,SUMPRODUCT(($J$20:$J$25&lt;ROW(A93))*1)+1))</f>
        <v>Sommer</v>
      </c>
      <c r="Q94" s="156" cm="1">
        <f t="array" ref="Q94">IF(ROW(A93)&gt;SUM($I$20:$I$25),"",INDEX($G$20:$G$25,SUMPRODUCT(($J$20:$J$25&lt;ROW(A93))*1)+1)+ROW(A93)-IF(SUMPRODUCT(($J$20:$J$25&lt;ROW(A93))*1)+1=1,1,INDEX($J$20:$J$25,SUMPRODUCT(($J$20:$J$25&lt;ROW(A93))*1)+1-1)+1))</f>
        <v>45128</v>
      </c>
      <c r="R94" s="157" t="str">
        <f t="shared" si="8"/>
        <v>Werktag</v>
      </c>
      <c r="T94" s="232"/>
    </row>
    <row r="95" spans="7:20" ht="15.75" thickBot="1" x14ac:dyDescent="0.25">
      <c r="G95" s="237"/>
      <c r="P95" s="158" t="str" cm="1">
        <f t="array" ref="P95">IF(ROW(A94)&gt;SUM($I$20:$I$25),"",INDEX($F$20:$F$25,SUMPRODUCT(($J$20:$J$25&lt;ROW(A94))*1)+1))</f>
        <v>Sommer</v>
      </c>
      <c r="Q95" s="156" cm="1">
        <f t="array" ref="Q95">IF(ROW(A94)&gt;SUM($I$20:$I$25),"",INDEX($G$20:$G$25,SUMPRODUCT(($J$20:$J$25&lt;ROW(A94))*1)+1)+ROW(A94)-IF(SUMPRODUCT(($J$20:$J$25&lt;ROW(A94))*1)+1=1,1,INDEX($J$20:$J$25,SUMPRODUCT(($J$20:$J$25&lt;ROW(A94))*1)+1-1)+1))</f>
        <v>45129</v>
      </c>
      <c r="R95" s="157" t="str">
        <f t="shared" si="8"/>
        <v>Werktag</v>
      </c>
      <c r="T95" s="232"/>
    </row>
    <row r="96" spans="7:20" ht="15.75" thickBot="1" x14ac:dyDescent="0.25">
      <c r="G96" s="237"/>
      <c r="P96" s="158" t="str" cm="1">
        <f t="array" ref="P96">IF(ROW(A95)&gt;SUM($I$20:$I$25),"",INDEX($F$20:$F$25,SUMPRODUCT(($J$20:$J$25&lt;ROW(A95))*1)+1))</f>
        <v>Sommer</v>
      </c>
      <c r="Q96" s="156" cm="1">
        <f t="array" ref="Q96">IF(ROW(A95)&gt;SUM($I$20:$I$25),"",INDEX($G$20:$G$25,SUMPRODUCT(($J$20:$J$25&lt;ROW(A95))*1)+1)+ROW(A95)-IF(SUMPRODUCT(($J$20:$J$25&lt;ROW(A95))*1)+1=1,1,INDEX($J$20:$J$25,SUMPRODUCT(($J$20:$J$25&lt;ROW(A95))*1)+1-1)+1))</f>
        <v>45130</v>
      </c>
      <c r="R96" s="157" t="str">
        <f t="shared" si="8"/>
        <v>Wochenende</v>
      </c>
      <c r="T96" s="232"/>
    </row>
    <row r="97" spans="7:20" ht="15.75" thickBot="1" x14ac:dyDescent="0.25">
      <c r="G97" s="237"/>
      <c r="P97" s="158" t="str" cm="1">
        <f t="array" ref="P97">IF(ROW(A96)&gt;SUM($I$20:$I$25),"",INDEX($F$20:$F$25,SUMPRODUCT(($J$20:$J$25&lt;ROW(A96))*1)+1))</f>
        <v>Sommer</v>
      </c>
      <c r="Q97" s="156" cm="1">
        <f t="array" ref="Q97">IF(ROW(A96)&gt;SUM($I$20:$I$25),"",INDEX($G$20:$G$25,SUMPRODUCT(($J$20:$J$25&lt;ROW(A96))*1)+1)+ROW(A96)-IF(SUMPRODUCT(($J$20:$J$25&lt;ROW(A96))*1)+1=1,1,INDEX($J$20:$J$25,SUMPRODUCT(($J$20:$J$25&lt;ROW(A96))*1)+1-1)+1))</f>
        <v>45131</v>
      </c>
      <c r="R97" s="157" t="str">
        <f t="shared" si="8"/>
        <v>Wochenende</v>
      </c>
      <c r="T97" s="232"/>
    </row>
    <row r="98" spans="7:20" ht="15.75" thickBot="1" x14ac:dyDescent="0.25">
      <c r="G98" s="237"/>
      <c r="P98" s="158" t="str" cm="1">
        <f t="array" ref="P98">IF(ROW(A97)&gt;SUM($I$20:$I$25),"",INDEX($F$20:$F$25,SUMPRODUCT(($J$20:$J$25&lt;ROW(A97))*1)+1))</f>
        <v>Sommer</v>
      </c>
      <c r="Q98" s="156" cm="1">
        <f t="array" ref="Q98">IF(ROW(A97)&gt;SUM($I$20:$I$25),"",INDEX($G$20:$G$25,SUMPRODUCT(($J$20:$J$25&lt;ROW(A97))*1)+1)+ROW(A97)-IF(SUMPRODUCT(($J$20:$J$25&lt;ROW(A97))*1)+1=1,1,INDEX($J$20:$J$25,SUMPRODUCT(($J$20:$J$25&lt;ROW(A97))*1)+1-1)+1))</f>
        <v>45132</v>
      </c>
      <c r="R98" s="157" t="str">
        <f t="shared" si="8"/>
        <v>Werktag</v>
      </c>
      <c r="T98" s="232"/>
    </row>
    <row r="99" spans="7:20" ht="15.75" thickBot="1" x14ac:dyDescent="0.25">
      <c r="G99" s="237"/>
      <c r="P99" s="158" t="str" cm="1">
        <f t="array" ref="P99">IF(ROW(A98)&gt;SUM($I$20:$I$25),"",INDEX($F$20:$F$25,SUMPRODUCT(($J$20:$J$25&lt;ROW(A98))*1)+1))</f>
        <v>Sommer</v>
      </c>
      <c r="Q99" s="156" cm="1">
        <f t="array" ref="Q99">IF(ROW(A98)&gt;SUM($I$20:$I$25),"",INDEX($G$20:$G$25,SUMPRODUCT(($J$20:$J$25&lt;ROW(A98))*1)+1)+ROW(A98)-IF(SUMPRODUCT(($J$20:$J$25&lt;ROW(A98))*1)+1=1,1,INDEX($J$20:$J$25,SUMPRODUCT(($J$20:$J$25&lt;ROW(A98))*1)+1-1)+1))</f>
        <v>45133</v>
      </c>
      <c r="R99" s="157" t="str">
        <f t="shared" si="8"/>
        <v>Werktag</v>
      </c>
      <c r="T99" s="232"/>
    </row>
    <row r="100" spans="7:20" ht="15.75" thickBot="1" x14ac:dyDescent="0.25">
      <c r="G100" s="237"/>
      <c r="P100" s="158" t="str" cm="1">
        <f t="array" ref="P100">IF(ROW(A99)&gt;SUM($I$20:$I$25),"",INDEX($F$20:$F$25,SUMPRODUCT(($J$20:$J$25&lt;ROW(A99))*1)+1))</f>
        <v>Sommer</v>
      </c>
      <c r="Q100" s="156" cm="1">
        <f t="array" ref="Q100">IF(ROW(A99)&gt;SUM($I$20:$I$25),"",INDEX($G$20:$G$25,SUMPRODUCT(($J$20:$J$25&lt;ROW(A99))*1)+1)+ROW(A99)-IF(SUMPRODUCT(($J$20:$J$25&lt;ROW(A99))*1)+1=1,1,INDEX($J$20:$J$25,SUMPRODUCT(($J$20:$J$25&lt;ROW(A99))*1)+1-1)+1))</f>
        <v>45134</v>
      </c>
      <c r="R100" s="157" t="str">
        <f t="shared" si="8"/>
        <v>Werktag</v>
      </c>
      <c r="T100" s="232"/>
    </row>
    <row r="101" spans="7:20" ht="15.75" thickBot="1" x14ac:dyDescent="0.25">
      <c r="G101" s="237"/>
      <c r="P101" s="158" t="str" cm="1">
        <f t="array" ref="P101">IF(ROW(A100)&gt;SUM($I$20:$I$25),"",INDEX($F$20:$F$25,SUMPRODUCT(($J$20:$J$25&lt;ROW(A100))*1)+1))</f>
        <v>Sommer</v>
      </c>
      <c r="Q101" s="156" cm="1">
        <f t="array" ref="Q101">IF(ROW(A100)&gt;SUM($I$20:$I$25),"",INDEX($G$20:$G$25,SUMPRODUCT(($J$20:$J$25&lt;ROW(A100))*1)+1)+ROW(A100)-IF(SUMPRODUCT(($J$20:$J$25&lt;ROW(A100))*1)+1=1,1,INDEX($J$20:$J$25,SUMPRODUCT(($J$20:$J$25&lt;ROW(A100))*1)+1-1)+1))</f>
        <v>45135</v>
      </c>
      <c r="R101" s="157" t="str">
        <f t="shared" si="8"/>
        <v>Werktag</v>
      </c>
      <c r="T101" s="232"/>
    </row>
    <row r="102" spans="7:20" ht="15.75" thickBot="1" x14ac:dyDescent="0.25">
      <c r="G102" s="237"/>
      <c r="P102" s="158" t="str" cm="1">
        <f t="array" ref="P102">IF(ROW(A101)&gt;SUM($I$20:$I$25),"",INDEX($F$20:$F$25,SUMPRODUCT(($J$20:$J$25&lt;ROW(A101))*1)+1))</f>
        <v>Sommer</v>
      </c>
      <c r="Q102" s="156" cm="1">
        <f t="array" ref="Q102">IF(ROW(A101)&gt;SUM($I$20:$I$25),"",INDEX($G$20:$G$25,SUMPRODUCT(($J$20:$J$25&lt;ROW(A101))*1)+1)+ROW(A101)-IF(SUMPRODUCT(($J$20:$J$25&lt;ROW(A101))*1)+1=1,1,INDEX($J$20:$J$25,SUMPRODUCT(($J$20:$J$25&lt;ROW(A101))*1)+1-1)+1))</f>
        <v>45136</v>
      </c>
      <c r="R102" s="157" t="str">
        <f t="shared" si="8"/>
        <v>Werktag</v>
      </c>
      <c r="T102" s="232"/>
    </row>
    <row r="103" spans="7:20" ht="15.75" thickBot="1" x14ac:dyDescent="0.25">
      <c r="G103" s="237"/>
      <c r="P103" s="158" t="str" cm="1">
        <f t="array" ref="P103">IF(ROW(A102)&gt;SUM($I$20:$I$25),"",INDEX($F$20:$F$25,SUMPRODUCT(($J$20:$J$25&lt;ROW(A102))*1)+1))</f>
        <v>Sommer</v>
      </c>
      <c r="Q103" s="156" cm="1">
        <f t="array" ref="Q103">IF(ROW(A102)&gt;SUM($I$20:$I$25),"",INDEX($G$20:$G$25,SUMPRODUCT(($J$20:$J$25&lt;ROW(A102))*1)+1)+ROW(A102)-IF(SUMPRODUCT(($J$20:$J$25&lt;ROW(A102))*1)+1=1,1,INDEX($J$20:$J$25,SUMPRODUCT(($J$20:$J$25&lt;ROW(A102))*1)+1-1)+1))</f>
        <v>45137</v>
      </c>
      <c r="R103" s="157" t="str">
        <f t="shared" si="8"/>
        <v>Wochenende</v>
      </c>
      <c r="T103" s="232"/>
    </row>
    <row r="104" spans="7:20" ht="15.75" thickBot="1" x14ac:dyDescent="0.25">
      <c r="G104" s="237"/>
      <c r="P104" s="158" t="str" cm="1">
        <f t="array" ref="P104">IF(ROW(A103)&gt;SUM($I$20:$I$25),"",INDEX($F$20:$F$25,SUMPRODUCT(($J$20:$J$25&lt;ROW(A103))*1)+1))</f>
        <v/>
      </c>
      <c r="Q104" s="156" t="str" cm="1">
        <f t="array" ref="Q104">IF(ROW(A103)&gt;SUM($I$20:$I$25),"",INDEX($G$20:$G$25,SUMPRODUCT(($J$20:$J$25&lt;ROW(A103))*1)+1)+ROW(A103)-IF(SUMPRODUCT(($J$20:$J$25&lt;ROW(A103))*1)+1=1,1,INDEX($J$20:$J$25,SUMPRODUCT(($J$20:$J$25&lt;ROW(A103))*1)+1-1)+1))</f>
        <v/>
      </c>
      <c r="R104" s="157" t="str">
        <f t="shared" si="8"/>
        <v/>
      </c>
      <c r="T104" s="232"/>
    </row>
    <row r="105" spans="7:20" ht="15.75" thickBot="1" x14ac:dyDescent="0.25">
      <c r="G105" s="237"/>
      <c r="P105" s="158" t="str" cm="1">
        <f t="array" ref="P105">IF(ROW(A104)&gt;SUM($I$20:$I$25),"",INDEX($F$20:$F$25,SUMPRODUCT(($J$20:$J$25&lt;ROW(A104))*1)+1))</f>
        <v/>
      </c>
      <c r="Q105" s="156" t="str" cm="1">
        <f t="array" ref="Q105">IF(ROW(A104)&gt;SUM($I$20:$I$25),"",INDEX($G$20:$G$25,SUMPRODUCT(($J$20:$J$25&lt;ROW(A104))*1)+1)+ROW(A104)-IF(SUMPRODUCT(($J$20:$J$25&lt;ROW(A104))*1)+1=1,1,INDEX($J$20:$J$25,SUMPRODUCT(($J$20:$J$25&lt;ROW(A104))*1)+1-1)+1))</f>
        <v/>
      </c>
      <c r="R105" s="157" t="str">
        <f t="shared" si="8"/>
        <v/>
      </c>
      <c r="T105" s="232"/>
    </row>
    <row r="106" spans="7:20" ht="15.75" thickBot="1" x14ac:dyDescent="0.25">
      <c r="G106" s="237"/>
      <c r="P106" s="158" t="str" cm="1">
        <f t="array" ref="P106">IF(ROW(A105)&gt;SUM($I$20:$I$25),"",INDEX($F$20:$F$25,SUMPRODUCT(($J$20:$J$25&lt;ROW(A105))*1)+1))</f>
        <v/>
      </c>
      <c r="Q106" s="156" t="str" cm="1">
        <f t="array" ref="Q106">IF(ROW(A105)&gt;SUM($I$20:$I$25),"",INDEX($G$20:$G$25,SUMPRODUCT(($J$20:$J$25&lt;ROW(A105))*1)+1)+ROW(A105)-IF(SUMPRODUCT(($J$20:$J$25&lt;ROW(A105))*1)+1=1,1,INDEX($J$20:$J$25,SUMPRODUCT(($J$20:$J$25&lt;ROW(A105))*1)+1-1)+1))</f>
        <v/>
      </c>
      <c r="R106" s="157" t="str">
        <f t="shared" si="8"/>
        <v/>
      </c>
      <c r="T106" s="232"/>
    </row>
    <row r="107" spans="7:20" ht="15.75" thickBot="1" x14ac:dyDescent="0.25">
      <c r="G107" s="237"/>
      <c r="P107" s="158" t="str" cm="1">
        <f t="array" ref="P107">IF(ROW(A106)&gt;SUM($I$20:$I$25),"",INDEX($F$20:$F$25,SUMPRODUCT(($J$20:$J$25&lt;ROW(A106))*1)+1))</f>
        <v/>
      </c>
      <c r="Q107" s="156" t="str" cm="1">
        <f t="array" ref="Q107">IF(ROW(A106)&gt;SUM($I$20:$I$25),"",INDEX($G$20:$G$25,SUMPRODUCT(($J$20:$J$25&lt;ROW(A106))*1)+1)+ROW(A106)-IF(SUMPRODUCT(($J$20:$J$25&lt;ROW(A106))*1)+1=1,1,INDEX($J$20:$J$25,SUMPRODUCT(($J$20:$J$25&lt;ROW(A106))*1)+1-1)+1))</f>
        <v/>
      </c>
      <c r="R107" s="157" t="str">
        <f t="shared" si="8"/>
        <v/>
      </c>
      <c r="T107" s="232"/>
    </row>
    <row r="108" spans="7:20" ht="15.75" thickBot="1" x14ac:dyDescent="0.25">
      <c r="G108" s="237"/>
      <c r="P108" s="158" t="str" cm="1">
        <f t="array" ref="P108">IF(ROW(A107)&gt;SUM($I$20:$I$25),"",INDEX($F$20:$F$25,SUMPRODUCT(($J$20:$J$25&lt;ROW(A107))*1)+1))</f>
        <v/>
      </c>
      <c r="Q108" s="156" t="str" cm="1">
        <f t="array" ref="Q108">IF(ROW(A107)&gt;SUM($I$20:$I$25),"",INDEX($G$20:$G$25,SUMPRODUCT(($J$20:$J$25&lt;ROW(A107))*1)+1)+ROW(A107)-IF(SUMPRODUCT(($J$20:$J$25&lt;ROW(A107))*1)+1=1,1,INDEX($J$20:$J$25,SUMPRODUCT(($J$20:$J$25&lt;ROW(A107))*1)+1-1)+1))</f>
        <v/>
      </c>
      <c r="R108" s="157" t="str">
        <f t="shared" si="8"/>
        <v/>
      </c>
      <c r="T108" s="232"/>
    </row>
    <row r="109" spans="7:20" ht="15.75" thickBot="1" x14ac:dyDescent="0.25">
      <c r="G109" s="237"/>
      <c r="P109" s="158" t="str" cm="1">
        <f t="array" ref="P109">IF(ROW(A108)&gt;SUM($I$20:$I$25),"",INDEX($F$20:$F$25,SUMPRODUCT(($J$20:$J$25&lt;ROW(A108))*1)+1))</f>
        <v/>
      </c>
      <c r="Q109" s="156" t="str" cm="1">
        <f t="array" ref="Q109">IF(ROW(A108)&gt;SUM($I$20:$I$25),"",INDEX($G$20:$G$25,SUMPRODUCT(($J$20:$J$25&lt;ROW(A108))*1)+1)+ROW(A108)-IF(SUMPRODUCT(($J$20:$J$25&lt;ROW(A108))*1)+1=1,1,INDEX($J$20:$J$25,SUMPRODUCT(($J$20:$J$25&lt;ROW(A108))*1)+1-1)+1))</f>
        <v/>
      </c>
      <c r="R109" s="157" t="str">
        <f t="shared" si="8"/>
        <v/>
      </c>
      <c r="T109" s="232"/>
    </row>
    <row r="110" spans="7:20" ht="15.75" thickBot="1" x14ac:dyDescent="0.25">
      <c r="G110" s="237"/>
      <c r="P110" s="158" t="str" cm="1">
        <f t="array" ref="P110">IF(ROW(A109)&gt;SUM($I$20:$I$25),"",INDEX($F$20:$F$25,SUMPRODUCT(($J$20:$J$25&lt;ROW(A109))*1)+1))</f>
        <v/>
      </c>
      <c r="Q110" s="156" t="str" cm="1">
        <f t="array" ref="Q110">IF(ROW(A109)&gt;SUM($I$20:$I$25),"",INDEX($G$20:$G$25,SUMPRODUCT(($J$20:$J$25&lt;ROW(A109))*1)+1)+ROW(A109)-IF(SUMPRODUCT(($J$20:$J$25&lt;ROW(A109))*1)+1=1,1,INDEX($J$20:$J$25,SUMPRODUCT(($J$20:$J$25&lt;ROW(A109))*1)+1-1)+1))</f>
        <v/>
      </c>
      <c r="R110" s="157" t="str">
        <f t="shared" si="8"/>
        <v/>
      </c>
      <c r="T110" s="232"/>
    </row>
    <row r="111" spans="7:20" x14ac:dyDescent="0.2">
      <c r="G111" s="237"/>
      <c r="T111" s="232"/>
    </row>
    <row r="112" spans="7:20" x14ac:dyDescent="0.2">
      <c r="G112" s="237"/>
      <c r="T112" s="232"/>
    </row>
    <row r="113" spans="7:20" x14ac:dyDescent="0.2">
      <c r="G113" s="237"/>
      <c r="T113" s="232"/>
    </row>
    <row r="114" spans="7:20" x14ac:dyDescent="0.2">
      <c r="G114" s="237"/>
      <c r="T114" s="232"/>
    </row>
    <row r="115" spans="7:20" x14ac:dyDescent="0.2">
      <c r="G115" s="237"/>
      <c r="T115" s="232"/>
    </row>
    <row r="116" spans="7:20" x14ac:dyDescent="0.2">
      <c r="G116" s="237"/>
      <c r="T116" s="232"/>
    </row>
    <row r="117" spans="7:20" x14ac:dyDescent="0.2">
      <c r="G117" s="237"/>
      <c r="T117" s="232"/>
    </row>
    <row r="118" spans="7:20" x14ac:dyDescent="0.2">
      <c r="G118" s="237"/>
      <c r="T118" s="232"/>
    </row>
    <row r="119" spans="7:20" x14ac:dyDescent="0.2">
      <c r="G119" s="237"/>
      <c r="T119" s="232"/>
    </row>
    <row r="120" spans="7:20" x14ac:dyDescent="0.2">
      <c r="G120" s="237"/>
      <c r="T120" s="232"/>
    </row>
    <row r="121" spans="7:20" x14ac:dyDescent="0.2">
      <c r="G121" s="237"/>
      <c r="T121" s="232"/>
    </row>
    <row r="122" spans="7:20" x14ac:dyDescent="0.2">
      <c r="G122" s="237"/>
      <c r="T122" s="232"/>
    </row>
    <row r="123" spans="7:20" x14ac:dyDescent="0.2">
      <c r="G123" s="237"/>
      <c r="T123" s="232"/>
    </row>
    <row r="124" spans="7:20" x14ac:dyDescent="0.2">
      <c r="G124" s="237"/>
      <c r="T124" s="232"/>
    </row>
    <row r="125" spans="7:20" x14ac:dyDescent="0.2">
      <c r="G125" s="237"/>
      <c r="T125" s="232"/>
    </row>
    <row r="126" spans="7:20" x14ac:dyDescent="0.2">
      <c r="G126" s="237"/>
      <c r="T126" s="232"/>
    </row>
    <row r="127" spans="7:20" x14ac:dyDescent="0.2">
      <c r="G127" s="237"/>
      <c r="T127" s="232"/>
    </row>
    <row r="128" spans="7:20" x14ac:dyDescent="0.2">
      <c r="G128" s="237"/>
      <c r="T128" s="232"/>
    </row>
    <row r="129" spans="7:20" x14ac:dyDescent="0.2">
      <c r="G129" s="237"/>
      <c r="T129" s="232"/>
    </row>
    <row r="130" spans="7:20" x14ac:dyDescent="0.2">
      <c r="G130" s="237"/>
      <c r="T130" s="232"/>
    </row>
    <row r="131" spans="7:20" x14ac:dyDescent="0.2">
      <c r="G131" s="237"/>
      <c r="T131" s="232"/>
    </row>
    <row r="132" spans="7:20" x14ac:dyDescent="0.2">
      <c r="G132" s="237"/>
      <c r="T132" s="232"/>
    </row>
    <row r="133" spans="7:20" x14ac:dyDescent="0.2">
      <c r="G133" s="237"/>
      <c r="T133" s="232"/>
    </row>
    <row r="134" spans="7:20" x14ac:dyDescent="0.2">
      <c r="G134" s="237"/>
      <c r="T134" s="232"/>
    </row>
    <row r="135" spans="7:20" x14ac:dyDescent="0.2">
      <c r="G135" s="237"/>
      <c r="T135" s="232"/>
    </row>
    <row r="136" spans="7:20" x14ac:dyDescent="0.2">
      <c r="G136" s="237"/>
      <c r="T136" s="232"/>
    </row>
    <row r="137" spans="7:20" x14ac:dyDescent="0.2">
      <c r="T137" s="232"/>
    </row>
    <row r="138" spans="7:20" x14ac:dyDescent="0.2">
      <c r="T138" s="232"/>
    </row>
    <row r="139" spans="7:20" x14ac:dyDescent="0.2">
      <c r="T139" s="232"/>
    </row>
    <row r="140" spans="7:20" x14ac:dyDescent="0.2">
      <c r="T140" s="232"/>
    </row>
    <row r="141" spans="7:20" x14ac:dyDescent="0.2">
      <c r="T141" s="232"/>
    </row>
    <row r="142" spans="7:20" x14ac:dyDescent="0.2">
      <c r="T142" s="232"/>
    </row>
    <row r="143" spans="7:20" x14ac:dyDescent="0.2">
      <c r="T143" s="232"/>
    </row>
    <row r="144" spans="7:20" x14ac:dyDescent="0.2">
      <c r="T144" s="232"/>
    </row>
    <row r="145" spans="20:20" x14ac:dyDescent="0.2">
      <c r="T145" s="232"/>
    </row>
    <row r="146" spans="20:20" x14ac:dyDescent="0.2">
      <c r="T146" s="232"/>
    </row>
    <row r="147" spans="20:20" x14ac:dyDescent="0.2">
      <c r="T147" s="232"/>
    </row>
    <row r="148" spans="20:20" x14ac:dyDescent="0.2">
      <c r="T148" s="232"/>
    </row>
    <row r="149" spans="20:20" x14ac:dyDescent="0.2">
      <c r="T149" s="232"/>
    </row>
    <row r="150" spans="20:20" x14ac:dyDescent="0.2">
      <c r="T150" s="232"/>
    </row>
    <row r="151" spans="20:20" x14ac:dyDescent="0.2">
      <c r="T151" s="232"/>
    </row>
    <row r="152" spans="20:20" x14ac:dyDescent="0.2">
      <c r="T152" s="232"/>
    </row>
    <row r="153" spans="20:20" x14ac:dyDescent="0.2">
      <c r="T153" s="232"/>
    </row>
    <row r="154" spans="20:20" x14ac:dyDescent="0.2">
      <c r="T154" s="232"/>
    </row>
    <row r="155" spans="20:20" x14ac:dyDescent="0.2">
      <c r="T155" s="232"/>
    </row>
    <row r="156" spans="20:20" x14ac:dyDescent="0.2">
      <c r="T156" s="232"/>
    </row>
    <row r="157" spans="20:20" x14ac:dyDescent="0.2">
      <c r="T157" s="232"/>
    </row>
    <row r="158" spans="20:20" x14ac:dyDescent="0.2">
      <c r="T158" s="232"/>
    </row>
    <row r="159" spans="20:20" x14ac:dyDescent="0.2">
      <c r="T159" s="232"/>
    </row>
    <row r="160" spans="20:20" x14ac:dyDescent="0.2">
      <c r="T160" s="232"/>
    </row>
    <row r="161" spans="20:20" x14ac:dyDescent="0.2">
      <c r="T161" s="232"/>
    </row>
    <row r="162" spans="20:20" x14ac:dyDescent="0.2">
      <c r="T162" s="232"/>
    </row>
    <row r="163" spans="20:20" x14ac:dyDescent="0.2">
      <c r="T163" s="232"/>
    </row>
    <row r="164" spans="20:20" x14ac:dyDescent="0.2">
      <c r="T164" s="232"/>
    </row>
    <row r="165" spans="20:20" x14ac:dyDescent="0.2">
      <c r="T165" s="232"/>
    </row>
    <row r="166" spans="20:20" x14ac:dyDescent="0.2">
      <c r="T166" s="232"/>
    </row>
    <row r="167" spans="20:20" x14ac:dyDescent="0.2">
      <c r="T167" s="232"/>
    </row>
    <row r="168" spans="20:20" x14ac:dyDescent="0.2">
      <c r="T168" s="232"/>
    </row>
    <row r="169" spans="20:20" x14ac:dyDescent="0.2">
      <c r="T169" s="232"/>
    </row>
    <row r="170" spans="20:20" x14ac:dyDescent="0.2">
      <c r="T170" s="232"/>
    </row>
    <row r="171" spans="20:20" x14ac:dyDescent="0.2">
      <c r="T171" s="232"/>
    </row>
    <row r="172" spans="20:20" x14ac:dyDescent="0.2">
      <c r="T172" s="232"/>
    </row>
    <row r="173" spans="20:20" x14ac:dyDescent="0.2">
      <c r="T173" s="232"/>
    </row>
    <row r="174" spans="20:20" x14ac:dyDescent="0.2">
      <c r="T174" s="232"/>
    </row>
    <row r="175" spans="20:20" x14ac:dyDescent="0.2">
      <c r="T175" s="232"/>
    </row>
    <row r="176" spans="20:20" x14ac:dyDescent="0.2">
      <c r="T176" s="232"/>
    </row>
    <row r="177" spans="20:20" x14ac:dyDescent="0.2">
      <c r="T177" s="232"/>
    </row>
    <row r="178" spans="20:20" x14ac:dyDescent="0.2">
      <c r="T178" s="232"/>
    </row>
    <row r="179" spans="20:20" x14ac:dyDescent="0.2">
      <c r="T179" s="232"/>
    </row>
    <row r="180" spans="20:20" x14ac:dyDescent="0.2">
      <c r="T180" s="232"/>
    </row>
    <row r="181" spans="20:20" x14ac:dyDescent="0.2">
      <c r="T181" s="232"/>
    </row>
    <row r="182" spans="20:20" x14ac:dyDescent="0.2">
      <c r="T182" s="232"/>
    </row>
    <row r="183" spans="20:20" x14ac:dyDescent="0.2">
      <c r="T183" s="232"/>
    </row>
    <row r="184" spans="20:20" x14ac:dyDescent="0.2">
      <c r="T184" s="232"/>
    </row>
    <row r="185" spans="20:20" x14ac:dyDescent="0.2">
      <c r="T185" s="232"/>
    </row>
    <row r="186" spans="20:20" x14ac:dyDescent="0.2">
      <c r="T186" s="232"/>
    </row>
    <row r="187" spans="20:20" x14ac:dyDescent="0.2">
      <c r="T187" s="232"/>
    </row>
    <row r="188" spans="20:20" x14ac:dyDescent="0.2">
      <c r="T188" s="232"/>
    </row>
    <row r="189" spans="20:20" x14ac:dyDescent="0.2">
      <c r="T189" s="232"/>
    </row>
    <row r="190" spans="20:20" x14ac:dyDescent="0.2">
      <c r="T190" s="232"/>
    </row>
    <row r="191" spans="20:20" x14ac:dyDescent="0.2">
      <c r="T191" s="232"/>
    </row>
    <row r="192" spans="20:20" x14ac:dyDescent="0.2">
      <c r="T192" s="232"/>
    </row>
    <row r="193" spans="20:20" x14ac:dyDescent="0.2">
      <c r="T193" s="232"/>
    </row>
    <row r="194" spans="20:20" x14ac:dyDescent="0.2">
      <c r="T194" s="232"/>
    </row>
    <row r="195" spans="20:20" x14ac:dyDescent="0.2">
      <c r="T195" s="232"/>
    </row>
    <row r="196" spans="20:20" x14ac:dyDescent="0.2">
      <c r="T196" s="232"/>
    </row>
    <row r="197" spans="20:20" x14ac:dyDescent="0.2">
      <c r="T197" s="232"/>
    </row>
    <row r="198" spans="20:20" x14ac:dyDescent="0.2">
      <c r="T198" s="232"/>
    </row>
    <row r="199" spans="20:20" x14ac:dyDescent="0.2">
      <c r="T199" s="232"/>
    </row>
    <row r="200" spans="20:20" x14ac:dyDescent="0.2">
      <c r="T200" s="232"/>
    </row>
    <row r="201" spans="20:20" x14ac:dyDescent="0.2">
      <c r="T201" s="232"/>
    </row>
    <row r="202" spans="20:20" x14ac:dyDescent="0.2">
      <c r="T202" s="232"/>
    </row>
    <row r="203" spans="20:20" x14ac:dyDescent="0.2">
      <c r="T203" s="232"/>
    </row>
    <row r="204" spans="20:20" x14ac:dyDescent="0.2">
      <c r="T204" s="232"/>
    </row>
    <row r="205" spans="20:20" x14ac:dyDescent="0.2">
      <c r="T205" s="232"/>
    </row>
    <row r="206" spans="20:20" x14ac:dyDescent="0.2">
      <c r="T206" s="232"/>
    </row>
    <row r="207" spans="20:20" x14ac:dyDescent="0.2">
      <c r="T207" s="232"/>
    </row>
    <row r="208" spans="20:20" x14ac:dyDescent="0.2">
      <c r="T208" s="232"/>
    </row>
    <row r="209" spans="20:20" x14ac:dyDescent="0.2">
      <c r="T209" s="232"/>
    </row>
    <row r="210" spans="20:20" x14ac:dyDescent="0.2">
      <c r="T210" s="232"/>
    </row>
    <row r="211" spans="20:20" x14ac:dyDescent="0.2">
      <c r="T211" s="232"/>
    </row>
    <row r="212" spans="20:20" x14ac:dyDescent="0.2">
      <c r="T212" s="232"/>
    </row>
    <row r="213" spans="20:20" x14ac:dyDescent="0.2">
      <c r="T213" s="232"/>
    </row>
    <row r="214" spans="20:20" x14ac:dyDescent="0.2">
      <c r="T214" s="232"/>
    </row>
    <row r="215" spans="20:20" x14ac:dyDescent="0.2">
      <c r="T215" s="232"/>
    </row>
    <row r="216" spans="20:20" x14ac:dyDescent="0.2">
      <c r="T216" s="232"/>
    </row>
    <row r="217" spans="20:20" x14ac:dyDescent="0.2">
      <c r="T217" s="232"/>
    </row>
    <row r="218" spans="20:20" x14ac:dyDescent="0.2">
      <c r="T218" s="232"/>
    </row>
    <row r="219" spans="20:20" x14ac:dyDescent="0.2">
      <c r="T219" s="232"/>
    </row>
    <row r="220" spans="20:20" x14ac:dyDescent="0.2">
      <c r="T220" s="232"/>
    </row>
    <row r="221" spans="20:20" x14ac:dyDescent="0.2">
      <c r="T221" s="232"/>
    </row>
    <row r="222" spans="20:20" x14ac:dyDescent="0.2">
      <c r="T222" s="232"/>
    </row>
    <row r="223" spans="20:20" x14ac:dyDescent="0.2">
      <c r="T223" s="232"/>
    </row>
    <row r="224" spans="20:20" x14ac:dyDescent="0.2">
      <c r="T224" s="232"/>
    </row>
    <row r="225" spans="20:20" x14ac:dyDescent="0.2">
      <c r="T225" s="232"/>
    </row>
    <row r="226" spans="20:20" x14ac:dyDescent="0.2">
      <c r="T226" s="232"/>
    </row>
    <row r="227" spans="20:20" x14ac:dyDescent="0.2">
      <c r="T227" s="232"/>
    </row>
    <row r="228" spans="20:20" x14ac:dyDescent="0.2">
      <c r="T228" s="232"/>
    </row>
    <row r="229" spans="20:20" x14ac:dyDescent="0.2">
      <c r="T229" s="232"/>
    </row>
    <row r="230" spans="20:20" x14ac:dyDescent="0.2">
      <c r="T230" s="232"/>
    </row>
    <row r="231" spans="20:20" x14ac:dyDescent="0.2">
      <c r="T231" s="232"/>
    </row>
    <row r="232" spans="20:20" x14ac:dyDescent="0.2">
      <c r="T232" s="232"/>
    </row>
    <row r="233" spans="20:20" x14ac:dyDescent="0.2">
      <c r="T233" s="232"/>
    </row>
    <row r="234" spans="20:20" x14ac:dyDescent="0.2">
      <c r="T234" s="232"/>
    </row>
    <row r="235" spans="20:20" x14ac:dyDescent="0.2">
      <c r="T235" s="232"/>
    </row>
    <row r="236" spans="20:20" x14ac:dyDescent="0.2">
      <c r="T236" s="232"/>
    </row>
    <row r="237" spans="20:20" x14ac:dyDescent="0.2">
      <c r="T237" s="232"/>
    </row>
    <row r="238" spans="20:20" x14ac:dyDescent="0.2">
      <c r="T238" s="232"/>
    </row>
    <row r="239" spans="20:20" x14ac:dyDescent="0.2">
      <c r="T239" s="232"/>
    </row>
    <row r="240" spans="20:20" x14ac:dyDescent="0.2">
      <c r="T240" s="232"/>
    </row>
    <row r="241" spans="20:20" x14ac:dyDescent="0.2">
      <c r="T241" s="232"/>
    </row>
    <row r="242" spans="20:20" x14ac:dyDescent="0.2">
      <c r="T242" s="232"/>
    </row>
    <row r="243" spans="20:20" x14ac:dyDescent="0.2">
      <c r="T243" s="232"/>
    </row>
    <row r="244" spans="20:20" x14ac:dyDescent="0.2">
      <c r="T244" s="232"/>
    </row>
    <row r="245" spans="20:20" x14ac:dyDescent="0.2">
      <c r="T245" s="232"/>
    </row>
    <row r="246" spans="20:20" x14ac:dyDescent="0.2">
      <c r="T246" s="232"/>
    </row>
    <row r="247" spans="20:20" x14ac:dyDescent="0.2">
      <c r="T247" s="232"/>
    </row>
    <row r="248" spans="20:20" x14ac:dyDescent="0.2">
      <c r="T248" s="232"/>
    </row>
    <row r="249" spans="20:20" x14ac:dyDescent="0.2">
      <c r="T249" s="232"/>
    </row>
    <row r="250" spans="20:20" x14ac:dyDescent="0.2">
      <c r="T250" s="232"/>
    </row>
    <row r="251" spans="20:20" x14ac:dyDescent="0.2">
      <c r="T251" s="232"/>
    </row>
    <row r="252" spans="20:20" x14ac:dyDescent="0.2">
      <c r="T252" s="232"/>
    </row>
  </sheetData>
  <mergeCells count="7">
    <mergeCell ref="AB2:AC2"/>
    <mergeCell ref="AD2:AD3"/>
    <mergeCell ref="A1:A16"/>
    <mergeCell ref="AA1:AA16"/>
    <mergeCell ref="AK1:AK16"/>
    <mergeCell ref="AB1:AD1"/>
    <mergeCell ref="E1:F1"/>
  </mergeCells>
  <hyperlinks>
    <hyperlink ref="C1" r:id="rId1" xr:uid="{72770BAF-9551-44C5-898F-4CAD1B797C4D}"/>
    <hyperlink ref="O1" r:id="rId2" xr:uid="{A699DF9D-5271-4DC5-8D55-62F53704102B}"/>
  </hyperlinks>
  <pageMargins left="0.78740157499999996" right="0.78740157499999996" top="0.984251969" bottom="0.984251969" header="0.4921259845" footer="0.4921259845"/>
  <pageSetup paperSize="9" orientation="portrait" r:id="rId3"/>
  <headerFooter alignWithMargins="0"/>
  <customProperties>
    <customPr name="_pios_id" r:id="rId4"/>
  </customProperties>
  <legacy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2">
    <tabColor rgb="FFFFC000"/>
  </sheetPr>
  <dimension ref="A1:M44"/>
  <sheetViews>
    <sheetView workbookViewId="0"/>
  </sheetViews>
  <sheetFormatPr baseColWidth="10" defaultRowHeight="12.75" x14ac:dyDescent="0.2"/>
  <cols>
    <col min="1" max="1" width="41.77734375" style="2" bestFit="1" customWidth="1"/>
    <col min="2" max="2" width="23" style="2" bestFit="1" customWidth="1"/>
    <col min="3" max="5" width="13.109375" style="2" customWidth="1"/>
    <col min="6" max="6" width="11.5546875" style="2"/>
    <col min="7" max="7" width="8.21875" style="2" customWidth="1"/>
    <col min="8" max="14" width="8.77734375" style="2" customWidth="1"/>
    <col min="15" max="16384" width="11.5546875" style="2"/>
  </cols>
  <sheetData>
    <row r="1" spans="1:10" x14ac:dyDescent="0.2">
      <c r="A1" s="69" t="s">
        <v>101</v>
      </c>
    </row>
    <row r="2" spans="1:10" x14ac:dyDescent="0.2">
      <c r="A2" s="70" t="s">
        <v>10</v>
      </c>
      <c r="B2" s="71" t="str">
        <f>+Aufgabenplanung!B4</f>
        <v>Musikschule</v>
      </c>
    </row>
    <row r="3" spans="1:10" x14ac:dyDescent="0.2">
      <c r="A3" s="70" t="s">
        <v>102</v>
      </c>
      <c r="B3" s="72" t="str">
        <f>+Aufgabenplanung!B6</f>
        <v>2026/2027</v>
      </c>
    </row>
    <row r="4" spans="1:10" x14ac:dyDescent="0.2">
      <c r="A4" s="70" t="s">
        <v>103</v>
      </c>
      <c r="B4" s="73">
        <f>+Aufgabenplanung!B16</f>
        <v>1898.4</v>
      </c>
    </row>
    <row r="5" spans="1:10" x14ac:dyDescent="0.2">
      <c r="A5" s="70" t="s">
        <v>104</v>
      </c>
      <c r="B5" s="74">
        <f>+Grundlagen!J3</f>
        <v>38.4</v>
      </c>
    </row>
    <row r="6" spans="1:10" x14ac:dyDescent="0.2">
      <c r="A6" s="70" t="s">
        <v>105</v>
      </c>
      <c r="B6" s="74">
        <f>+Grundlagen!H3</f>
        <v>6.8</v>
      </c>
    </row>
    <row r="7" spans="1:10" x14ac:dyDescent="0.2">
      <c r="A7" s="95" t="s">
        <v>160</v>
      </c>
      <c r="B7" s="74">
        <f>+Aufgabenplanung!B17</f>
        <v>0</v>
      </c>
    </row>
    <row r="8" spans="1:10" x14ac:dyDescent="0.2">
      <c r="A8" s="95" t="s">
        <v>71</v>
      </c>
      <c r="B8" s="74">
        <f>Aufgabenplanung!$B$20</f>
        <v>1898.4</v>
      </c>
    </row>
    <row r="9" spans="1:10" x14ac:dyDescent="0.2">
      <c r="A9" s="70" t="s">
        <v>75</v>
      </c>
      <c r="B9" s="125">
        <f>IFERROR(Aufgabenplanung!B25,0)</f>
        <v>27</v>
      </c>
      <c r="C9" s="123"/>
      <c r="D9" s="123"/>
      <c r="E9" s="123"/>
      <c r="F9" s="123"/>
    </row>
    <row r="10" spans="1:10" x14ac:dyDescent="0.2">
      <c r="A10" s="70" t="s">
        <v>76</v>
      </c>
      <c r="B10" s="125">
        <f>IFERROR(Aufgabenplanung!B26,0)</f>
        <v>0</v>
      </c>
      <c r="C10" s="123"/>
      <c r="D10" s="123"/>
      <c r="E10" s="123"/>
      <c r="F10" s="123"/>
      <c r="H10" s="122"/>
      <c r="J10" s="143"/>
    </row>
    <row r="11" spans="1:10" x14ac:dyDescent="0.2">
      <c r="A11" s="70" t="s">
        <v>77</v>
      </c>
      <c r="B11" s="125"/>
      <c r="C11" s="123"/>
      <c r="D11" s="123"/>
      <c r="E11" s="123"/>
      <c r="F11" s="123"/>
      <c r="H11" s="122"/>
    </row>
    <row r="12" spans="1:10" x14ac:dyDescent="0.2">
      <c r="A12" s="95" t="s">
        <v>188</v>
      </c>
      <c r="B12" s="125">
        <f>IF(C9="",B10*$B$5*5/6,"")</f>
        <v>0</v>
      </c>
      <c r="C12" s="123"/>
      <c r="D12" s="123"/>
      <c r="E12" s="123"/>
      <c r="F12" s="123"/>
    </row>
    <row r="13" spans="1:10" x14ac:dyDescent="0.2">
      <c r="A13" s="95" t="s">
        <v>187</v>
      </c>
      <c r="B13" s="126">
        <f>IFERROR(IF(C9="",B12/$B$4,""),0)</f>
        <v>0</v>
      </c>
      <c r="C13" s="124"/>
      <c r="D13" s="124"/>
      <c r="E13" s="124"/>
      <c r="F13" s="124"/>
    </row>
    <row r="14" spans="1:10" x14ac:dyDescent="0.2">
      <c r="A14" s="95" t="s">
        <v>186</v>
      </c>
      <c r="B14" s="126">
        <f>IF(C9="",IFERROR(VLOOKUP($B$2&amp;B$9,Grundlagen!$AG$2:$AJ$14,3,0)*B10/B9,0),"")</f>
        <v>0</v>
      </c>
      <c r="C14" s="124"/>
      <c r="D14" s="124"/>
      <c r="E14" s="124"/>
      <c r="F14" s="124"/>
    </row>
    <row r="15" spans="1:10" x14ac:dyDescent="0.2">
      <c r="A15" s="95" t="s">
        <v>189</v>
      </c>
      <c r="B15" s="125">
        <f>IF(C9="",IFERROR(B14*$B$4,0),"")</f>
        <v>0</v>
      </c>
      <c r="C15" s="123"/>
      <c r="D15" s="123"/>
      <c r="E15" s="123"/>
      <c r="F15" s="123"/>
    </row>
    <row r="16" spans="1:10" ht="15" x14ac:dyDescent="0.2">
      <c r="A16" s="95" t="s">
        <v>194</v>
      </c>
      <c r="B16" s="130">
        <f>IFERROR(IF(C9="",$B$7*B10/B9,""),0)</f>
        <v>0</v>
      </c>
      <c r="C16" s="130"/>
      <c r="D16" s="130"/>
      <c r="E16" s="130"/>
      <c r="F16" s="130"/>
      <c r="I16" s="65"/>
    </row>
    <row r="17" spans="1:13" x14ac:dyDescent="0.2">
      <c r="A17" s="95" t="s">
        <v>195</v>
      </c>
      <c r="B17" s="131">
        <f>IFERROR(B14*B16/B15,0)</f>
        <v>0</v>
      </c>
      <c r="C17" s="131"/>
      <c r="D17" s="131"/>
      <c r="E17" s="131"/>
      <c r="F17" s="131"/>
    </row>
    <row r="18" spans="1:13" x14ac:dyDescent="0.2">
      <c r="A18" s="95" t="s">
        <v>190</v>
      </c>
      <c r="B18" s="125">
        <f>IF(C9="",IFERROR(B10/B9-B13-B14,0),"")</f>
        <v>0</v>
      </c>
      <c r="C18" s="124"/>
      <c r="D18" s="124"/>
      <c r="E18" s="124"/>
      <c r="F18" s="124"/>
    </row>
    <row r="19" spans="1:13" x14ac:dyDescent="0.2">
      <c r="A19" s="95" t="s">
        <v>191</v>
      </c>
      <c r="B19" s="125">
        <f>IF(C9="",B18*$B$4,"")</f>
        <v>0</v>
      </c>
      <c r="C19" s="123"/>
      <c r="D19" s="123"/>
      <c r="E19" s="123"/>
      <c r="F19" s="123"/>
    </row>
    <row r="20" spans="1:13" x14ac:dyDescent="0.2">
      <c r="A20" s="95" t="s">
        <v>192</v>
      </c>
      <c r="B20" s="125"/>
      <c r="C20" s="123"/>
      <c r="D20" s="123"/>
      <c r="E20" s="123"/>
      <c r="F20" s="123"/>
    </row>
    <row r="21" spans="1:13" x14ac:dyDescent="0.2">
      <c r="A21" s="95" t="s">
        <v>193</v>
      </c>
      <c r="B21" s="125"/>
      <c r="C21" s="124"/>
      <c r="D21" s="124"/>
      <c r="E21" s="124"/>
      <c r="F21" s="124"/>
    </row>
    <row r="23" spans="1:13" x14ac:dyDescent="0.2">
      <c r="A23" s="95" t="s">
        <v>158</v>
      </c>
      <c r="B23" s="146">
        <f>IFERROR((B4-B7)/IF(IFERROR(HLOOKUP(B2,Dropdowns!G1:I1,1,0),TRUE)=TRUE,B9,Aufgabenplanung!$B$25),0)</f>
        <v>70.311111111111117</v>
      </c>
      <c r="C23" s="105"/>
    </row>
    <row r="24" spans="1:13" x14ac:dyDescent="0.2">
      <c r="A24" s="95" t="s">
        <v>183</v>
      </c>
      <c r="B24" s="89">
        <f>IFERROR((B4-B7)/IF(IFERROR(HLOOKUP(B2,Dropdowns!G1:I1,1,0),TRUE)=TRUE,B9,Aufgabenplanung!$B$25),0)</f>
        <v>70.311111111111117</v>
      </c>
      <c r="C24" s="105"/>
    </row>
    <row r="25" spans="1:13" x14ac:dyDescent="0.2">
      <c r="A25" s="98"/>
      <c r="B25" s="75"/>
    </row>
    <row r="26" spans="1:13" ht="38.25" x14ac:dyDescent="0.2">
      <c r="A26" s="76" t="s">
        <v>106</v>
      </c>
      <c r="B26" s="95" t="s">
        <v>107</v>
      </c>
      <c r="C26" s="77" t="s">
        <v>108</v>
      </c>
      <c r="D26" s="77" t="s">
        <v>109</v>
      </c>
      <c r="E26" s="77" t="s">
        <v>110</v>
      </c>
      <c r="F26" s="128" t="s">
        <v>185</v>
      </c>
      <c r="G26" s="128" t="s">
        <v>197</v>
      </c>
      <c r="H26" s="105"/>
      <c r="I26" s="128" t="s">
        <v>199</v>
      </c>
      <c r="J26" s="128" t="s">
        <v>200</v>
      </c>
    </row>
    <row r="27" spans="1:13" ht="15" x14ac:dyDescent="0.2">
      <c r="A27" s="70" t="s">
        <v>111</v>
      </c>
      <c r="B27" s="80">
        <f>SUM(B13:F13)</f>
        <v>0</v>
      </c>
      <c r="C27" s="78">
        <f>B27*$B$4</f>
        <v>0</v>
      </c>
      <c r="D27" s="120">
        <f>IFERROR(C27/$B5,0)</f>
        <v>0</v>
      </c>
      <c r="E27" s="121">
        <v>0</v>
      </c>
      <c r="F27" s="129">
        <f>IFERROR(C27/SUM($C$27:$C$29),0)</f>
        <v>0</v>
      </c>
      <c r="G27" s="139">
        <f>SUM(C10:F10)</f>
        <v>0</v>
      </c>
      <c r="H27" s="89"/>
      <c r="I27" s="145">
        <f>+D27/24/5</f>
        <v>0</v>
      </c>
      <c r="J27" s="145">
        <f t="shared" ref="J27:J29" si="0">+E27/24/5</f>
        <v>0</v>
      </c>
    </row>
    <row r="28" spans="1:13" ht="15" x14ac:dyDescent="0.2">
      <c r="A28" s="95" t="s">
        <v>184</v>
      </c>
      <c r="B28" s="80">
        <f>SUM(B18:F18)</f>
        <v>0</v>
      </c>
      <c r="C28" s="140">
        <f>B28*$B$4</f>
        <v>0</v>
      </c>
      <c r="D28" s="120">
        <f t="shared" ref="D28:D33" si="1">IFERROR(($B$4*$B$5/SUM($B$5:$B$6)*$B$10/$B$9-$C$27)
*B28/SUM($B$28:$B$29)/$B$5,0)</f>
        <v>0</v>
      </c>
      <c r="E28" s="121">
        <f>IFERROR((C28-(D28*$B$5))/$B$6,0)</f>
        <v>0</v>
      </c>
      <c r="F28" s="129">
        <f t="shared" ref="F28:F33" si="2">IFERROR(C28/SUM($C$27:$C$29),0)</f>
        <v>0</v>
      </c>
      <c r="G28" s="139">
        <f>SUM(C10:F10)</f>
        <v>0</v>
      </c>
      <c r="H28" s="89"/>
      <c r="I28" s="145">
        <f t="shared" ref="I28" si="3">+D28/24/5</f>
        <v>0</v>
      </c>
      <c r="J28" s="145">
        <f t="shared" si="0"/>
        <v>0</v>
      </c>
    </row>
    <row r="29" spans="1:13" ht="15" x14ac:dyDescent="0.2">
      <c r="A29" s="141" t="s">
        <v>198</v>
      </c>
      <c r="B29" s="132">
        <f>SUM(B14:F14)-SUM(B17:F17)</f>
        <v>0</v>
      </c>
      <c r="C29" s="133">
        <f>B29*$B$4</f>
        <v>0</v>
      </c>
      <c r="D29" s="120">
        <f t="shared" si="1"/>
        <v>0</v>
      </c>
      <c r="E29" s="134">
        <f>IFERROR((C29-(D29*$B$5))/$B$6,0)</f>
        <v>0</v>
      </c>
      <c r="F29" s="129">
        <f t="shared" si="2"/>
        <v>0</v>
      </c>
      <c r="G29" s="139">
        <f>SUM(C10:F10)</f>
        <v>0</v>
      </c>
      <c r="H29" s="104"/>
      <c r="I29" s="145">
        <f>+D29/24/5</f>
        <v>0</v>
      </c>
      <c r="J29" s="145">
        <f t="shared" si="0"/>
        <v>0</v>
      </c>
      <c r="L29" s="89"/>
      <c r="M29" s="89"/>
    </row>
    <row r="30" spans="1:13" ht="15" x14ac:dyDescent="0.2">
      <c r="A30" s="137">
        <f>+C9</f>
        <v>0</v>
      </c>
      <c r="B30" s="138">
        <f>+C14</f>
        <v>0</v>
      </c>
      <c r="C30" s="133">
        <f t="shared" ref="C30:C33" si="4">B30*$B$4</f>
        <v>0</v>
      </c>
      <c r="D30" s="120">
        <f t="shared" si="1"/>
        <v>0</v>
      </c>
      <c r="E30" s="134">
        <f t="shared" ref="E30:E33" si="5">IFERROR((C30-(D30*$B$5))/$B$6,0)</f>
        <v>0</v>
      </c>
      <c r="F30" s="129">
        <f t="shared" si="2"/>
        <v>0</v>
      </c>
      <c r="G30" s="139">
        <f>C10</f>
        <v>0</v>
      </c>
      <c r="H30" s="89"/>
      <c r="I30" s="145">
        <f t="shared" ref="I30:I33" si="6">+D30/24/5</f>
        <v>0</v>
      </c>
      <c r="J30" s="145">
        <f t="shared" ref="J30:J33" si="7">+E30/24/5</f>
        <v>0</v>
      </c>
    </row>
    <row r="31" spans="1:13" ht="15" x14ac:dyDescent="0.2">
      <c r="A31" s="137">
        <f>+D9</f>
        <v>0</v>
      </c>
      <c r="B31" s="138">
        <f>+D14</f>
        <v>0</v>
      </c>
      <c r="C31" s="133">
        <f t="shared" si="4"/>
        <v>0</v>
      </c>
      <c r="D31" s="120">
        <f t="shared" si="1"/>
        <v>0</v>
      </c>
      <c r="E31" s="134">
        <f t="shared" si="5"/>
        <v>0</v>
      </c>
      <c r="F31" s="129">
        <f t="shared" si="2"/>
        <v>0</v>
      </c>
      <c r="G31" s="139">
        <f>D10</f>
        <v>0</v>
      </c>
      <c r="H31" s="89"/>
      <c r="I31" s="145">
        <f t="shared" si="6"/>
        <v>0</v>
      </c>
      <c r="J31" s="145">
        <f t="shared" si="7"/>
        <v>0</v>
      </c>
    </row>
    <row r="32" spans="1:13" ht="15" x14ac:dyDescent="0.2">
      <c r="A32" s="137">
        <f>+E9</f>
        <v>0</v>
      </c>
      <c r="B32" s="138">
        <f>+E14</f>
        <v>0</v>
      </c>
      <c r="C32" s="133">
        <f t="shared" si="4"/>
        <v>0</v>
      </c>
      <c r="D32" s="120">
        <f t="shared" si="1"/>
        <v>0</v>
      </c>
      <c r="E32" s="134">
        <f t="shared" si="5"/>
        <v>0</v>
      </c>
      <c r="F32" s="129">
        <f t="shared" si="2"/>
        <v>0</v>
      </c>
      <c r="G32" s="139">
        <f>E10</f>
        <v>0</v>
      </c>
      <c r="H32" s="89"/>
      <c r="I32" s="145">
        <f t="shared" si="6"/>
        <v>0</v>
      </c>
      <c r="J32" s="145">
        <f t="shared" si="7"/>
        <v>0</v>
      </c>
    </row>
    <row r="33" spans="1:11" ht="15" x14ac:dyDescent="0.2">
      <c r="A33" s="137">
        <f>+F9</f>
        <v>0</v>
      </c>
      <c r="B33" s="138">
        <f>+F14</f>
        <v>0</v>
      </c>
      <c r="C33" s="133">
        <f t="shared" si="4"/>
        <v>0</v>
      </c>
      <c r="D33" s="120">
        <f t="shared" si="1"/>
        <v>0</v>
      </c>
      <c r="E33" s="134">
        <f t="shared" si="5"/>
        <v>0</v>
      </c>
      <c r="F33" s="129">
        <f t="shared" si="2"/>
        <v>0</v>
      </c>
      <c r="G33" s="139">
        <f>F10</f>
        <v>0</v>
      </c>
      <c r="H33" s="89"/>
      <c r="I33" s="145">
        <f t="shared" si="6"/>
        <v>0</v>
      </c>
      <c r="J33" s="145">
        <f t="shared" si="7"/>
        <v>0</v>
      </c>
    </row>
    <row r="34" spans="1:11" ht="15" x14ac:dyDescent="0.2">
      <c r="C34" s="135" t="s">
        <v>112</v>
      </c>
      <c r="D34" s="136">
        <f>SUM(D27:D29)</f>
        <v>0</v>
      </c>
      <c r="E34" s="136">
        <f>SUM(E27:E29)</f>
        <v>0</v>
      </c>
      <c r="F34" s="96" t="s">
        <v>11</v>
      </c>
      <c r="G34" s="96"/>
      <c r="H34" s="89"/>
    </row>
    <row r="35" spans="1:11" ht="15" x14ac:dyDescent="0.2">
      <c r="C35" s="70" t="s">
        <v>113</v>
      </c>
      <c r="D35" s="81">
        <f>D34*$B$5</f>
        <v>0</v>
      </c>
      <c r="E35" s="81">
        <f>+E34*B6</f>
        <v>0</v>
      </c>
      <c r="F35" s="81">
        <f>SUM(D35:E35)</f>
        <v>0</v>
      </c>
      <c r="I35" s="127"/>
    </row>
    <row r="36" spans="1:11" ht="15" x14ac:dyDescent="0.2">
      <c r="A36" s="93" t="s">
        <v>153</v>
      </c>
      <c r="B36" s="92">
        <f>IFERROR(C36/B4,0)</f>
        <v>0</v>
      </c>
      <c r="C36" s="79">
        <f>IF(C9="",IF(B9=0,0,+B11*B8/B9),SUM(C20:F20))</f>
        <v>0</v>
      </c>
      <c r="D36" s="79">
        <f>IFERROR($C$36/SUM($B$5:$B$6),0)</f>
        <v>0</v>
      </c>
      <c r="E36" s="79">
        <f>IFERROR($C$36/SUM($B$5:$B$6),0)</f>
        <v>0</v>
      </c>
      <c r="G36" s="97"/>
      <c r="H36" s="97"/>
      <c r="I36" s="145">
        <f>+D36/24/5</f>
        <v>0</v>
      </c>
      <c r="J36" s="145">
        <f>+E36/24/5</f>
        <v>0</v>
      </c>
    </row>
    <row r="37" spans="1:11" ht="15" x14ac:dyDescent="0.2">
      <c r="B37" s="95" t="s">
        <v>154</v>
      </c>
      <c r="C37" s="70"/>
      <c r="D37" s="81">
        <f>+D34+D36</f>
        <v>0</v>
      </c>
      <c r="E37" s="81">
        <f>+E34+E36</f>
        <v>0</v>
      </c>
      <c r="F37" s="96" t="s">
        <v>11</v>
      </c>
      <c r="G37" s="94"/>
    </row>
    <row r="38" spans="1:11" ht="15" x14ac:dyDescent="0.2">
      <c r="B38" s="95" t="s">
        <v>155</v>
      </c>
      <c r="C38" s="70"/>
      <c r="D38" s="81">
        <f>D37*$B$5</f>
        <v>0</v>
      </c>
      <c r="E38" s="81">
        <f>E37*$B$6</f>
        <v>0</v>
      </c>
      <c r="F38" s="81">
        <f>SUM(D38:E38)</f>
        <v>0</v>
      </c>
      <c r="H38" s="83"/>
      <c r="J38" s="144"/>
      <c r="K38" s="144"/>
    </row>
    <row r="39" spans="1:11" ht="15" x14ac:dyDescent="0.2">
      <c r="A39" s="65"/>
      <c r="B39" s="65"/>
      <c r="C39" s="65"/>
      <c r="D39" s="65"/>
      <c r="E39" s="65"/>
    </row>
    <row r="40" spans="1:11" ht="15" x14ac:dyDescent="0.2">
      <c r="A40" s="65"/>
      <c r="B40" s="65"/>
      <c r="C40" s="65"/>
      <c r="D40" s="65"/>
      <c r="E40" s="65"/>
    </row>
    <row r="41" spans="1:11" ht="15.75" x14ac:dyDescent="0.2">
      <c r="A41" s="142" t="s">
        <v>196</v>
      </c>
      <c r="B41" s="82"/>
      <c r="C41" s="82" t="s">
        <v>12</v>
      </c>
      <c r="D41" s="82" t="s">
        <v>13</v>
      </c>
      <c r="E41" s="82" t="s">
        <v>114</v>
      </c>
    </row>
    <row r="42" spans="1:11" ht="15" x14ac:dyDescent="0.2">
      <c r="A42" s="87">
        <f>IFERROR(Aufgabenplanung!B20*B10/B9,0)</f>
        <v>0</v>
      </c>
      <c r="B42" s="82" t="s">
        <v>115</v>
      </c>
      <c r="C42" s="84">
        <f>IF(Aufgabenplanung!$B$16=0,0,+C27*(Aufgabenplanung!$B$20+Aufgabenplanung!$B$17)/Aufgabenplanung!$B$16)</f>
        <v>0</v>
      </c>
      <c r="D42" s="84">
        <f>IF(Aufgabenplanung!$B$16=0,0,+C28*(Aufgabenplanung!$B$20+Aufgabenplanung!$B$17)/Aufgabenplanung!$B$16)</f>
        <v>0</v>
      </c>
      <c r="E42" s="84">
        <f>IF(Aufgabenplanung!$B$16=0,0,+C29*(Aufgabenplanung!$B$20+Aufgabenplanung!$B$17)/Aufgabenplanung!$B$16)</f>
        <v>0</v>
      </c>
    </row>
    <row r="43" spans="1:11" ht="15" x14ac:dyDescent="0.2">
      <c r="A43" s="85">
        <f>SUM(C43:E43)</f>
        <v>0</v>
      </c>
      <c r="B43" s="82" t="s">
        <v>116</v>
      </c>
      <c r="C43" s="86">
        <f>IFERROR(C42/SUM($C$42:$E$42),0)</f>
        <v>0</v>
      </c>
      <c r="D43" s="86">
        <f>IFERROR(D42/SUM($C$42:$E$42),0)</f>
        <v>0</v>
      </c>
      <c r="E43" s="86">
        <f>IFERROR(E42/SUM($C$42:$E$42),0)</f>
        <v>0</v>
      </c>
    </row>
    <row r="44" spans="1:11" ht="15" x14ac:dyDescent="0.2">
      <c r="A44" s="65"/>
      <c r="B44" s="65"/>
      <c r="C44" s="65"/>
      <c r="D44" s="65"/>
      <c r="E44" s="65"/>
    </row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1">
    <tabColor theme="7" tint="0.39997558519241921"/>
  </sheetPr>
  <dimension ref="A1:I67"/>
  <sheetViews>
    <sheetView tabSelected="1" zoomScaleNormal="100" workbookViewId="0">
      <selection activeCell="G8" sqref="G8"/>
    </sheetView>
  </sheetViews>
  <sheetFormatPr baseColWidth="10" defaultColWidth="9.77734375" defaultRowHeight="15" x14ac:dyDescent="0.2"/>
  <cols>
    <col min="1" max="1" width="43.109375" style="60" customWidth="1"/>
    <col min="2" max="2" width="13.6640625" style="61" customWidth="1"/>
    <col min="3" max="3" width="15.21875" style="60" customWidth="1"/>
    <col min="4" max="4" width="7.109375" style="62" customWidth="1"/>
    <col min="5" max="16384" width="9.77734375" style="60"/>
  </cols>
  <sheetData>
    <row r="1" spans="1:6" s="64" customFormat="1" ht="18.75" customHeight="1" x14ac:dyDescent="0.2">
      <c r="A1" s="1" t="s">
        <v>201</v>
      </c>
      <c r="B1" s="4"/>
      <c r="C1" s="5"/>
      <c r="D1" s="6"/>
      <c r="E1" s="63"/>
    </row>
    <row r="2" spans="1:6" s="65" customFormat="1" ht="29.25" customHeight="1" x14ac:dyDescent="0.2">
      <c r="A2" s="7"/>
      <c r="B2" s="8"/>
      <c r="C2" s="7"/>
      <c r="D2" s="9"/>
      <c r="E2" s="99" t="s">
        <v>161</v>
      </c>
    </row>
    <row r="3" spans="1:6" s="65" customFormat="1" ht="18.75" customHeight="1" x14ac:dyDescent="0.2">
      <c r="A3" s="10" t="s">
        <v>58</v>
      </c>
      <c r="B3" s="11"/>
      <c r="C3" s="12"/>
      <c r="D3" s="15"/>
      <c r="E3" s="102" t="s">
        <v>11</v>
      </c>
    </row>
    <row r="4" spans="1:6" s="65" customFormat="1" ht="18.75" customHeight="1" x14ac:dyDescent="0.2">
      <c r="A4" s="13" t="s">
        <v>59</v>
      </c>
      <c r="B4" s="245" t="s">
        <v>41</v>
      </c>
      <c r="C4" s="246"/>
      <c r="D4" s="15"/>
      <c r="E4" s="100" t="str">
        <f>IFERROR(IF(HLOOKUP(B4:B4,Dropdowns!1:5,2,0)=0,"",HLOOKUP(B4:B4,Dropdowns!1:5,2,0)),"")</f>
        <v/>
      </c>
    </row>
    <row r="5" spans="1:6" s="65" customFormat="1" ht="18.75" customHeight="1" x14ac:dyDescent="0.2">
      <c r="A5" s="13" t="s">
        <v>60</v>
      </c>
      <c r="B5" s="247"/>
      <c r="C5" s="247"/>
      <c r="D5" s="9"/>
      <c r="E5" s="100" t="str">
        <f>IFERROR(IF(HLOOKUP(B4:B4,Dropdowns!1:5,3,0)=0,"",HLOOKUP(B4:B4,Dropdowns!1:5,3,0)),"")</f>
        <v/>
      </c>
      <c r="F5" s="149"/>
    </row>
    <row r="6" spans="1:6" s="65" customFormat="1" ht="18.75" customHeight="1" x14ac:dyDescent="0.2">
      <c r="A6" s="13" t="s">
        <v>61</v>
      </c>
      <c r="B6" s="248" t="str">
        <f>+Grundlagen!B2</f>
        <v>2026/2027</v>
      </c>
      <c r="C6" s="249"/>
      <c r="D6" s="14"/>
      <c r="E6" s="100" t="str">
        <f>IFERROR(IF(HLOOKUP(B4:B4,Dropdowns!1:5,4,0)=0,"",HLOOKUP(B4:B4,Dropdowns!1:5,4,0)),"")</f>
        <v/>
      </c>
      <c r="F6" s="149"/>
    </row>
    <row r="7" spans="1:6" s="65" customFormat="1" ht="18.75" customHeight="1" x14ac:dyDescent="0.2">
      <c r="A7" s="7"/>
      <c r="B7" s="15"/>
      <c r="C7" s="15"/>
      <c r="D7" s="9"/>
      <c r="E7" s="100" t="str">
        <f>IFERROR(IF(HLOOKUP(B4:B4,Dropdowns!1:5,5,0)=0,"",HLOOKUP(B4:B4,Dropdowns!1:5,5,0)),"")</f>
        <v/>
      </c>
      <c r="F7" s="149"/>
    </row>
    <row r="8" spans="1:6" s="65" customFormat="1" ht="18.75" customHeight="1" x14ac:dyDescent="0.2">
      <c r="A8" s="10" t="s">
        <v>62</v>
      </c>
      <c r="B8" s="11"/>
      <c r="C8" s="12"/>
      <c r="D8" s="9"/>
      <c r="E8" s="15"/>
      <c r="F8" s="149"/>
    </row>
    <row r="9" spans="1:6" s="65" customFormat="1" ht="18.75" customHeight="1" x14ac:dyDescent="0.2">
      <c r="A9" s="13" t="s">
        <v>63</v>
      </c>
      <c r="B9" s="250"/>
      <c r="C9" s="250"/>
      <c r="D9" s="14"/>
      <c r="E9" s="15"/>
      <c r="F9" s="149"/>
    </row>
    <row r="10" spans="1:6" s="65" customFormat="1" ht="18.75" customHeight="1" x14ac:dyDescent="0.2">
      <c r="A10" s="13" t="s">
        <v>64</v>
      </c>
      <c r="B10" s="250"/>
      <c r="C10" s="250"/>
      <c r="D10" s="9"/>
      <c r="E10" s="15"/>
      <c r="F10" s="149"/>
    </row>
    <row r="11" spans="1:6" s="65" customFormat="1" ht="18.75" customHeight="1" x14ac:dyDescent="0.2">
      <c r="A11" s="13" t="s">
        <v>65</v>
      </c>
      <c r="B11" s="244"/>
      <c r="C11" s="244"/>
      <c r="D11" s="9"/>
      <c r="E11" s="15"/>
      <c r="F11" s="149"/>
    </row>
    <row r="12" spans="1:6" s="65" customFormat="1" ht="18.75" customHeight="1" x14ac:dyDescent="0.2">
      <c r="A12" s="16"/>
      <c r="B12" s="17"/>
      <c r="C12" s="18"/>
      <c r="D12" s="9"/>
      <c r="E12" s="15"/>
      <c r="F12" s="149"/>
    </row>
    <row r="13" spans="1:6" s="65" customFormat="1" ht="18.75" customHeight="1" x14ac:dyDescent="0.2">
      <c r="A13" s="10" t="s">
        <v>66</v>
      </c>
      <c r="B13" s="11"/>
      <c r="C13" s="12"/>
      <c r="D13" s="14"/>
      <c r="E13" s="15"/>
    </row>
    <row r="14" spans="1:6" s="65" customFormat="1" ht="18.75" customHeight="1" x14ac:dyDescent="0.2">
      <c r="A14" s="13" t="s">
        <v>0</v>
      </c>
      <c r="B14" s="19">
        <f>+Grundlagen!C2</f>
        <v>2108.4</v>
      </c>
      <c r="C14" s="15"/>
      <c r="D14" s="14"/>
      <c r="E14" s="15"/>
    </row>
    <row r="15" spans="1:6" s="65" customFormat="1" ht="18.75" customHeight="1" x14ac:dyDescent="0.2">
      <c r="A15" s="13" t="s">
        <v>67</v>
      </c>
      <c r="B15" s="20">
        <f>IF(B14=0,0,25*8.4)</f>
        <v>210</v>
      </c>
      <c r="C15" s="15"/>
      <c r="D15" s="14"/>
      <c r="E15" s="15"/>
    </row>
    <row r="16" spans="1:6" s="65" customFormat="1" ht="18.75" customHeight="1" x14ac:dyDescent="0.2">
      <c r="A16" s="13" t="s">
        <v>68</v>
      </c>
      <c r="B16" s="20">
        <f>+B14-B15</f>
        <v>1898.4</v>
      </c>
      <c r="C16" s="21"/>
      <c r="D16" s="14"/>
      <c r="E16" s="15"/>
    </row>
    <row r="17" spans="1:9" s="65" customFormat="1" ht="18.75" customHeight="1" x14ac:dyDescent="0.2">
      <c r="A17" s="13" t="str">
        <f>IF(B17="","Altersabhängige Ferientage","Altersabhängige Ferientage in h ("&amp;TEXT(B17/8.4,"0.0")&amp;" Ferientage)")</f>
        <v>Altersabhängige Ferientage in h (0.0 Ferientage)</v>
      </c>
      <c r="B17" s="20">
        <f>IF(OR(B11="",B6=""),0,IF(OR(B11="",B6=""),0,(VLOOKUP(DATEDIF(B11+1,DATE(YEAR(DATE(LEFT(B6,4),8,1)),1,1),"y")+1,Grundlagen!$AB$4:$AD$6,3,1)*8.4*5/12+VLOOKUP(DATEDIF(B11+1,DATE(YEAR(DATE(RIGHT(B6,4),1,1)),1,1),"y")+1,Grundlagen!$AB$4:$AD$6,3,1)*8.4*7/12)-B15))</f>
        <v>0</v>
      </c>
      <c r="C17" s="15"/>
      <c r="D17" s="14"/>
      <c r="E17" s="15"/>
    </row>
    <row r="18" spans="1:9" s="65" customFormat="1" ht="18.75" customHeight="1" x14ac:dyDescent="0.2">
      <c r="A18" s="13" t="s">
        <v>69</v>
      </c>
      <c r="B18" s="22"/>
      <c r="C18" s="18"/>
      <c r="D18" s="14"/>
      <c r="E18" s="15"/>
    </row>
    <row r="19" spans="1:9" s="65" customFormat="1" ht="18.75" customHeight="1" x14ac:dyDescent="0.2">
      <c r="A19" s="13" t="s">
        <v>70</v>
      </c>
      <c r="B19" s="22"/>
      <c r="C19" s="18"/>
      <c r="D19" s="14"/>
      <c r="E19" s="15"/>
    </row>
    <row r="20" spans="1:9" s="65" customFormat="1" ht="18.75" customHeight="1" x14ac:dyDescent="0.2">
      <c r="A20" s="13" t="s">
        <v>71</v>
      </c>
      <c r="B20" s="23">
        <f>SUM(B16)-SUM(B17)-SUM(B18:B19)*42</f>
        <v>1898.4</v>
      </c>
      <c r="C20" s="15"/>
      <c r="D20" s="14"/>
      <c r="E20" s="101"/>
    </row>
    <row r="21" spans="1:9" s="65" customFormat="1" ht="18.75" customHeight="1" x14ac:dyDescent="0.2">
      <c r="A21" s="15"/>
      <c r="B21" s="15"/>
      <c r="C21" s="15"/>
      <c r="D21" s="14"/>
      <c r="E21" s="15"/>
    </row>
    <row r="22" spans="1:9" s="65" customFormat="1" ht="18.75" customHeight="1" x14ac:dyDescent="0.2">
      <c r="A22" s="10" t="s">
        <v>72</v>
      </c>
      <c r="B22" s="11"/>
      <c r="C22" s="12"/>
      <c r="D22" s="14"/>
      <c r="E22" s="15"/>
    </row>
    <row r="23" spans="1:9" s="65" customFormat="1" ht="18.75" customHeight="1" x14ac:dyDescent="0.2">
      <c r="A23" s="24"/>
      <c r="B23" s="24"/>
      <c r="C23" s="7"/>
      <c r="D23" s="14"/>
      <c r="E23" s="15"/>
    </row>
    <row r="24" spans="1:9" s="65" customFormat="1" ht="18.75" customHeight="1" x14ac:dyDescent="0.2">
      <c r="A24" s="21"/>
      <c r="B24" s="147" t="s">
        <v>73</v>
      </c>
      <c r="C24" s="13" t="s">
        <v>74</v>
      </c>
      <c r="D24" s="14"/>
      <c r="E24" s="15"/>
    </row>
    <row r="25" spans="1:9" s="65" customFormat="1" ht="18.75" customHeight="1" x14ac:dyDescent="0.2">
      <c r="A25" s="13" t="s">
        <v>172</v>
      </c>
      <c r="B25" s="103">
        <f>VLOOKUP(B4,Grundlagen!AE:AF,2,0)</f>
        <v>27</v>
      </c>
      <c r="C25" s="21"/>
      <c r="D25" s="14"/>
      <c r="E25" s="15"/>
    </row>
    <row r="26" spans="1:9" s="65" customFormat="1" ht="18.75" customHeight="1" x14ac:dyDescent="0.2">
      <c r="A26" s="25" t="s">
        <v>76</v>
      </c>
      <c r="B26" s="22"/>
      <c r="C26" s="26">
        <f>IFERROR(B26/B25,0)</f>
        <v>0</v>
      </c>
      <c r="D26" s="52" t="e">
        <f>IF(AND(#REF!&lt;&gt;"",ROUND(B26,2)&lt;&gt;ROUND(#REF!,2)),"Wert entspricht nicht dem Wert in Zelle F3","")</f>
        <v>#REF!</v>
      </c>
      <c r="E26" s="15"/>
    </row>
    <row r="27" spans="1:9" s="65" customFormat="1" ht="18.75" customHeight="1" x14ac:dyDescent="0.2">
      <c r="A27" s="27" t="s">
        <v>78</v>
      </c>
      <c r="B27" s="28">
        <f>IFERROR(B20/B25*B26,0)</f>
        <v>0</v>
      </c>
      <c r="C27" s="29">
        <f>IFERROR(B26/B25,0)</f>
        <v>0</v>
      </c>
      <c r="D27" s="14"/>
      <c r="E27" s="15"/>
    </row>
    <row r="28" spans="1:9" s="65" customFormat="1" ht="18.75" customHeight="1" x14ac:dyDescent="0.2">
      <c r="A28" s="25" t="str">
        <f>"Davon Bereich B"</f>
        <v>Davon Bereich B</v>
      </c>
      <c r="B28" s="30">
        <f>+'Berechnungen BA MS'!B19</f>
        <v>0</v>
      </c>
      <c r="C28" s="31">
        <f>IF(B26=0,0,B28/$B$27)</f>
        <v>0</v>
      </c>
      <c r="D28" s="14"/>
      <c r="E28" s="15"/>
      <c r="I28" s="150"/>
    </row>
    <row r="29" spans="1:9" s="65" customFormat="1" ht="18.75" customHeight="1" x14ac:dyDescent="0.2">
      <c r="A29" s="25" t="str">
        <f>"Davon Bereich C/D/E"</f>
        <v>Davon Bereich C/D/E</v>
      </c>
      <c r="B29" s="30">
        <f>+'Berechnungen BA MS'!E42</f>
        <v>0</v>
      </c>
      <c r="C29" s="31">
        <f>IF(B27=0,0,B29/$B$27)</f>
        <v>0</v>
      </c>
      <c r="D29" s="14"/>
      <c r="E29" s="15"/>
      <c r="I29" s="150"/>
    </row>
    <row r="30" spans="1:9" s="65" customFormat="1" ht="18.75" customHeight="1" x14ac:dyDescent="0.2">
      <c r="A30" s="15"/>
      <c r="B30" s="15"/>
      <c r="C30" s="15"/>
      <c r="D30" s="14"/>
      <c r="E30" s="15"/>
    </row>
    <row r="31" spans="1:9" s="65" customFormat="1" ht="18.75" customHeight="1" x14ac:dyDescent="0.2">
      <c r="A31" s="32" t="s">
        <v>171</v>
      </c>
      <c r="B31" s="33"/>
      <c r="C31" s="33"/>
      <c r="D31" s="9"/>
      <c r="E31" s="15"/>
    </row>
    <row r="32" spans="1:9" s="65" customFormat="1" ht="18.75" customHeight="1" x14ac:dyDescent="0.2">
      <c r="A32" s="16"/>
      <c r="B32" s="34"/>
      <c r="C32" s="17"/>
      <c r="D32" s="14"/>
      <c r="E32" s="15"/>
    </row>
    <row r="33" spans="1:5" s="65" customFormat="1" ht="18.75" customHeight="1" x14ac:dyDescent="0.2">
      <c r="A33" s="35" t="s">
        <v>80</v>
      </c>
      <c r="B33" s="36" t="s">
        <v>81</v>
      </c>
      <c r="C33" s="37" t="s">
        <v>82</v>
      </c>
      <c r="D33" s="14" t="s">
        <v>83</v>
      </c>
      <c r="E33" s="15"/>
    </row>
    <row r="34" spans="1:5" s="65" customFormat="1" ht="18.75" customHeight="1" x14ac:dyDescent="0.2">
      <c r="A34" s="90" t="s">
        <v>163</v>
      </c>
      <c r="B34" s="38"/>
      <c r="C34" s="39" t="s">
        <v>92</v>
      </c>
      <c r="D34" s="40">
        <f>B29-IF(C34="Stunden",B34,IF(C34="Jahreslektionen",B34*Jahreslektion))</f>
        <v>0</v>
      </c>
      <c r="E34" s="15"/>
    </row>
    <row r="35" spans="1:5" s="65" customFormat="1" ht="18.75" customHeight="1" x14ac:dyDescent="0.2">
      <c r="A35" s="90" t="s">
        <v>177</v>
      </c>
      <c r="B35" s="38"/>
      <c r="C35" s="39" t="s">
        <v>92</v>
      </c>
      <c r="D35" s="40">
        <f t="shared" ref="D35:D51" si="0">D34-IF(C35="Stunden",B35,IF(C35="Jahreslektionen",B35*Jahreslektion))</f>
        <v>0</v>
      </c>
      <c r="E35" s="15"/>
    </row>
    <row r="36" spans="1:5" s="65" customFormat="1" ht="18.75" customHeight="1" x14ac:dyDescent="0.2">
      <c r="A36" s="90" t="s">
        <v>176</v>
      </c>
      <c r="B36" s="38"/>
      <c r="C36" s="39" t="s">
        <v>92</v>
      </c>
      <c r="D36" s="40">
        <f t="shared" si="0"/>
        <v>0</v>
      </c>
      <c r="E36" s="15"/>
    </row>
    <row r="37" spans="1:5" s="65" customFormat="1" ht="18.75" customHeight="1" x14ac:dyDescent="0.2">
      <c r="A37" s="90" t="s">
        <v>164</v>
      </c>
      <c r="B37" s="38"/>
      <c r="C37" s="39" t="s">
        <v>92</v>
      </c>
      <c r="D37" s="40">
        <f t="shared" si="0"/>
        <v>0</v>
      </c>
      <c r="E37" s="15"/>
    </row>
    <row r="38" spans="1:5" s="65" customFormat="1" ht="18.75" customHeight="1" x14ac:dyDescent="0.2">
      <c r="A38" s="90" t="s">
        <v>86</v>
      </c>
      <c r="B38" s="38"/>
      <c r="C38" s="39" t="s">
        <v>92</v>
      </c>
      <c r="D38" s="40">
        <f t="shared" si="0"/>
        <v>0</v>
      </c>
      <c r="E38" s="15"/>
    </row>
    <row r="39" spans="1:5" s="65" customFormat="1" ht="18.75" customHeight="1" x14ac:dyDescent="0.2">
      <c r="A39" s="90" t="s">
        <v>165</v>
      </c>
      <c r="B39" s="38"/>
      <c r="C39" s="39" t="s">
        <v>92</v>
      </c>
      <c r="D39" s="40">
        <f t="shared" si="0"/>
        <v>0</v>
      </c>
      <c r="E39" s="15"/>
    </row>
    <row r="40" spans="1:5" s="65" customFormat="1" ht="18.75" customHeight="1" x14ac:dyDescent="0.2">
      <c r="A40" s="90" t="s">
        <v>202</v>
      </c>
      <c r="B40" s="41"/>
      <c r="C40" s="39" t="s">
        <v>92</v>
      </c>
      <c r="D40" s="40">
        <f t="shared" si="0"/>
        <v>0</v>
      </c>
      <c r="E40" s="15"/>
    </row>
    <row r="41" spans="1:5" s="65" customFormat="1" ht="18.75" customHeight="1" x14ac:dyDescent="0.2">
      <c r="A41" s="90" t="s">
        <v>168</v>
      </c>
      <c r="B41" s="41"/>
      <c r="C41" s="39" t="s">
        <v>92</v>
      </c>
      <c r="D41" s="40">
        <f t="shared" si="0"/>
        <v>0</v>
      </c>
      <c r="E41" s="15"/>
    </row>
    <row r="42" spans="1:5" s="65" customFormat="1" ht="18.75" customHeight="1" x14ac:dyDescent="0.2">
      <c r="A42" s="90" t="s">
        <v>91</v>
      </c>
      <c r="B42" s="41"/>
      <c r="C42" s="39" t="s">
        <v>92</v>
      </c>
      <c r="D42" s="40">
        <f t="shared" si="0"/>
        <v>0</v>
      </c>
      <c r="E42" s="15"/>
    </row>
    <row r="43" spans="1:5" s="65" customFormat="1" ht="18.75" customHeight="1" x14ac:dyDescent="0.2">
      <c r="A43" s="90" t="s">
        <v>91</v>
      </c>
      <c r="B43" s="41"/>
      <c r="C43" s="39" t="s">
        <v>92</v>
      </c>
      <c r="D43" s="40">
        <f t="shared" si="0"/>
        <v>0</v>
      </c>
      <c r="E43" s="15"/>
    </row>
    <row r="44" spans="1:5" s="65" customFormat="1" ht="18.75" customHeight="1" x14ac:dyDescent="0.2">
      <c r="A44" s="90" t="s">
        <v>91</v>
      </c>
      <c r="B44" s="41"/>
      <c r="C44" s="39" t="s">
        <v>92</v>
      </c>
      <c r="D44" s="40">
        <f t="shared" si="0"/>
        <v>0</v>
      </c>
      <c r="E44" s="15"/>
    </row>
    <row r="45" spans="1:5" s="65" customFormat="1" ht="18.75" customHeight="1" x14ac:dyDescent="0.2">
      <c r="A45" s="90" t="s">
        <v>91</v>
      </c>
      <c r="B45" s="41"/>
      <c r="C45" s="39" t="s">
        <v>92</v>
      </c>
      <c r="D45" s="40">
        <f t="shared" si="0"/>
        <v>0</v>
      </c>
      <c r="E45" s="15"/>
    </row>
    <row r="46" spans="1:5" s="65" customFormat="1" ht="18.75" customHeight="1" x14ac:dyDescent="0.2">
      <c r="A46" s="90" t="s">
        <v>91</v>
      </c>
      <c r="B46" s="41"/>
      <c r="C46" s="39" t="s">
        <v>92</v>
      </c>
      <c r="D46" s="40">
        <f t="shared" si="0"/>
        <v>0</v>
      </c>
      <c r="E46" s="15"/>
    </row>
    <row r="47" spans="1:5" s="65" customFormat="1" ht="18.75" customHeight="1" x14ac:dyDescent="0.2">
      <c r="A47" s="90" t="s">
        <v>91</v>
      </c>
      <c r="B47" s="41"/>
      <c r="C47" s="39" t="s">
        <v>92</v>
      </c>
      <c r="D47" s="40">
        <f t="shared" si="0"/>
        <v>0</v>
      </c>
      <c r="E47" s="15"/>
    </row>
    <row r="48" spans="1:5" s="65" customFormat="1" ht="18.75" customHeight="1" x14ac:dyDescent="0.2">
      <c r="A48" s="90" t="s">
        <v>91</v>
      </c>
      <c r="B48" s="41"/>
      <c r="C48" s="39" t="s">
        <v>92</v>
      </c>
      <c r="D48" s="40">
        <f t="shared" si="0"/>
        <v>0</v>
      </c>
      <c r="E48" s="15"/>
    </row>
    <row r="49" spans="1:5" s="65" customFormat="1" ht="18.75" customHeight="1" x14ac:dyDescent="0.2">
      <c r="A49" s="90" t="s">
        <v>91</v>
      </c>
      <c r="B49" s="41"/>
      <c r="C49" s="39" t="s">
        <v>92</v>
      </c>
      <c r="D49" s="40">
        <f t="shared" si="0"/>
        <v>0</v>
      </c>
      <c r="E49" s="15"/>
    </row>
    <row r="50" spans="1:5" s="65" customFormat="1" ht="18.75" customHeight="1" x14ac:dyDescent="0.2">
      <c r="A50" s="90" t="s">
        <v>91</v>
      </c>
      <c r="B50" s="41"/>
      <c r="C50" s="39" t="s">
        <v>92</v>
      </c>
      <c r="D50" s="40">
        <f t="shared" si="0"/>
        <v>0</v>
      </c>
      <c r="E50" s="15"/>
    </row>
    <row r="51" spans="1:5" s="65" customFormat="1" ht="18.75" customHeight="1" x14ac:dyDescent="0.2">
      <c r="A51" s="90" t="s">
        <v>91</v>
      </c>
      <c r="B51" s="41"/>
      <c r="C51" s="39" t="s">
        <v>92</v>
      </c>
      <c r="D51" s="40">
        <f t="shared" si="0"/>
        <v>0</v>
      </c>
      <c r="E51" s="15"/>
    </row>
    <row r="52" spans="1:5" s="65" customFormat="1" ht="18.75" customHeight="1" x14ac:dyDescent="0.2">
      <c r="A52" s="42" t="s">
        <v>93</v>
      </c>
      <c r="B52" s="43">
        <f t="array" ref="B52">SUMPRODUCT(B34:B51,IF(C34:C51="Stunden",1,IF(C34:C51="Jahreslektionen",Jahreslektion)))</f>
        <v>0</v>
      </c>
      <c r="C52" s="44" t="s">
        <v>85</v>
      </c>
      <c r="D52" s="14"/>
      <c r="E52" s="15"/>
    </row>
    <row r="53" spans="1:5" s="65" customFormat="1" ht="18.75" customHeight="1" x14ac:dyDescent="0.2">
      <c r="A53" s="18"/>
      <c r="B53" s="45"/>
      <c r="C53" s="45"/>
      <c r="D53" s="14"/>
      <c r="E53" s="15"/>
    </row>
    <row r="54" spans="1:5" s="65" customFormat="1" ht="18.75" customHeight="1" x14ac:dyDescent="0.2">
      <c r="A54" s="35" t="str">
        <f>"Bereich E: Weiterbildung  (im Mehrjahresdurchschn. mind. "&amp;TEXT(0.02*B27,"0.0")&amp;" Stunden)"</f>
        <v>Bereich E: Weiterbildung  (im Mehrjahresdurchschn. mind. 0.0 Stunden)</v>
      </c>
      <c r="B54" s="36"/>
      <c r="C54" s="46"/>
      <c r="D54" s="14"/>
      <c r="E54" s="15"/>
    </row>
    <row r="55" spans="1:5" s="65" customFormat="1" ht="18.75" customHeight="1" x14ac:dyDescent="0.2">
      <c r="A55" s="91" t="s">
        <v>97</v>
      </c>
      <c r="B55" s="41"/>
      <c r="C55" s="39" t="s">
        <v>92</v>
      </c>
      <c r="D55" s="40">
        <f>D51-IF(C55="Stunden",B55,IF(C55="Jahreslektionen",B55*Jahreslektion))</f>
        <v>0</v>
      </c>
      <c r="E55" s="15"/>
    </row>
    <row r="56" spans="1:5" s="65" customFormat="1" ht="18.75" customHeight="1" x14ac:dyDescent="0.2">
      <c r="A56" s="91" t="s">
        <v>97</v>
      </c>
      <c r="B56" s="41"/>
      <c r="C56" s="39" t="s">
        <v>92</v>
      </c>
      <c r="D56" s="40">
        <f>D55-IF(C56="Stunden",B56,IF(C56="Jahreslektionen",B56*Jahreslektion))</f>
        <v>0</v>
      </c>
      <c r="E56" s="15"/>
    </row>
    <row r="57" spans="1:5" s="65" customFormat="1" ht="18.75" customHeight="1" x14ac:dyDescent="0.2">
      <c r="A57" s="91" t="s">
        <v>97</v>
      </c>
      <c r="B57" s="41"/>
      <c r="C57" s="39" t="s">
        <v>92</v>
      </c>
      <c r="D57" s="40">
        <f>D56-IF(C57="Stunden",B57,IF(C57="Jahreslektionen",B57*Jahreslektion))</f>
        <v>0</v>
      </c>
      <c r="E57" s="15"/>
    </row>
    <row r="58" spans="1:5" s="65" customFormat="1" ht="18.75" customHeight="1" x14ac:dyDescent="0.2">
      <c r="A58" s="91" t="s">
        <v>97</v>
      </c>
      <c r="B58" s="41"/>
      <c r="C58" s="39" t="s">
        <v>92</v>
      </c>
      <c r="D58" s="40">
        <f>D57-IF(C58="Stunden",B58,IF(C58="Jahreslektionen",B58*Jahreslektion))</f>
        <v>0</v>
      </c>
      <c r="E58" s="15"/>
    </row>
    <row r="59" spans="1:5" s="65" customFormat="1" ht="18.75" customHeight="1" x14ac:dyDescent="0.2">
      <c r="A59" s="91" t="s">
        <v>97</v>
      </c>
      <c r="B59" s="41"/>
      <c r="C59" s="39" t="s">
        <v>92</v>
      </c>
      <c r="D59" s="40">
        <f>D58-IF(C59="Stunden",B59,IF(C59="Jahreslektionen",B59*Jahreslektion))</f>
        <v>0</v>
      </c>
      <c r="E59" s="15"/>
    </row>
    <row r="60" spans="1:5" s="65" customFormat="1" ht="18.75" customHeight="1" x14ac:dyDescent="0.2">
      <c r="A60" s="42" t="s">
        <v>94</v>
      </c>
      <c r="B60" s="43">
        <f t="array" ref="B60">SUMPRODUCT(B55:B59,IF(C55:C59="Stunden",1,IF(C55:C59="Jahreslektionen",Jahreslektion)))</f>
        <v>0</v>
      </c>
      <c r="C60" s="44" t="s">
        <v>85</v>
      </c>
      <c r="D60" s="47"/>
      <c r="E60" s="15"/>
    </row>
    <row r="61" spans="1:5" s="65" customFormat="1" ht="18.75" customHeight="1" x14ac:dyDescent="0.2">
      <c r="A61" s="18"/>
      <c r="B61" s="18"/>
      <c r="C61" s="48"/>
      <c r="D61" s="14"/>
      <c r="E61" s="15"/>
    </row>
    <row r="62" spans="1:5" s="67" customFormat="1" ht="18.75" customHeight="1" x14ac:dyDescent="0.2">
      <c r="A62" s="35" t="s">
        <v>95</v>
      </c>
      <c r="B62" s="49">
        <f>SUM(B52,B60)</f>
        <v>0</v>
      </c>
      <c r="C62" s="50">
        <f>IF(B27=0,0,B62/$B$27)</f>
        <v>0</v>
      </c>
      <c r="D62" s="51"/>
      <c r="E62" s="66"/>
    </row>
    <row r="63" spans="1:5" s="65" customFormat="1" ht="18.75" customHeight="1" x14ac:dyDescent="0.2">
      <c r="A63" s="3"/>
      <c r="B63" s="3"/>
      <c r="C63" s="3"/>
      <c r="D63" s="53"/>
      <c r="E63" s="15"/>
    </row>
    <row r="64" spans="1:5" s="65" customFormat="1" ht="18.75" customHeight="1" x14ac:dyDescent="0.2">
      <c r="A64" s="54" t="s">
        <v>79</v>
      </c>
      <c r="B64" s="55"/>
      <c r="C64" s="55"/>
      <c r="D64" s="6"/>
      <c r="E64" s="15"/>
    </row>
    <row r="65" spans="1:5" s="67" customFormat="1" ht="18.75" customHeight="1" x14ac:dyDescent="0.2">
      <c r="A65" s="56" t="s">
        <v>98</v>
      </c>
      <c r="B65" s="57"/>
      <c r="C65" s="57"/>
      <c r="D65" s="6"/>
      <c r="E65" s="66"/>
    </row>
    <row r="66" spans="1:5" s="65" customFormat="1" ht="18.75" customHeight="1" x14ac:dyDescent="0.2">
      <c r="A66" s="58" t="s">
        <v>99</v>
      </c>
      <c r="B66" s="59" t="s">
        <v>100</v>
      </c>
      <c r="C66" s="59"/>
      <c r="D66" s="6"/>
      <c r="E66" s="15"/>
    </row>
    <row r="67" spans="1:5" s="65" customFormat="1" ht="18.75" customHeight="1" x14ac:dyDescent="0.2">
      <c r="A67" s="7"/>
      <c r="B67" s="7"/>
      <c r="C67" s="7"/>
      <c r="D67" s="68"/>
    </row>
  </sheetData>
  <sheetProtection sheet="1"/>
  <mergeCells count="6">
    <mergeCell ref="B11:C11"/>
    <mergeCell ref="B4:C4"/>
    <mergeCell ref="B5:C5"/>
    <mergeCell ref="B6:C6"/>
    <mergeCell ref="B9:C9"/>
    <mergeCell ref="B10:C10"/>
  </mergeCells>
  <conditionalFormatting sqref="B11">
    <cfRule type="expression" dxfId="20" priority="66">
      <formula>$B$11=""</formula>
    </cfRule>
  </conditionalFormatting>
  <conditionalFormatting sqref="D34:D51">
    <cfRule type="expression" dxfId="19" priority="64">
      <formula>AND(D34&lt;-0.05,D34&lt;&gt;-16.8)</formula>
    </cfRule>
  </conditionalFormatting>
  <conditionalFormatting sqref="D60">
    <cfRule type="expression" dxfId="18" priority="63">
      <formula>D60&lt;0</formula>
    </cfRule>
  </conditionalFormatting>
  <conditionalFormatting sqref="D58:D59">
    <cfRule type="expression" dxfId="17" priority="61">
      <formula>AND(D58&lt;-0.05,D38&lt;&gt;-16.8)</formula>
    </cfRule>
  </conditionalFormatting>
  <conditionalFormatting sqref="A55:A59">
    <cfRule type="expression" dxfId="16" priority="36">
      <formula>$A55="Bitte angeben"</formula>
    </cfRule>
  </conditionalFormatting>
  <conditionalFormatting sqref="C39:C44">
    <cfRule type="expression" dxfId="15" priority="29">
      <formula>OR($A39="",$A39="Mögliche Auswahl",$A39="Bitte angeben")</formula>
    </cfRule>
  </conditionalFormatting>
  <conditionalFormatting sqref="C55:C59">
    <cfRule type="expression" dxfId="14" priority="28">
      <formula>OR($A55="",$A55="Mögliche Auswahl",$A55="Bitte angeben")</formula>
    </cfRule>
  </conditionalFormatting>
  <conditionalFormatting sqref="E3:E7">
    <cfRule type="expression" dxfId="13" priority="21">
      <formula>AND($E3="",$E2="")</formula>
    </cfRule>
  </conditionalFormatting>
  <conditionalFormatting sqref="E4:E7">
    <cfRule type="expression" dxfId="12" priority="20">
      <formula>AND($E4="",$E3&lt;&gt;"")</formula>
    </cfRule>
  </conditionalFormatting>
  <conditionalFormatting sqref="C35:C39">
    <cfRule type="expression" dxfId="11" priority="12">
      <formula>OR($A35="",$A35="Mögliche Auswahl",$A35="Bitte angeben")</formula>
    </cfRule>
  </conditionalFormatting>
  <conditionalFormatting sqref="D55:D57">
    <cfRule type="expression" dxfId="10" priority="80">
      <formula>AND(D55&lt;-0.05,D34&lt;&gt;-16.8)</formula>
    </cfRule>
  </conditionalFormatting>
  <conditionalFormatting sqref="C37">
    <cfRule type="expression" dxfId="9" priority="8">
      <formula>OR($A37="",$A37="Mögliche Auswahl",$A37="Bitte angeben")</formula>
    </cfRule>
  </conditionalFormatting>
  <conditionalFormatting sqref="A35:A41">
    <cfRule type="expression" dxfId="8" priority="7">
      <formula>$A35="Mögliche Auswahl"</formula>
    </cfRule>
  </conditionalFormatting>
  <conditionalFormatting sqref="A34">
    <cfRule type="expression" dxfId="7" priority="6">
      <formula>$A34="Mögliche Auswahl"</formula>
    </cfRule>
  </conditionalFormatting>
  <conditionalFormatting sqref="C45:C51">
    <cfRule type="expression" dxfId="6" priority="5">
      <formula>OR($A45="",$A45="Mögliche Auswahl",$A45="Bitte angeben")</formula>
    </cfRule>
  </conditionalFormatting>
  <conditionalFormatting sqref="A45:A51">
    <cfRule type="expression" dxfId="5" priority="4">
      <formula>$A45="Mögliche Auswahl"</formula>
    </cfRule>
  </conditionalFormatting>
  <conditionalFormatting sqref="C36">
    <cfRule type="expression" dxfId="4" priority="3">
      <formula>OR($A36="",$A36="Mögliche Auswahl",$A36="Bitte angeben")</formula>
    </cfRule>
  </conditionalFormatting>
  <conditionalFormatting sqref="A42:A44">
    <cfRule type="expression" dxfId="3" priority="2">
      <formula>$A42="Mögliche Auswahl"</formula>
    </cfRule>
  </conditionalFormatting>
  <conditionalFormatting sqref="C34">
    <cfRule type="expression" dxfId="2" priority="1">
      <formula>OR($A34="",$A34="Mögliche Auswahl",$A34="Bitte angeben")</formula>
    </cfRule>
  </conditionalFormatting>
  <dataValidations count="4">
    <dataValidation allowBlank="1" showInputMessage="1" sqref="A55:A59" xr:uid="{00000000-0002-0000-0300-000000000000}"/>
    <dataValidation type="list" allowBlank="1" showInputMessage="1" showErrorMessage="1" sqref="C55:C59 C34:C51" xr:uid="{00000000-0002-0000-0300-000001000000}">
      <formula1>"Stunden,Jahreslektionen"</formula1>
    </dataValidation>
    <dataValidation type="date" operator="greaterThan" allowBlank="1" showInputMessage="1" showErrorMessage="1" sqref="B11:C11" xr:uid="{00000000-0002-0000-0300-000002000000}">
      <formula1>366</formula1>
    </dataValidation>
    <dataValidation type="list" allowBlank="1" showInputMessage="1" sqref="A34:A51" xr:uid="{00000000-0002-0000-0300-000003000000}">
      <formula1>DD_Bereich_C_MS</formula1>
    </dataValidation>
  </dataValidations>
  <pageMargins left="0.7" right="0.7" top="0.78740157499999996" bottom="0.78740157499999996" header="0.3" footer="0.3"/>
  <pageSetup paperSize="9" scale="83" orientation="portrait" r:id="rId1"/>
  <rowBreaks count="1" manualBreakCount="1">
    <brk id="30" max="16383" man="1"/>
  </rowBreaks>
  <customProperties>
    <customPr name="_pios_id" r:id="rId2"/>
  </customPropertie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" id="{7AB7A86F-BA07-44E6-90B9-CF3B6E46F874}">
            <xm:f>IFERROR(HLOOKUP($B$4,Dropdowns!$G$1:$I$1,1,0),TRUE)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E2:E7</xm:sqref>
        </x14:conditionalFormatting>
        <x14:conditionalFormatting xmlns:xm="http://schemas.microsoft.com/office/excel/2006/main">
          <x14:cfRule type="expression" priority="17" id="{7FA80C36-D6B7-43C9-8BDA-0AC705286A4A}">
            <xm:f>IFERROR(HLOOKUP($B$4,Dropdowns!$G$1:$I$1,1,0),TRUE)</xm:f>
            <x14:dxf>
              <font>
                <color theme="0"/>
              </font>
            </x14:dxf>
          </x14:cfRule>
          <xm:sqref>D26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4000000}">
          <x14:formula1>
            <xm:f>OFFSET(Dropdowns!$G$1,1,MATCH(B4,Dropdowns!$G$1:$I$1,0)-1,COUNT(OFFSET(Dropdowns!$G$1,1,MATCH(B4,Dropdowns!$G$1:$I$1,0)-1,4,1)),1)</xm:f>
          </x14:formula1>
          <xm:sqref>D4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51BA141C3839A489E33106E4EBCAB42" ma:contentTypeVersion="2" ma:contentTypeDescription="Ein neues Dokument erstellen." ma:contentTypeScope="" ma:versionID="0ca7b5c32761bd1a3e1688101a1d05eb">
  <xsd:schema xmlns:xsd="http://www.w3.org/2001/XMLSchema" xmlns:xs="http://www.w3.org/2001/XMLSchema" xmlns:p="http://schemas.microsoft.com/office/2006/metadata/properties" xmlns:ns2="051c46fa-c3eb-4280-9fec-0d53d9daabcd" targetNamespace="http://schemas.microsoft.com/office/2006/metadata/properties" ma:root="true" ma:fieldsID="d73f27199887834b22729cb93c429d40" ns2:_="">
    <xsd:import namespace="051c46fa-c3eb-4280-9fec-0d53d9daab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1c46fa-c3eb-4280-9fec-0d53d9daabc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33ED07A-C6F3-4A8D-B636-F0669A34BA1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852DB66-D8C6-487B-B8CD-021B746CD873}">
  <ds:schemaRefs>
    <ds:schemaRef ds:uri="http://purl.org/dc/terms/"/>
    <ds:schemaRef ds:uri="http://www.w3.org/XML/1998/namespace"/>
    <ds:schemaRef ds:uri="http://schemas.microsoft.com/office/2006/documentManagement/types"/>
    <ds:schemaRef ds:uri="051c46fa-c3eb-4280-9fec-0d53d9daabcd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F82FA88-AA48-40EF-8A74-DDAD57705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1c46fa-c3eb-4280-9fec-0d53d9daab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47</vt:i4>
      </vt:variant>
    </vt:vector>
  </HeadingPairs>
  <TitlesOfParts>
    <vt:vector size="48" baseType="lpstr">
      <vt:lpstr>Aufgabenplanung</vt:lpstr>
      <vt:lpstr>BA_CDE1</vt:lpstr>
      <vt:lpstr>BA_CDE10</vt:lpstr>
      <vt:lpstr>BA_CDE11</vt:lpstr>
      <vt:lpstr>BA_CDE12</vt:lpstr>
      <vt:lpstr>BA_CDE13</vt:lpstr>
      <vt:lpstr>BA_CDE14</vt:lpstr>
      <vt:lpstr>BA_CDE15</vt:lpstr>
      <vt:lpstr>BA_CDE2</vt:lpstr>
      <vt:lpstr>BA_CDE3</vt:lpstr>
      <vt:lpstr>BA_CDE4</vt:lpstr>
      <vt:lpstr>BA_CDE5</vt:lpstr>
      <vt:lpstr>BA_CDE6</vt:lpstr>
      <vt:lpstr>BA_CDE7</vt:lpstr>
      <vt:lpstr>BA_CDE8</vt:lpstr>
      <vt:lpstr>BA_CDE9</vt:lpstr>
      <vt:lpstr>Data_Feiertage</vt:lpstr>
      <vt:lpstr>Data_Feiertage_halb</vt:lpstr>
      <vt:lpstr>Data_Schulferien</vt:lpstr>
      <vt:lpstr>DD_Bereich_C</vt:lpstr>
      <vt:lpstr>DD_Bereich_C_MS</vt:lpstr>
      <vt:lpstr>DD_Schulstufen</vt:lpstr>
      <vt:lpstr>Aufgabenplanung!Druckbereich</vt:lpstr>
      <vt:lpstr>EA1_Gym</vt:lpstr>
      <vt:lpstr>EA1_PS</vt:lpstr>
      <vt:lpstr>EA1_SekI</vt:lpstr>
      <vt:lpstr>EA1_SekII</vt:lpstr>
      <vt:lpstr>EA1_SekII_BFS</vt:lpstr>
      <vt:lpstr>FH</vt:lpstr>
      <vt:lpstr>FT</vt:lpstr>
      <vt:lpstr>Jahreslektion</vt:lpstr>
      <vt:lpstr>NR</vt:lpstr>
      <vt:lpstr>Param1</vt:lpstr>
      <vt:lpstr>Param10</vt:lpstr>
      <vt:lpstr>Param2</vt:lpstr>
      <vt:lpstr>Param3</vt:lpstr>
      <vt:lpstr>Param4</vt:lpstr>
      <vt:lpstr>Param5</vt:lpstr>
      <vt:lpstr>Param6</vt:lpstr>
      <vt:lpstr>Param7</vt:lpstr>
      <vt:lpstr>Param8</vt:lpstr>
      <vt:lpstr>Param9</vt:lpstr>
      <vt:lpstr>Schuljahr</vt:lpstr>
      <vt:lpstr>Schuljahre</vt:lpstr>
      <vt:lpstr>SF</vt:lpstr>
      <vt:lpstr>Soll_Arbeitszeit_23_24</vt:lpstr>
      <vt:lpstr>UU</vt:lpstr>
      <vt:lpstr>WE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Office-Anwender</dc:creator>
  <cp:keywords/>
  <dc:description/>
  <cp:lastModifiedBy>Schiegg, Michael (AVS)</cp:lastModifiedBy>
  <cp:revision/>
  <dcterms:created xsi:type="dcterms:W3CDTF">2017-09-28T13:10:34Z</dcterms:created>
  <dcterms:modified xsi:type="dcterms:W3CDTF">2026-05-01T16:13:34Z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0x010100551BA141C3839A489E33106E4EBCAB42</vt:lpwstr>
  </property>
</Properties>
</file>