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comments1.xml" ContentType="application/vnd.openxmlformats-officedocument.spreadsheetml.comments+xml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printerSettings/printerSettings7.bin" ContentType="application/vnd.openxmlformats-officedocument.spreadsheetml.printerSettings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ate1904="1" codeName="DieseArbeitsmappe"/>
  <mc:AlternateContent xmlns:mc="http://schemas.openxmlformats.org/markup-compatibility/2006">
    <mc:Choice Requires="x15">
      <x15ac:absPath xmlns:x15ac="http://schemas.microsoft.com/office/spreadsheetml/2010/11/ac" url="R:\avs_neu\02 DL-öffentlich\08 Projekte-KB\0_abgeschlossene Projekte\Berufsauftrag\TP3_Instrumente\Instrumente\Instrumente 26_27\"/>
    </mc:Choice>
  </mc:AlternateContent>
  <xr:revisionPtr revIDLastSave="0" documentId="13_ncr:1_{26624E06-0A3F-40A9-884C-3A368C547371}" xr6:coauthVersionLast="47" xr6:coauthVersionMax="47" xr10:uidLastSave="{00000000-0000-0000-0000-000000000000}"/>
  <bookViews>
    <workbookView xWindow="28680" yWindow="-120" windowWidth="29040" windowHeight="16440" tabRatio="851" firstSheet="4" activeTab="4" xr2:uid="{00000000-000D-0000-FFFF-FFFF00000000}"/>
  </bookViews>
  <sheets>
    <sheet name="ToDos 2027" sheetId="651" state="veryHidden" r:id="rId1"/>
    <sheet name="Dropdowns" sheetId="649" state="veryHidden" r:id="rId2"/>
    <sheet name="Grundlagen" sheetId="650" state="veryHidden" r:id="rId3"/>
    <sheet name="Berechnungen BA" sheetId="648" state="veryHidden" r:id="rId4"/>
    <sheet name="Aufgabenplanung" sheetId="647" r:id="rId5"/>
    <sheet name="ZD Vorerfassung" sheetId="1" r:id="rId6"/>
    <sheet name="Zeitdokumentation" sheetId="633" r:id="rId7"/>
    <sheet name="ZD Übersicht" sheetId="27" r:id="rId8"/>
  </sheets>
  <externalReferences>
    <externalReference r:id="rId9"/>
  </externalReferences>
  <definedNames>
    <definedName name="_xlnm._FilterDatabase" localSheetId="6" hidden="1">Zeitdokumentation!$B$7:$BA$372</definedName>
    <definedName name="AA_Heutiges_Datum">OFFSET(Zeitdokumentation!$B$1,MATCH(TODAY(),Zeitdokumentation!$B:$B,0),0,1,1)</definedName>
    <definedName name="AA_Heutiges_Datum_2">Zeitdokumentation!$B$5</definedName>
    <definedName name="AproLektion">'ZD Vorerfassung'!#REF!</definedName>
    <definedName name="BA_CDE1">Aufgabenplanung!$A$36</definedName>
    <definedName name="BA_CDE10">Aufgabenplanung!$A$45</definedName>
    <definedName name="BA_CDE11">Aufgabenplanung!$A$59</definedName>
    <definedName name="BA_CDE12">Aufgabenplanung!$A$60</definedName>
    <definedName name="BA_CDE13">Aufgabenplanung!$A$61</definedName>
    <definedName name="BA_CDE14">Aufgabenplanung!$A$62</definedName>
    <definedName name="BA_CDE15">Aufgabenplanung!$A$63</definedName>
    <definedName name="BA_CDE2">Aufgabenplanung!$A$37</definedName>
    <definedName name="BA_CDE3">Aufgabenplanung!$A$38</definedName>
    <definedName name="BA_CDE4">Aufgabenplanung!$A$39</definedName>
    <definedName name="BA_CDE5">Aufgabenplanung!$A$40</definedName>
    <definedName name="BA_CDE6">Aufgabenplanung!$A$41</definedName>
    <definedName name="BA_CDE7">Aufgabenplanung!$A$42</definedName>
    <definedName name="BA_CDE8">Aufgabenplanung!$A$43</definedName>
    <definedName name="BA_CDE9">Aufgabenplanung!$A$44</definedName>
    <definedName name="BA_EA1">Aufgabenplanung!$A$73</definedName>
    <definedName name="BA_EA2">Aufgabenplanung!$A$74</definedName>
    <definedName name="BA_EA3">Aufgabenplanung!$A$75</definedName>
    <definedName name="BA_EA4">Aufgabenplanung!$A$76</definedName>
    <definedName name="BA_EA5">Aufgabenplanung!$A$80</definedName>
    <definedName name="BA_EA6">Aufgabenplanung!$A$81</definedName>
    <definedName name="BproLektion">'ZD Vorerfassung'!#REF!</definedName>
    <definedName name="CDEZeit">'ZD Vorerfassung'!#REF!</definedName>
    <definedName name="Data_Feiertage">Grundlagen!$T:$T</definedName>
    <definedName name="Data_Feiertage_halb">Grundlagen!$X:$X</definedName>
    <definedName name="Data_Schulferien">Grundlagen!$Q:$Q</definedName>
    <definedName name="DD_Bereich_C">Dropdowns!$A$2:$A$12</definedName>
    <definedName name="DD_Bereich_C_MS">Dropdowns!$B$2:$B$12</definedName>
    <definedName name="DD_Schulstufen">Dropdowns!$J$2:$J$8</definedName>
    <definedName name="_xlnm.Print_Area" localSheetId="4">Aufgabenplanung!$A$1:$C$91</definedName>
    <definedName name="_xlnm.Print_Area" localSheetId="7">'ZD Übersicht'!$A$1:$Q$20</definedName>
    <definedName name="_xlnm.Print_Area" localSheetId="5">'ZD Vorerfassung'!$A$1:$P$44</definedName>
    <definedName name="_xlnm.Print_Area" localSheetId="6">Zeitdokumentation!$A$2:$AS$39</definedName>
    <definedName name="EA1_Gym">Dropdowns!$E$2:$E$6</definedName>
    <definedName name="EA1_KG">Dropdowns!$L$2:$L$5</definedName>
    <definedName name="EA1_PS">Dropdowns!$C$2:$C$6</definedName>
    <definedName name="EA1_SekI">Dropdowns!$D$2:$D$8</definedName>
    <definedName name="EA1_SekII">Dropdowns!$E$2:$E$4</definedName>
    <definedName name="EA1_SekII_BFS">Dropdowns!$F$2:$F$5</definedName>
    <definedName name="F1_start">#REF!</definedName>
    <definedName name="F1_stop">#REF!</definedName>
    <definedName name="F2_start">#REF!</definedName>
    <definedName name="F2_stop">#REF!</definedName>
    <definedName name="F3_start">#REF!</definedName>
    <definedName name="F3_stop">#REF!</definedName>
    <definedName name="F4_start">#REF!</definedName>
    <definedName name="F4_stop">#REF!</definedName>
    <definedName name="F5_start">#REF!</definedName>
    <definedName name="F5_stop">#REF!</definedName>
    <definedName name="Feiertage">#REF!</definedName>
    <definedName name="FeiertageHalb">#REF!</definedName>
    <definedName name="FH">Grundlagen!$AR$4:$AR$10</definedName>
    <definedName name="FT">Grundlagen!$AQ$4:$AQ$4</definedName>
    <definedName name="Geburtstag">'ZD Vorerfassung'!$D$7</definedName>
    <definedName name="Jahr">#REF!</definedName>
    <definedName name="Jahreslektion">'Berechnungen BA'!$B$23</definedName>
    <definedName name="Jahreslektion_EA">'Berechnungen BA'!$B$24</definedName>
    <definedName name="KorrLekt">#REF!</definedName>
    <definedName name="KorrLektAnz">#REF!</definedName>
    <definedName name="KorrUW">#REF!</definedName>
    <definedName name="manu_auto">IF(COUNTIFS('ZD Vorerfassung'!$E$11:$E$13,"automatisch")=2,Dropdowns!$K$2,Dropdowns!$K$2:$K$3)</definedName>
    <definedName name="Monate">#REF!</definedName>
    <definedName name="Nachname">'ZD Vorerfassung'!$D$6</definedName>
    <definedName name="NR">Grundlagen!$AO$4:$AO$8</definedName>
    <definedName name="Param1">Grundlagen!$AM$3</definedName>
    <definedName name="Param10">Grundlagen!$AM$12</definedName>
    <definedName name="Param2">Grundlagen!$AM$4</definedName>
    <definedName name="Param3">Grundlagen!$AM$5</definedName>
    <definedName name="Param4">Grundlagen!$AM$6</definedName>
    <definedName name="Param5">Grundlagen!$AM$7</definedName>
    <definedName name="Param6">Grundlagen!$AM$8</definedName>
    <definedName name="Param7">Grundlagen!$AM$9</definedName>
    <definedName name="Param8">Grundlagen!$AM$10</definedName>
    <definedName name="Param9">Grundlagen!$AM$11</definedName>
    <definedName name="Pensum">'ZD Vorerfassung'!#REF!</definedName>
    <definedName name="Schuljahr">Grundlagen!$B$2</definedName>
    <definedName name="Schuljahre">Grundlagen!$B$2:$B$4</definedName>
    <definedName name="Sem1_start">#REF!</definedName>
    <definedName name="Sem1_stop">#REF!</definedName>
    <definedName name="Sem2_start">#REF!</definedName>
    <definedName name="Sem2_stop">#REF!</definedName>
    <definedName name="Sem2_wt2">'ZD Vorerfassung'!$M$39</definedName>
    <definedName name="Sem2_wt3">'ZD Vorerfassung'!$N$39</definedName>
    <definedName name="Sem2_wt4">'ZD Vorerfassung'!$P$39</definedName>
    <definedName name="Sem2_wt5">'ZD Vorerfassung'!#REF!</definedName>
    <definedName name="Sem2_wt6">'ZD Vorerfassung'!#REF!</definedName>
    <definedName name="SF">Grundlagen!$AS$4:$AS$8</definedName>
    <definedName name="Soll_Arbeitszeit_23_24">Grundlagen!$N$1:$O$13</definedName>
    <definedName name="SollJAZ">#REF!</definedName>
    <definedName name="SollJAZCalc">#REF!</definedName>
    <definedName name="Stufe1">#REF!</definedName>
    <definedName name="Stufe2">#REF!</definedName>
    <definedName name="Stufe3">#REF!</definedName>
    <definedName name="Stufe4">#REF!</definedName>
    <definedName name="Stufe5">#REF!</definedName>
    <definedName name="Stufe6">#REF!</definedName>
    <definedName name="Stufe7">#REF!</definedName>
    <definedName name="Stufe8">#REF!</definedName>
    <definedName name="U_start">'ZD Vorerfassung'!#REF!</definedName>
    <definedName name="U_stop">'ZD Vorerfassung'!#REF!</definedName>
    <definedName name="Ueb_CDE1">'ZD Übersicht'!$B$24</definedName>
    <definedName name="Ueb_CDE10">'ZD Übersicht'!$B$43</definedName>
    <definedName name="Ueb_CDE11">'ZD Übersicht'!$B$44</definedName>
    <definedName name="Ueb_CDE12">'ZD Übersicht'!$B$45</definedName>
    <definedName name="Ueb_CDE13">'ZD Übersicht'!$B$46</definedName>
    <definedName name="Ueb_CDE14">'ZD Übersicht'!$B$47</definedName>
    <definedName name="Ueb_CDE15">'ZD Übersicht'!#REF!</definedName>
    <definedName name="Ueb_CDE2">'ZD Übersicht'!$B$25</definedName>
    <definedName name="Ueb_CDE3">'ZD Übersicht'!$B$26</definedName>
    <definedName name="Ueb_CDE4">'ZD Übersicht'!$B$27</definedName>
    <definedName name="Ueb_CDE5">'ZD Übersicht'!$B$28</definedName>
    <definedName name="Ueb_CDE6">'ZD Übersicht'!$B$29</definedName>
    <definedName name="Ueb_CDE7">'ZD Übersicht'!$B$30</definedName>
    <definedName name="Ueb_CDE8">'ZD Übersicht'!$B$31</definedName>
    <definedName name="Ueb_CDE9">'ZD Übersicht'!$B$32</definedName>
    <definedName name="Ueb_EA1">'ZD Übersicht'!$B$52</definedName>
    <definedName name="Ueb_EA2">'ZD Übersicht'!$B$53</definedName>
    <definedName name="Ueb_EA3">'ZD Übersicht'!$B$54</definedName>
    <definedName name="Ueb_EA4">'ZD Übersicht'!$B$55</definedName>
    <definedName name="Ueb_EA5">'ZD Übersicht'!$B$59</definedName>
    <definedName name="Ueb_EA6">'ZD Übersicht'!$B$60</definedName>
    <definedName name="Unterrichtsfrei">#REF!</definedName>
    <definedName name="UTageSem1">#REF!</definedName>
    <definedName name="UU">Grundlagen!$AT$4</definedName>
    <definedName name="UU1_start">'ZD Vorerfassung'!$I$11</definedName>
    <definedName name="UU1_stop">'ZD Vorerfassung'!$J$11</definedName>
    <definedName name="UU2_start">'ZD Vorerfassung'!$I$12</definedName>
    <definedName name="UU2_stop">'ZD Vorerfassung'!$J$12</definedName>
    <definedName name="UU3_start">'ZD Vorerfassung'!$I$13</definedName>
    <definedName name="UU3_stop">'ZD Vorerfassung'!$J$13</definedName>
    <definedName name="VE_B">'ZD Vorerfassung'!$E$11</definedName>
    <definedName name="VE_CDE">'ZD Vorerfassung'!$E$12</definedName>
    <definedName name="VE_EA">'ZD Vorerfassung'!$E$13</definedName>
    <definedName name="Vorname">'ZD Vorerfassung'!$D$5</definedName>
    <definedName name="Vorsaldo">'ZD Vorerfassung'!$E$12</definedName>
    <definedName name="VorsaldoFerien">'ZD Vorerfassung'!$E$13</definedName>
    <definedName name="WE">Grundlagen!$AP$4:$AP$4</definedName>
    <definedName name="ZE_Auswahl_Monat">Zeitdokumentation!$E$2</definedName>
    <definedName name="ZE_B_auto">Zeitdokumentation!$H$6</definedName>
    <definedName name="ZE_B_manu">Zeitdokumentation!$I$6</definedName>
    <definedName name="ZE_CDE1">Zeitdokumentation!$K$6</definedName>
    <definedName name="ZE_CDE10">Zeitdokumentation!$AC$2</definedName>
    <definedName name="ZE_CDE11">Zeitdokumentation!$AE$2</definedName>
    <definedName name="ZE_CDE12">Zeitdokumentation!$AF$2</definedName>
    <definedName name="ZE_CDE13">Zeitdokumentation!$AG$2</definedName>
    <definedName name="ZE_CDE14">Zeitdokumentation!$AH$2</definedName>
    <definedName name="ZE_CDE15">Zeitdokumentation!$AI$2</definedName>
    <definedName name="ZE_CDE2">Zeitdokumentation!$L$2</definedName>
    <definedName name="ZE_CDE3">Zeitdokumentation!$M$2</definedName>
    <definedName name="ZE_CDE4">Zeitdokumentation!$N$2</definedName>
    <definedName name="ZE_CDE5">Zeitdokumentation!$O$2</definedName>
    <definedName name="ZE_CDE6">Zeitdokumentation!$P$2</definedName>
    <definedName name="ZE_CDE7">Zeitdokumentation!$Q$2</definedName>
    <definedName name="ZE_CDE8">Zeitdokumentation!$R$2</definedName>
    <definedName name="ZE_CDE9">Zeitdokumentation!$S$2</definedName>
    <definedName name="ZE_EA1">Zeitdokumentation!$AK$2</definedName>
    <definedName name="ZE_EA2">Zeitdokumentation!$AL$2</definedName>
    <definedName name="ZE_EA3">Zeitdokumentation!$AM$2</definedName>
    <definedName name="ZE_EA4">Zeitdokumentation!$AN$2</definedName>
    <definedName name="ZE_EA5">Zeitdokumentation!$AO$2</definedName>
    <definedName name="ZE_EA6">Zeitdokumentation!$AP$2</definedName>
    <definedName name="Zus">#REF!</definedName>
  </definedNames>
  <calcPr calcId="191029" concurrentManualCount="1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651" l="1"/>
  <c r="A5" i="651"/>
  <c r="A6" i="651"/>
  <c r="A7" i="651"/>
  <c r="A8" i="651"/>
  <c r="B8" i="651"/>
  <c r="A9" i="651"/>
  <c r="A25" i="651"/>
  <c r="E10" i="633"/>
  <c r="H11" i="650"/>
  <c r="L2" i="633" l="1"/>
  <c r="AP2" i="633"/>
  <c r="AO2" i="633"/>
  <c r="AN2" i="633"/>
  <c r="AM2" i="633"/>
  <c r="AL2" i="633"/>
  <c r="AK2" i="633"/>
  <c r="AI2" i="633"/>
  <c r="AH2" i="633"/>
  <c r="AG2" i="633"/>
  <c r="AF2" i="633"/>
  <c r="AE2" i="633"/>
  <c r="AD2" i="633"/>
  <c r="AC2" i="633"/>
  <c r="AB2" i="633"/>
  <c r="AA2" i="633"/>
  <c r="Z2" i="633"/>
  <c r="Y2" i="633"/>
  <c r="X2" i="633"/>
  <c r="W2" i="633"/>
  <c r="V2" i="633"/>
  <c r="U2" i="633"/>
  <c r="T2" i="633"/>
  <c r="S2" i="633"/>
  <c r="R2" i="633"/>
  <c r="Q2" i="633"/>
  <c r="P2" i="633"/>
  <c r="O2" i="633"/>
  <c r="N2" i="633"/>
  <c r="M2" i="633"/>
  <c r="K2" i="633"/>
  <c r="AJ5" i="633"/>
  <c r="G60" i="27"/>
  <c r="G59" i="27"/>
  <c r="G55" i="27"/>
  <c r="G54" i="27"/>
  <c r="G53" i="27"/>
  <c r="G52" i="27"/>
  <c r="G48" i="27"/>
  <c r="G47" i="27"/>
  <c r="G46" i="27"/>
  <c r="G45" i="27"/>
  <c r="G44" i="27"/>
  <c r="G43" i="27"/>
  <c r="G42" i="27"/>
  <c r="G41" i="27"/>
  <c r="G40" i="27"/>
  <c r="G39" i="27"/>
  <c r="G38" i="27"/>
  <c r="G37" i="27"/>
  <c r="G36" i="27"/>
  <c r="G35" i="27"/>
  <c r="G34" i="27"/>
  <c r="G33" i="27"/>
  <c r="G32" i="27"/>
  <c r="G31" i="27"/>
  <c r="G30" i="27"/>
  <c r="G29" i="27"/>
  <c r="G28" i="27"/>
  <c r="G27" i="27"/>
  <c r="G26" i="27"/>
  <c r="G25" i="27"/>
  <c r="G24" i="27"/>
  <c r="H2" i="650"/>
  <c r="R3" i="650"/>
  <c r="R4" i="650"/>
  <c r="R5" i="650"/>
  <c r="R6" i="650"/>
  <c r="R7" i="650"/>
  <c r="R8" i="650"/>
  <c r="R9" i="650"/>
  <c r="R10" i="650"/>
  <c r="R11" i="650"/>
  <c r="R12" i="650"/>
  <c r="R13" i="650"/>
  <c r="R14" i="650"/>
  <c r="R15" i="650"/>
  <c r="R16" i="650"/>
  <c r="R17" i="650"/>
  <c r="R18" i="650"/>
  <c r="R19" i="650"/>
  <c r="R20" i="650"/>
  <c r="R21" i="650"/>
  <c r="R22" i="650"/>
  <c r="R23" i="650"/>
  <c r="R24" i="650"/>
  <c r="R25" i="650"/>
  <c r="R26" i="650"/>
  <c r="R27" i="650"/>
  <c r="R28" i="650"/>
  <c r="R29" i="650"/>
  <c r="R30" i="650"/>
  <c r="R31" i="650"/>
  <c r="R32" i="650"/>
  <c r="R33" i="650"/>
  <c r="R34" i="650"/>
  <c r="R35" i="650"/>
  <c r="R36" i="650"/>
  <c r="R37" i="650"/>
  <c r="R38" i="650"/>
  <c r="R39" i="650"/>
  <c r="R40" i="650"/>
  <c r="R41" i="650"/>
  <c r="R42" i="650"/>
  <c r="R43" i="650"/>
  <c r="R44" i="650"/>
  <c r="R45" i="650"/>
  <c r="R46" i="650"/>
  <c r="R47" i="650"/>
  <c r="R48" i="650"/>
  <c r="R49" i="650"/>
  <c r="R50" i="650"/>
  <c r="R51" i="650"/>
  <c r="R52" i="650"/>
  <c r="R53" i="650"/>
  <c r="R54" i="650"/>
  <c r="R55" i="650"/>
  <c r="R56" i="650"/>
  <c r="R57" i="650"/>
  <c r="R58" i="650"/>
  <c r="R59" i="650"/>
  <c r="R60" i="650"/>
  <c r="R61" i="650"/>
  <c r="R62" i="650"/>
  <c r="R63" i="650"/>
  <c r="R64" i="650"/>
  <c r="R65" i="650"/>
  <c r="R66" i="650"/>
  <c r="R67" i="650"/>
  <c r="R68" i="650"/>
  <c r="R69" i="650"/>
  <c r="R70" i="650"/>
  <c r="R71" i="650"/>
  <c r="R72" i="650"/>
  <c r="R73" i="650"/>
  <c r="R74" i="650"/>
  <c r="R75" i="650"/>
  <c r="R76" i="650"/>
  <c r="R77" i="650"/>
  <c r="R78" i="650"/>
  <c r="R79" i="650"/>
  <c r="R80" i="650"/>
  <c r="R81" i="650"/>
  <c r="R82" i="650"/>
  <c r="R83" i="650"/>
  <c r="R84" i="650"/>
  <c r="R85" i="650"/>
  <c r="R86" i="650"/>
  <c r="R87" i="650"/>
  <c r="R88" i="650"/>
  <c r="R89" i="650"/>
  <c r="R90" i="650"/>
  <c r="R91" i="650"/>
  <c r="R92" i="650"/>
  <c r="R93" i="650"/>
  <c r="R94" i="650"/>
  <c r="R95" i="650"/>
  <c r="R96" i="650"/>
  <c r="R97" i="650"/>
  <c r="R98" i="650"/>
  <c r="R99" i="650"/>
  <c r="R100" i="650"/>
  <c r="R101" i="650"/>
  <c r="R102" i="650"/>
  <c r="R103" i="650"/>
  <c r="R104" i="650"/>
  <c r="R105" i="650"/>
  <c r="R106" i="650"/>
  <c r="R107" i="650"/>
  <c r="R108" i="650"/>
  <c r="R109" i="650"/>
  <c r="R110" i="650"/>
  <c r="R2" i="650"/>
  <c r="I21" i="650"/>
  <c r="I22" i="650"/>
  <c r="I23" i="650"/>
  <c r="I24" i="650"/>
  <c r="I25" i="650"/>
  <c r="I20" i="650"/>
  <c r="Q104" i="650" s="1" a="1"/>
  <c r="Q104" i="650" s="1"/>
  <c r="C2" i="650"/>
  <c r="F48" i="27"/>
  <c r="B48" i="27"/>
  <c r="B43" i="27"/>
  <c r="F43" i="27"/>
  <c r="F33" i="27"/>
  <c r="F34" i="27"/>
  <c r="F35" i="27"/>
  <c r="F36" i="27"/>
  <c r="F37" i="27"/>
  <c r="F38" i="27"/>
  <c r="F39" i="27"/>
  <c r="F40" i="27"/>
  <c r="F41" i="27"/>
  <c r="F42" i="27"/>
  <c r="B33" i="27"/>
  <c r="B34" i="27"/>
  <c r="B35" i="27"/>
  <c r="B36" i="27"/>
  <c r="B37" i="27"/>
  <c r="B38" i="27"/>
  <c r="B39" i="27"/>
  <c r="B40" i="27"/>
  <c r="B41" i="27"/>
  <c r="B42" i="27"/>
  <c r="Q106" i="650" l="1" a="1"/>
  <c r="Q106" i="650" s="1"/>
  <c r="P110" i="650" a="1"/>
  <c r="P110" i="650" s="1"/>
  <c r="Q109" i="650" a="1"/>
  <c r="Q109" i="650" s="1"/>
  <c r="P106" i="650" a="1"/>
  <c r="P106" i="650" s="1"/>
  <c r="P109" i="650" a="1"/>
  <c r="P109" i="650" s="1"/>
  <c r="Q105" i="650" a="1"/>
  <c r="Q105" i="650" s="1"/>
  <c r="P105" i="650" a="1"/>
  <c r="P105" i="650" s="1"/>
  <c r="P107" i="650" a="1"/>
  <c r="P107" i="650" s="1"/>
  <c r="Q107" i="650" a="1"/>
  <c r="Q107" i="650" s="1"/>
  <c r="Q110" i="650" a="1"/>
  <c r="Q110" i="650" s="1"/>
  <c r="P104" i="650" a="1"/>
  <c r="P104" i="650" s="1"/>
  <c r="Q108" i="650" a="1"/>
  <c r="Q108" i="650" s="1"/>
  <c r="P108" i="650" a="1"/>
  <c r="P108" i="650" s="1"/>
  <c r="J20" i="650"/>
  <c r="J21" i="650" s="1"/>
  <c r="J22" i="650" s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J23" i="650" l="1"/>
  <c r="J24" i="650" s="1"/>
  <c r="V11" i="650"/>
  <c r="V10" i="650"/>
  <c r="V9" i="650"/>
  <c r="V8" i="650"/>
  <c r="V7" i="650"/>
  <c r="V6" i="650"/>
  <c r="V5" i="650"/>
  <c r="V4" i="650"/>
  <c r="V3" i="650"/>
  <c r="V2" i="650"/>
  <c r="G14" i="650"/>
  <c r="G16" i="650" s="1"/>
  <c r="J25" i="650" l="1"/>
  <c r="Q14" i="650" a="1"/>
  <c r="Q14" i="650" s="1"/>
  <c r="Q24" i="650" a="1"/>
  <c r="Q24" i="650" s="1"/>
  <c r="P35" i="650" a="1"/>
  <c r="P35" i="650" s="1"/>
  <c r="P61" i="650" a="1"/>
  <c r="P61" i="650" s="1"/>
  <c r="Q70" i="650" a="1"/>
  <c r="Q70" i="650" s="1"/>
  <c r="Q74" i="650" a="1"/>
  <c r="Q74" i="650" s="1"/>
  <c r="Q88" i="650" a="1"/>
  <c r="Q88" i="650" s="1"/>
  <c r="Q79" i="650" a="1"/>
  <c r="Q79" i="650" s="1"/>
  <c r="P20" i="650" a="1"/>
  <c r="P20" i="650" s="1"/>
  <c r="Q30" i="650" a="1"/>
  <c r="Q30" i="650" s="1"/>
  <c r="Q35" i="650" a="1"/>
  <c r="Q35" i="650" s="1"/>
  <c r="P41" i="650" a="1"/>
  <c r="P41" i="650" s="1"/>
  <c r="Q46" i="650" a="1"/>
  <c r="Q46" i="650" s="1"/>
  <c r="Q56" i="650" a="1"/>
  <c r="Q56" i="650" s="1"/>
  <c r="Q61" i="650" a="1"/>
  <c r="Q61" i="650" s="1"/>
  <c r="P66" i="650" a="1"/>
  <c r="P66" i="650" s="1"/>
  <c r="P85" i="650" a="1"/>
  <c r="P85" i="650" s="1"/>
  <c r="P94" i="650" a="1"/>
  <c r="P94" i="650" s="1"/>
  <c r="Q98" i="650" a="1"/>
  <c r="Q98" i="650" s="1"/>
  <c r="P103" i="650" a="1"/>
  <c r="P103" i="650" s="1"/>
  <c r="Q86" i="650" a="1"/>
  <c r="Q86" i="650" s="1"/>
  <c r="P6" i="650" a="1"/>
  <c r="P6" i="650" s="1"/>
  <c r="Q11" i="650" a="1"/>
  <c r="Q11" i="650" s="1"/>
  <c r="P17" i="650" a="1"/>
  <c r="P17" i="650" s="1"/>
  <c r="Q22" i="650" a="1"/>
  <c r="Q22" i="650" s="1"/>
  <c r="P27" i="650" a="1"/>
  <c r="P27" i="650" s="1"/>
  <c r="Q43" i="650" a="1"/>
  <c r="Q43" i="650" s="1"/>
  <c r="P53" i="650" a="1"/>
  <c r="P53" i="650" s="1"/>
  <c r="P63" i="650" a="1"/>
  <c r="P63" i="650" s="1"/>
  <c r="P86" i="650" a="1"/>
  <c r="P86" i="650" s="1"/>
  <c r="P91" i="650" a="1"/>
  <c r="P91" i="650" s="1"/>
  <c r="Q6" i="650" a="1"/>
  <c r="Q6" i="650" s="1"/>
  <c r="Q27" i="650" a="1"/>
  <c r="Q27" i="650" s="1"/>
  <c r="Q32" i="650" a="1"/>
  <c r="Q32" i="650" s="1"/>
  <c r="P38" i="650" a="1"/>
  <c r="P38" i="650" s="1"/>
  <c r="P48" i="650" a="1"/>
  <c r="P48" i="650" s="1"/>
  <c r="P73" i="650" a="1"/>
  <c r="P73" i="650" s="1"/>
  <c r="P77" i="650" a="1"/>
  <c r="P77" i="650" s="1"/>
  <c r="P82" i="650" a="1"/>
  <c r="P82" i="650" s="1"/>
  <c r="Q100" i="650" a="1"/>
  <c r="Q100" i="650" s="1"/>
  <c r="P23" i="650" a="1"/>
  <c r="P23" i="650" s="1"/>
  <c r="P59" i="650" a="1"/>
  <c r="P59" i="650" s="1"/>
  <c r="P8" i="650" a="1"/>
  <c r="P8" i="650" s="1"/>
  <c r="P29" i="650" a="1"/>
  <c r="P29" i="650" s="1"/>
  <c r="P54" i="650" a="1"/>
  <c r="P54" i="650" s="1"/>
  <c r="Q73" i="650" a="1"/>
  <c r="Q73" i="650" s="1"/>
  <c r="P88" i="650" a="1"/>
  <c r="P88" i="650" s="1"/>
  <c r="P12" i="650" a="1"/>
  <c r="P12" i="650" s="1"/>
  <c r="Q55" i="650" a="1"/>
  <c r="Q55" i="650" s="1"/>
  <c r="Q91" i="650" a="1"/>
  <c r="Q91" i="650" s="1"/>
  <c r="Q34" i="650" a="1"/>
  <c r="Q34" i="650" s="1"/>
  <c r="Q77" i="650" a="1"/>
  <c r="Q77" i="650" s="1"/>
  <c r="Q44" i="650" a="1"/>
  <c r="Q44" i="650" s="1"/>
  <c r="P83" i="650" a="1"/>
  <c r="P83" i="650" s="1"/>
  <c r="Q38" i="650" a="1"/>
  <c r="Q38" i="650" s="1"/>
  <c r="P60" i="650" a="1"/>
  <c r="P60" i="650" s="1"/>
  <c r="Q17" i="650" a="1"/>
  <c r="Q17" i="650" s="1"/>
  <c r="P64" i="650" a="1"/>
  <c r="P64" i="650" s="1"/>
  <c r="P79" i="650" a="1"/>
  <c r="P79" i="650" s="1"/>
  <c r="P18" i="650" a="1"/>
  <c r="P18" i="650" s="1"/>
  <c r="P44" i="650" a="1"/>
  <c r="P44" i="650" s="1"/>
  <c r="Q64" i="650" a="1"/>
  <c r="Q64" i="650" s="1"/>
  <c r="Q82" i="650" a="1"/>
  <c r="Q82" i="650" s="1"/>
  <c r="P97" i="650" a="1"/>
  <c r="P97" i="650" s="1"/>
  <c r="Q18" i="650" a="1"/>
  <c r="Q18" i="650" s="1"/>
  <c r="P68" i="650" a="1"/>
  <c r="P68" i="650" s="1"/>
  <c r="Q23" i="650" a="1"/>
  <c r="Q23" i="650" s="1"/>
  <c r="Q49" i="650" a="1"/>
  <c r="Q49" i="650" s="1"/>
  <c r="P69" i="650" a="1"/>
  <c r="P69" i="650" s="1"/>
  <c r="P3" i="650" a="1"/>
  <c r="P3" i="650" s="1"/>
  <c r="P101" i="650" a="1"/>
  <c r="P101" i="650" s="1"/>
  <c r="Q89" i="650" a="1"/>
  <c r="Q89" i="650" s="1"/>
  <c r="P93" i="650" a="1"/>
  <c r="P93" i="650" s="1"/>
  <c r="Q48" i="650" a="1"/>
  <c r="Q48" i="650" s="1"/>
  <c r="P31" i="650" a="1"/>
  <c r="P31" i="650" s="1"/>
  <c r="Q4" i="650" a="1"/>
  <c r="Q4" i="650" s="1"/>
  <c r="Q67" i="650" a="1"/>
  <c r="Q67" i="650" s="1"/>
  <c r="P11" i="650" a="1"/>
  <c r="P11" i="650" s="1"/>
  <c r="Q80" i="650" a="1"/>
  <c r="Q80" i="650" s="1"/>
  <c r="P24" i="650" a="1"/>
  <c r="P24" i="650" s="1"/>
  <c r="Q5" i="650" a="1"/>
  <c r="Q5" i="650" s="1"/>
  <c r="Q42" i="650" a="1"/>
  <c r="Q42" i="650" s="1"/>
  <c r="Q52" i="650" a="1"/>
  <c r="Q52" i="650" s="1"/>
  <c r="P51" i="650" a="1"/>
  <c r="P51" i="650" s="1"/>
  <c r="Q26" i="650" a="1"/>
  <c r="Q26" i="650" s="1"/>
  <c r="P87" i="650" a="1"/>
  <c r="P87" i="650" s="1"/>
  <c r="P9" i="650" a="1"/>
  <c r="P9" i="650" s="1"/>
  <c r="Q92" i="650" a="1"/>
  <c r="Q92" i="650" s="1"/>
  <c r="P99" i="650" a="1"/>
  <c r="P99" i="650" s="1"/>
  <c r="Q60" i="650" a="1"/>
  <c r="Q60" i="650" s="1"/>
  <c r="P37" i="650" a="1"/>
  <c r="P37" i="650" s="1"/>
  <c r="Q7" i="650" a="1"/>
  <c r="Q7" i="650" s="1"/>
  <c r="Q62" i="650" a="1"/>
  <c r="Q62" i="650" s="1"/>
  <c r="P76" i="650" a="1"/>
  <c r="P76" i="650" s="1"/>
  <c r="Q19" i="650" a="1"/>
  <c r="Q19" i="650" s="1"/>
  <c r="Q47" i="650" a="1"/>
  <c r="Q47" i="650" s="1"/>
  <c r="Q36" i="650" a="1"/>
  <c r="Q36" i="650" s="1"/>
  <c r="Q75" i="650" a="1"/>
  <c r="Q75" i="650" s="1"/>
  <c r="Q103" i="650" a="1"/>
  <c r="Q103" i="650" s="1"/>
  <c r="Q94" i="650" a="1"/>
  <c r="Q94" i="650" s="1"/>
  <c r="P15" i="650" a="1"/>
  <c r="P15" i="650" s="1"/>
  <c r="Q95" i="650" a="1"/>
  <c r="Q95" i="650" s="1"/>
  <c r="Q33" i="650" a="1"/>
  <c r="Q33" i="650" s="1"/>
  <c r="Q63" i="650" a="1"/>
  <c r="Q63" i="650" s="1"/>
  <c r="P43" i="650" a="1"/>
  <c r="P43" i="650" s="1"/>
  <c r="Q10" i="650" a="1"/>
  <c r="Q10" i="650" s="1"/>
  <c r="Q58" i="650" a="1"/>
  <c r="Q58" i="650" s="1"/>
  <c r="P67" i="650" a="1"/>
  <c r="P67" i="650" s="1"/>
  <c r="P14" i="650" a="1"/>
  <c r="P14" i="650" s="1"/>
  <c r="Q3" i="650" a="1"/>
  <c r="Q3" i="650" s="1"/>
  <c r="Q66" i="650" a="1"/>
  <c r="Q66" i="650" s="1"/>
  <c r="Q13" i="650" a="1"/>
  <c r="Q13" i="650" s="1"/>
  <c r="Q8" i="650" a="1"/>
  <c r="Q8" i="650" s="1"/>
  <c r="P50" i="650" a="1"/>
  <c r="P50" i="650" s="1"/>
  <c r="P25" i="650" a="1"/>
  <c r="P25" i="650" s="1"/>
  <c r="Q85" i="650" a="1"/>
  <c r="Q85" i="650" s="1"/>
  <c r="Q101" i="650" a="1"/>
  <c r="Q101" i="650" s="1"/>
  <c r="P84" i="650" a="1"/>
  <c r="P84" i="650" s="1"/>
  <c r="P28" i="650" a="1"/>
  <c r="P28" i="650" s="1"/>
  <c r="Q50" i="650" a="1"/>
  <c r="Q50" i="650" s="1"/>
  <c r="Q9" i="650" a="1"/>
  <c r="Q9" i="650" s="1"/>
  <c r="Q39" i="650" a="1"/>
  <c r="Q39" i="650" s="1"/>
  <c r="Q69" i="650" a="1"/>
  <c r="Q69" i="650" s="1"/>
  <c r="Q78" i="650" a="1"/>
  <c r="Q78" i="650" s="1"/>
  <c r="Q16" i="650" a="1"/>
  <c r="Q16" i="650" s="1"/>
  <c r="P32" i="650" a="1"/>
  <c r="P32" i="650" s="1"/>
  <c r="Q41" i="650" a="1"/>
  <c r="Q41" i="650" s="1"/>
  <c r="Q102" i="650" a="1"/>
  <c r="Q102" i="650" s="1"/>
  <c r="P45" i="650" a="1"/>
  <c r="P45" i="650" s="1"/>
  <c r="Q53" i="650" a="1"/>
  <c r="Q53" i="650" s="1"/>
  <c r="Q12" i="650" a="1"/>
  <c r="Q12" i="650" s="1"/>
  <c r="Q45" i="650" a="1"/>
  <c r="Q45" i="650" s="1"/>
  <c r="Q72" i="650" a="1"/>
  <c r="Q72" i="650" s="1"/>
  <c r="Q81" i="650" a="1"/>
  <c r="Q81" i="650" s="1"/>
  <c r="Q28" i="650" a="1"/>
  <c r="Q28" i="650" s="1"/>
  <c r="Q21" i="650" a="1"/>
  <c r="Q21" i="650" s="1"/>
  <c r="P26" i="650" a="1"/>
  <c r="P26" i="650" s="1"/>
  <c r="P2" i="650" a="1"/>
  <c r="P2" i="650" s="1"/>
  <c r="P100" i="650" a="1"/>
  <c r="P100" i="650" s="1"/>
  <c r="P57" i="650" a="1"/>
  <c r="P57" i="650" s="1"/>
  <c r="Q59" i="650" a="1"/>
  <c r="Q59" i="650" s="1"/>
  <c r="Q15" i="650" a="1"/>
  <c r="Q15" i="650" s="1"/>
  <c r="Q51" i="650" a="1"/>
  <c r="Q51" i="650" s="1"/>
  <c r="Q84" i="650" a="1"/>
  <c r="Q84" i="650" s="1"/>
  <c r="Q87" i="650" a="1"/>
  <c r="Q87" i="650" s="1"/>
  <c r="P34" i="650" a="1"/>
  <c r="P34" i="650" s="1"/>
  <c r="Q20" i="650" a="1"/>
  <c r="Q20" i="650" s="1"/>
  <c r="P80" i="650" a="1"/>
  <c r="P80" i="650" s="1"/>
  <c r="P56" i="650" a="1"/>
  <c r="P56" i="650" s="1"/>
  <c r="Q97" i="650" a="1"/>
  <c r="Q97" i="650" s="1"/>
  <c r="Q65" i="650" a="1"/>
  <c r="Q65" i="650" s="1"/>
  <c r="P33" i="650" a="1"/>
  <c r="P33" i="650" s="1"/>
  <c r="Q54" i="650" a="1"/>
  <c r="Q54" i="650" s="1"/>
  <c r="P90" i="650" a="1"/>
  <c r="P90" i="650" s="1"/>
  <c r="Q93" i="650" a="1"/>
  <c r="Q93" i="650" s="1"/>
  <c r="P40" i="650" a="1"/>
  <c r="P40" i="650" s="1"/>
  <c r="P71" i="650" a="1"/>
  <c r="P71" i="650" s="1"/>
  <c r="P30" i="650" a="1"/>
  <c r="P30" i="650" s="1"/>
  <c r="Q83" i="650" a="1"/>
  <c r="Q83" i="650" s="1"/>
  <c r="Q68" i="650" a="1"/>
  <c r="Q68" i="650" s="1"/>
  <c r="P36" i="650" a="1"/>
  <c r="P36" i="650" s="1"/>
  <c r="Q57" i="650" a="1"/>
  <c r="Q57" i="650" s="1"/>
  <c r="P96" i="650" a="1"/>
  <c r="P96" i="650" s="1"/>
  <c r="Q96" i="650" a="1"/>
  <c r="Q96" i="650" s="1"/>
  <c r="P46" i="650" a="1"/>
  <c r="P46" i="650" s="1"/>
  <c r="Q90" i="650" a="1"/>
  <c r="Q90" i="650" s="1"/>
  <c r="Q31" i="650" a="1"/>
  <c r="Q31" i="650" s="1"/>
  <c r="Q25" i="650" a="1"/>
  <c r="Q25" i="650" s="1"/>
  <c r="P74" i="650" a="1"/>
  <c r="P74" i="650" s="1"/>
  <c r="Q71" i="650" a="1"/>
  <c r="Q71" i="650" s="1"/>
  <c r="P39" i="650" a="1"/>
  <c r="P39" i="650" s="1"/>
  <c r="P75" i="650" a="1"/>
  <c r="P75" i="650" s="1"/>
  <c r="P4" i="650" a="1"/>
  <c r="P4" i="650" s="1"/>
  <c r="P102" i="650" a="1"/>
  <c r="P102" i="650" s="1"/>
  <c r="Q99" i="650" a="1"/>
  <c r="Q99" i="650" s="1"/>
  <c r="P49" i="650" a="1"/>
  <c r="P49" i="650" s="1"/>
  <c r="P62" i="650" a="1"/>
  <c r="P62" i="650" s="1"/>
  <c r="P5" i="650" a="1"/>
  <c r="P5" i="650" s="1"/>
  <c r="P70" i="650" a="1"/>
  <c r="P70" i="650" s="1"/>
  <c r="P89" i="650" a="1"/>
  <c r="P89" i="650" s="1"/>
  <c r="P42" i="650" a="1"/>
  <c r="P42" i="650" s="1"/>
  <c r="P78" i="650" a="1"/>
  <c r="P78" i="650" s="1"/>
  <c r="P7" i="650" a="1"/>
  <c r="P7" i="650" s="1"/>
  <c r="P19" i="650" a="1"/>
  <c r="P19" i="650" s="1"/>
  <c r="Q2" i="650" a="1"/>
  <c r="Q2" i="650" s="1"/>
  <c r="P52" i="650" a="1"/>
  <c r="P52" i="650" s="1"/>
  <c r="P47" i="650" a="1"/>
  <c r="P47" i="650" s="1"/>
  <c r="P65" i="650" a="1"/>
  <c r="P65" i="650" s="1"/>
  <c r="P92" i="650" a="1"/>
  <c r="P92" i="650" s="1"/>
  <c r="P81" i="650" a="1"/>
  <c r="P81" i="650" s="1"/>
  <c r="P10" i="650" a="1"/>
  <c r="P10" i="650" s="1"/>
  <c r="P22" i="650" a="1"/>
  <c r="P22" i="650" s="1"/>
  <c r="P55" i="650" a="1"/>
  <c r="P55" i="650" s="1"/>
  <c r="Q37" i="650" a="1"/>
  <c r="Q37" i="650" s="1"/>
  <c r="P95" i="650" a="1"/>
  <c r="P95" i="650" s="1"/>
  <c r="P13" i="650" a="1"/>
  <c r="P13" i="650" s="1"/>
  <c r="P58" i="650" a="1"/>
  <c r="P58" i="650" s="1"/>
  <c r="Q76" i="650" a="1"/>
  <c r="Q76" i="650" s="1"/>
  <c r="Q40" i="650" a="1"/>
  <c r="Q40" i="650" s="1"/>
  <c r="P98" i="650" a="1"/>
  <c r="P98" i="650" s="1"/>
  <c r="P16" i="650" a="1"/>
  <c r="P16" i="650" s="1"/>
  <c r="P72" i="650" a="1"/>
  <c r="P72" i="650" s="1"/>
  <c r="P21" i="650" a="1"/>
  <c r="P21" i="650" s="1"/>
  <c r="Q29" i="650" a="1"/>
  <c r="Q29" i="650" s="1"/>
  <c r="Z5" i="650"/>
  <c r="Z4" i="650"/>
  <c r="Z3" i="650"/>
  <c r="Z2" i="650"/>
  <c r="W1" i="650"/>
  <c r="T1" i="650"/>
  <c r="N1" i="650"/>
  <c r="P1" i="650"/>
  <c r="K2" i="650" l="1"/>
  <c r="U11" i="650"/>
  <c r="E23" i="1"/>
  <c r="T23" i="1" s="1"/>
  <c r="G3" i="650"/>
  <c r="B6" i="647" l="1"/>
  <c r="B14" i="647" l="1"/>
  <c r="B17" i="647"/>
  <c r="B73" i="647"/>
  <c r="E28" i="1"/>
  <c r="T28" i="1" s="1"/>
  <c r="E29" i="1"/>
  <c r="T29" i="1" s="1"/>
  <c r="E30" i="1"/>
  <c r="T30" i="1" s="1"/>
  <c r="E31" i="1"/>
  <c r="T31" i="1" s="1"/>
  <c r="E32" i="1"/>
  <c r="T32" i="1" s="1"/>
  <c r="E33" i="1"/>
  <c r="T33" i="1" s="1"/>
  <c r="E34" i="1"/>
  <c r="T34" i="1" s="1"/>
  <c r="E35" i="1"/>
  <c r="T35" i="1" s="1"/>
  <c r="E36" i="1"/>
  <c r="T36" i="1" s="1"/>
  <c r="E24" i="1"/>
  <c r="T24" i="1" s="1"/>
  <c r="E25" i="1"/>
  <c r="T25" i="1" s="1"/>
  <c r="E26" i="1"/>
  <c r="T26" i="1" s="1"/>
  <c r="E27" i="1"/>
  <c r="T27" i="1" s="1"/>
  <c r="E18" i="1"/>
  <c r="B11" i="648"/>
  <c r="S26" i="1" l="1" a="1"/>
  <c r="S26" i="1" s="1"/>
  <c r="S32" i="1" a="1"/>
  <c r="S32" i="1" s="1"/>
  <c r="S34" i="1" a="1"/>
  <c r="S34" i="1" s="1"/>
  <c r="S33" i="1" a="1"/>
  <c r="S33" i="1" s="1"/>
  <c r="S31" i="1" a="1"/>
  <c r="S31" i="1" s="1"/>
  <c r="S30" i="1" a="1"/>
  <c r="S30" i="1" s="1"/>
  <c r="S24" i="1" a="1"/>
  <c r="S24" i="1" s="1"/>
  <c r="S29" i="1" a="1"/>
  <c r="S29" i="1" s="1"/>
  <c r="S25" i="1" a="1"/>
  <c r="S25" i="1" s="1"/>
  <c r="S36" i="1" a="1"/>
  <c r="S36" i="1" s="1"/>
  <c r="S28" i="1" a="1"/>
  <c r="S28" i="1" s="1"/>
  <c r="S35" i="1" a="1"/>
  <c r="S35" i="1" s="1"/>
  <c r="S27" i="1" a="1"/>
  <c r="S27" i="1" s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V26" i="1" l="1"/>
  <c r="U27" i="1"/>
  <c r="V28" i="1"/>
  <c r="U29" i="1"/>
  <c r="U30" i="1"/>
  <c r="V31" i="1"/>
  <c r="V32" i="1"/>
  <c r="U33" i="1"/>
  <c r="V34" i="1"/>
  <c r="U35" i="1"/>
  <c r="V36" i="1"/>
  <c r="Q23" i="1"/>
  <c r="Q22" i="1"/>
  <c r="U26" i="1" l="1"/>
  <c r="U34" i="1"/>
  <c r="U32" i="1"/>
  <c r="U31" i="1"/>
  <c r="V33" i="1"/>
  <c r="V30" i="1"/>
  <c r="V29" i="1"/>
  <c r="U36" i="1"/>
  <c r="U28" i="1"/>
  <c r="V35" i="1"/>
  <c r="V27" i="1"/>
  <c r="J27" i="648"/>
  <c r="B10" i="648"/>
  <c r="Q24" i="1" l="1"/>
  <c r="Q25" i="1"/>
  <c r="Q26" i="1"/>
  <c r="Q27" i="1"/>
  <c r="Q28" i="1"/>
  <c r="Q29" i="1"/>
  <c r="Q30" i="1"/>
  <c r="Q31" i="1"/>
  <c r="Q32" i="1"/>
  <c r="Q33" i="1"/>
  <c r="Q34" i="1"/>
  <c r="Q35" i="1"/>
  <c r="Q36" i="1"/>
  <c r="U2" i="650" l="1"/>
  <c r="Y2" i="650"/>
  <c r="U3" i="650"/>
  <c r="Y3" i="650"/>
  <c r="U4" i="650"/>
  <c r="Y4" i="650"/>
  <c r="AO4" i="650"/>
  <c r="AP4" i="650"/>
  <c r="AQ4" i="650"/>
  <c r="AR4" i="650"/>
  <c r="AS4" i="650"/>
  <c r="AT4" i="650"/>
  <c r="U5" i="650"/>
  <c r="Y5" i="650"/>
  <c r="AO5" i="650"/>
  <c r="AR5" i="650"/>
  <c r="AS5" i="650"/>
  <c r="U6" i="650"/>
  <c r="AO6" i="650"/>
  <c r="AR6" i="650"/>
  <c r="AS6" i="650"/>
  <c r="U7" i="650"/>
  <c r="AO7" i="650"/>
  <c r="AR7" i="650"/>
  <c r="AS7" i="650"/>
  <c r="U8" i="650"/>
  <c r="AO8" i="650"/>
  <c r="AR8" i="650"/>
  <c r="AS8" i="650"/>
  <c r="U9" i="650"/>
  <c r="AR9" i="650"/>
  <c r="U10" i="650"/>
  <c r="AR10" i="650"/>
  <c r="O14" i="650"/>
  <c r="B8" i="27"/>
  <c r="C8" i="27" s="1"/>
  <c r="B9" i="27"/>
  <c r="C9" i="27" s="1"/>
  <c r="B10" i="27"/>
  <c r="C10" i="27" s="1"/>
  <c r="B11" i="27"/>
  <c r="C11" i="27" s="1"/>
  <c r="B12" i="27"/>
  <c r="C12" i="27" s="1"/>
  <c r="B13" i="27"/>
  <c r="C13" i="27" s="1"/>
  <c r="B14" i="27"/>
  <c r="C14" i="27" s="1"/>
  <c r="B15" i="27"/>
  <c r="C15" i="27" s="1"/>
  <c r="B16" i="27"/>
  <c r="C16" i="27" s="1"/>
  <c r="B17" i="27"/>
  <c r="C17" i="27" s="1"/>
  <c r="B18" i="27"/>
  <c r="C18" i="27" s="1"/>
  <c r="B7" i="27"/>
  <c r="C7" i="27" s="1"/>
  <c r="D7" i="1"/>
  <c r="H3" i="650" l="1"/>
  <c r="K3" i="650"/>
  <c r="AJ6" i="650"/>
  <c r="AJ7" i="650"/>
  <c r="AJ8" i="650"/>
  <c r="AJ9" i="650"/>
  <c r="AJ10" i="650"/>
  <c r="AJ11" i="650"/>
  <c r="AJ12" i="650"/>
  <c r="AG12" i="650"/>
  <c r="AG10" i="650"/>
  <c r="AG9" i="650"/>
  <c r="AG8" i="650"/>
  <c r="AG6" i="650"/>
  <c r="AG3" i="650"/>
  <c r="AG4" i="650"/>
  <c r="AG5" i="650"/>
  <c r="AG7" i="650"/>
  <c r="AG11" i="650"/>
  <c r="AG13" i="650"/>
  <c r="AG14" i="650"/>
  <c r="AG2" i="650"/>
  <c r="E4" i="633" l="1"/>
  <c r="G23" i="1" l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AJ3" i="650" l="1"/>
  <c r="AJ13" i="650" l="1"/>
  <c r="G22" i="1"/>
  <c r="B45" i="27" l="1"/>
  <c r="B46" i="27"/>
  <c r="B47" i="27"/>
  <c r="B44" i="27"/>
  <c r="B25" i="27"/>
  <c r="B26" i="27"/>
  <c r="B27" i="27"/>
  <c r="B28" i="27"/>
  <c r="B29" i="27"/>
  <c r="B30" i="27"/>
  <c r="B31" i="27"/>
  <c r="B32" i="27"/>
  <c r="B24" i="27"/>
  <c r="E4" i="647"/>
  <c r="B25" i="647" s="1"/>
  <c r="T22" i="1" l="1"/>
  <c r="C29" i="647"/>
  <c r="O22" i="1"/>
  <c r="C27" i="647"/>
  <c r="C28" i="647"/>
  <c r="E7" i="647"/>
  <c r="E6" i="647"/>
  <c r="E5" i="647"/>
  <c r="F3" i="647" l="1" a="1"/>
  <c r="F3" i="647" s="1"/>
  <c r="D26" i="647" s="1"/>
  <c r="H3" i="647" a="1"/>
  <c r="H3" i="647" s="1"/>
  <c r="D28" i="647" s="1"/>
  <c r="G3" i="647" a="1"/>
  <c r="G3" i="647" s="1"/>
  <c r="D27" i="647" s="1"/>
  <c r="Y22" i="1"/>
  <c r="Z22" i="1"/>
  <c r="B9" i="648"/>
  <c r="E16" i="1"/>
  <c r="B1" i="633"/>
  <c r="I10" i="648" l="1"/>
  <c r="I9" i="648"/>
  <c r="I5" i="648"/>
  <c r="I4" i="648"/>
  <c r="E17" i="1"/>
  <c r="J5" i="633"/>
  <c r="F25" i="27" l="1"/>
  <c r="F27" i="27"/>
  <c r="F28" i="27"/>
  <c r="F29" i="27"/>
  <c r="F30" i="27"/>
  <c r="F31" i="27"/>
  <c r="F32" i="27"/>
  <c r="F24" i="27"/>
  <c r="F45" i="27"/>
  <c r="F46" i="27"/>
  <c r="F47" i="27"/>
  <c r="F44" i="27"/>
  <c r="B60" i="27"/>
  <c r="B59" i="27"/>
  <c r="B55" i="27"/>
  <c r="B54" i="27"/>
  <c r="B53" i="27"/>
  <c r="B52" i="27"/>
  <c r="F60" i="27"/>
  <c r="F59" i="27"/>
  <c r="F54" i="27"/>
  <c r="F55" i="27"/>
  <c r="F61" i="27" l="1"/>
  <c r="B8" i="633" l="1"/>
  <c r="D6" i="1"/>
  <c r="D5" i="1"/>
  <c r="A31" i="647"/>
  <c r="B15" i="647"/>
  <c r="AJ14" i="650"/>
  <c r="AJ5" i="650"/>
  <c r="AJ4" i="650"/>
  <c r="AJ2" i="650"/>
  <c r="B3" i="648"/>
  <c r="B2" i="648"/>
  <c r="B7" i="648" l="1"/>
  <c r="A17" i="647"/>
  <c r="B9" i="633"/>
  <c r="D9" i="633" s="1"/>
  <c r="E9" i="633" s="1"/>
  <c r="F9" i="648"/>
  <c r="E9" i="648"/>
  <c r="D9" i="648"/>
  <c r="C9" i="648"/>
  <c r="D8" i="633"/>
  <c r="F1" i="633"/>
  <c r="C26" i="647"/>
  <c r="B16" i="647"/>
  <c r="B1" i="27"/>
  <c r="BA8" i="633"/>
  <c r="C8" i="633"/>
  <c r="C11" i="648" l="1"/>
  <c r="J17" i="1" s="1"/>
  <c r="B14" i="648"/>
  <c r="B16" i="648"/>
  <c r="B10" i="633"/>
  <c r="C9" i="633"/>
  <c r="A31" i="648"/>
  <c r="D11" i="648"/>
  <c r="J18" i="1" s="1"/>
  <c r="A32" i="648"/>
  <c r="E11" i="648"/>
  <c r="J19" i="1" s="1"/>
  <c r="A33" i="648"/>
  <c r="F11" i="648"/>
  <c r="J20" i="1" s="1"/>
  <c r="A30" i="648"/>
  <c r="H17" i="1"/>
  <c r="H20" i="1"/>
  <c r="H19" i="1"/>
  <c r="H18" i="1"/>
  <c r="C10" i="648"/>
  <c r="N30" i="648" s="1"/>
  <c r="D10" i="648"/>
  <c r="F10" i="648"/>
  <c r="L33" i="648" s="1"/>
  <c r="E10" i="648"/>
  <c r="L32" i="648" s="1"/>
  <c r="AV8" i="633"/>
  <c r="BA9" i="633"/>
  <c r="B20" i="647"/>
  <c r="B4" i="648"/>
  <c r="B24" i="648" s="1"/>
  <c r="D73" i="647" s="1"/>
  <c r="D74" i="647" s="1"/>
  <c r="D75" i="647" s="1"/>
  <c r="D76" i="647" s="1"/>
  <c r="D80" i="647" s="1"/>
  <c r="D81" i="647" s="1"/>
  <c r="D14" i="648" l="1"/>
  <c r="L31" i="648"/>
  <c r="C14" i="648"/>
  <c r="L30" i="648"/>
  <c r="N33" i="648"/>
  <c r="N31" i="648"/>
  <c r="N32" i="648"/>
  <c r="B29" i="647"/>
  <c r="G32" i="648"/>
  <c r="E14" i="648"/>
  <c r="G33" i="648"/>
  <c r="F14" i="648"/>
  <c r="C10" i="633"/>
  <c r="D10" i="633"/>
  <c r="B11" i="633"/>
  <c r="A42" i="648"/>
  <c r="B23" i="648"/>
  <c r="B56" i="647" s="1" a="1"/>
  <c r="B56" i="647" s="1"/>
  <c r="G31" i="648"/>
  <c r="C16" i="648"/>
  <c r="I19" i="1"/>
  <c r="I18" i="1"/>
  <c r="I17" i="1"/>
  <c r="I20" i="1"/>
  <c r="B8" i="648"/>
  <c r="C20" i="648" s="1"/>
  <c r="G30" i="648"/>
  <c r="G27" i="648"/>
  <c r="G29" i="648"/>
  <c r="G28" i="648"/>
  <c r="F16" i="648"/>
  <c r="E16" i="648"/>
  <c r="D16" i="648"/>
  <c r="B15" i="648"/>
  <c r="B17" i="648" s="1"/>
  <c r="BA10" i="633"/>
  <c r="AV9" i="633"/>
  <c r="F9" i="633" s="1"/>
  <c r="G9" i="633" s="1"/>
  <c r="AW9" i="633" a="1"/>
  <c r="AW9" i="633" s="1"/>
  <c r="C15" i="648" l="1"/>
  <c r="C17" i="648" s="1"/>
  <c r="B30" i="648" s="1"/>
  <c r="B12" i="633"/>
  <c r="D11" i="633"/>
  <c r="E11" i="633" s="1"/>
  <c r="C11" i="633"/>
  <c r="F26" i="27"/>
  <c r="F49" i="27" s="1"/>
  <c r="F53" i="27"/>
  <c r="B13" i="633"/>
  <c r="D12" i="633"/>
  <c r="E12" i="633" s="1"/>
  <c r="C12" i="633"/>
  <c r="F15" i="648"/>
  <c r="F17" i="648" s="1"/>
  <c r="B33" i="648" s="1"/>
  <c r="E20" i="648"/>
  <c r="F20" i="648"/>
  <c r="F21" i="648" s="1"/>
  <c r="D20" i="648"/>
  <c r="D21" i="648" s="1"/>
  <c r="C21" i="648"/>
  <c r="E15" i="648"/>
  <c r="E17" i="648" s="1"/>
  <c r="B32" i="648" s="1"/>
  <c r="D15" i="648"/>
  <c r="D17" i="648" s="1"/>
  <c r="B31" i="648" s="1"/>
  <c r="AW8" i="633" a="1"/>
  <c r="AW8" i="633" s="1"/>
  <c r="BA11" i="633"/>
  <c r="AV10" i="633"/>
  <c r="F10" i="633" s="1"/>
  <c r="G10" i="633" s="1"/>
  <c r="AW10" i="633" a="1"/>
  <c r="AW10" i="633" s="1"/>
  <c r="B64" i="647" a="1"/>
  <c r="B64" i="647" s="1"/>
  <c r="A58" i="647"/>
  <c r="B77" i="647" a="1"/>
  <c r="B77" i="647" s="1"/>
  <c r="B82" i="647" a="1"/>
  <c r="B82" i="647" s="1"/>
  <c r="F52" i="27"/>
  <c r="C31" i="648" l="1"/>
  <c r="C33" i="648"/>
  <c r="C30" i="648"/>
  <c r="C32" i="648"/>
  <c r="B29" i="648"/>
  <c r="F56" i="27"/>
  <c r="F63" i="27" s="1"/>
  <c r="B66" i="647"/>
  <c r="C66" i="647" s="1"/>
  <c r="D13" i="633"/>
  <c r="E13" i="633" s="1"/>
  <c r="B14" i="633"/>
  <c r="C13" i="633"/>
  <c r="AV11" i="633"/>
  <c r="F11" i="633" s="1"/>
  <c r="G11" i="633" s="1"/>
  <c r="C36" i="648"/>
  <c r="E21" i="648"/>
  <c r="AW11" i="633" a="1"/>
  <c r="AW11" i="633" s="1"/>
  <c r="BA12" i="633"/>
  <c r="B85" i="647"/>
  <c r="B87" i="647" s="1"/>
  <c r="B36" i="648" l="1"/>
  <c r="C29" i="648"/>
  <c r="E42" i="648" s="1"/>
  <c r="B15" i="633"/>
  <c r="D14" i="633"/>
  <c r="E14" i="633" s="1"/>
  <c r="C14" i="633"/>
  <c r="AV12" i="633"/>
  <c r="F12" i="633" s="1"/>
  <c r="G12" i="633" s="1"/>
  <c r="AW12" i="633" a="1"/>
  <c r="AW12" i="633" s="1"/>
  <c r="BA13" i="633"/>
  <c r="C85" i="647"/>
  <c r="C87" i="647" s="1"/>
  <c r="E8" i="633"/>
  <c r="A86" i="647" l="1"/>
  <c r="U25" i="1"/>
  <c r="B16" i="633"/>
  <c r="C15" i="633"/>
  <c r="D15" i="633"/>
  <c r="E15" i="633" s="1"/>
  <c r="U24" i="1"/>
  <c r="AV13" i="633"/>
  <c r="F13" i="633" s="1"/>
  <c r="G13" i="633" s="1"/>
  <c r="W29" i="1"/>
  <c r="W32" i="1"/>
  <c r="W30" i="1"/>
  <c r="W36" i="1"/>
  <c r="X33" i="1"/>
  <c r="X30" i="1"/>
  <c r="X28" i="1"/>
  <c r="X32" i="1"/>
  <c r="X36" i="1"/>
  <c r="W34" i="1"/>
  <c r="X35" i="1"/>
  <c r="W26" i="1"/>
  <c r="W27" i="1"/>
  <c r="X27" i="1"/>
  <c r="X31" i="1"/>
  <c r="W31" i="1"/>
  <c r="X29" i="1"/>
  <c r="W28" i="1"/>
  <c r="X34" i="1"/>
  <c r="W33" i="1"/>
  <c r="W35" i="1"/>
  <c r="BA14" i="633"/>
  <c r="AW13" i="633" a="1"/>
  <c r="AW13" i="633" s="1"/>
  <c r="F8" i="633"/>
  <c r="B31" i="647" l="1"/>
  <c r="V25" i="1"/>
  <c r="C16" i="633"/>
  <c r="B17" i="633"/>
  <c r="D16" i="633"/>
  <c r="E16" i="633" s="1"/>
  <c r="V24" i="1"/>
  <c r="AV14" i="633"/>
  <c r="F14" i="633" s="1"/>
  <c r="G14" i="633" s="1"/>
  <c r="X26" i="1"/>
  <c r="AW14" i="633" a="1"/>
  <c r="AW14" i="633" s="1"/>
  <c r="BA15" i="633"/>
  <c r="G8" i="633"/>
  <c r="D36" i="647" l="1"/>
  <c r="D37" i="647" s="1"/>
  <c r="D38" i="647" s="1"/>
  <c r="D39" i="647" s="1"/>
  <c r="D40" i="647" s="1"/>
  <c r="D41" i="647" s="1"/>
  <c r="D42" i="647" s="1"/>
  <c r="D43" i="647" s="1"/>
  <c r="D44" i="647" s="1"/>
  <c r="D45" i="647" s="1"/>
  <c r="D46" i="647" s="1"/>
  <c r="D47" i="647" s="1"/>
  <c r="D48" i="647" s="1"/>
  <c r="D49" i="647" s="1"/>
  <c r="D50" i="647" s="1"/>
  <c r="D51" i="647" s="1"/>
  <c r="D52" i="647" s="1"/>
  <c r="D53" i="647" s="1"/>
  <c r="D54" i="647" s="1"/>
  <c r="D55" i="647" s="1"/>
  <c r="D59" i="647" s="1"/>
  <c r="D60" i="647" s="1"/>
  <c r="D61" i="647" s="1"/>
  <c r="D62" i="647" s="1"/>
  <c r="D63" i="647" s="1"/>
  <c r="C31" i="647"/>
  <c r="X25" i="1"/>
  <c r="W25" i="1"/>
  <c r="C17" i="633"/>
  <c r="D17" i="633"/>
  <c r="E17" i="633" s="1"/>
  <c r="B18" i="633"/>
  <c r="X24" i="1"/>
  <c r="W24" i="1"/>
  <c r="AV15" i="633"/>
  <c r="F15" i="633" s="1"/>
  <c r="G15" i="633" s="1"/>
  <c r="BA16" i="633"/>
  <c r="AW15" i="633" a="1"/>
  <c r="AW15" i="633" s="1"/>
  <c r="C18" i="633" l="1"/>
  <c r="B19" i="633"/>
  <c r="D18" i="633"/>
  <c r="E18" i="633" s="1"/>
  <c r="AV16" i="633"/>
  <c r="F16" i="633" s="1"/>
  <c r="G16" i="633" s="1"/>
  <c r="AW16" i="633" a="1"/>
  <c r="AW16" i="633" s="1"/>
  <c r="BA17" i="633"/>
  <c r="D19" i="633" l="1"/>
  <c r="E19" i="633" s="1"/>
  <c r="B20" i="633"/>
  <c r="C19" i="633"/>
  <c r="AV17" i="633"/>
  <c r="F17" i="633" s="1"/>
  <c r="G17" i="633" s="1"/>
  <c r="AW17" i="633" a="1"/>
  <c r="AW17" i="633" s="1"/>
  <c r="BA18" i="633"/>
  <c r="H11" i="633" l="1"/>
  <c r="H10" i="633"/>
  <c r="H8" i="633"/>
  <c r="B21" i="633"/>
  <c r="D20" i="633"/>
  <c r="E20" i="633" s="1"/>
  <c r="C20" i="633"/>
  <c r="AV18" i="633"/>
  <c r="F18" i="633" s="1"/>
  <c r="G18" i="633" s="1"/>
  <c r="BA19" i="633"/>
  <c r="AW18" i="633" a="1"/>
  <c r="AW18" i="633" s="1"/>
  <c r="D21" i="633" l="1"/>
  <c r="E21" i="633" s="1"/>
  <c r="B22" i="633"/>
  <c r="C21" i="633"/>
  <c r="AV19" i="633"/>
  <c r="F19" i="633" s="1"/>
  <c r="G19" i="633" s="1"/>
  <c r="BA20" i="633"/>
  <c r="AW19" i="633" a="1"/>
  <c r="AW19" i="633" s="1"/>
  <c r="B23" i="633" l="1"/>
  <c r="D22" i="633"/>
  <c r="E22" i="633" s="1"/>
  <c r="C22" i="633"/>
  <c r="AV20" i="633"/>
  <c r="F20" i="633" s="1"/>
  <c r="G20" i="633" s="1"/>
  <c r="AW20" i="633" a="1"/>
  <c r="AW20" i="633" s="1"/>
  <c r="BA21" i="633"/>
  <c r="D23" i="633" l="1"/>
  <c r="E23" i="633" s="1"/>
  <c r="B24" i="633"/>
  <c r="C23" i="633"/>
  <c r="AW21" i="633" a="1"/>
  <c r="AW21" i="633" s="1"/>
  <c r="AV21" i="633"/>
  <c r="F21" i="633" s="1"/>
  <c r="G21" i="633" s="1"/>
  <c r="BA22" i="633"/>
  <c r="B25" i="633" l="1"/>
  <c r="D24" i="633"/>
  <c r="E24" i="633" s="1"/>
  <c r="C24" i="633"/>
  <c r="AV22" i="633"/>
  <c r="F22" i="633" s="1"/>
  <c r="G22" i="633" s="1"/>
  <c r="BA23" i="633"/>
  <c r="AW22" i="633" a="1"/>
  <c r="AW22" i="633" s="1"/>
  <c r="D25" i="633" l="1"/>
  <c r="E25" i="633" s="1"/>
  <c r="B26" i="633"/>
  <c r="C25" i="633"/>
  <c r="AV23" i="633"/>
  <c r="F23" i="633" s="1"/>
  <c r="G23" i="633" s="1"/>
  <c r="BA24" i="633"/>
  <c r="AW23" i="633" a="1"/>
  <c r="AW23" i="633" s="1"/>
  <c r="B27" i="633" l="1"/>
  <c r="D26" i="633"/>
  <c r="E26" i="633" s="1"/>
  <c r="C26" i="633"/>
  <c r="AV24" i="633"/>
  <c r="F24" i="633" s="1"/>
  <c r="G24" i="633" s="1"/>
  <c r="BA25" i="633"/>
  <c r="AW24" i="633" a="1"/>
  <c r="AW24" i="633" s="1"/>
  <c r="D27" i="633" l="1"/>
  <c r="E27" i="633" s="1"/>
  <c r="B28" i="633"/>
  <c r="C27" i="633"/>
  <c r="AV25" i="633"/>
  <c r="F25" i="633" s="1"/>
  <c r="G25" i="633" s="1"/>
  <c r="BA26" i="633"/>
  <c r="AW25" i="633" a="1"/>
  <c r="AW25" i="633" s="1"/>
  <c r="D28" i="633" l="1"/>
  <c r="E28" i="633" s="1"/>
  <c r="C28" i="633"/>
  <c r="B29" i="633"/>
  <c r="AV26" i="633"/>
  <c r="F26" i="633" s="1"/>
  <c r="G26" i="633" s="1"/>
  <c r="AW26" i="633" a="1"/>
  <c r="AW26" i="633" s="1"/>
  <c r="BA27" i="633"/>
  <c r="C29" i="633" l="1"/>
  <c r="D29" i="633"/>
  <c r="E29" i="633" s="1"/>
  <c r="B30" i="633"/>
  <c r="AV27" i="633"/>
  <c r="F27" i="633" s="1"/>
  <c r="G27" i="633" s="1"/>
  <c r="AW27" i="633" a="1"/>
  <c r="AW27" i="633" s="1"/>
  <c r="BA28" i="633"/>
  <c r="D30" i="633" l="1"/>
  <c r="E30" i="633" s="1"/>
  <c r="C30" i="633"/>
  <c r="B31" i="633"/>
  <c r="AV28" i="633"/>
  <c r="F28" i="633" s="1"/>
  <c r="G28" i="633" s="1"/>
  <c r="AW28" i="633" a="1"/>
  <c r="AW28" i="633" s="1"/>
  <c r="BA29" i="633"/>
  <c r="B32" i="633" l="1"/>
  <c r="C31" i="633"/>
  <c r="D31" i="633"/>
  <c r="E31" i="633" s="1"/>
  <c r="AV29" i="633"/>
  <c r="F29" i="633" s="1"/>
  <c r="G29" i="633" s="1"/>
  <c r="AW29" i="633" a="1"/>
  <c r="AW29" i="633" s="1"/>
  <c r="BA30" i="633"/>
  <c r="C32" i="633" l="1"/>
  <c r="D32" i="633"/>
  <c r="E32" i="633" s="1"/>
  <c r="B33" i="633"/>
  <c r="AV30" i="633"/>
  <c r="F30" i="633" s="1"/>
  <c r="G30" i="633" s="1"/>
  <c r="BA31" i="633"/>
  <c r="AW30" i="633" a="1"/>
  <c r="AW30" i="633" s="1"/>
  <c r="B34" i="633" l="1"/>
  <c r="D33" i="633"/>
  <c r="E33" i="633" s="1"/>
  <c r="C33" i="633"/>
  <c r="AV31" i="633"/>
  <c r="F31" i="633" s="1"/>
  <c r="G31" i="633" s="1"/>
  <c r="BA32" i="633"/>
  <c r="AW31" i="633" a="1"/>
  <c r="AW31" i="633" s="1"/>
  <c r="D34" i="633" l="1"/>
  <c r="E34" i="633" s="1"/>
  <c r="C34" i="633"/>
  <c r="B35" i="633"/>
  <c r="AV32" i="633"/>
  <c r="F32" i="633" s="1"/>
  <c r="G32" i="633" s="1"/>
  <c r="AW32" i="633" a="1"/>
  <c r="AW32" i="633" s="1"/>
  <c r="BA33" i="633"/>
  <c r="B36" i="633" l="1"/>
  <c r="D35" i="633"/>
  <c r="E35" i="633" s="1"/>
  <c r="C35" i="633"/>
  <c r="AV33" i="633"/>
  <c r="F33" i="633" s="1"/>
  <c r="G33" i="633" s="1"/>
  <c r="BA34" i="633"/>
  <c r="AW33" i="633" a="1"/>
  <c r="AW33" i="633" s="1"/>
  <c r="C36" i="633" l="1"/>
  <c r="B37" i="633"/>
  <c r="D36" i="633"/>
  <c r="E36" i="633" s="1"/>
  <c r="AV34" i="633"/>
  <c r="F34" i="633" s="1"/>
  <c r="G34" i="633" s="1"/>
  <c r="AW34" i="633" a="1"/>
  <c r="AW34" i="633" s="1"/>
  <c r="BA35" i="633"/>
  <c r="C37" i="633" l="1"/>
  <c r="B38" i="633"/>
  <c r="D37" i="633"/>
  <c r="E37" i="633" s="1"/>
  <c r="AV35" i="633"/>
  <c r="F35" i="633" s="1"/>
  <c r="G35" i="633" s="1"/>
  <c r="AW35" i="633" a="1"/>
  <c r="AW35" i="633" s="1"/>
  <c r="BA36" i="633"/>
  <c r="C38" i="633" l="1"/>
  <c r="D38" i="633"/>
  <c r="E38" i="633" s="1"/>
  <c r="B39" i="633"/>
  <c r="AV36" i="633"/>
  <c r="F36" i="633" s="1"/>
  <c r="G36" i="633" s="1"/>
  <c r="AW36" i="633" a="1"/>
  <c r="AW36" i="633" s="1"/>
  <c r="BA37" i="633"/>
  <c r="D39" i="633" l="1"/>
  <c r="E39" i="633" s="1"/>
  <c r="B40" i="633"/>
  <c r="C39" i="633"/>
  <c r="AV37" i="633"/>
  <c r="F37" i="633" s="1"/>
  <c r="G37" i="633" s="1"/>
  <c r="AW37" i="633" a="1"/>
  <c r="AW37" i="633" s="1"/>
  <c r="BA38" i="633"/>
  <c r="D40" i="633" l="1"/>
  <c r="E40" i="633" s="1"/>
  <c r="C40" i="633"/>
  <c r="B41" i="633"/>
  <c r="AV38" i="633"/>
  <c r="F38" i="633" s="1"/>
  <c r="G38" i="633" s="1"/>
  <c r="BA39" i="633"/>
  <c r="AW38" i="633" a="1"/>
  <c r="AW38" i="633" s="1"/>
  <c r="B42" i="633" l="1"/>
  <c r="C41" i="633"/>
  <c r="D41" i="633"/>
  <c r="E41" i="633" s="1"/>
  <c r="AV39" i="633"/>
  <c r="F39" i="633" s="1"/>
  <c r="G39" i="633" s="1"/>
  <c r="AW39" i="633" a="1"/>
  <c r="AW39" i="633" s="1"/>
  <c r="BA40" i="633"/>
  <c r="D42" i="633" l="1"/>
  <c r="E42" i="633" s="1"/>
  <c r="C42" i="633"/>
  <c r="B43" i="633"/>
  <c r="AV40" i="633"/>
  <c r="F40" i="633" s="1"/>
  <c r="G40" i="633" s="1"/>
  <c r="AW40" i="633" a="1"/>
  <c r="AW40" i="633" s="1"/>
  <c r="BA41" i="633"/>
  <c r="B44" i="633" l="1"/>
  <c r="D43" i="633"/>
  <c r="E43" i="633" s="1"/>
  <c r="C43" i="633"/>
  <c r="AV41" i="633"/>
  <c r="F41" i="633" s="1"/>
  <c r="G41" i="633" s="1"/>
  <c r="AW41" i="633" a="1"/>
  <c r="AW41" i="633" s="1"/>
  <c r="BA42" i="633"/>
  <c r="D44" i="633" l="1"/>
  <c r="E44" i="633" s="1"/>
  <c r="C44" i="633"/>
  <c r="B45" i="633"/>
  <c r="AV42" i="633"/>
  <c r="F42" i="633" s="1"/>
  <c r="G42" i="633" s="1"/>
  <c r="AW42" i="633" a="1"/>
  <c r="AW42" i="633" s="1"/>
  <c r="BA43" i="633"/>
  <c r="B46" i="633" l="1"/>
  <c r="D45" i="633"/>
  <c r="E45" i="633" s="1"/>
  <c r="C45" i="633"/>
  <c r="AV43" i="633"/>
  <c r="F43" i="633" s="1"/>
  <c r="G43" i="633" s="1"/>
  <c r="BA44" i="633"/>
  <c r="AW43" i="633" a="1"/>
  <c r="AW43" i="633" s="1"/>
  <c r="C46" i="633" l="1"/>
  <c r="D46" i="633"/>
  <c r="E46" i="633" s="1"/>
  <c r="B47" i="633"/>
  <c r="AV44" i="633"/>
  <c r="F44" i="633" s="1"/>
  <c r="G44" i="633" s="1"/>
  <c r="AW44" i="633" a="1"/>
  <c r="AW44" i="633" s="1"/>
  <c r="BA45" i="633"/>
  <c r="C47" i="633" l="1"/>
  <c r="D47" i="633"/>
  <c r="E47" i="633" s="1"/>
  <c r="B48" i="633"/>
  <c r="AV45" i="633"/>
  <c r="F45" i="633" s="1"/>
  <c r="G45" i="633" s="1"/>
  <c r="BA46" i="633"/>
  <c r="AW45" i="633" a="1"/>
  <c r="AW45" i="633" s="1"/>
  <c r="D48" i="633" l="1"/>
  <c r="E48" i="633" s="1"/>
  <c r="C48" i="633"/>
  <c r="B49" i="633"/>
  <c r="AV46" i="633"/>
  <c r="F46" i="633" s="1"/>
  <c r="G46" i="633" s="1"/>
  <c r="AW46" i="633" a="1"/>
  <c r="AW46" i="633" s="1"/>
  <c r="BA47" i="633"/>
  <c r="B50" i="633" l="1"/>
  <c r="D49" i="633"/>
  <c r="E49" i="633" s="1"/>
  <c r="C49" i="633"/>
  <c r="AV47" i="633"/>
  <c r="F47" i="633" s="1"/>
  <c r="G47" i="633" s="1"/>
  <c r="BA48" i="633"/>
  <c r="AW47" i="633" a="1"/>
  <c r="AW47" i="633" s="1"/>
  <c r="D50" i="633" l="1"/>
  <c r="E50" i="633" s="1"/>
  <c r="B51" i="633"/>
  <c r="C50" i="633"/>
  <c r="AV48" i="633"/>
  <c r="F48" i="633" s="1"/>
  <c r="G48" i="633" s="1"/>
  <c r="AW48" i="633" a="1"/>
  <c r="AW48" i="633" s="1"/>
  <c r="BA49" i="633"/>
  <c r="B52" i="633" l="1"/>
  <c r="C51" i="633"/>
  <c r="D51" i="633"/>
  <c r="E51" i="633" s="1"/>
  <c r="AV49" i="633"/>
  <c r="F49" i="633" s="1"/>
  <c r="G49" i="633" s="1"/>
  <c r="AW49" i="633" a="1"/>
  <c r="AW49" i="633" s="1"/>
  <c r="BA50" i="633"/>
  <c r="B53" i="633" l="1"/>
  <c r="D52" i="633"/>
  <c r="E52" i="633" s="1"/>
  <c r="C52" i="633"/>
  <c r="AV50" i="633"/>
  <c r="F50" i="633" s="1"/>
  <c r="G50" i="633" s="1"/>
  <c r="BA51" i="633"/>
  <c r="AW50" i="633" a="1"/>
  <c r="AW50" i="633" s="1"/>
  <c r="D53" i="633" l="1"/>
  <c r="E53" i="633" s="1"/>
  <c r="B54" i="633"/>
  <c r="C53" i="633"/>
  <c r="AV51" i="633"/>
  <c r="F51" i="633" s="1"/>
  <c r="G51" i="633" s="1"/>
  <c r="BA52" i="633"/>
  <c r="AW51" i="633" a="1"/>
  <c r="AW51" i="633" s="1"/>
  <c r="D54" i="633" l="1"/>
  <c r="E54" i="633" s="1"/>
  <c r="C54" i="633"/>
  <c r="B55" i="633"/>
  <c r="AV52" i="633"/>
  <c r="F52" i="633" s="1"/>
  <c r="G52" i="633" s="1"/>
  <c r="BA53" i="633"/>
  <c r="AW52" i="633" a="1"/>
  <c r="AW52" i="633" s="1"/>
  <c r="C55" i="633" l="1"/>
  <c r="D55" i="633"/>
  <c r="E55" i="633" s="1"/>
  <c r="B56" i="633"/>
  <c r="AV53" i="633"/>
  <c r="F53" i="633" s="1"/>
  <c r="G53" i="633" s="1"/>
  <c r="AW53" i="633" a="1"/>
  <c r="AW53" i="633" s="1"/>
  <c r="BA54" i="633"/>
  <c r="D56" i="633" l="1"/>
  <c r="E56" i="633" s="1"/>
  <c r="C56" i="633"/>
  <c r="B57" i="633"/>
  <c r="AV54" i="633"/>
  <c r="F54" i="633" s="1"/>
  <c r="G54" i="633" s="1"/>
  <c r="AW54" i="633" a="1"/>
  <c r="AW54" i="633" s="1"/>
  <c r="BA55" i="633"/>
  <c r="B58" i="633" l="1"/>
  <c r="D57" i="633"/>
  <c r="E57" i="633" s="1"/>
  <c r="C57" i="633"/>
  <c r="AV55" i="633"/>
  <c r="F55" i="633" s="1"/>
  <c r="G55" i="633" s="1"/>
  <c r="AW55" i="633" a="1"/>
  <c r="AW55" i="633" s="1"/>
  <c r="BA56" i="633"/>
  <c r="B59" i="633" l="1"/>
  <c r="D58" i="633"/>
  <c r="E58" i="633" s="1"/>
  <c r="C58" i="633"/>
  <c r="AV56" i="633"/>
  <c r="F56" i="633" s="1"/>
  <c r="G56" i="633" s="1"/>
  <c r="AW56" i="633" a="1"/>
  <c r="AW56" i="633" s="1"/>
  <c r="BA57" i="633"/>
  <c r="B60" i="633" l="1"/>
  <c r="C59" i="633"/>
  <c r="D59" i="633"/>
  <c r="E59" i="633" s="1"/>
  <c r="AV57" i="633"/>
  <c r="F57" i="633" s="1"/>
  <c r="G57" i="633" s="1"/>
  <c r="AW57" i="633" a="1"/>
  <c r="AW57" i="633" s="1"/>
  <c r="BA58" i="633"/>
  <c r="C60" i="633" l="1"/>
  <c r="B61" i="633"/>
  <c r="D60" i="633"/>
  <c r="E60" i="633" s="1"/>
  <c r="AV58" i="633"/>
  <c r="F58" i="633" s="1"/>
  <c r="G58" i="633" s="1"/>
  <c r="AW58" i="633" a="1"/>
  <c r="AW58" i="633" s="1"/>
  <c r="BA59" i="633"/>
  <c r="B62" i="633" l="1"/>
  <c r="D61" i="633"/>
  <c r="E61" i="633" s="1"/>
  <c r="C61" i="633"/>
  <c r="AV59" i="633"/>
  <c r="F59" i="633" s="1"/>
  <c r="G59" i="633" s="1"/>
  <c r="BA60" i="633"/>
  <c r="AW59" i="633" a="1"/>
  <c r="AW59" i="633" s="1"/>
  <c r="C62" i="633" l="1"/>
  <c r="B63" i="633"/>
  <c r="D62" i="633"/>
  <c r="E62" i="633" s="1"/>
  <c r="AV60" i="633"/>
  <c r="F60" i="633" s="1"/>
  <c r="G60" i="633" s="1"/>
  <c r="AW60" i="633" a="1"/>
  <c r="AW60" i="633" s="1"/>
  <c r="BA61" i="633"/>
  <c r="B64" i="633" l="1"/>
  <c r="C63" i="633"/>
  <c r="D63" i="633"/>
  <c r="E63" i="633" s="1"/>
  <c r="AV61" i="633"/>
  <c r="F61" i="633" s="1"/>
  <c r="G61" i="633" s="1"/>
  <c r="AW61" i="633" a="1"/>
  <c r="AW61" i="633" s="1"/>
  <c r="BA62" i="633"/>
  <c r="D64" i="633" l="1"/>
  <c r="E64" i="633" s="1"/>
  <c r="B65" i="633"/>
  <c r="C64" i="633"/>
  <c r="AV62" i="633"/>
  <c r="F62" i="633" s="1"/>
  <c r="G62" i="633" s="1"/>
  <c r="AW62" i="633" a="1"/>
  <c r="AW62" i="633" s="1"/>
  <c r="BA63" i="633"/>
  <c r="D65" i="633" l="1"/>
  <c r="E65" i="633" s="1"/>
  <c r="B66" i="633"/>
  <c r="C65" i="633"/>
  <c r="AV63" i="633"/>
  <c r="F63" i="633" s="1"/>
  <c r="G63" i="633" s="1"/>
  <c r="AW63" i="633" a="1"/>
  <c r="AW63" i="633" s="1"/>
  <c r="BA64" i="633"/>
  <c r="C66" i="633" l="1"/>
  <c r="B67" i="633"/>
  <c r="D66" i="633"/>
  <c r="E66" i="633" s="1"/>
  <c r="AV64" i="633"/>
  <c r="F64" i="633" s="1"/>
  <c r="G64" i="633" s="1"/>
  <c r="AW64" i="633" a="1"/>
  <c r="AW64" i="633" s="1"/>
  <c r="BA65" i="633"/>
  <c r="B68" i="633" l="1"/>
  <c r="D67" i="633"/>
  <c r="E67" i="633" s="1"/>
  <c r="C67" i="633"/>
  <c r="AV65" i="633"/>
  <c r="F65" i="633" s="1"/>
  <c r="G65" i="633" s="1"/>
  <c r="AW65" i="633" a="1"/>
  <c r="AW65" i="633" s="1"/>
  <c r="BA66" i="633"/>
  <c r="B69" i="633" l="1"/>
  <c r="C68" i="633"/>
  <c r="D68" i="633"/>
  <c r="E68" i="633" s="1"/>
  <c r="AV66" i="633"/>
  <c r="F66" i="633" s="1"/>
  <c r="G66" i="633" s="1"/>
  <c r="BA67" i="633"/>
  <c r="AW66" i="633" a="1"/>
  <c r="AW66" i="633" s="1"/>
  <c r="B70" i="633" l="1"/>
  <c r="C69" i="633"/>
  <c r="D69" i="633"/>
  <c r="E69" i="633" s="1"/>
  <c r="AV67" i="633"/>
  <c r="F67" i="633" s="1"/>
  <c r="G67" i="633" s="1"/>
  <c r="AW67" i="633" a="1"/>
  <c r="AW67" i="633" s="1"/>
  <c r="BA68" i="633"/>
  <c r="C70" i="633" l="1"/>
  <c r="D70" i="633"/>
  <c r="E70" i="633" s="1"/>
  <c r="B71" i="633"/>
  <c r="AV68" i="633"/>
  <c r="F68" i="633" s="1"/>
  <c r="G68" i="633" s="1"/>
  <c r="BA69" i="633"/>
  <c r="AW68" i="633" a="1"/>
  <c r="AW68" i="633" s="1"/>
  <c r="C71" i="633" l="1"/>
  <c r="D71" i="633"/>
  <c r="E71" i="633" s="1"/>
  <c r="B72" i="633"/>
  <c r="AV69" i="633"/>
  <c r="F69" i="633" s="1"/>
  <c r="G69" i="633" s="1"/>
  <c r="BA70" i="633"/>
  <c r="AW69" i="633" a="1"/>
  <c r="AW69" i="633" s="1"/>
  <c r="C72" i="633" l="1"/>
  <c r="D72" i="633"/>
  <c r="E72" i="633" s="1"/>
  <c r="B73" i="633"/>
  <c r="AV70" i="633"/>
  <c r="F70" i="633" s="1"/>
  <c r="G70" i="633" s="1"/>
  <c r="AW70" i="633" a="1"/>
  <c r="AW70" i="633" s="1"/>
  <c r="BA71" i="633"/>
  <c r="C73" i="633" l="1"/>
  <c r="D73" i="633"/>
  <c r="E73" i="633" s="1"/>
  <c r="B74" i="633"/>
  <c r="AV71" i="633"/>
  <c r="F71" i="633" s="1"/>
  <c r="G71" i="633" s="1"/>
  <c r="BA72" i="633"/>
  <c r="AW71" i="633" a="1"/>
  <c r="AW71" i="633" s="1"/>
  <c r="D74" i="633" l="1"/>
  <c r="E74" i="633" s="1"/>
  <c r="B75" i="633"/>
  <c r="C74" i="633"/>
  <c r="AV72" i="633"/>
  <c r="F72" i="633" s="1"/>
  <c r="G72" i="633" s="1"/>
  <c r="AW72" i="633" a="1"/>
  <c r="AW72" i="633" s="1"/>
  <c r="BA73" i="633"/>
  <c r="C75" i="633" l="1"/>
  <c r="B76" i="633"/>
  <c r="D75" i="633"/>
  <c r="E75" i="633" s="1"/>
  <c r="AV73" i="633"/>
  <c r="F73" i="633" s="1"/>
  <c r="G73" i="633" s="1"/>
  <c r="AW73" i="633" a="1"/>
  <c r="AW73" i="633" s="1"/>
  <c r="BA74" i="633"/>
  <c r="B77" i="633" l="1"/>
  <c r="D76" i="633"/>
  <c r="E76" i="633" s="1"/>
  <c r="C76" i="633"/>
  <c r="AV74" i="633"/>
  <c r="F74" i="633" s="1"/>
  <c r="G74" i="633" s="1"/>
  <c r="BA75" i="633"/>
  <c r="AW74" i="633" a="1"/>
  <c r="AW74" i="633" s="1"/>
  <c r="C77" i="633" l="1"/>
  <c r="D77" i="633"/>
  <c r="E77" i="633" s="1"/>
  <c r="B78" i="633"/>
  <c r="AV75" i="633"/>
  <c r="F75" i="633" s="1"/>
  <c r="G75" i="633" s="1"/>
  <c r="AW75" i="633" a="1"/>
  <c r="AW75" i="633" s="1"/>
  <c r="BA76" i="633"/>
  <c r="B79" i="633" l="1"/>
  <c r="C78" i="633"/>
  <c r="D78" i="633"/>
  <c r="E78" i="633" s="1"/>
  <c r="AV76" i="633"/>
  <c r="F76" i="633" s="1"/>
  <c r="G76" i="633" s="1"/>
  <c r="BA77" i="633"/>
  <c r="AW76" i="633" a="1"/>
  <c r="AW76" i="633" s="1"/>
  <c r="D79" i="633" l="1"/>
  <c r="E79" i="633" s="1"/>
  <c r="B80" i="633"/>
  <c r="C79" i="633"/>
  <c r="AV77" i="633"/>
  <c r="F77" i="633" s="1"/>
  <c r="G77" i="633" s="1"/>
  <c r="BA78" i="633"/>
  <c r="AW77" i="633" a="1"/>
  <c r="AW77" i="633" s="1"/>
  <c r="B81" i="633" l="1"/>
  <c r="D80" i="633"/>
  <c r="E80" i="633" s="1"/>
  <c r="C80" i="633"/>
  <c r="AV78" i="633"/>
  <c r="F78" i="633" s="1"/>
  <c r="G78" i="633" s="1"/>
  <c r="AW78" i="633" a="1"/>
  <c r="AW78" i="633" s="1"/>
  <c r="BA79" i="633"/>
  <c r="C81" i="633" l="1"/>
  <c r="D81" i="633"/>
  <c r="E81" i="633" s="1"/>
  <c r="B82" i="633"/>
  <c r="AV79" i="633"/>
  <c r="F79" i="633" s="1"/>
  <c r="G79" i="633" s="1"/>
  <c r="AW79" i="633" a="1"/>
  <c r="AW79" i="633" s="1"/>
  <c r="BA80" i="633"/>
  <c r="C82" i="633" l="1"/>
  <c r="B83" i="633"/>
  <c r="D82" i="633"/>
  <c r="E82" i="633" s="1"/>
  <c r="AV80" i="633"/>
  <c r="F80" i="633" s="1"/>
  <c r="G80" i="633" s="1"/>
  <c r="BA81" i="633"/>
  <c r="AW80" i="633" a="1"/>
  <c r="AW80" i="633" s="1"/>
  <c r="B84" i="633" l="1"/>
  <c r="C83" i="633"/>
  <c r="D83" i="633"/>
  <c r="E83" i="633" s="1"/>
  <c r="AV81" i="633"/>
  <c r="F81" i="633" s="1"/>
  <c r="G81" i="633" s="1"/>
  <c r="AW81" i="633" a="1"/>
  <c r="AW81" i="633" s="1"/>
  <c r="BA82" i="633"/>
  <c r="C84" i="633" l="1"/>
  <c r="B85" i="633"/>
  <c r="D84" i="633"/>
  <c r="E84" i="633" s="1"/>
  <c r="AV82" i="633"/>
  <c r="F82" i="633" s="1"/>
  <c r="G82" i="633" s="1"/>
  <c r="BA83" i="633"/>
  <c r="AW82" i="633" a="1"/>
  <c r="AW82" i="633" s="1"/>
  <c r="B86" i="633" l="1"/>
  <c r="C85" i="633"/>
  <c r="D85" i="633"/>
  <c r="E85" i="633" s="1"/>
  <c r="AV83" i="633"/>
  <c r="F83" i="633" s="1"/>
  <c r="G83" i="633" s="1"/>
  <c r="BA84" i="633"/>
  <c r="AW83" i="633" a="1"/>
  <c r="AW83" i="633" s="1"/>
  <c r="C86" i="633" l="1"/>
  <c r="D86" i="633"/>
  <c r="E86" i="633" s="1"/>
  <c r="B87" i="633"/>
  <c r="AV84" i="633"/>
  <c r="F84" i="633" s="1"/>
  <c r="G84" i="633" s="1"/>
  <c r="BA85" i="633"/>
  <c r="AW84" i="633" a="1"/>
  <c r="AW84" i="633" s="1"/>
  <c r="C87" i="633" l="1"/>
  <c r="B88" i="633"/>
  <c r="D87" i="633"/>
  <c r="E87" i="633" s="1"/>
  <c r="AV85" i="633"/>
  <c r="F85" i="633" s="1"/>
  <c r="G85" i="633" s="1"/>
  <c r="BA86" i="633"/>
  <c r="AW85" i="633" a="1"/>
  <c r="AW85" i="633" s="1"/>
  <c r="C88" i="633" l="1"/>
  <c r="D88" i="633"/>
  <c r="E88" i="633" s="1"/>
  <c r="B89" i="633"/>
  <c r="AV86" i="633"/>
  <c r="F86" i="633" s="1"/>
  <c r="G86" i="633" s="1"/>
  <c r="AW86" i="633" a="1"/>
  <c r="AW86" i="633" s="1"/>
  <c r="BA87" i="633"/>
  <c r="C89" i="633" l="1"/>
  <c r="D89" i="633"/>
  <c r="E89" i="633" s="1"/>
  <c r="B90" i="633"/>
  <c r="AV87" i="633"/>
  <c r="F87" i="633" s="1"/>
  <c r="G87" i="633" s="1"/>
  <c r="AW87" i="633" a="1"/>
  <c r="AW87" i="633" s="1"/>
  <c r="BA88" i="633"/>
  <c r="D90" i="633" l="1"/>
  <c r="E90" i="633" s="1"/>
  <c r="C90" i="633"/>
  <c r="B91" i="633"/>
  <c r="AV88" i="633"/>
  <c r="F88" i="633" s="1"/>
  <c r="G88" i="633" s="1"/>
  <c r="BA89" i="633"/>
  <c r="AW88" i="633" a="1"/>
  <c r="AW88" i="633" s="1"/>
  <c r="D91" i="633" l="1"/>
  <c r="E91" i="633" s="1"/>
  <c r="C91" i="633"/>
  <c r="B92" i="633"/>
  <c r="AV89" i="633"/>
  <c r="F89" i="633" s="1"/>
  <c r="G89" i="633" s="1"/>
  <c r="BA90" i="633"/>
  <c r="AW89" i="633" a="1"/>
  <c r="AW89" i="633" s="1"/>
  <c r="C92" i="633" l="1"/>
  <c r="D92" i="633"/>
  <c r="E92" i="633" s="1"/>
  <c r="B93" i="633"/>
  <c r="AV90" i="633"/>
  <c r="F90" i="633" s="1"/>
  <c r="G90" i="633" s="1"/>
  <c r="AW90" i="633" a="1"/>
  <c r="AW90" i="633" s="1"/>
  <c r="BA91" i="633"/>
  <c r="C93" i="633" l="1"/>
  <c r="D93" i="633"/>
  <c r="E93" i="633" s="1"/>
  <c r="B94" i="633"/>
  <c r="AV91" i="633"/>
  <c r="F91" i="633" s="1"/>
  <c r="G91" i="633" s="1"/>
  <c r="AW91" i="633" a="1"/>
  <c r="AW91" i="633" s="1"/>
  <c r="BA92" i="633"/>
  <c r="C94" i="633" l="1"/>
  <c r="B95" i="633"/>
  <c r="D94" i="633"/>
  <c r="E94" i="633" s="1"/>
  <c r="AV92" i="633"/>
  <c r="F92" i="633" s="1"/>
  <c r="G92" i="633" s="1"/>
  <c r="AW92" i="633" a="1"/>
  <c r="AW92" i="633" s="1"/>
  <c r="BA93" i="633"/>
  <c r="B96" i="633" l="1"/>
  <c r="C95" i="633"/>
  <c r="D95" i="633"/>
  <c r="E95" i="633" s="1"/>
  <c r="AV93" i="633"/>
  <c r="F93" i="633" s="1"/>
  <c r="G93" i="633" s="1"/>
  <c r="AW93" i="633" a="1"/>
  <c r="AW93" i="633" s="1"/>
  <c r="BA94" i="633"/>
  <c r="C96" i="633" l="1"/>
  <c r="D96" i="633"/>
  <c r="E96" i="633" s="1"/>
  <c r="B97" i="633"/>
  <c r="AV94" i="633"/>
  <c r="F94" i="633" s="1"/>
  <c r="G94" i="633" s="1"/>
  <c r="BA95" i="633"/>
  <c r="AW94" i="633" a="1"/>
  <c r="AW94" i="633" s="1"/>
  <c r="B98" i="633" l="1"/>
  <c r="C97" i="633"/>
  <c r="D97" i="633"/>
  <c r="E97" i="633" s="1"/>
  <c r="AV95" i="633"/>
  <c r="F95" i="633" s="1"/>
  <c r="G95" i="633" s="1"/>
  <c r="AW95" i="633" a="1"/>
  <c r="AW95" i="633" s="1"/>
  <c r="BA96" i="633"/>
  <c r="D98" i="633" l="1"/>
  <c r="E98" i="633" s="1"/>
  <c r="B99" i="633"/>
  <c r="C98" i="633"/>
  <c r="AV96" i="633"/>
  <c r="F96" i="633" s="1"/>
  <c r="G96" i="633" s="1"/>
  <c r="BA97" i="633"/>
  <c r="AW96" i="633" a="1"/>
  <c r="AW96" i="633" s="1"/>
  <c r="C99" i="633" l="1"/>
  <c r="D99" i="633"/>
  <c r="E99" i="633" s="1"/>
  <c r="B100" i="633"/>
  <c r="AV97" i="633"/>
  <c r="F97" i="633" s="1"/>
  <c r="G97" i="633" s="1"/>
  <c r="BA98" i="633"/>
  <c r="AW97" i="633" a="1"/>
  <c r="AW97" i="633" s="1"/>
  <c r="B101" i="633" l="1"/>
  <c r="D100" i="633"/>
  <c r="E100" i="633" s="1"/>
  <c r="C100" i="633"/>
  <c r="AV98" i="633"/>
  <c r="F98" i="633" s="1"/>
  <c r="G98" i="633" s="1"/>
  <c r="AW98" i="633" a="1"/>
  <c r="AW98" i="633" s="1"/>
  <c r="BA99" i="633"/>
  <c r="C101" i="633" l="1"/>
  <c r="D101" i="633"/>
  <c r="E101" i="633" s="1"/>
  <c r="B102" i="633"/>
  <c r="AV99" i="633"/>
  <c r="F99" i="633" s="1"/>
  <c r="G99" i="633" s="1"/>
  <c r="AW99" i="633" a="1"/>
  <c r="AW99" i="633" s="1"/>
  <c r="BA100" i="633"/>
  <c r="B103" i="633" l="1"/>
  <c r="D102" i="633"/>
  <c r="E102" i="633" s="1"/>
  <c r="C102" i="633"/>
  <c r="AV100" i="633"/>
  <c r="F100" i="633" s="1"/>
  <c r="G100" i="633" s="1"/>
  <c r="AW100" i="633" a="1"/>
  <c r="AW100" i="633" s="1"/>
  <c r="BA101" i="633"/>
  <c r="B104" i="633" l="1"/>
  <c r="C103" i="633"/>
  <c r="D103" i="633"/>
  <c r="E103" i="633" s="1"/>
  <c r="AV101" i="633"/>
  <c r="F101" i="633" s="1"/>
  <c r="G101" i="633" s="1"/>
  <c r="AW101" i="633" a="1"/>
  <c r="AW101" i="633" s="1"/>
  <c r="BA102" i="633"/>
  <c r="D104" i="633" l="1"/>
  <c r="E104" i="633" s="1"/>
  <c r="B105" i="633"/>
  <c r="C104" i="633"/>
  <c r="AV102" i="633"/>
  <c r="F102" i="633" s="1"/>
  <c r="G102" i="633" s="1"/>
  <c r="BA103" i="633"/>
  <c r="AW102" i="633" a="1"/>
  <c r="AW102" i="633" s="1"/>
  <c r="C105" i="633" l="1"/>
  <c r="B106" i="633"/>
  <c r="D105" i="633"/>
  <c r="E105" i="633" s="1"/>
  <c r="AV103" i="633"/>
  <c r="F103" i="633" s="1"/>
  <c r="G103" i="633" s="1"/>
  <c r="AW103" i="633" a="1"/>
  <c r="AW103" i="633" s="1"/>
  <c r="BA104" i="633"/>
  <c r="B107" i="633" l="1"/>
  <c r="C106" i="633"/>
  <c r="D106" i="633"/>
  <c r="E106" i="633" s="1"/>
  <c r="AV104" i="633"/>
  <c r="F104" i="633" s="1"/>
  <c r="G104" i="633" s="1"/>
  <c r="AW104" i="633" a="1"/>
  <c r="AW104" i="633" s="1"/>
  <c r="BA105" i="633"/>
  <c r="B108" i="633" l="1"/>
  <c r="C107" i="633"/>
  <c r="D107" i="633"/>
  <c r="E107" i="633" s="1"/>
  <c r="AV105" i="633"/>
  <c r="F105" i="633" s="1"/>
  <c r="G105" i="633" s="1"/>
  <c r="AW105" i="633" a="1"/>
  <c r="AW105" i="633" s="1"/>
  <c r="BA106" i="633"/>
  <c r="D108" i="633" l="1"/>
  <c r="E108" i="633" s="1"/>
  <c r="C108" i="633"/>
  <c r="B109" i="633"/>
  <c r="AV106" i="633"/>
  <c r="F106" i="633" s="1"/>
  <c r="G106" i="633" s="1"/>
  <c r="AW106" i="633" a="1"/>
  <c r="AW106" i="633" s="1"/>
  <c r="BA107" i="633"/>
  <c r="D109" i="633" l="1"/>
  <c r="E109" i="633" s="1"/>
  <c r="B110" i="633"/>
  <c r="C109" i="633"/>
  <c r="AV107" i="633"/>
  <c r="F107" i="633" s="1"/>
  <c r="G107" i="633" s="1"/>
  <c r="AW107" i="633" a="1"/>
  <c r="AW107" i="633" s="1"/>
  <c r="BA108" i="633"/>
  <c r="C110" i="633" l="1"/>
  <c r="D110" i="633"/>
  <c r="E110" i="633" s="1"/>
  <c r="B111" i="633"/>
  <c r="AV108" i="633"/>
  <c r="F108" i="633" s="1"/>
  <c r="G108" i="633" s="1"/>
  <c r="AW108" i="633" a="1"/>
  <c r="AW108" i="633" s="1"/>
  <c r="BA109" i="633"/>
  <c r="D111" i="633" l="1"/>
  <c r="E111" i="633" s="1"/>
  <c r="B112" i="633"/>
  <c r="C111" i="633"/>
  <c r="AV109" i="633"/>
  <c r="F109" i="633" s="1"/>
  <c r="G109" i="633" s="1"/>
  <c r="BA110" i="633"/>
  <c r="AW109" i="633" a="1"/>
  <c r="AW109" i="633" s="1"/>
  <c r="C112" i="633" l="1"/>
  <c r="B113" i="633"/>
  <c r="D112" i="633"/>
  <c r="E112" i="633" s="1"/>
  <c r="AV110" i="633"/>
  <c r="F110" i="633" s="1"/>
  <c r="G110" i="633" s="1"/>
  <c r="BA111" i="633"/>
  <c r="AW110" i="633" a="1"/>
  <c r="AW110" i="633" s="1"/>
  <c r="C113" i="633" l="1"/>
  <c r="D113" i="633"/>
  <c r="E113" i="633" s="1"/>
  <c r="B114" i="633"/>
  <c r="AV111" i="633"/>
  <c r="F111" i="633" s="1"/>
  <c r="G111" i="633" s="1"/>
  <c r="AW111" i="633" a="1"/>
  <c r="AW111" i="633" s="1"/>
  <c r="BA112" i="633"/>
  <c r="D114" i="633" l="1"/>
  <c r="E114" i="633" s="1"/>
  <c r="B115" i="633"/>
  <c r="C114" i="633"/>
  <c r="AV112" i="633"/>
  <c r="F112" i="633" s="1"/>
  <c r="G112" i="633" s="1"/>
  <c r="AW112" i="633" a="1"/>
  <c r="AW112" i="633" s="1"/>
  <c r="BA113" i="633"/>
  <c r="C115" i="633" l="1"/>
  <c r="D115" i="633"/>
  <c r="E115" i="633" s="1"/>
  <c r="B116" i="633"/>
  <c r="AV113" i="633"/>
  <c r="F113" i="633" s="1"/>
  <c r="G113" i="633" s="1"/>
  <c r="BA114" i="633"/>
  <c r="AW113" i="633" a="1"/>
  <c r="AW113" i="633" s="1"/>
  <c r="D116" i="633" l="1"/>
  <c r="E116" i="633" s="1"/>
  <c r="C116" i="633"/>
  <c r="B117" i="633"/>
  <c r="AV114" i="633"/>
  <c r="F114" i="633" s="1"/>
  <c r="G114" i="633" s="1"/>
  <c r="AW114" i="633" a="1"/>
  <c r="AW114" i="633" s="1"/>
  <c r="BA115" i="633"/>
  <c r="C117" i="633" l="1"/>
  <c r="D117" i="633"/>
  <c r="E117" i="633" s="1"/>
  <c r="B118" i="633"/>
  <c r="AV115" i="633"/>
  <c r="F115" i="633" s="1"/>
  <c r="G115" i="633" s="1"/>
  <c r="AW115" i="633" a="1"/>
  <c r="AW115" i="633" s="1"/>
  <c r="BA116" i="633"/>
  <c r="D118" i="633" l="1"/>
  <c r="E118" i="633" s="1"/>
  <c r="C118" i="633"/>
  <c r="B119" i="633"/>
  <c r="AV116" i="633"/>
  <c r="F116" i="633" s="1"/>
  <c r="G116" i="633" s="1"/>
  <c r="BA117" i="633"/>
  <c r="AW116" i="633" a="1"/>
  <c r="AW116" i="633" s="1"/>
  <c r="C119" i="633" l="1"/>
  <c r="D119" i="633"/>
  <c r="E119" i="633" s="1"/>
  <c r="B120" i="633"/>
  <c r="AV117" i="633"/>
  <c r="F117" i="633" s="1"/>
  <c r="G117" i="633" s="1"/>
  <c r="AW117" i="633" a="1"/>
  <c r="AW117" i="633" s="1"/>
  <c r="BA118" i="633"/>
  <c r="D120" i="633" l="1"/>
  <c r="E120" i="633" s="1"/>
  <c r="C120" i="633"/>
  <c r="B121" i="633"/>
  <c r="AV118" i="633"/>
  <c r="F118" i="633" s="1"/>
  <c r="G118" i="633" s="1"/>
  <c r="AW118" i="633" a="1"/>
  <c r="AW118" i="633" s="1"/>
  <c r="BA119" i="633"/>
  <c r="C121" i="633" l="1"/>
  <c r="B122" i="633"/>
  <c r="D121" i="633"/>
  <c r="E121" i="633" s="1"/>
  <c r="AV119" i="633"/>
  <c r="F119" i="633" s="1"/>
  <c r="G119" i="633" s="1"/>
  <c r="AW119" i="633" a="1"/>
  <c r="AW119" i="633" s="1"/>
  <c r="BA120" i="633"/>
  <c r="B123" i="633" l="1"/>
  <c r="D122" i="633"/>
  <c r="E122" i="633" s="1"/>
  <c r="C122" i="633"/>
  <c r="AV120" i="633"/>
  <c r="F120" i="633" s="1"/>
  <c r="G120" i="633" s="1"/>
  <c r="AW120" i="633" a="1"/>
  <c r="AW120" i="633" s="1"/>
  <c r="BA121" i="633"/>
  <c r="D123" i="633" l="1"/>
  <c r="E123" i="633" s="1"/>
  <c r="C123" i="633"/>
  <c r="B124" i="633"/>
  <c r="AV121" i="633"/>
  <c r="F121" i="633" s="1"/>
  <c r="G121" i="633" s="1"/>
  <c r="AW121" i="633" a="1"/>
  <c r="AW121" i="633" s="1"/>
  <c r="BA122" i="633"/>
  <c r="D124" i="633" l="1"/>
  <c r="E124" i="633" s="1"/>
  <c r="C124" i="633"/>
  <c r="B125" i="633"/>
  <c r="AV122" i="633"/>
  <c r="F122" i="633" s="1"/>
  <c r="G122" i="633" s="1"/>
  <c r="BA123" i="633"/>
  <c r="AW122" i="633" a="1"/>
  <c r="AW122" i="633" s="1"/>
  <c r="D125" i="633" l="1"/>
  <c r="E125" i="633" s="1"/>
  <c r="B126" i="633"/>
  <c r="C125" i="633"/>
  <c r="AV123" i="633"/>
  <c r="F123" i="633" s="1"/>
  <c r="G123" i="633" s="1"/>
  <c r="BA124" i="633"/>
  <c r="AW123" i="633" a="1"/>
  <c r="AW123" i="633" s="1"/>
  <c r="B127" i="633" l="1"/>
  <c r="C126" i="633"/>
  <c r="D126" i="633"/>
  <c r="E126" i="633" s="1"/>
  <c r="AV124" i="633"/>
  <c r="F124" i="633" s="1"/>
  <c r="G124" i="633" s="1"/>
  <c r="BA125" i="633"/>
  <c r="AW124" i="633" a="1"/>
  <c r="AW124" i="633" s="1"/>
  <c r="C127" i="633" l="1"/>
  <c r="D127" i="633"/>
  <c r="E127" i="633" s="1"/>
  <c r="B128" i="633"/>
  <c r="AV125" i="633"/>
  <c r="F125" i="633" s="1"/>
  <c r="G125" i="633" s="1"/>
  <c r="AW125" i="633" a="1"/>
  <c r="AW125" i="633" s="1"/>
  <c r="BA126" i="633"/>
  <c r="C128" i="633" l="1"/>
  <c r="D128" i="633"/>
  <c r="E128" i="633" s="1"/>
  <c r="B129" i="633"/>
  <c r="AV126" i="633"/>
  <c r="F126" i="633" s="1"/>
  <c r="G126" i="633" s="1"/>
  <c r="AW126" i="633" a="1"/>
  <c r="AW126" i="633" s="1"/>
  <c r="BA127" i="633"/>
  <c r="B130" i="633" l="1"/>
  <c r="C129" i="633"/>
  <c r="D129" i="633"/>
  <c r="E129" i="633" s="1"/>
  <c r="AV127" i="633"/>
  <c r="F127" i="633" s="1"/>
  <c r="G127" i="633" s="1"/>
  <c r="BA128" i="633"/>
  <c r="AW127" i="633" a="1"/>
  <c r="AW127" i="633" s="1"/>
  <c r="D130" i="633" l="1"/>
  <c r="E130" i="633" s="1"/>
  <c r="C130" i="633"/>
  <c r="B131" i="633"/>
  <c r="AV128" i="633"/>
  <c r="F128" i="633" s="1"/>
  <c r="G128" i="633" s="1"/>
  <c r="AW128" i="633" a="1"/>
  <c r="AW128" i="633" s="1"/>
  <c r="BA129" i="633"/>
  <c r="C131" i="633" l="1"/>
  <c r="D131" i="633"/>
  <c r="E131" i="633" s="1"/>
  <c r="B132" i="633"/>
  <c r="AV129" i="633"/>
  <c r="F129" i="633" s="1"/>
  <c r="G129" i="633" s="1"/>
  <c r="AW129" i="633" a="1"/>
  <c r="AW129" i="633" s="1"/>
  <c r="BA130" i="633"/>
  <c r="D132" i="633" l="1"/>
  <c r="E132" i="633" s="1"/>
  <c r="B133" i="633"/>
  <c r="C132" i="633"/>
  <c r="AV130" i="633"/>
  <c r="F130" i="633" s="1"/>
  <c r="G130" i="633" s="1"/>
  <c r="AW130" i="633" a="1"/>
  <c r="AW130" i="633" s="1"/>
  <c r="BA131" i="633"/>
  <c r="C133" i="633" l="1"/>
  <c r="D133" i="633"/>
  <c r="E133" i="633" s="1"/>
  <c r="B134" i="633"/>
  <c r="AV131" i="633"/>
  <c r="F131" i="633" s="1"/>
  <c r="G131" i="633" s="1"/>
  <c r="BA132" i="633"/>
  <c r="AW131" i="633" a="1"/>
  <c r="AW131" i="633" s="1"/>
  <c r="C134" i="633" l="1"/>
  <c r="D134" i="633"/>
  <c r="E134" i="633" s="1"/>
  <c r="B135" i="633"/>
  <c r="AV132" i="633"/>
  <c r="F132" i="633" s="1"/>
  <c r="G132" i="633" s="1"/>
  <c r="AW132" i="633" a="1"/>
  <c r="AW132" i="633" s="1"/>
  <c r="BA133" i="633"/>
  <c r="C135" i="633" l="1"/>
  <c r="D135" i="633"/>
  <c r="E135" i="633" s="1"/>
  <c r="B136" i="633"/>
  <c r="AV133" i="633"/>
  <c r="F133" i="633" s="1"/>
  <c r="G133" i="633" s="1"/>
  <c r="BA134" i="633"/>
  <c r="AW133" i="633" a="1"/>
  <c r="AW133" i="633" s="1"/>
  <c r="B137" i="633" l="1"/>
  <c r="D136" i="633"/>
  <c r="E136" i="633" s="1"/>
  <c r="C136" i="633"/>
  <c r="AV134" i="633"/>
  <c r="F134" i="633" s="1"/>
  <c r="G134" i="633" s="1"/>
  <c r="AW134" i="633" a="1"/>
  <c r="AW134" i="633" s="1"/>
  <c r="BA135" i="633"/>
  <c r="B138" i="633" l="1"/>
  <c r="C137" i="633"/>
  <c r="D137" i="633"/>
  <c r="E137" i="633" s="1"/>
  <c r="AV135" i="633"/>
  <c r="F135" i="633" s="1"/>
  <c r="G135" i="633" s="1"/>
  <c r="AW135" i="633" a="1"/>
  <c r="AW135" i="633" s="1"/>
  <c r="BA136" i="633"/>
  <c r="D138" i="633" l="1"/>
  <c r="E138" i="633" s="1"/>
  <c r="B139" i="633"/>
  <c r="C138" i="633"/>
  <c r="AV136" i="633"/>
  <c r="F136" i="633" s="1"/>
  <c r="G136" i="633" s="1"/>
  <c r="BA137" i="633"/>
  <c r="AW136" i="633" a="1"/>
  <c r="AW136" i="633" s="1"/>
  <c r="B140" i="633" l="1"/>
  <c r="D139" i="633"/>
  <c r="E139" i="633" s="1"/>
  <c r="C139" i="633"/>
  <c r="AV137" i="633"/>
  <c r="F137" i="633" s="1"/>
  <c r="G137" i="633" s="1"/>
  <c r="AW137" i="633" a="1"/>
  <c r="AW137" i="633" s="1"/>
  <c r="BA138" i="633"/>
  <c r="B141" i="633" l="1"/>
  <c r="C140" i="633"/>
  <c r="D140" i="633"/>
  <c r="E140" i="633" s="1"/>
  <c r="AV138" i="633"/>
  <c r="F138" i="633" s="1"/>
  <c r="G138" i="633" s="1"/>
  <c r="AW138" i="633" a="1"/>
  <c r="AW138" i="633" s="1"/>
  <c r="BA139" i="633"/>
  <c r="B142" i="633" l="1"/>
  <c r="D141" i="633"/>
  <c r="E141" i="633" s="1"/>
  <c r="C141" i="633"/>
  <c r="AV139" i="633"/>
  <c r="F139" i="633" s="1"/>
  <c r="G139" i="633" s="1"/>
  <c r="BA140" i="633"/>
  <c r="AW139" i="633" a="1"/>
  <c r="AW139" i="633" s="1"/>
  <c r="C142" i="633" l="1"/>
  <c r="D142" i="633"/>
  <c r="E142" i="633" s="1"/>
  <c r="B143" i="633"/>
  <c r="AV140" i="633"/>
  <c r="F140" i="633" s="1"/>
  <c r="G140" i="633" s="1"/>
  <c r="BA141" i="633"/>
  <c r="AW140" i="633" a="1"/>
  <c r="AW140" i="633" s="1"/>
  <c r="B144" i="633" l="1"/>
  <c r="D143" i="633"/>
  <c r="E143" i="633" s="1"/>
  <c r="C143" i="633"/>
  <c r="AV141" i="633"/>
  <c r="F141" i="633" s="1"/>
  <c r="G141" i="633" s="1"/>
  <c r="BA142" i="633"/>
  <c r="AW141" i="633" a="1"/>
  <c r="AW141" i="633" s="1"/>
  <c r="C144" i="633" l="1"/>
  <c r="B145" i="633"/>
  <c r="D144" i="633"/>
  <c r="E144" i="633" s="1"/>
  <c r="AV142" i="633"/>
  <c r="F142" i="633" s="1"/>
  <c r="G142" i="633" s="1"/>
  <c r="AW142" i="633" a="1"/>
  <c r="AW142" i="633" s="1"/>
  <c r="BA143" i="633"/>
  <c r="B146" i="633" l="1"/>
  <c r="D145" i="633"/>
  <c r="E145" i="633" s="1"/>
  <c r="C145" i="633"/>
  <c r="AV143" i="633"/>
  <c r="F143" i="633" s="1"/>
  <c r="G143" i="633" s="1"/>
  <c r="AW143" i="633" a="1"/>
  <c r="AW143" i="633" s="1"/>
  <c r="BA144" i="633"/>
  <c r="D146" i="633" l="1"/>
  <c r="E146" i="633" s="1"/>
  <c r="B147" i="633"/>
  <c r="C146" i="633"/>
  <c r="AV144" i="633"/>
  <c r="F144" i="633" s="1"/>
  <c r="G144" i="633" s="1"/>
  <c r="AW144" i="633" a="1"/>
  <c r="AW144" i="633" s="1"/>
  <c r="BA145" i="633"/>
  <c r="B148" i="633" l="1"/>
  <c r="C147" i="633"/>
  <c r="D147" i="633"/>
  <c r="E147" i="633" s="1"/>
  <c r="AV145" i="633"/>
  <c r="F145" i="633" s="1"/>
  <c r="G145" i="633" s="1"/>
  <c r="AW145" i="633" a="1"/>
  <c r="AW145" i="633" s="1"/>
  <c r="BA146" i="633"/>
  <c r="C148" i="633" l="1"/>
  <c r="D148" i="633"/>
  <c r="E148" i="633" s="1"/>
  <c r="B149" i="633"/>
  <c r="AV146" i="633"/>
  <c r="F146" i="633" s="1"/>
  <c r="G146" i="633" s="1"/>
  <c r="AW146" i="633" a="1"/>
  <c r="AW146" i="633" s="1"/>
  <c r="BA147" i="633"/>
  <c r="B150" i="633" l="1"/>
  <c r="C149" i="633"/>
  <c r="D149" i="633"/>
  <c r="E149" i="633" s="1"/>
  <c r="AV147" i="633"/>
  <c r="F147" i="633" s="1"/>
  <c r="G147" i="633" s="1"/>
  <c r="AW147" i="633" a="1"/>
  <c r="AW147" i="633" s="1"/>
  <c r="BA148" i="633"/>
  <c r="B151" i="633" l="1"/>
  <c r="C150" i="633"/>
  <c r="D150" i="633"/>
  <c r="E150" i="633" s="1"/>
  <c r="AV148" i="633"/>
  <c r="F148" i="633" s="1"/>
  <c r="G148" i="633" s="1"/>
  <c r="BA149" i="633"/>
  <c r="AW148" i="633" a="1"/>
  <c r="AW148" i="633" s="1"/>
  <c r="B152" i="633" l="1"/>
  <c r="D151" i="633"/>
  <c r="E151" i="633" s="1"/>
  <c r="C151" i="633"/>
  <c r="AV149" i="633"/>
  <c r="F149" i="633" s="1"/>
  <c r="G149" i="633" s="1"/>
  <c r="AW149" i="633" a="1"/>
  <c r="AW149" i="633" s="1"/>
  <c r="BA150" i="633"/>
  <c r="C152" i="633" l="1"/>
  <c r="D152" i="633"/>
  <c r="E152" i="633" s="1"/>
  <c r="B153" i="633"/>
  <c r="AV150" i="633"/>
  <c r="F150" i="633" s="1"/>
  <c r="G150" i="633" s="1"/>
  <c r="BA151" i="633"/>
  <c r="AW150" i="633" a="1"/>
  <c r="AW150" i="633" s="1"/>
  <c r="B154" i="633" l="1"/>
  <c r="D153" i="633"/>
  <c r="E153" i="633" s="1"/>
  <c r="C153" i="633"/>
  <c r="AV151" i="633"/>
  <c r="F151" i="633" s="1"/>
  <c r="G151" i="633" s="1"/>
  <c r="AW151" i="633" a="1"/>
  <c r="AW151" i="633" s="1"/>
  <c r="BA152" i="633"/>
  <c r="C154" i="633" l="1"/>
  <c r="D154" i="633"/>
  <c r="E154" i="633" s="1"/>
  <c r="B155" i="633"/>
  <c r="AV152" i="633"/>
  <c r="F152" i="633" s="1"/>
  <c r="G152" i="633" s="1"/>
  <c r="AW152" i="633" a="1"/>
  <c r="AW152" i="633" s="1"/>
  <c r="BA153" i="633"/>
  <c r="D155" i="633" l="1"/>
  <c r="E155" i="633" s="1"/>
  <c r="B156" i="633"/>
  <c r="C155" i="633"/>
  <c r="AV153" i="633"/>
  <c r="F153" i="633" s="1"/>
  <c r="G153" i="633" s="1"/>
  <c r="AW153" i="633" a="1"/>
  <c r="AW153" i="633" s="1"/>
  <c r="BA154" i="633"/>
  <c r="C156" i="633" l="1"/>
  <c r="D156" i="633"/>
  <c r="E156" i="633" s="1"/>
  <c r="B157" i="633"/>
  <c r="AV154" i="633"/>
  <c r="F154" i="633" s="1"/>
  <c r="G154" i="633" s="1"/>
  <c r="AW154" i="633" a="1"/>
  <c r="AW154" i="633" s="1"/>
  <c r="BA155" i="633"/>
  <c r="B158" i="633" l="1"/>
  <c r="D157" i="633"/>
  <c r="E157" i="633" s="1"/>
  <c r="C157" i="633"/>
  <c r="AV155" i="633"/>
  <c r="F155" i="633" s="1"/>
  <c r="G155" i="633" s="1"/>
  <c r="AW155" i="633" a="1"/>
  <c r="AW155" i="633" s="1"/>
  <c r="BA156" i="633"/>
  <c r="D158" i="633" l="1"/>
  <c r="E158" i="633" s="1"/>
  <c r="B159" i="633"/>
  <c r="C158" i="633"/>
  <c r="AV156" i="633"/>
  <c r="F156" i="633" s="1"/>
  <c r="G156" i="633" s="1"/>
  <c r="AW156" i="633" a="1"/>
  <c r="AW156" i="633" s="1"/>
  <c r="BA157" i="633"/>
  <c r="B160" i="633" l="1"/>
  <c r="D159" i="633"/>
  <c r="E159" i="633" s="1"/>
  <c r="C159" i="633"/>
  <c r="AV157" i="633"/>
  <c r="F157" i="633" s="1"/>
  <c r="G157" i="633" s="1"/>
  <c r="AW157" i="633" a="1"/>
  <c r="AW157" i="633" s="1"/>
  <c r="BA158" i="633"/>
  <c r="C160" i="633" l="1"/>
  <c r="B161" i="633"/>
  <c r="D160" i="633"/>
  <c r="E160" i="633" s="1"/>
  <c r="AV158" i="633"/>
  <c r="F158" i="633" s="1"/>
  <c r="G158" i="633" s="1"/>
  <c r="BA159" i="633"/>
  <c r="AW158" i="633" a="1"/>
  <c r="AW158" i="633" s="1"/>
  <c r="B162" i="633" l="1"/>
  <c r="C161" i="633"/>
  <c r="D161" i="633"/>
  <c r="E161" i="633" s="1"/>
  <c r="AV159" i="633"/>
  <c r="F159" i="633" s="1"/>
  <c r="G159" i="633" s="1"/>
  <c r="BA160" i="633"/>
  <c r="AW159" i="633" a="1"/>
  <c r="AW159" i="633" s="1"/>
  <c r="C162" i="633" l="1"/>
  <c r="D162" i="633"/>
  <c r="E162" i="633" s="1"/>
  <c r="B163" i="633"/>
  <c r="AV160" i="633"/>
  <c r="F160" i="633" s="1"/>
  <c r="G160" i="633" s="1"/>
  <c r="AW160" i="633" a="1"/>
  <c r="AW160" i="633" s="1"/>
  <c r="BA161" i="633"/>
  <c r="C163" i="633" l="1"/>
  <c r="D163" i="633"/>
  <c r="E163" i="633" s="1"/>
  <c r="B164" i="633"/>
  <c r="AV161" i="633"/>
  <c r="F161" i="633" s="1"/>
  <c r="G161" i="633" s="1"/>
  <c r="AW161" i="633" a="1"/>
  <c r="AW161" i="633" s="1"/>
  <c r="BA162" i="633"/>
  <c r="D164" i="633" l="1"/>
  <c r="E164" i="633" s="1"/>
  <c r="C164" i="633"/>
  <c r="B165" i="633"/>
  <c r="AV162" i="633"/>
  <c r="F162" i="633" s="1"/>
  <c r="G162" i="633" s="1"/>
  <c r="BA163" i="633"/>
  <c r="AW162" i="633" a="1"/>
  <c r="AW162" i="633" s="1"/>
  <c r="D165" i="633" l="1"/>
  <c r="E165" i="633" s="1"/>
  <c r="C165" i="633"/>
  <c r="B166" i="633"/>
  <c r="AV163" i="633"/>
  <c r="F163" i="633" s="1"/>
  <c r="G163" i="633" s="1"/>
  <c r="AW163" i="633" a="1"/>
  <c r="AW163" i="633" s="1"/>
  <c r="BA164" i="633"/>
  <c r="C166" i="633" l="1"/>
  <c r="D166" i="633"/>
  <c r="E166" i="633" s="1"/>
  <c r="B167" i="633"/>
  <c r="AV164" i="633"/>
  <c r="F164" i="633" s="1"/>
  <c r="G164" i="633" s="1"/>
  <c r="BA165" i="633"/>
  <c r="AW164" i="633" a="1"/>
  <c r="AW164" i="633" s="1"/>
  <c r="D167" i="633" l="1"/>
  <c r="E167" i="633" s="1"/>
  <c r="C167" i="633"/>
  <c r="B168" i="633"/>
  <c r="AV165" i="633"/>
  <c r="F165" i="633" s="1"/>
  <c r="G165" i="633" s="1"/>
  <c r="AW165" i="633" a="1"/>
  <c r="AW165" i="633" s="1"/>
  <c r="BA166" i="633"/>
  <c r="C168" i="633" l="1"/>
  <c r="B169" i="633"/>
  <c r="D168" i="633"/>
  <c r="E168" i="633" s="1"/>
  <c r="AV166" i="633"/>
  <c r="F166" i="633" s="1"/>
  <c r="G166" i="633" s="1"/>
  <c r="AW166" i="633" a="1"/>
  <c r="AW166" i="633" s="1"/>
  <c r="BA167" i="633"/>
  <c r="C169" i="633" l="1"/>
  <c r="D169" i="633"/>
  <c r="E169" i="633" s="1"/>
  <c r="B170" i="633"/>
  <c r="AV167" i="633"/>
  <c r="F167" i="633" s="1"/>
  <c r="G167" i="633" s="1"/>
  <c r="AW167" i="633" a="1"/>
  <c r="AW167" i="633" s="1"/>
  <c r="BA168" i="633"/>
  <c r="B171" i="633" l="1"/>
  <c r="C170" i="633"/>
  <c r="D170" i="633"/>
  <c r="E170" i="633" s="1"/>
  <c r="AV168" i="633"/>
  <c r="F168" i="633" s="1"/>
  <c r="G168" i="633" s="1"/>
  <c r="AW168" i="633" a="1"/>
  <c r="AW168" i="633" s="1"/>
  <c r="BA169" i="633"/>
  <c r="C171" i="633" l="1"/>
  <c r="D171" i="633"/>
  <c r="E171" i="633" s="1"/>
  <c r="B172" i="633"/>
  <c r="AV169" i="633"/>
  <c r="F169" i="633" s="1"/>
  <c r="G169" i="633" s="1"/>
  <c r="AW169" i="633" a="1"/>
  <c r="AW169" i="633" s="1"/>
  <c r="BA170" i="633"/>
  <c r="B173" i="633" l="1"/>
  <c r="D172" i="633"/>
  <c r="E172" i="633" s="1"/>
  <c r="C172" i="633"/>
  <c r="AV170" i="633"/>
  <c r="F170" i="633" s="1"/>
  <c r="G170" i="633" s="1"/>
  <c r="BA171" i="633"/>
  <c r="AW170" i="633" a="1"/>
  <c r="AW170" i="633" s="1"/>
  <c r="C173" i="633" l="1"/>
  <c r="D173" i="633"/>
  <c r="E173" i="633" s="1"/>
  <c r="B174" i="633"/>
  <c r="AV171" i="633"/>
  <c r="F171" i="633" s="1"/>
  <c r="G171" i="633" s="1"/>
  <c r="BA172" i="633"/>
  <c r="AW171" i="633" a="1"/>
  <c r="AW171" i="633" s="1"/>
  <c r="C174" i="633" l="1"/>
  <c r="B175" i="633"/>
  <c r="D174" i="633"/>
  <c r="E174" i="633" s="1"/>
  <c r="AV172" i="633"/>
  <c r="F172" i="633" s="1"/>
  <c r="G172" i="633" s="1"/>
  <c r="AW172" i="633" a="1"/>
  <c r="AW172" i="633" s="1"/>
  <c r="BA173" i="633"/>
  <c r="D175" i="633" l="1"/>
  <c r="E175" i="633" s="1"/>
  <c r="B176" i="633"/>
  <c r="C175" i="633"/>
  <c r="AV173" i="633"/>
  <c r="F173" i="633" s="1"/>
  <c r="G173" i="633" s="1"/>
  <c r="AW173" i="633" a="1"/>
  <c r="AW173" i="633" s="1"/>
  <c r="BA174" i="633"/>
  <c r="C176" i="633" l="1"/>
  <c r="B177" i="633"/>
  <c r="D176" i="633"/>
  <c r="E176" i="633" s="1"/>
  <c r="AV174" i="633"/>
  <c r="F174" i="633" s="1"/>
  <c r="G174" i="633" s="1"/>
  <c r="BA175" i="633"/>
  <c r="AW174" i="633" a="1"/>
  <c r="AW174" i="633" s="1"/>
  <c r="C177" i="633" l="1"/>
  <c r="B178" i="633"/>
  <c r="D177" i="633"/>
  <c r="E177" i="633" s="1"/>
  <c r="AV175" i="633"/>
  <c r="F175" i="633" s="1"/>
  <c r="G175" i="633" s="1"/>
  <c r="AW175" i="633" a="1"/>
  <c r="AW175" i="633" s="1"/>
  <c r="BA176" i="633"/>
  <c r="D178" i="633" l="1"/>
  <c r="E178" i="633" s="1"/>
  <c r="C178" i="633"/>
  <c r="B179" i="633"/>
  <c r="AV176" i="633"/>
  <c r="F176" i="633" s="1"/>
  <c r="G176" i="633" s="1"/>
  <c r="BA177" i="633"/>
  <c r="AW176" i="633" a="1"/>
  <c r="AW176" i="633" s="1"/>
  <c r="D179" i="633" l="1"/>
  <c r="E179" i="633" s="1"/>
  <c r="C179" i="633"/>
  <c r="B180" i="633"/>
  <c r="AV177" i="633"/>
  <c r="F177" i="633" s="1"/>
  <c r="G177" i="633" s="1"/>
  <c r="BA178" i="633"/>
  <c r="AW177" i="633" a="1"/>
  <c r="AW177" i="633" s="1"/>
  <c r="B181" i="633" l="1"/>
  <c r="D180" i="633"/>
  <c r="E180" i="633" s="1"/>
  <c r="C180" i="633"/>
  <c r="AV178" i="633"/>
  <c r="F178" i="633" s="1"/>
  <c r="G178" i="633" s="1"/>
  <c r="AW178" i="633" a="1"/>
  <c r="AW178" i="633" s="1"/>
  <c r="BA179" i="633"/>
  <c r="BB179" i="633" a="1"/>
  <c r="BB179" i="633" s="1"/>
  <c r="C181" i="633" l="1"/>
  <c r="D181" i="633"/>
  <c r="E181" i="633" s="1"/>
  <c r="B182" i="633"/>
  <c r="AV179" i="633"/>
  <c r="F179" i="633" s="1"/>
  <c r="G179" i="633" s="1"/>
  <c r="AW179" i="633" a="1"/>
  <c r="AW179" i="633" s="1"/>
  <c r="BA180" i="633"/>
  <c r="C182" i="633" l="1"/>
  <c r="D182" i="633"/>
  <c r="E182" i="633" s="1"/>
  <c r="B183" i="633"/>
  <c r="AV180" i="633"/>
  <c r="F180" i="633" s="1"/>
  <c r="G180" i="633" s="1"/>
  <c r="AW180" i="633" a="1"/>
  <c r="AW180" i="633" s="1"/>
  <c r="BA181" i="633"/>
  <c r="D183" i="633" l="1"/>
  <c r="E183" i="633" s="1"/>
  <c r="C183" i="633"/>
  <c r="B184" i="633"/>
  <c r="AV181" i="633"/>
  <c r="F181" i="633" s="1"/>
  <c r="G181" i="633" s="1"/>
  <c r="AW181" i="633" a="1"/>
  <c r="AW181" i="633" s="1"/>
  <c r="BA182" i="633"/>
  <c r="BB182" i="633" a="1"/>
  <c r="B185" i="633" l="1"/>
  <c r="D184" i="633"/>
  <c r="E184" i="633" s="1"/>
  <c r="C184" i="633"/>
  <c r="AV182" i="633"/>
  <c r="F182" i="633" s="1"/>
  <c r="G182" i="633" s="1"/>
  <c r="AW182" i="633" a="1"/>
  <c r="AW182" i="633" s="1"/>
  <c r="BA183" i="633"/>
  <c r="BB182" i="633"/>
  <c r="BB183" i="633"/>
  <c r="D185" i="633" l="1"/>
  <c r="E185" i="633" s="1"/>
  <c r="C185" i="633"/>
  <c r="B186" i="633"/>
  <c r="AV183" i="633"/>
  <c r="F183" i="633" s="1"/>
  <c r="G183" i="633" s="1"/>
  <c r="BA184" i="633"/>
  <c r="AW183" i="633" a="1"/>
  <c r="AW183" i="633" s="1"/>
  <c r="D186" i="633" l="1"/>
  <c r="E186" i="633" s="1"/>
  <c r="C186" i="633"/>
  <c r="B187" i="633"/>
  <c r="AV184" i="633"/>
  <c r="F184" i="633" s="1"/>
  <c r="G184" i="633" s="1"/>
  <c r="BA185" i="633"/>
  <c r="AW184" i="633" a="1"/>
  <c r="AW184" i="633" s="1"/>
  <c r="C187" i="633" l="1"/>
  <c r="D187" i="633"/>
  <c r="E187" i="633" s="1"/>
  <c r="B188" i="633"/>
  <c r="AV185" i="633"/>
  <c r="F185" i="633" s="1"/>
  <c r="G185" i="633" s="1"/>
  <c r="AW185" i="633" a="1"/>
  <c r="AW185" i="633" s="1"/>
  <c r="BA186" i="633"/>
  <c r="C188" i="633" l="1"/>
  <c r="B189" i="633"/>
  <c r="D188" i="633"/>
  <c r="E188" i="633" s="1"/>
  <c r="AV186" i="633"/>
  <c r="F186" i="633" s="1"/>
  <c r="G186" i="633" s="1"/>
  <c r="BA187" i="633"/>
  <c r="AW186" i="633" a="1"/>
  <c r="AW186" i="633" s="1"/>
  <c r="D189" i="633" l="1"/>
  <c r="E189" i="633" s="1"/>
  <c r="B190" i="633"/>
  <c r="C189" i="633"/>
  <c r="AV187" i="633"/>
  <c r="F187" i="633" s="1"/>
  <c r="G187" i="633" s="1"/>
  <c r="BA188" i="633"/>
  <c r="AW187" i="633" a="1"/>
  <c r="AW187" i="633" s="1"/>
  <c r="C190" i="633" l="1"/>
  <c r="B191" i="633"/>
  <c r="D190" i="633"/>
  <c r="E190" i="633" s="1"/>
  <c r="AV188" i="633"/>
  <c r="F188" i="633" s="1"/>
  <c r="G188" i="633" s="1"/>
  <c r="BA189" i="633"/>
  <c r="AW188" i="633" a="1"/>
  <c r="AW188" i="633" s="1"/>
  <c r="C191" i="633" l="1"/>
  <c r="B192" i="633"/>
  <c r="D191" i="633"/>
  <c r="E191" i="633" s="1"/>
  <c r="AV189" i="633"/>
  <c r="F189" i="633" s="1"/>
  <c r="G189" i="633" s="1"/>
  <c r="AW189" i="633" a="1"/>
  <c r="AW189" i="633" s="1"/>
  <c r="BA190" i="633"/>
  <c r="B193" i="633" l="1"/>
  <c r="C192" i="633"/>
  <c r="D192" i="633"/>
  <c r="E192" i="633" s="1"/>
  <c r="AV190" i="633"/>
  <c r="F190" i="633" s="1"/>
  <c r="G190" i="633" s="1"/>
  <c r="AW190" i="633" a="1"/>
  <c r="AW190" i="633" s="1"/>
  <c r="BA191" i="633"/>
  <c r="D193" i="633" l="1"/>
  <c r="E193" i="633" s="1"/>
  <c r="B194" i="633"/>
  <c r="C193" i="633"/>
  <c r="AV191" i="633"/>
  <c r="F191" i="633" s="1"/>
  <c r="G191" i="633" s="1"/>
  <c r="AW191" i="633" a="1"/>
  <c r="AW191" i="633" s="1"/>
  <c r="BA192" i="633"/>
  <c r="B195" i="633" l="1"/>
  <c r="C194" i="633"/>
  <c r="D194" i="633"/>
  <c r="E194" i="633" s="1"/>
  <c r="AV192" i="633"/>
  <c r="F192" i="633" s="1"/>
  <c r="G192" i="633" s="1"/>
  <c r="AW192" i="633" a="1"/>
  <c r="AW192" i="633" s="1"/>
  <c r="BA193" i="633"/>
  <c r="B196" i="633" l="1"/>
  <c r="D195" i="633"/>
  <c r="E195" i="633" s="1"/>
  <c r="C195" i="633"/>
  <c r="AV193" i="633"/>
  <c r="F193" i="633" s="1"/>
  <c r="G193" i="633" s="1"/>
  <c r="AW193" i="633" a="1"/>
  <c r="AW193" i="633" s="1"/>
  <c r="BA194" i="633"/>
  <c r="C196" i="633" l="1"/>
  <c r="D196" i="633"/>
  <c r="E196" i="633" s="1"/>
  <c r="B197" i="633"/>
  <c r="AV194" i="633"/>
  <c r="F194" i="633" s="1"/>
  <c r="G194" i="633" s="1"/>
  <c r="AW194" i="633" a="1"/>
  <c r="AW194" i="633" s="1"/>
  <c r="BA195" i="633"/>
  <c r="C197" i="633" l="1"/>
  <c r="D197" i="633"/>
  <c r="E197" i="633" s="1"/>
  <c r="B198" i="633"/>
  <c r="AV195" i="633"/>
  <c r="F195" i="633" s="1"/>
  <c r="G195" i="633" s="1"/>
  <c r="BA196" i="633"/>
  <c r="AW195" i="633" a="1"/>
  <c r="AW195" i="633" s="1"/>
  <c r="C198" i="633" l="1"/>
  <c r="D198" i="633"/>
  <c r="E198" i="633" s="1"/>
  <c r="B199" i="633"/>
  <c r="AV196" i="633"/>
  <c r="F196" i="633" s="1"/>
  <c r="G196" i="633" s="1"/>
  <c r="BA197" i="633"/>
  <c r="AW196" i="633" a="1"/>
  <c r="AW196" i="633" s="1"/>
  <c r="D199" i="633" l="1"/>
  <c r="E199" i="633" s="1"/>
  <c r="C199" i="633"/>
  <c r="B200" i="633"/>
  <c r="AV197" i="633"/>
  <c r="F197" i="633" s="1"/>
  <c r="G197" i="633" s="1"/>
  <c r="BA198" i="633"/>
  <c r="AW197" i="633" a="1"/>
  <c r="AW197" i="633" s="1"/>
  <c r="B201" i="633" l="1"/>
  <c r="C200" i="633"/>
  <c r="D200" i="633"/>
  <c r="E200" i="633" s="1"/>
  <c r="AV198" i="633"/>
  <c r="F198" i="633" s="1"/>
  <c r="G198" i="633" s="1"/>
  <c r="AW198" i="633" a="1"/>
  <c r="AW198" i="633" s="1"/>
  <c r="BA199" i="633"/>
  <c r="D201" i="633" l="1"/>
  <c r="E201" i="633" s="1"/>
  <c r="B202" i="633"/>
  <c r="C201" i="633"/>
  <c r="AV199" i="633"/>
  <c r="F199" i="633" s="1"/>
  <c r="G199" i="633" s="1"/>
  <c r="AW199" i="633" a="1"/>
  <c r="AW199" i="633" s="1"/>
  <c r="BA200" i="633"/>
  <c r="C202" i="633" l="1"/>
  <c r="D202" i="633"/>
  <c r="E202" i="633" s="1"/>
  <c r="B203" i="633"/>
  <c r="AV200" i="633"/>
  <c r="F200" i="633" s="1"/>
  <c r="G200" i="633" s="1"/>
  <c r="BA201" i="633"/>
  <c r="AW200" i="633" a="1"/>
  <c r="AW200" i="633" s="1"/>
  <c r="D203" i="633" l="1"/>
  <c r="E203" i="633" s="1"/>
  <c r="B204" i="633"/>
  <c r="C203" i="633"/>
  <c r="AV201" i="633"/>
  <c r="F201" i="633" s="1"/>
  <c r="G201" i="633" s="1"/>
  <c r="BA202" i="633"/>
  <c r="AW201" i="633" a="1"/>
  <c r="AW201" i="633" s="1"/>
  <c r="B205" i="633" l="1"/>
  <c r="C204" i="633"/>
  <c r="D204" i="633"/>
  <c r="E204" i="633" s="1"/>
  <c r="AV202" i="633"/>
  <c r="F202" i="633" s="1"/>
  <c r="G202" i="633" s="1"/>
  <c r="BA203" i="633"/>
  <c r="AW202" i="633" a="1"/>
  <c r="AW202" i="633" s="1"/>
  <c r="D205" i="633" l="1"/>
  <c r="E205" i="633" s="1"/>
  <c r="B206" i="633"/>
  <c r="C205" i="633"/>
  <c r="AV203" i="633"/>
  <c r="F203" i="633" s="1"/>
  <c r="G203" i="633" s="1"/>
  <c r="BA204" i="633"/>
  <c r="AW203" i="633" a="1"/>
  <c r="AW203" i="633" s="1"/>
  <c r="C206" i="633" l="1"/>
  <c r="D206" i="633"/>
  <c r="E206" i="633" s="1"/>
  <c r="B207" i="633"/>
  <c r="AV204" i="633"/>
  <c r="F204" i="633" s="1"/>
  <c r="G204" i="633" s="1"/>
  <c r="BA205" i="633"/>
  <c r="AW204" i="633" a="1"/>
  <c r="AW204" i="633" s="1"/>
  <c r="D207" i="633" l="1"/>
  <c r="E207" i="633" s="1"/>
  <c r="B208" i="633"/>
  <c r="C207" i="633"/>
  <c r="AV205" i="633"/>
  <c r="F205" i="633" s="1"/>
  <c r="G205" i="633" s="1"/>
  <c r="BA206" i="633"/>
  <c r="AW205" i="633" a="1"/>
  <c r="AW205" i="633" s="1"/>
  <c r="B209" i="633" l="1"/>
  <c r="C208" i="633"/>
  <c r="D208" i="633"/>
  <c r="E208" i="633" s="1"/>
  <c r="AV206" i="633"/>
  <c r="F206" i="633" s="1"/>
  <c r="G206" i="633" s="1"/>
  <c r="AW206" i="633" a="1"/>
  <c r="AW206" i="633" s="1"/>
  <c r="BA207" i="633"/>
  <c r="D209" i="633" l="1"/>
  <c r="E209" i="633" s="1"/>
  <c r="C209" i="633"/>
  <c r="B210" i="633"/>
  <c r="AV207" i="633"/>
  <c r="F207" i="633" s="1"/>
  <c r="G207" i="633" s="1"/>
  <c r="AW207" i="633" a="1"/>
  <c r="AW207" i="633" s="1"/>
  <c r="BA208" i="633"/>
  <c r="B211" i="633" l="1"/>
  <c r="D210" i="633"/>
  <c r="E210" i="633" s="1"/>
  <c r="C210" i="633"/>
  <c r="AV208" i="633"/>
  <c r="F208" i="633" s="1"/>
  <c r="G208" i="633" s="1"/>
  <c r="AW208" i="633" a="1"/>
  <c r="AW208" i="633" s="1"/>
  <c r="BA209" i="633"/>
  <c r="B212" i="633" l="1"/>
  <c r="D211" i="633"/>
  <c r="E211" i="633" s="1"/>
  <c r="C211" i="633"/>
  <c r="AV209" i="633"/>
  <c r="F209" i="633" s="1"/>
  <c r="G209" i="633" s="1"/>
  <c r="BA210" i="633"/>
  <c r="AW209" i="633" a="1"/>
  <c r="AW209" i="633" s="1"/>
  <c r="C212" i="633" l="1"/>
  <c r="B213" i="633"/>
  <c r="D212" i="633"/>
  <c r="E212" i="633" s="1"/>
  <c r="AV210" i="633"/>
  <c r="F210" i="633" s="1"/>
  <c r="G210" i="633" s="1"/>
  <c r="AW210" i="633" a="1"/>
  <c r="AW210" i="633" s="1"/>
  <c r="BA211" i="633"/>
  <c r="B214" i="633" l="1"/>
  <c r="D213" i="633"/>
  <c r="E213" i="633" s="1"/>
  <c r="C213" i="633"/>
  <c r="AV211" i="633"/>
  <c r="F211" i="633" s="1"/>
  <c r="G211" i="633" s="1"/>
  <c r="AW211" i="633" a="1"/>
  <c r="AW211" i="633" s="1"/>
  <c r="BA212" i="633"/>
  <c r="D214" i="633" l="1"/>
  <c r="E214" i="633" s="1"/>
  <c r="B215" i="633"/>
  <c r="C214" i="633"/>
  <c r="AV212" i="633"/>
  <c r="F212" i="633" s="1"/>
  <c r="G212" i="633" s="1"/>
  <c r="AW212" i="633" a="1"/>
  <c r="AW212" i="633" s="1"/>
  <c r="BA213" i="633"/>
  <c r="D215" i="633" l="1"/>
  <c r="E215" i="633" s="1"/>
  <c r="B216" i="633"/>
  <c r="C215" i="633"/>
  <c r="AV213" i="633"/>
  <c r="F213" i="633" s="1"/>
  <c r="G213" i="633" s="1"/>
  <c r="BA214" i="633"/>
  <c r="AW213" i="633" a="1"/>
  <c r="AW213" i="633" s="1"/>
  <c r="C216" i="633" l="1"/>
  <c r="B217" i="633"/>
  <c r="D216" i="633"/>
  <c r="E216" i="633" s="1"/>
  <c r="AV214" i="633"/>
  <c r="F214" i="633" s="1"/>
  <c r="G214" i="633" s="1"/>
  <c r="BA215" i="633"/>
  <c r="AW214" i="633" a="1"/>
  <c r="AW214" i="633" s="1"/>
  <c r="B218" i="633" l="1"/>
  <c r="D217" i="633"/>
  <c r="E217" i="633" s="1"/>
  <c r="C217" i="633"/>
  <c r="AV215" i="633"/>
  <c r="F215" i="633" s="1"/>
  <c r="G215" i="633" s="1"/>
  <c r="AW215" i="633" a="1"/>
  <c r="AW215" i="633" s="1"/>
  <c r="BA216" i="633"/>
  <c r="D218" i="633" l="1"/>
  <c r="E218" i="633" s="1"/>
  <c r="B219" i="633"/>
  <c r="C218" i="633"/>
  <c r="AV216" i="633"/>
  <c r="F216" i="633" s="1"/>
  <c r="G216" i="633" s="1"/>
  <c r="AW216" i="633" a="1"/>
  <c r="AW216" i="633" s="1"/>
  <c r="BA217" i="633"/>
  <c r="D219" i="633" l="1"/>
  <c r="E219" i="633" s="1"/>
  <c r="C219" i="633"/>
  <c r="B220" i="633"/>
  <c r="AV217" i="633"/>
  <c r="F217" i="633" s="1"/>
  <c r="G217" i="633" s="1"/>
  <c r="BA218" i="633"/>
  <c r="AW217" i="633" a="1"/>
  <c r="AW217" i="633" s="1"/>
  <c r="C220" i="633" l="1"/>
  <c r="D220" i="633"/>
  <c r="E220" i="633" s="1"/>
  <c r="B221" i="633"/>
  <c r="AV218" i="633"/>
  <c r="F218" i="633" s="1"/>
  <c r="G218" i="633" s="1"/>
  <c r="AW218" i="633" a="1"/>
  <c r="AW218" i="633" s="1"/>
  <c r="BA219" i="633"/>
  <c r="B222" i="633" l="1"/>
  <c r="C221" i="633"/>
  <c r="D221" i="633"/>
  <c r="E221" i="633" s="1"/>
  <c r="AV219" i="633"/>
  <c r="F219" i="633" s="1"/>
  <c r="G219" i="633" s="1"/>
  <c r="AW219" i="633" a="1"/>
  <c r="AW219" i="633" s="1"/>
  <c r="BA220" i="633"/>
  <c r="B223" i="633" l="1"/>
  <c r="C222" i="633"/>
  <c r="D222" i="633"/>
  <c r="E222" i="633" s="1"/>
  <c r="AV220" i="633"/>
  <c r="F220" i="633" s="1"/>
  <c r="G220" i="633" s="1"/>
  <c r="AW220" i="633" a="1"/>
  <c r="AW220" i="633" s="1"/>
  <c r="BA221" i="633"/>
  <c r="C223" i="633" l="1"/>
  <c r="D223" i="633"/>
  <c r="E223" i="633" s="1"/>
  <c r="B224" i="633"/>
  <c r="AV221" i="633"/>
  <c r="F221" i="633" s="1"/>
  <c r="G221" i="633" s="1"/>
  <c r="BA222" i="633"/>
  <c r="AW221" i="633" a="1"/>
  <c r="AW221" i="633" s="1"/>
  <c r="B225" i="633" l="1"/>
  <c r="C224" i="633"/>
  <c r="D224" i="633"/>
  <c r="E224" i="633" s="1"/>
  <c r="AV222" i="633"/>
  <c r="F222" i="633" s="1"/>
  <c r="G222" i="633" s="1"/>
  <c r="BA223" i="633"/>
  <c r="AW222" i="633" a="1"/>
  <c r="AW222" i="633" s="1"/>
  <c r="B226" i="633" l="1"/>
  <c r="D225" i="633"/>
  <c r="E225" i="633" s="1"/>
  <c r="C225" i="633"/>
  <c r="AV223" i="633"/>
  <c r="F223" i="633" s="1"/>
  <c r="G223" i="633" s="1"/>
  <c r="AW223" i="633" a="1"/>
  <c r="AW223" i="633" s="1"/>
  <c r="BA224" i="633"/>
  <c r="C226" i="633" l="1"/>
  <c r="D226" i="633"/>
  <c r="E226" i="633" s="1"/>
  <c r="B227" i="633"/>
  <c r="AV224" i="633"/>
  <c r="F224" i="633" s="1"/>
  <c r="G224" i="633" s="1"/>
  <c r="AW224" i="633" a="1"/>
  <c r="AW224" i="633" s="1"/>
  <c r="BA225" i="633"/>
  <c r="D227" i="633" l="1"/>
  <c r="E227" i="633" s="1"/>
  <c r="B228" i="633"/>
  <c r="C227" i="633"/>
  <c r="AV225" i="633"/>
  <c r="F225" i="633" s="1"/>
  <c r="G225" i="633" s="1"/>
  <c r="AW225" i="633" a="1"/>
  <c r="AW225" i="633" s="1"/>
  <c r="BA226" i="633"/>
  <c r="D228" i="633" l="1"/>
  <c r="E228" i="633" s="1"/>
  <c r="B229" i="633"/>
  <c r="C228" i="633"/>
  <c r="AV226" i="633"/>
  <c r="F226" i="633" s="1"/>
  <c r="G226" i="633" s="1"/>
  <c r="AW226" i="633" a="1"/>
  <c r="AW226" i="633" s="1"/>
  <c r="BA227" i="633"/>
  <c r="D229" i="633" l="1"/>
  <c r="E229" i="633" s="1"/>
  <c r="B230" i="633"/>
  <c r="C229" i="633"/>
  <c r="AV227" i="633"/>
  <c r="F227" i="633" s="1"/>
  <c r="G227" i="633" s="1"/>
  <c r="AW227" i="633" a="1"/>
  <c r="AW227" i="633" s="1"/>
  <c r="BA228" i="633"/>
  <c r="C230" i="633" l="1"/>
  <c r="D230" i="633"/>
  <c r="E230" i="633" s="1"/>
  <c r="B231" i="633"/>
  <c r="AV228" i="633"/>
  <c r="F228" i="633" s="1"/>
  <c r="G228" i="633" s="1"/>
  <c r="AW228" i="633" a="1"/>
  <c r="AW228" i="633" s="1"/>
  <c r="BA229" i="633"/>
  <c r="B232" i="633" l="1"/>
  <c r="C231" i="633"/>
  <c r="D231" i="633"/>
  <c r="E231" i="633" s="1"/>
  <c r="AV229" i="633"/>
  <c r="F229" i="633" s="1"/>
  <c r="G229" i="633" s="1"/>
  <c r="BA230" i="633"/>
  <c r="AW229" i="633" a="1"/>
  <c r="AW229" i="633" s="1"/>
  <c r="C232" i="633" l="1"/>
  <c r="B233" i="633"/>
  <c r="D232" i="633"/>
  <c r="E232" i="633" s="1"/>
  <c r="AV230" i="633"/>
  <c r="F230" i="633" s="1"/>
  <c r="G230" i="633" s="1"/>
  <c r="AW230" i="633" a="1"/>
  <c r="AW230" i="633" s="1"/>
  <c r="BA231" i="633"/>
  <c r="B234" i="633" l="1"/>
  <c r="D233" i="633"/>
  <c r="E233" i="633" s="1"/>
  <c r="C233" i="633"/>
  <c r="AV231" i="633"/>
  <c r="F231" i="633" s="1"/>
  <c r="G231" i="633" s="1"/>
  <c r="AW231" i="633" a="1"/>
  <c r="AW231" i="633" s="1"/>
  <c r="BA232" i="633"/>
  <c r="C234" i="633" l="1"/>
  <c r="D234" i="633"/>
  <c r="E234" i="633" s="1"/>
  <c r="B235" i="633"/>
  <c r="AV232" i="633"/>
  <c r="F232" i="633" s="1"/>
  <c r="G232" i="633" s="1"/>
  <c r="AW232" i="633" a="1"/>
  <c r="AW232" i="633" s="1"/>
  <c r="BA233" i="633"/>
  <c r="B236" i="633" l="1"/>
  <c r="D235" i="633"/>
  <c r="E235" i="633" s="1"/>
  <c r="C235" i="633"/>
  <c r="AV233" i="633"/>
  <c r="F233" i="633" s="1"/>
  <c r="G233" i="633" s="1"/>
  <c r="AW233" i="633" a="1"/>
  <c r="AW233" i="633" s="1"/>
  <c r="BA234" i="633"/>
  <c r="C236" i="633" l="1"/>
  <c r="D236" i="633"/>
  <c r="E236" i="633" s="1"/>
  <c r="B237" i="633"/>
  <c r="AV234" i="633"/>
  <c r="F234" i="633" s="1"/>
  <c r="G234" i="633" s="1"/>
  <c r="BA235" i="633"/>
  <c r="AW234" i="633" a="1"/>
  <c r="AW234" i="633" s="1"/>
  <c r="D237" i="633" l="1"/>
  <c r="E237" i="633" s="1"/>
  <c r="C237" i="633"/>
  <c r="B238" i="633"/>
  <c r="AV235" i="633"/>
  <c r="F235" i="633" s="1"/>
  <c r="G235" i="633" s="1"/>
  <c r="AW235" i="633" a="1"/>
  <c r="AW235" i="633" s="1"/>
  <c r="BA236" i="633"/>
  <c r="C238" i="633" l="1"/>
  <c r="D238" i="633"/>
  <c r="E238" i="633" s="1"/>
  <c r="B239" i="633"/>
  <c r="AV236" i="633"/>
  <c r="F236" i="633" s="1"/>
  <c r="G236" i="633" s="1"/>
  <c r="BA237" i="633"/>
  <c r="AW236" i="633" a="1"/>
  <c r="AW236" i="633" s="1"/>
  <c r="D239" i="633" l="1"/>
  <c r="E239" i="633" s="1"/>
  <c r="B240" i="633"/>
  <c r="C239" i="633"/>
  <c r="AV237" i="633"/>
  <c r="F237" i="633" s="1"/>
  <c r="G237" i="633" s="1"/>
  <c r="AW237" i="633" a="1"/>
  <c r="AW237" i="633" s="1"/>
  <c r="BA238" i="633"/>
  <c r="C240" i="633" l="1"/>
  <c r="D240" i="633"/>
  <c r="E240" i="633" s="1"/>
  <c r="B241" i="633"/>
  <c r="AV238" i="633"/>
  <c r="F238" i="633" s="1"/>
  <c r="G238" i="633" s="1"/>
  <c r="BA239" i="633"/>
  <c r="AW238" i="633" a="1"/>
  <c r="AW238" i="633" s="1"/>
  <c r="D241" i="633" l="1"/>
  <c r="E241" i="633" s="1"/>
  <c r="B242" i="633"/>
  <c r="C241" i="633"/>
  <c r="AV239" i="633"/>
  <c r="F239" i="633" s="1"/>
  <c r="G239" i="633" s="1"/>
  <c r="AW239" i="633" a="1"/>
  <c r="AW239" i="633" s="1"/>
  <c r="BA240" i="633"/>
  <c r="B243" i="633" l="1"/>
  <c r="C242" i="633"/>
  <c r="D242" i="633"/>
  <c r="E242" i="633" s="1"/>
  <c r="AV240" i="633"/>
  <c r="F240" i="633" s="1"/>
  <c r="G240" i="633" s="1"/>
  <c r="BA241" i="633"/>
  <c r="AW240" i="633" a="1"/>
  <c r="AW240" i="633" s="1"/>
  <c r="C243" i="633" l="1"/>
  <c r="D243" i="633"/>
  <c r="E243" i="633" s="1"/>
  <c r="B244" i="633"/>
  <c r="AV241" i="633"/>
  <c r="F241" i="633" s="1"/>
  <c r="G241" i="633" s="1"/>
  <c r="AW241" i="633" a="1"/>
  <c r="AW241" i="633" s="1"/>
  <c r="BA242" i="633"/>
  <c r="C244" i="633" l="1"/>
  <c r="D244" i="633"/>
  <c r="E244" i="633" s="1"/>
  <c r="B245" i="633"/>
  <c r="AV242" i="633"/>
  <c r="F242" i="633" s="1"/>
  <c r="G242" i="633" s="1"/>
  <c r="BA243" i="633"/>
  <c r="AW242" i="633" a="1"/>
  <c r="AW242" i="633" s="1"/>
  <c r="B246" i="633" l="1"/>
  <c r="C245" i="633"/>
  <c r="D245" i="633"/>
  <c r="E245" i="633" s="1"/>
  <c r="AV243" i="633"/>
  <c r="F243" i="633" s="1"/>
  <c r="G243" i="633" s="1"/>
  <c r="AW243" i="633" a="1"/>
  <c r="AW243" i="633" s="1"/>
  <c r="BA244" i="633"/>
  <c r="D246" i="633" l="1"/>
  <c r="E246" i="633" s="1"/>
  <c r="B247" i="633"/>
  <c r="C246" i="633"/>
  <c r="AV244" i="633"/>
  <c r="F244" i="633" s="1"/>
  <c r="G244" i="633" s="1"/>
  <c r="BA245" i="633"/>
  <c r="AW244" i="633" a="1"/>
  <c r="AW244" i="633" s="1"/>
  <c r="C247" i="633" l="1"/>
  <c r="D247" i="633"/>
  <c r="E247" i="633" s="1"/>
  <c r="B248" i="633"/>
  <c r="AV245" i="633"/>
  <c r="F245" i="633" s="1"/>
  <c r="G245" i="633" s="1"/>
  <c r="AW245" i="633" a="1"/>
  <c r="AW245" i="633" s="1"/>
  <c r="BA246" i="633"/>
  <c r="B249" i="633" l="1"/>
  <c r="C248" i="633"/>
  <c r="D248" i="633"/>
  <c r="E248" i="633" s="1"/>
  <c r="AV246" i="633"/>
  <c r="F246" i="633" s="1"/>
  <c r="G246" i="633" s="1"/>
  <c r="BA247" i="633"/>
  <c r="AW246" i="633" a="1"/>
  <c r="AW246" i="633" s="1"/>
  <c r="B250" i="633" l="1"/>
  <c r="C249" i="633"/>
  <c r="D249" i="633"/>
  <c r="E249" i="633" s="1"/>
  <c r="AV247" i="633"/>
  <c r="F247" i="633" s="1"/>
  <c r="G247" i="633" s="1"/>
  <c r="BA248" i="633"/>
  <c r="AW247" i="633" a="1"/>
  <c r="AW247" i="633" s="1"/>
  <c r="B251" i="633" l="1"/>
  <c r="C250" i="633"/>
  <c r="D250" i="633"/>
  <c r="E250" i="633" s="1"/>
  <c r="AV248" i="633"/>
  <c r="F248" i="633" s="1"/>
  <c r="G248" i="633" s="1"/>
  <c r="AW248" i="633" a="1"/>
  <c r="AW248" i="633" s="1"/>
  <c r="BA249" i="633"/>
  <c r="D251" i="633" l="1"/>
  <c r="E251" i="633" s="1"/>
  <c r="B252" i="633"/>
  <c r="C251" i="633"/>
  <c r="J249" i="633"/>
  <c r="AV249" i="633"/>
  <c r="F249" i="633" s="1"/>
  <c r="G249" i="633" s="1"/>
  <c r="AW249" i="633" a="1"/>
  <c r="AW249" i="633" s="1"/>
  <c r="BA250" i="633"/>
  <c r="B253" i="633" l="1"/>
  <c r="C252" i="633"/>
  <c r="D252" i="633"/>
  <c r="E252" i="633" s="1"/>
  <c r="AV250" i="633"/>
  <c r="F250" i="633" s="1"/>
  <c r="G250" i="633" s="1"/>
  <c r="BA251" i="633"/>
  <c r="AW250" i="633" a="1"/>
  <c r="AW250" i="633" s="1"/>
  <c r="B254" i="633" l="1"/>
  <c r="C253" i="633"/>
  <c r="D253" i="633"/>
  <c r="E253" i="633" s="1"/>
  <c r="AV251" i="633"/>
  <c r="F251" i="633" s="1"/>
  <c r="G251" i="633" s="1"/>
  <c r="BA252" i="633"/>
  <c r="AW251" i="633" a="1"/>
  <c r="AW251" i="633" s="1"/>
  <c r="C254" i="633" l="1"/>
  <c r="B255" i="633"/>
  <c r="D254" i="633"/>
  <c r="E254" i="633" s="1"/>
  <c r="AV252" i="633"/>
  <c r="F252" i="633" s="1"/>
  <c r="G252" i="633" s="1"/>
  <c r="AW252" i="633" a="1"/>
  <c r="AW252" i="633" s="1"/>
  <c r="BA253" i="633"/>
  <c r="D255" i="633" l="1"/>
  <c r="E255" i="633" s="1"/>
  <c r="B256" i="633"/>
  <c r="C255" i="633"/>
  <c r="AV253" i="633"/>
  <c r="F253" i="633" s="1"/>
  <c r="G253" i="633" s="1"/>
  <c r="BA254" i="633"/>
  <c r="AW253" i="633" a="1"/>
  <c r="AW253" i="633" s="1"/>
  <c r="B257" i="633" l="1"/>
  <c r="C256" i="633"/>
  <c r="D256" i="633"/>
  <c r="E256" i="633" s="1"/>
  <c r="AV254" i="633"/>
  <c r="F254" i="633" s="1"/>
  <c r="G254" i="633" s="1"/>
  <c r="AW254" i="633" a="1"/>
  <c r="AW254" i="633" s="1"/>
  <c r="BA255" i="633"/>
  <c r="D257" i="633" l="1"/>
  <c r="E257" i="633" s="1"/>
  <c r="B258" i="633"/>
  <c r="C257" i="633"/>
  <c r="AV255" i="633"/>
  <c r="F255" i="633" s="1"/>
  <c r="G255" i="633" s="1"/>
  <c r="BA256" i="633"/>
  <c r="AW255" i="633" a="1"/>
  <c r="AW255" i="633" s="1"/>
  <c r="C258" i="633" l="1"/>
  <c r="B259" i="633"/>
  <c r="D258" i="633"/>
  <c r="E258" i="633" s="1"/>
  <c r="AV256" i="633"/>
  <c r="F256" i="633" s="1"/>
  <c r="G256" i="633" s="1"/>
  <c r="AW256" i="633" a="1"/>
  <c r="AW256" i="633" s="1"/>
  <c r="BA257" i="633"/>
  <c r="C259" i="633" l="1"/>
  <c r="D259" i="633"/>
  <c r="E259" i="633" s="1"/>
  <c r="B260" i="633"/>
  <c r="AV257" i="633"/>
  <c r="F257" i="633" s="1"/>
  <c r="G257" i="633" s="1"/>
  <c r="BA258" i="633"/>
  <c r="AW257" i="633" a="1"/>
  <c r="AW257" i="633" s="1"/>
  <c r="B261" i="633" l="1"/>
  <c r="C260" i="633"/>
  <c r="D260" i="633"/>
  <c r="E260" i="633" s="1"/>
  <c r="AV258" i="633"/>
  <c r="F258" i="633" s="1"/>
  <c r="G258" i="633" s="1"/>
  <c r="AW258" i="633" a="1"/>
  <c r="AW258" i="633" s="1"/>
  <c r="BA259" i="633"/>
  <c r="B262" i="633" l="1"/>
  <c r="D261" i="633"/>
  <c r="E261" i="633" s="1"/>
  <c r="C261" i="633"/>
  <c r="AV259" i="633"/>
  <c r="F259" i="633" s="1"/>
  <c r="G259" i="633" s="1"/>
  <c r="AW259" i="633" a="1"/>
  <c r="AW259" i="633" s="1"/>
  <c r="BA260" i="633"/>
  <c r="C262" i="633" l="1"/>
  <c r="D262" i="633"/>
  <c r="E262" i="633" s="1"/>
  <c r="B263" i="633"/>
  <c r="AV260" i="633"/>
  <c r="F260" i="633" s="1"/>
  <c r="G260" i="633" s="1"/>
  <c r="AW260" i="633" a="1"/>
  <c r="AW260" i="633" s="1"/>
  <c r="BA261" i="633"/>
  <c r="C263" i="633" l="1"/>
  <c r="D263" i="633"/>
  <c r="E263" i="633" s="1"/>
  <c r="B264" i="633"/>
  <c r="AV261" i="633"/>
  <c r="F261" i="633" s="1"/>
  <c r="G261" i="633" s="1"/>
  <c r="BA262" i="633"/>
  <c r="AW261" i="633" a="1"/>
  <c r="AW261" i="633" s="1"/>
  <c r="B265" i="633" l="1"/>
  <c r="C264" i="633"/>
  <c r="D264" i="633"/>
  <c r="E264" i="633" s="1"/>
  <c r="AV262" i="633"/>
  <c r="F262" i="633" s="1"/>
  <c r="G262" i="633" s="1"/>
  <c r="BA263" i="633"/>
  <c r="AW262" i="633" a="1"/>
  <c r="AW262" i="633" s="1"/>
  <c r="D265" i="633" l="1"/>
  <c r="E265" i="633" s="1"/>
  <c r="C265" i="633"/>
  <c r="B266" i="633"/>
  <c r="AV263" i="633"/>
  <c r="F263" i="633" s="1"/>
  <c r="G263" i="633" s="1"/>
  <c r="AW263" i="633" a="1"/>
  <c r="AW263" i="633" s="1"/>
  <c r="BA264" i="633"/>
  <c r="B267" i="633" l="1"/>
  <c r="C266" i="633"/>
  <c r="D266" i="633"/>
  <c r="E266" i="633" s="1"/>
  <c r="AV264" i="633"/>
  <c r="F264" i="633" s="1"/>
  <c r="G264" i="633" s="1"/>
  <c r="AW264" i="633" a="1"/>
  <c r="AW264" i="633" s="1"/>
  <c r="BA265" i="633"/>
  <c r="D267" i="633" l="1"/>
  <c r="E267" i="633" s="1"/>
  <c r="C267" i="633"/>
  <c r="B268" i="633"/>
  <c r="AV265" i="633"/>
  <c r="F265" i="633" s="1"/>
  <c r="G265" i="633" s="1"/>
  <c r="BA266" i="633"/>
  <c r="AW265" i="633" a="1"/>
  <c r="AW265" i="633" s="1"/>
  <c r="B269" i="633" l="1"/>
  <c r="C268" i="633"/>
  <c r="D268" i="633"/>
  <c r="E268" i="633" s="1"/>
  <c r="AV266" i="633"/>
  <c r="F266" i="633" s="1"/>
  <c r="G266" i="633" s="1"/>
  <c r="BA267" i="633"/>
  <c r="AW266" i="633" a="1"/>
  <c r="AW266" i="633" s="1"/>
  <c r="C269" i="633" l="1"/>
  <c r="D269" i="633"/>
  <c r="E269" i="633" s="1"/>
  <c r="B270" i="633"/>
  <c r="AV267" i="633"/>
  <c r="F267" i="633" s="1"/>
  <c r="G267" i="633" s="1"/>
  <c r="BA268" i="633"/>
  <c r="AW267" i="633" a="1"/>
  <c r="AW267" i="633" s="1"/>
  <c r="B271" i="633" l="1"/>
  <c r="C270" i="633"/>
  <c r="D270" i="633"/>
  <c r="E270" i="633" s="1"/>
  <c r="AV268" i="633"/>
  <c r="F268" i="633" s="1"/>
  <c r="G268" i="633" s="1"/>
  <c r="BA269" i="633"/>
  <c r="AZ268" i="633" a="1"/>
  <c r="AZ268" i="633" s="1"/>
  <c r="AJ268" i="633" s="1"/>
  <c r="AW268" i="633" a="1"/>
  <c r="AW268" i="633" s="1"/>
  <c r="D271" i="633" l="1"/>
  <c r="E271" i="633" s="1"/>
  <c r="B272" i="633"/>
  <c r="C271" i="633"/>
  <c r="AY268" i="633" a="1"/>
  <c r="AY268" i="633" s="1"/>
  <c r="J268" i="633" s="1"/>
  <c r="AX268" i="633" a="1"/>
  <c r="AX268" i="633" s="1"/>
  <c r="H268" i="633" s="1"/>
  <c r="AV269" i="633"/>
  <c r="F269" i="633" s="1"/>
  <c r="G269" i="633" s="1"/>
  <c r="AW269" i="633" a="1"/>
  <c r="AW269" i="633" s="1"/>
  <c r="BA270" i="633"/>
  <c r="AR268" i="633" l="1"/>
  <c r="B273" i="633"/>
  <c r="C272" i="633"/>
  <c r="D272" i="633"/>
  <c r="E272" i="633" s="1"/>
  <c r="AU268" i="633"/>
  <c r="AQ268" i="633" s="1"/>
  <c r="AV270" i="633"/>
  <c r="F270" i="633" s="1"/>
  <c r="G270" i="633" s="1"/>
  <c r="AW270" i="633" a="1"/>
  <c r="AW270" i="633" s="1"/>
  <c r="BA271" i="633"/>
  <c r="D273" i="633" l="1"/>
  <c r="E273" i="633" s="1"/>
  <c r="B274" i="633"/>
  <c r="C273" i="633"/>
  <c r="AV271" i="633"/>
  <c r="F271" i="633" s="1"/>
  <c r="G271" i="633" s="1"/>
  <c r="BA272" i="633"/>
  <c r="AW271" i="633" a="1"/>
  <c r="AW271" i="633" s="1"/>
  <c r="B275" i="633" l="1"/>
  <c r="C274" i="633"/>
  <c r="D274" i="633"/>
  <c r="E274" i="633" s="1"/>
  <c r="AV272" i="633"/>
  <c r="F272" i="633" s="1"/>
  <c r="G272" i="633" s="1"/>
  <c r="BA273" i="633"/>
  <c r="AW272" i="633" a="1"/>
  <c r="AW272" i="633" s="1"/>
  <c r="D275" i="633" l="1"/>
  <c r="E275" i="633" s="1"/>
  <c r="B276" i="633"/>
  <c r="C275" i="633"/>
  <c r="AV273" i="633"/>
  <c r="F273" i="633" s="1"/>
  <c r="G273" i="633" s="1"/>
  <c r="AW273" i="633" a="1"/>
  <c r="AW273" i="633" s="1"/>
  <c r="BA274" i="633"/>
  <c r="B277" i="633" l="1"/>
  <c r="D276" i="633"/>
  <c r="E276" i="633" s="1"/>
  <c r="C276" i="633"/>
  <c r="AV274" i="633"/>
  <c r="F274" i="633" s="1"/>
  <c r="G274" i="633" s="1"/>
  <c r="BA275" i="633"/>
  <c r="AW274" i="633" a="1"/>
  <c r="AW274" i="633" s="1"/>
  <c r="C277" i="633" l="1"/>
  <c r="D277" i="633"/>
  <c r="E277" i="633" s="1"/>
  <c r="B278" i="633"/>
  <c r="AV275" i="633"/>
  <c r="F275" i="633" s="1"/>
  <c r="G275" i="633" s="1"/>
  <c r="BA276" i="633"/>
  <c r="AW275" i="633" a="1"/>
  <c r="AW275" i="633" s="1"/>
  <c r="B279" i="633" l="1"/>
  <c r="C278" i="633"/>
  <c r="D278" i="633"/>
  <c r="E278" i="633" s="1"/>
  <c r="AV276" i="633"/>
  <c r="F276" i="633" s="1"/>
  <c r="G276" i="633" s="1"/>
  <c r="BA277" i="633"/>
  <c r="AW276" i="633" a="1"/>
  <c r="AW276" i="633" s="1"/>
  <c r="D279" i="633" l="1"/>
  <c r="E279" i="633" s="1"/>
  <c r="B280" i="633"/>
  <c r="C279" i="633"/>
  <c r="AV277" i="633"/>
  <c r="F277" i="633" s="1"/>
  <c r="G277" i="633" s="1"/>
  <c r="AW277" i="633" a="1"/>
  <c r="AW277" i="633" s="1"/>
  <c r="BA278" i="633"/>
  <c r="B281" i="633" l="1"/>
  <c r="C280" i="633"/>
  <c r="D280" i="633"/>
  <c r="E280" i="633" s="1"/>
  <c r="AV278" i="633"/>
  <c r="F278" i="633" s="1"/>
  <c r="G278" i="633" s="1"/>
  <c r="AW278" i="633" a="1"/>
  <c r="AW278" i="633" s="1"/>
  <c r="BA279" i="633"/>
  <c r="C281" i="633" l="1"/>
  <c r="D281" i="633"/>
  <c r="E281" i="633" s="1"/>
  <c r="B282" i="633"/>
  <c r="AV279" i="633"/>
  <c r="F279" i="633" s="1"/>
  <c r="G279" i="633" s="1"/>
  <c r="AW279" i="633" a="1"/>
  <c r="AW279" i="633" s="1"/>
  <c r="BA280" i="633"/>
  <c r="C282" i="633" l="1"/>
  <c r="B283" i="633"/>
  <c r="D282" i="633"/>
  <c r="E282" i="633" s="1"/>
  <c r="AV280" i="633"/>
  <c r="F280" i="633" s="1"/>
  <c r="G280" i="633" s="1"/>
  <c r="BA281" i="633"/>
  <c r="AW280" i="633" a="1"/>
  <c r="AW280" i="633" s="1"/>
  <c r="B284" i="633" l="1"/>
  <c r="C283" i="633"/>
  <c r="D283" i="633"/>
  <c r="E283" i="633" s="1"/>
  <c r="AV281" i="633"/>
  <c r="F281" i="633" s="1"/>
  <c r="G281" i="633" s="1"/>
  <c r="AW281" i="633" a="1"/>
  <c r="AW281" i="633" s="1"/>
  <c r="BA282" i="633"/>
  <c r="B285" i="633" l="1"/>
  <c r="C284" i="633"/>
  <c r="D284" i="633"/>
  <c r="E284" i="633" s="1"/>
  <c r="AV282" i="633"/>
  <c r="F282" i="633" s="1"/>
  <c r="G282" i="633" s="1"/>
  <c r="AW282" i="633" a="1"/>
  <c r="AW282" i="633" s="1"/>
  <c r="BA283" i="633"/>
  <c r="B286" i="633" l="1"/>
  <c r="D285" i="633"/>
  <c r="E285" i="633" s="1"/>
  <c r="C285" i="633"/>
  <c r="AV283" i="633"/>
  <c r="F283" i="633" s="1"/>
  <c r="G283" i="633" s="1"/>
  <c r="AW283" i="633" a="1"/>
  <c r="AW283" i="633" s="1"/>
  <c r="BA284" i="633"/>
  <c r="B287" i="633" l="1"/>
  <c r="C286" i="633"/>
  <c r="D286" i="633"/>
  <c r="E286" i="633" s="1"/>
  <c r="AV284" i="633"/>
  <c r="F284" i="633" s="1"/>
  <c r="G284" i="633" s="1"/>
  <c r="BA285" i="633"/>
  <c r="AW284" i="633" a="1"/>
  <c r="AW284" i="633" s="1"/>
  <c r="C287" i="633" l="1"/>
  <c r="D287" i="633"/>
  <c r="E287" i="633" s="1"/>
  <c r="B288" i="633"/>
  <c r="AV285" i="633"/>
  <c r="F285" i="633" s="1"/>
  <c r="G285" i="633" s="1"/>
  <c r="AW285" i="633" a="1"/>
  <c r="AW285" i="633" s="1"/>
  <c r="BA286" i="633"/>
  <c r="B289" i="633" l="1"/>
  <c r="C288" i="633"/>
  <c r="D288" i="633"/>
  <c r="E288" i="633" s="1"/>
  <c r="AV286" i="633"/>
  <c r="F286" i="633" s="1"/>
  <c r="G286" i="633" s="1"/>
  <c r="AW286" i="633" a="1"/>
  <c r="AW286" i="633" s="1"/>
  <c r="BA287" i="633"/>
  <c r="D289" i="633" l="1"/>
  <c r="E289" i="633" s="1"/>
  <c r="B290" i="633"/>
  <c r="C289" i="633"/>
  <c r="AV287" i="633"/>
  <c r="F287" i="633" s="1"/>
  <c r="G287" i="633" s="1"/>
  <c r="BA288" i="633"/>
  <c r="AW287" i="633" a="1"/>
  <c r="AW287" i="633" s="1"/>
  <c r="B291" i="633" l="1"/>
  <c r="D290" i="633"/>
  <c r="E290" i="633" s="1"/>
  <c r="C290" i="633"/>
  <c r="AV288" i="633"/>
  <c r="F288" i="633" s="1"/>
  <c r="G288" i="633" s="1"/>
  <c r="BA289" i="633"/>
  <c r="AW288" i="633" a="1"/>
  <c r="AW288" i="633" s="1"/>
  <c r="D291" i="633" l="1"/>
  <c r="E291" i="633" s="1"/>
  <c r="B292" i="633"/>
  <c r="C291" i="633"/>
  <c r="AV289" i="633"/>
  <c r="F289" i="633" s="1"/>
  <c r="G289" i="633" s="1"/>
  <c r="AW289" i="633" a="1"/>
  <c r="AW289" i="633" s="1"/>
  <c r="BA290" i="633"/>
  <c r="C292" i="633" l="1"/>
  <c r="B293" i="633"/>
  <c r="D292" i="633"/>
  <c r="E292" i="633" s="1"/>
  <c r="AV290" i="633"/>
  <c r="F290" i="633" s="1"/>
  <c r="G290" i="633" s="1"/>
  <c r="AW290" i="633" a="1"/>
  <c r="AW290" i="633" s="1"/>
  <c r="BA291" i="633"/>
  <c r="B294" i="633" l="1"/>
  <c r="C293" i="633"/>
  <c r="D293" i="633"/>
  <c r="E293" i="633" s="1"/>
  <c r="AV291" i="633"/>
  <c r="F291" i="633" s="1"/>
  <c r="G291" i="633" s="1"/>
  <c r="AW291" i="633" a="1"/>
  <c r="AW291" i="633" s="1"/>
  <c r="BA292" i="633"/>
  <c r="D294" i="633" l="1"/>
  <c r="E294" i="633" s="1"/>
  <c r="C294" i="633"/>
  <c r="B295" i="633"/>
  <c r="AV292" i="633"/>
  <c r="F292" i="633" s="1"/>
  <c r="G292" i="633" s="1"/>
  <c r="AW292" i="633" a="1"/>
  <c r="AW292" i="633" s="1"/>
  <c r="BA293" i="633"/>
  <c r="D295" i="633" l="1"/>
  <c r="E295" i="633" s="1"/>
  <c r="B296" i="633"/>
  <c r="C295" i="633"/>
  <c r="AV293" i="633"/>
  <c r="F293" i="633" s="1"/>
  <c r="G293" i="633" s="1"/>
  <c r="AW293" i="633" a="1"/>
  <c r="AW293" i="633" s="1"/>
  <c r="BA294" i="633"/>
  <c r="B297" i="633" l="1"/>
  <c r="C296" i="633"/>
  <c r="D296" i="633"/>
  <c r="E296" i="633" s="1"/>
  <c r="AV294" i="633"/>
  <c r="F294" i="633" s="1"/>
  <c r="G294" i="633" s="1"/>
  <c r="AW294" i="633" a="1"/>
  <c r="AW294" i="633" s="1"/>
  <c r="BA295" i="633"/>
  <c r="D297" i="633" l="1"/>
  <c r="E297" i="633" s="1"/>
  <c r="C297" i="633"/>
  <c r="B298" i="633"/>
  <c r="AV295" i="633"/>
  <c r="F295" i="633" s="1"/>
  <c r="G295" i="633" s="1"/>
  <c r="AW295" i="633" a="1"/>
  <c r="AW295" i="633" s="1"/>
  <c r="BA296" i="633"/>
  <c r="B299" i="633" l="1"/>
  <c r="C298" i="633"/>
  <c r="D298" i="633"/>
  <c r="E298" i="633" s="1"/>
  <c r="AV296" i="633"/>
  <c r="F296" i="633" s="1"/>
  <c r="G296" i="633" s="1"/>
  <c r="AW296" i="633" a="1"/>
  <c r="AW296" i="633" s="1"/>
  <c r="BA297" i="633"/>
  <c r="D299" i="633" l="1"/>
  <c r="E299" i="633" s="1"/>
  <c r="B300" i="633"/>
  <c r="C299" i="633"/>
  <c r="AV297" i="633"/>
  <c r="F297" i="633" s="1"/>
  <c r="G297" i="633" s="1"/>
  <c r="BA298" i="633"/>
  <c r="AW297" i="633" a="1"/>
  <c r="AW297" i="633" s="1"/>
  <c r="B301" i="633" l="1"/>
  <c r="D300" i="633"/>
  <c r="E300" i="633" s="1"/>
  <c r="C300" i="633"/>
  <c r="AV298" i="633"/>
  <c r="F298" i="633" s="1"/>
  <c r="G298" i="633" s="1"/>
  <c r="BA299" i="633"/>
  <c r="AW298" i="633" a="1"/>
  <c r="AW298" i="633" s="1"/>
  <c r="C301" i="633" l="1"/>
  <c r="B302" i="633"/>
  <c r="D301" i="633"/>
  <c r="E301" i="633" s="1"/>
  <c r="AV299" i="633"/>
  <c r="F299" i="633" s="1"/>
  <c r="G299" i="633" s="1"/>
  <c r="AW299" i="633" a="1"/>
  <c r="AW299" i="633" s="1"/>
  <c r="BA300" i="633"/>
  <c r="D302" i="633" l="1"/>
  <c r="E302" i="633" s="1"/>
  <c r="B303" i="633"/>
  <c r="C302" i="633"/>
  <c r="AV300" i="633"/>
  <c r="F300" i="633" s="1"/>
  <c r="G300" i="633" s="1"/>
  <c r="BA301" i="633"/>
  <c r="AW300" i="633" a="1"/>
  <c r="AW300" i="633" s="1"/>
  <c r="C303" i="633" l="1"/>
  <c r="D303" i="633"/>
  <c r="E303" i="633" s="1"/>
  <c r="B304" i="633"/>
  <c r="AV301" i="633"/>
  <c r="F301" i="633" s="1"/>
  <c r="G301" i="633" s="1"/>
  <c r="BA302" i="633"/>
  <c r="AW301" i="633" a="1"/>
  <c r="AW301" i="633" s="1"/>
  <c r="B305" i="633" l="1"/>
  <c r="C304" i="633"/>
  <c r="D304" i="633"/>
  <c r="E304" i="633" s="1"/>
  <c r="AV302" i="633"/>
  <c r="F302" i="633" s="1"/>
  <c r="G302" i="633" s="1"/>
  <c r="BA303" i="633"/>
  <c r="AW302" i="633" a="1"/>
  <c r="AW302" i="633" s="1"/>
  <c r="B306" i="633" l="1"/>
  <c r="C305" i="633"/>
  <c r="D305" i="633"/>
  <c r="E305" i="633" s="1"/>
  <c r="AV303" i="633"/>
  <c r="F303" i="633" s="1"/>
  <c r="G303" i="633" s="1"/>
  <c r="AW303" i="633" a="1"/>
  <c r="AW303" i="633" s="1"/>
  <c r="BA304" i="633"/>
  <c r="B307" i="633" l="1"/>
  <c r="C306" i="633"/>
  <c r="D306" i="633"/>
  <c r="E306" i="633" s="1"/>
  <c r="AV304" i="633"/>
  <c r="F304" i="633" s="1"/>
  <c r="G304" i="633" s="1"/>
  <c r="BA305" i="633"/>
  <c r="AW304" i="633" a="1"/>
  <c r="AW304" i="633" s="1"/>
  <c r="C307" i="633" l="1"/>
  <c r="D307" i="633"/>
  <c r="E307" i="633" s="1"/>
  <c r="B308" i="633"/>
  <c r="AV305" i="633"/>
  <c r="F305" i="633" s="1"/>
  <c r="G305" i="633" s="1"/>
  <c r="BA306" i="633"/>
  <c r="AW305" i="633" a="1"/>
  <c r="AW305" i="633" s="1"/>
  <c r="B309" i="633" l="1"/>
  <c r="D308" i="633"/>
  <c r="E308" i="633" s="1"/>
  <c r="C308" i="633"/>
  <c r="AV306" i="633"/>
  <c r="F306" i="633" s="1"/>
  <c r="G306" i="633" s="1"/>
  <c r="BA307" i="633"/>
  <c r="AW306" i="633" a="1"/>
  <c r="AW306" i="633" s="1"/>
  <c r="B310" i="633" l="1"/>
  <c r="C309" i="633"/>
  <c r="D309" i="633"/>
  <c r="E309" i="633" s="1"/>
  <c r="AV307" i="633"/>
  <c r="F307" i="633" s="1"/>
  <c r="G307" i="633" s="1"/>
  <c r="BA308" i="633"/>
  <c r="AW307" i="633" a="1"/>
  <c r="AW307" i="633" s="1"/>
  <c r="C310" i="633" l="1"/>
  <c r="D310" i="633"/>
  <c r="E310" i="633" s="1"/>
  <c r="B311" i="633"/>
  <c r="AV308" i="633"/>
  <c r="F308" i="633" s="1"/>
  <c r="G308" i="633" s="1"/>
  <c r="AW308" i="633" a="1"/>
  <c r="AW308" i="633" s="1"/>
  <c r="BA309" i="633"/>
  <c r="B312" i="633" l="1"/>
  <c r="D311" i="633"/>
  <c r="E311" i="633" s="1"/>
  <c r="C311" i="633"/>
  <c r="AV309" i="633"/>
  <c r="F309" i="633" s="1"/>
  <c r="G309" i="633" s="1"/>
  <c r="AW309" i="633" a="1"/>
  <c r="AW309" i="633" s="1"/>
  <c r="BA310" i="633"/>
  <c r="C312" i="633" l="1"/>
  <c r="D312" i="633"/>
  <c r="E312" i="633" s="1"/>
  <c r="B313" i="633"/>
  <c r="AV310" i="633"/>
  <c r="F310" i="633" s="1"/>
  <c r="G310" i="633" s="1"/>
  <c r="AW310" i="633" a="1"/>
  <c r="AW310" i="633" s="1"/>
  <c r="BA311" i="633"/>
  <c r="C313" i="633" l="1"/>
  <c r="D313" i="633"/>
  <c r="E313" i="633" s="1"/>
  <c r="B314" i="633"/>
  <c r="AV311" i="633"/>
  <c r="F311" i="633" s="1"/>
  <c r="G311" i="633" s="1"/>
  <c r="AW311" i="633" a="1"/>
  <c r="AW311" i="633" s="1"/>
  <c r="BA312" i="633"/>
  <c r="C314" i="633" l="1"/>
  <c r="B315" i="633"/>
  <c r="D314" i="633"/>
  <c r="E314" i="633" s="1"/>
  <c r="AV312" i="633"/>
  <c r="F312" i="633" s="1"/>
  <c r="G312" i="633" s="1"/>
  <c r="AW312" i="633" a="1"/>
  <c r="AW312" i="633" s="1"/>
  <c r="BA313" i="633"/>
  <c r="D315" i="633" l="1"/>
  <c r="E315" i="633" s="1"/>
  <c r="B316" i="633"/>
  <c r="C315" i="633"/>
  <c r="AV313" i="633"/>
  <c r="F313" i="633" s="1"/>
  <c r="G313" i="633" s="1"/>
  <c r="AW313" i="633" a="1"/>
  <c r="AW313" i="633" s="1"/>
  <c r="BA314" i="633"/>
  <c r="B317" i="633" l="1"/>
  <c r="C316" i="633"/>
  <c r="D316" i="633"/>
  <c r="E316" i="633" s="1"/>
  <c r="AV314" i="633"/>
  <c r="F314" i="633" s="1"/>
  <c r="G314" i="633" s="1"/>
  <c r="AW314" i="633" a="1"/>
  <c r="AW314" i="633" s="1"/>
  <c r="BA315" i="633"/>
  <c r="D317" i="633" l="1"/>
  <c r="E317" i="633" s="1"/>
  <c r="B318" i="633"/>
  <c r="C317" i="633"/>
  <c r="AV315" i="633"/>
  <c r="F315" i="633" s="1"/>
  <c r="G315" i="633" s="1"/>
  <c r="AW315" i="633" a="1"/>
  <c r="AW315" i="633" s="1"/>
  <c r="BA316" i="633"/>
  <c r="B319" i="633" l="1"/>
  <c r="C318" i="633"/>
  <c r="D318" i="633"/>
  <c r="E318" i="633" s="1"/>
  <c r="AV316" i="633"/>
  <c r="F316" i="633" s="1"/>
  <c r="G316" i="633" s="1"/>
  <c r="BA317" i="633"/>
  <c r="AW316" i="633" a="1"/>
  <c r="AW316" i="633" s="1"/>
  <c r="D319" i="633" l="1"/>
  <c r="E319" i="633" s="1"/>
  <c r="B320" i="633"/>
  <c r="C319" i="633"/>
  <c r="AV317" i="633"/>
  <c r="F317" i="633" s="1"/>
  <c r="G317" i="633" s="1"/>
  <c r="BA318" i="633"/>
  <c r="AW317" i="633" a="1"/>
  <c r="AW317" i="633" s="1"/>
  <c r="B321" i="633" l="1"/>
  <c r="C320" i="633"/>
  <c r="D320" i="633"/>
  <c r="E320" i="633" s="1"/>
  <c r="AV318" i="633"/>
  <c r="F318" i="633" s="1"/>
  <c r="G318" i="633" s="1"/>
  <c r="AW318" i="633" a="1"/>
  <c r="AW318" i="633" s="1"/>
  <c r="BA319" i="633"/>
  <c r="C321" i="633" l="1"/>
  <c r="D321" i="633"/>
  <c r="E321" i="633" s="1"/>
  <c r="B322" i="633"/>
  <c r="AV319" i="633"/>
  <c r="F319" i="633" s="1"/>
  <c r="G319" i="633" s="1"/>
  <c r="BA320" i="633"/>
  <c r="AW319" i="633" a="1"/>
  <c r="AW319" i="633" s="1"/>
  <c r="B323" i="633" l="1"/>
  <c r="C322" i="633"/>
  <c r="D322" i="633"/>
  <c r="E322" i="633" s="1"/>
  <c r="AV320" i="633"/>
  <c r="F320" i="633" s="1"/>
  <c r="G320" i="633" s="1"/>
  <c r="BA321" i="633"/>
  <c r="AW320" i="633" a="1"/>
  <c r="AW320" i="633" s="1"/>
  <c r="C323" i="633" l="1"/>
  <c r="D323" i="633"/>
  <c r="E323" i="633" s="1"/>
  <c r="B324" i="633"/>
  <c r="AV321" i="633"/>
  <c r="F321" i="633" s="1"/>
  <c r="G321" i="633" s="1"/>
  <c r="BA322" i="633"/>
  <c r="AW321" i="633" a="1"/>
  <c r="AW321" i="633" s="1"/>
  <c r="B325" i="633" l="1"/>
  <c r="D324" i="633"/>
  <c r="E324" i="633" s="1"/>
  <c r="C324" i="633"/>
  <c r="AV322" i="633"/>
  <c r="F322" i="633" s="1"/>
  <c r="G322" i="633" s="1"/>
  <c r="AW322" i="633" a="1"/>
  <c r="AW322" i="633" s="1"/>
  <c r="BA323" i="633"/>
  <c r="D325" i="633" l="1"/>
  <c r="E325" i="633" s="1"/>
  <c r="B326" i="633"/>
  <c r="C325" i="633"/>
  <c r="AV323" i="633"/>
  <c r="F323" i="633" s="1"/>
  <c r="G323" i="633" s="1"/>
  <c r="AW323" i="633" a="1"/>
  <c r="AW323" i="633" s="1"/>
  <c r="BA324" i="633"/>
  <c r="B327" i="633" l="1"/>
  <c r="C326" i="633"/>
  <c r="D326" i="633"/>
  <c r="E326" i="633" s="1"/>
  <c r="AV324" i="633"/>
  <c r="F324" i="633" s="1"/>
  <c r="G324" i="633" s="1"/>
  <c r="AW324" i="633" a="1"/>
  <c r="AW324" i="633" s="1"/>
  <c r="BA325" i="633"/>
  <c r="B328" i="633" l="1"/>
  <c r="D327" i="633"/>
  <c r="E327" i="633" s="1"/>
  <c r="C327" i="633"/>
  <c r="AV325" i="633"/>
  <c r="F325" i="633" s="1"/>
  <c r="G325" i="633" s="1"/>
  <c r="AW325" i="633" a="1"/>
  <c r="AW325" i="633" s="1"/>
  <c r="BA326" i="633"/>
  <c r="B329" i="633" l="1"/>
  <c r="C328" i="633"/>
  <c r="D328" i="633"/>
  <c r="E328" i="633" s="1"/>
  <c r="AV326" i="633"/>
  <c r="F326" i="633" s="1"/>
  <c r="G326" i="633" s="1"/>
  <c r="BA327" i="633"/>
  <c r="AW326" i="633" a="1"/>
  <c r="AW326" i="633" s="1"/>
  <c r="D329" i="633" l="1"/>
  <c r="E329" i="633" s="1"/>
  <c r="B330" i="633"/>
  <c r="C329" i="633"/>
  <c r="AV327" i="633"/>
  <c r="F327" i="633" s="1"/>
  <c r="G327" i="633" s="1"/>
  <c r="BA328" i="633"/>
  <c r="AW327" i="633" a="1"/>
  <c r="AW327" i="633" s="1"/>
  <c r="B331" i="633" l="1"/>
  <c r="C330" i="633"/>
  <c r="D330" i="633"/>
  <c r="E330" i="633" s="1"/>
  <c r="AV328" i="633"/>
  <c r="F328" i="633" s="1"/>
  <c r="G328" i="633" s="1"/>
  <c r="BA329" i="633"/>
  <c r="AW328" i="633" a="1"/>
  <c r="AW328" i="633" s="1"/>
  <c r="D331" i="633" l="1"/>
  <c r="E331" i="633" s="1"/>
  <c r="B332" i="633"/>
  <c r="C331" i="633"/>
  <c r="AV329" i="633"/>
  <c r="F329" i="633" s="1"/>
  <c r="G329" i="633" s="1"/>
  <c r="AW329" i="633" a="1"/>
  <c r="AW329" i="633" s="1"/>
  <c r="BA330" i="633"/>
  <c r="D332" i="633" l="1"/>
  <c r="E332" i="633" s="1"/>
  <c r="B333" i="633"/>
  <c r="C332" i="633"/>
  <c r="AV330" i="633"/>
  <c r="F330" i="633" s="1"/>
  <c r="G330" i="633" s="1"/>
  <c r="AW330" i="633" a="1"/>
  <c r="AW330" i="633" s="1"/>
  <c r="BA331" i="633"/>
  <c r="C333" i="633" l="1"/>
  <c r="B334" i="633"/>
  <c r="D333" i="633"/>
  <c r="E333" i="633" s="1"/>
  <c r="AV331" i="633"/>
  <c r="F331" i="633" s="1"/>
  <c r="G331" i="633" s="1"/>
  <c r="AW331" i="633" a="1"/>
  <c r="AW331" i="633" s="1"/>
  <c r="BA332" i="633"/>
  <c r="B335" i="633" l="1"/>
  <c r="D334" i="633"/>
  <c r="E334" i="633" s="1"/>
  <c r="C334" i="633"/>
  <c r="AV332" i="633"/>
  <c r="F332" i="633" s="1"/>
  <c r="G332" i="633" s="1"/>
  <c r="AW332" i="633" a="1"/>
  <c r="AW332" i="633" s="1"/>
  <c r="BA333" i="633"/>
  <c r="D335" i="633" l="1"/>
  <c r="E335" i="633" s="1"/>
  <c r="B336" i="633"/>
  <c r="C335" i="633"/>
  <c r="AV333" i="633"/>
  <c r="F333" i="633" s="1"/>
  <c r="G333" i="633" s="1"/>
  <c r="BA334" i="633"/>
  <c r="AW333" i="633" a="1"/>
  <c r="AW333" i="633" s="1"/>
  <c r="C336" i="633" l="1"/>
  <c r="B337" i="633"/>
  <c r="D336" i="633"/>
  <c r="E336" i="633" s="1"/>
  <c r="AV334" i="633"/>
  <c r="F334" i="633" s="1"/>
  <c r="G334" i="633" s="1"/>
  <c r="BA335" i="633"/>
  <c r="AW334" i="633" a="1"/>
  <c r="AW334" i="633" s="1"/>
  <c r="D337" i="633" l="1"/>
  <c r="E337" i="633" s="1"/>
  <c r="B338" i="633"/>
  <c r="C337" i="633"/>
  <c r="AV335" i="633"/>
  <c r="F335" i="633" s="1"/>
  <c r="G335" i="633" s="1"/>
  <c r="AW335" i="633" a="1"/>
  <c r="AW335" i="633" s="1"/>
  <c r="BA336" i="633"/>
  <c r="B339" i="633" l="1"/>
  <c r="C338" i="633"/>
  <c r="D338" i="633"/>
  <c r="E338" i="633" s="1"/>
  <c r="AV336" i="633"/>
  <c r="F336" i="633" s="1"/>
  <c r="G336" i="633" s="1"/>
  <c r="AW336" i="633" a="1"/>
  <c r="AW336" i="633" s="1"/>
  <c r="BA337" i="633"/>
  <c r="D339" i="633" l="1"/>
  <c r="E339" i="633" s="1"/>
  <c r="C339" i="633"/>
  <c r="B340" i="633"/>
  <c r="AV337" i="633"/>
  <c r="F337" i="633" s="1"/>
  <c r="G337" i="633" s="1"/>
  <c r="AW337" i="633" a="1"/>
  <c r="AW337" i="633" s="1"/>
  <c r="BA338" i="633"/>
  <c r="D340" i="633" l="1"/>
  <c r="E340" i="633" s="1"/>
  <c r="C340" i="633"/>
  <c r="B341" i="633"/>
  <c r="AV338" i="633"/>
  <c r="F338" i="633" s="1"/>
  <c r="G338" i="633" s="1"/>
  <c r="AW338" i="633" a="1"/>
  <c r="AW338" i="633" s="1"/>
  <c r="BA339" i="633"/>
  <c r="D341" i="633" l="1"/>
  <c r="E341" i="633" s="1"/>
  <c r="B342" i="633"/>
  <c r="C341" i="633"/>
  <c r="AV339" i="633"/>
  <c r="F339" i="633" s="1"/>
  <c r="G339" i="633" s="1"/>
  <c r="AW339" i="633" a="1"/>
  <c r="AW339" i="633" s="1"/>
  <c r="BA340" i="633"/>
  <c r="C342" i="633" l="1"/>
  <c r="D342" i="633"/>
  <c r="E342" i="633" s="1"/>
  <c r="B343" i="633"/>
  <c r="AV340" i="633"/>
  <c r="F340" i="633" s="1"/>
  <c r="G340" i="633" s="1"/>
  <c r="AW340" i="633" a="1"/>
  <c r="AW340" i="633" s="1"/>
  <c r="BA341" i="633"/>
  <c r="D343" i="633" l="1"/>
  <c r="E343" i="633" s="1"/>
  <c r="C343" i="633"/>
  <c r="B344" i="633"/>
  <c r="AV341" i="633"/>
  <c r="F341" i="633" s="1"/>
  <c r="G341" i="633" s="1"/>
  <c r="BA342" i="633"/>
  <c r="AW341" i="633" a="1"/>
  <c r="AW341" i="633" s="1"/>
  <c r="B345" i="633" l="1"/>
  <c r="C344" i="633"/>
  <c r="D344" i="633"/>
  <c r="E344" i="633" s="1"/>
  <c r="AV342" i="633"/>
  <c r="F342" i="633" s="1"/>
  <c r="G342" i="633" s="1"/>
  <c r="AW342" i="633" a="1"/>
  <c r="AW342" i="633" s="1"/>
  <c r="BA343" i="633"/>
  <c r="D345" i="633" l="1"/>
  <c r="E345" i="633" s="1"/>
  <c r="C345" i="633"/>
  <c r="B346" i="633"/>
  <c r="AV343" i="633"/>
  <c r="F343" i="633" s="1"/>
  <c r="G343" i="633" s="1"/>
  <c r="AW343" i="633" a="1"/>
  <c r="AW343" i="633" s="1"/>
  <c r="BA344" i="633"/>
  <c r="B347" i="633" l="1"/>
  <c r="C346" i="633"/>
  <c r="D346" i="633"/>
  <c r="E346" i="633" s="1"/>
  <c r="AV344" i="633"/>
  <c r="F344" i="633" s="1"/>
  <c r="G344" i="633" s="1"/>
  <c r="BA345" i="633"/>
  <c r="AW344" i="633" a="1"/>
  <c r="AW344" i="633" s="1"/>
  <c r="C347" i="633" l="1"/>
  <c r="D347" i="633"/>
  <c r="E347" i="633" s="1"/>
  <c r="B348" i="633"/>
  <c r="AV345" i="633"/>
  <c r="F345" i="633" s="1"/>
  <c r="G345" i="633" s="1"/>
  <c r="BA346" i="633"/>
  <c r="AW345" i="633" a="1"/>
  <c r="AW345" i="633" s="1"/>
  <c r="B349" i="633" l="1"/>
  <c r="C348" i="633"/>
  <c r="D348" i="633"/>
  <c r="E348" i="633" s="1"/>
  <c r="AV346" i="633"/>
  <c r="F346" i="633" s="1"/>
  <c r="G346" i="633" s="1"/>
  <c r="AW346" i="633" a="1"/>
  <c r="AW346" i="633" s="1"/>
  <c r="BA347" i="633"/>
  <c r="D349" i="633" l="1"/>
  <c r="E349" i="633" s="1"/>
  <c r="C349" i="633"/>
  <c r="B350" i="633"/>
  <c r="AV347" i="633"/>
  <c r="F347" i="633" s="1"/>
  <c r="G347" i="633" s="1"/>
  <c r="BA348" i="633"/>
  <c r="AW347" i="633" a="1"/>
  <c r="AW347" i="633" s="1"/>
  <c r="D350" i="633" l="1"/>
  <c r="E350" i="633" s="1"/>
  <c r="B351" i="633"/>
  <c r="C350" i="633"/>
  <c r="AV348" i="633"/>
  <c r="F348" i="633" s="1"/>
  <c r="G348" i="633" s="1"/>
  <c r="AW348" i="633" a="1"/>
  <c r="AW348" i="633" s="1"/>
  <c r="BA349" i="633"/>
  <c r="D351" i="633" l="1"/>
  <c r="E351" i="633" s="1"/>
  <c r="B352" i="633"/>
  <c r="C351" i="633"/>
  <c r="AV349" i="633"/>
  <c r="F349" i="633" s="1"/>
  <c r="G349" i="633" s="1"/>
  <c r="BA350" i="633"/>
  <c r="AW349" i="633" a="1"/>
  <c r="AW349" i="633" s="1"/>
  <c r="C352" i="633" l="1"/>
  <c r="B353" i="633"/>
  <c r="D352" i="633"/>
  <c r="E352" i="633" s="1"/>
  <c r="AV350" i="633"/>
  <c r="F350" i="633" s="1"/>
  <c r="G350" i="633" s="1"/>
  <c r="BA351" i="633"/>
  <c r="AW350" i="633" a="1"/>
  <c r="AW350" i="633" s="1"/>
  <c r="C353" i="633" l="1"/>
  <c r="D353" i="633"/>
  <c r="E353" i="633" s="1"/>
  <c r="B354" i="633"/>
  <c r="AV351" i="633"/>
  <c r="F351" i="633" s="1"/>
  <c r="G351" i="633" s="1"/>
  <c r="AW351" i="633" a="1"/>
  <c r="AW351" i="633" s="1"/>
  <c r="BA352" i="633"/>
  <c r="C354" i="633" l="1"/>
  <c r="D354" i="633"/>
  <c r="E354" i="633" s="1"/>
  <c r="B355" i="633"/>
  <c r="AV352" i="633"/>
  <c r="F352" i="633" s="1"/>
  <c r="G352" i="633" s="1"/>
  <c r="AW352" i="633" a="1"/>
  <c r="AW352" i="633" s="1"/>
  <c r="BA353" i="633"/>
  <c r="D355" i="633" l="1"/>
  <c r="E355" i="633" s="1"/>
  <c r="B356" i="633"/>
  <c r="C355" i="633"/>
  <c r="AV353" i="633"/>
  <c r="F353" i="633" s="1"/>
  <c r="G353" i="633" s="1"/>
  <c r="BA354" i="633"/>
  <c r="AW353" i="633" a="1"/>
  <c r="AW353" i="633" s="1"/>
  <c r="D356" i="633" l="1"/>
  <c r="E356" i="633" s="1"/>
  <c r="C356" i="633"/>
  <c r="B357" i="633"/>
  <c r="AV354" i="633"/>
  <c r="F354" i="633" s="1"/>
  <c r="G354" i="633" s="1"/>
  <c r="AW354" i="633" a="1"/>
  <c r="AW354" i="633" s="1"/>
  <c r="BA355" i="633"/>
  <c r="D357" i="633" l="1"/>
  <c r="E357" i="633" s="1"/>
  <c r="C357" i="633"/>
  <c r="B358" i="633"/>
  <c r="AV355" i="633"/>
  <c r="F355" i="633" s="1"/>
  <c r="G355" i="633" s="1"/>
  <c r="BA356" i="633"/>
  <c r="AW355" i="633" a="1"/>
  <c r="AW355" i="633" s="1"/>
  <c r="B359" i="633" l="1"/>
  <c r="C358" i="633"/>
  <c r="D358" i="633"/>
  <c r="E358" i="633" s="1"/>
  <c r="AV356" i="633"/>
  <c r="F356" i="633" s="1"/>
  <c r="G356" i="633" s="1"/>
  <c r="BA357" i="633"/>
  <c r="AW356" i="633" a="1"/>
  <c r="AW356" i="633" s="1"/>
  <c r="D359" i="633" l="1"/>
  <c r="E359" i="633" s="1"/>
  <c r="B360" i="633"/>
  <c r="C359" i="633"/>
  <c r="AV357" i="633"/>
  <c r="F357" i="633" s="1"/>
  <c r="G357" i="633" s="1"/>
  <c r="BA358" i="633"/>
  <c r="AW357" i="633" a="1"/>
  <c r="AW357" i="633" s="1"/>
  <c r="B361" i="633" l="1"/>
  <c r="D360" i="633"/>
  <c r="E360" i="633" s="1"/>
  <c r="C360" i="633"/>
  <c r="AV358" i="633"/>
  <c r="F358" i="633" s="1"/>
  <c r="G358" i="633" s="1"/>
  <c r="AW358" i="633" a="1"/>
  <c r="AW358" i="633" s="1"/>
  <c r="BA359" i="633"/>
  <c r="C361" i="633" l="1"/>
  <c r="D361" i="633"/>
  <c r="E361" i="633" s="1"/>
  <c r="B362" i="633"/>
  <c r="AV359" i="633"/>
  <c r="F359" i="633" s="1"/>
  <c r="G359" i="633" s="1"/>
  <c r="BA360" i="633"/>
  <c r="AW359" i="633" a="1"/>
  <c r="AW359" i="633" s="1"/>
  <c r="B363" i="633" l="1"/>
  <c r="C362" i="633"/>
  <c r="D362" i="633"/>
  <c r="E362" i="633" s="1"/>
  <c r="AV360" i="633"/>
  <c r="F360" i="633" s="1"/>
  <c r="G360" i="633" s="1"/>
  <c r="AW360" i="633" a="1"/>
  <c r="AW360" i="633" s="1"/>
  <c r="BA361" i="633"/>
  <c r="B364" i="633" l="1"/>
  <c r="D363" i="633"/>
  <c r="E363" i="633" s="1"/>
  <c r="C363" i="633"/>
  <c r="AV361" i="633"/>
  <c r="F361" i="633" s="1"/>
  <c r="G361" i="633" s="1"/>
  <c r="BA362" i="633"/>
  <c r="AW361" i="633" a="1"/>
  <c r="AW361" i="633" s="1"/>
  <c r="B365" i="633" l="1"/>
  <c r="C364" i="633"/>
  <c r="D364" i="633"/>
  <c r="E364" i="633" s="1"/>
  <c r="AV362" i="633"/>
  <c r="F362" i="633" s="1"/>
  <c r="G362" i="633" s="1"/>
  <c r="BA363" i="633"/>
  <c r="AW362" i="633" a="1"/>
  <c r="AW362" i="633" s="1"/>
  <c r="D365" i="633" l="1"/>
  <c r="E365" i="633" s="1"/>
  <c r="C365" i="633"/>
  <c r="B366" i="633"/>
  <c r="AV363" i="633"/>
  <c r="F363" i="633" s="1"/>
  <c r="G363" i="633" s="1"/>
  <c r="AW363" i="633" a="1"/>
  <c r="AW363" i="633" s="1"/>
  <c r="BA364" i="633"/>
  <c r="B367" i="633" l="1"/>
  <c r="D366" i="633"/>
  <c r="E366" i="633" s="1"/>
  <c r="C366" i="633"/>
  <c r="AV364" i="633"/>
  <c r="F364" i="633" s="1"/>
  <c r="G364" i="633" s="1"/>
  <c r="AW364" i="633" a="1"/>
  <c r="AW364" i="633" s="1"/>
  <c r="BA365" i="633"/>
  <c r="B368" i="633" l="1"/>
  <c r="D367" i="633"/>
  <c r="E367" i="633" s="1"/>
  <c r="C367" i="633"/>
  <c r="AV365" i="633"/>
  <c r="F365" i="633" s="1"/>
  <c r="G365" i="633" s="1"/>
  <c r="AW365" i="633" a="1"/>
  <c r="AW365" i="633" s="1"/>
  <c r="BA366" i="633"/>
  <c r="C368" i="633" l="1"/>
  <c r="B369" i="633"/>
  <c r="D368" i="633"/>
  <c r="E368" i="633" s="1"/>
  <c r="AV366" i="633"/>
  <c r="F366" i="633" s="1"/>
  <c r="G366" i="633" s="1"/>
  <c r="BA367" i="633"/>
  <c r="AW366" i="633" a="1"/>
  <c r="AW366" i="633" s="1"/>
  <c r="D369" i="633" l="1"/>
  <c r="E369" i="633" s="1"/>
  <c r="B370" i="633"/>
  <c r="C369" i="633"/>
  <c r="AV367" i="633"/>
  <c r="F367" i="633" s="1"/>
  <c r="G367" i="633" s="1"/>
  <c r="AW367" i="633" a="1"/>
  <c r="AW367" i="633" s="1"/>
  <c r="BA368" i="633"/>
  <c r="B371" i="633" l="1"/>
  <c r="D370" i="633"/>
  <c r="E370" i="633" s="1"/>
  <c r="C370" i="633"/>
  <c r="AV368" i="633"/>
  <c r="F368" i="633" s="1"/>
  <c r="G368" i="633" s="1"/>
  <c r="BA369" i="633"/>
  <c r="AW368" i="633" a="1"/>
  <c r="AW368" i="633" s="1"/>
  <c r="B372" i="633" l="1"/>
  <c r="D371" i="633"/>
  <c r="E371" i="633" s="1"/>
  <c r="C371" i="633"/>
  <c r="AV369" i="633"/>
  <c r="F369" i="633" s="1"/>
  <c r="G369" i="633" s="1"/>
  <c r="AW369" i="633" a="1"/>
  <c r="AW369" i="633" s="1"/>
  <c r="BA370" i="633"/>
  <c r="H48" i="27" l="1"/>
  <c r="H39" i="27"/>
  <c r="H42" i="27"/>
  <c r="H40" i="27"/>
  <c r="H37" i="27"/>
  <c r="H34" i="27"/>
  <c r="H41" i="27"/>
  <c r="H36" i="27"/>
  <c r="H33" i="27"/>
  <c r="H35" i="27"/>
  <c r="H38" i="27"/>
  <c r="C372" i="633"/>
  <c r="D372" i="633"/>
  <c r="E372" i="633" s="1"/>
  <c r="AV370" i="633"/>
  <c r="F370" i="633" s="1"/>
  <c r="G370" i="633" s="1"/>
  <c r="AW370" i="633" a="1"/>
  <c r="AW370" i="633" s="1"/>
  <c r="BA371" i="633"/>
  <c r="J2" i="650" l="1"/>
  <c r="J3" i="650" s="1"/>
  <c r="J6" i="650"/>
  <c r="H13" i="650"/>
  <c r="K13" i="650"/>
  <c r="I10" i="650"/>
  <c r="J9" i="650"/>
  <c r="K12" i="650"/>
  <c r="L12" i="650" s="1"/>
  <c r="I2" i="650"/>
  <c r="AV371" i="633"/>
  <c r="F371" i="633" s="1"/>
  <c r="G371" i="633" s="1"/>
  <c r="AW371" i="633" a="1"/>
  <c r="AW371" i="633" s="1"/>
  <c r="BA372" i="633"/>
  <c r="B5" i="648" l="1"/>
  <c r="L3" i="650"/>
  <c r="J14" i="650"/>
  <c r="J16" i="650" s="1"/>
  <c r="L9" i="650"/>
  <c r="I14" i="650"/>
  <c r="L10" i="650"/>
  <c r="L13" i="650"/>
  <c r="H14" i="650"/>
  <c r="H16" i="650" s="1"/>
  <c r="L11" i="650"/>
  <c r="K14" i="650"/>
  <c r="L2" i="650"/>
  <c r="AV372" i="633"/>
  <c r="F372" i="633" s="1"/>
  <c r="G372" i="633" s="1"/>
  <c r="P12" i="27"/>
  <c r="AW372" i="633" a="1"/>
  <c r="AW372" i="633" s="1"/>
  <c r="P13" i="27"/>
  <c r="H10" i="648" l="1"/>
  <c r="J10" i="648" s="1"/>
  <c r="L10" i="648" s="1"/>
  <c r="H9" i="648"/>
  <c r="J9" i="648" s="1"/>
  <c r="H5" i="648"/>
  <c r="J5" i="648" s="1"/>
  <c r="L5" i="648" s="1"/>
  <c r="H4" i="648"/>
  <c r="J4" i="648" s="1"/>
  <c r="L16" i="650"/>
  <c r="B12" i="648"/>
  <c r="B13" i="648" s="1"/>
  <c r="F12" i="648"/>
  <c r="F13" i="648" s="1"/>
  <c r="F18" i="648" s="1"/>
  <c r="F19" i="648" s="1"/>
  <c r="E12" i="648"/>
  <c r="E13" i="648" s="1"/>
  <c r="E18" i="648" s="1"/>
  <c r="E19" i="648" s="1"/>
  <c r="C12" i="648"/>
  <c r="C13" i="648" s="1"/>
  <c r="C18" i="648" s="1"/>
  <c r="C19" i="648" s="1"/>
  <c r="D12" i="648"/>
  <c r="D13" i="648" s="1"/>
  <c r="D18" i="648" s="1"/>
  <c r="D19" i="648" s="1"/>
  <c r="L14" i="650"/>
  <c r="P18" i="27"/>
  <c r="P17" i="27"/>
  <c r="P9" i="27"/>
  <c r="P14" i="27"/>
  <c r="P15" i="27"/>
  <c r="P10" i="27"/>
  <c r="P11" i="27"/>
  <c r="P16" i="27"/>
  <c r="P8" i="27"/>
  <c r="P7" i="27"/>
  <c r="Q7" i="27" s="1"/>
  <c r="B18" i="648" l="1"/>
  <c r="B27" i="648"/>
  <c r="C27" i="648" s="1"/>
  <c r="Q8" i="27"/>
  <c r="Q9" i="27" s="1"/>
  <c r="Q10" i="27" s="1"/>
  <c r="Q11" i="27" s="1"/>
  <c r="Q12" i="27" s="1"/>
  <c r="Q13" i="27" s="1"/>
  <c r="Q14" i="27" s="1"/>
  <c r="Q15" i="27" s="1"/>
  <c r="Q16" i="27" s="1"/>
  <c r="Q17" i="27" s="1"/>
  <c r="Q18" i="27" s="1"/>
  <c r="P19" i="27"/>
  <c r="C42" i="648" l="1"/>
  <c r="K4" i="648"/>
  <c r="L4" i="648" s="1"/>
  <c r="K9" i="648"/>
  <c r="L9" i="648" s="1"/>
  <c r="D27" i="648"/>
  <c r="I27" i="648" s="1"/>
  <c r="B19" i="648"/>
  <c r="B28" i="648"/>
  <c r="H60" i="27"/>
  <c r="H55" i="27"/>
  <c r="H26" i="27"/>
  <c r="H29" i="27"/>
  <c r="H30" i="27"/>
  <c r="H32" i="27"/>
  <c r="H46" i="27"/>
  <c r="H43" i="27"/>
  <c r="H45" i="27"/>
  <c r="H25" i="27"/>
  <c r="H53" i="27"/>
  <c r="H54" i="27"/>
  <c r="H44" i="27"/>
  <c r="H31" i="27"/>
  <c r="H28" i="27"/>
  <c r="H47" i="27"/>
  <c r="H27" i="27"/>
  <c r="C28" i="648" l="1"/>
  <c r="F31" i="648" s="1"/>
  <c r="M10" i="648"/>
  <c r="N10" i="648" s="1"/>
  <c r="O10" i="648" s="1"/>
  <c r="P10" i="648" s="1"/>
  <c r="Q10" i="648" s="1"/>
  <c r="M9" i="648"/>
  <c r="N9" i="648" s="1"/>
  <c r="O9" i="648" s="1"/>
  <c r="P9" i="648" s="1"/>
  <c r="Q9" i="648" s="1"/>
  <c r="M4" i="648"/>
  <c r="N4" i="648" s="1"/>
  <c r="O4" i="648" s="1"/>
  <c r="P4" i="648" s="1"/>
  <c r="Q4" i="648" s="1"/>
  <c r="M5" i="648"/>
  <c r="N5" i="648" s="1"/>
  <c r="O5" i="648" s="1"/>
  <c r="P5" i="648" s="1"/>
  <c r="Q5" i="648" s="1"/>
  <c r="E28" i="648"/>
  <c r="E32" i="648"/>
  <c r="E33" i="648"/>
  <c r="E30" i="648"/>
  <c r="E31" i="648"/>
  <c r="E29" i="648"/>
  <c r="H52" i="27"/>
  <c r="G56" i="27"/>
  <c r="H24" i="27"/>
  <c r="G49" i="27"/>
  <c r="H49" i="27" s="1"/>
  <c r="G61" i="27"/>
  <c r="H61" i="27" s="1"/>
  <c r="H59" i="27"/>
  <c r="F27" i="648" l="1"/>
  <c r="F32" i="648"/>
  <c r="F29" i="648"/>
  <c r="F28" i="648"/>
  <c r="F30" i="648"/>
  <c r="D42" i="648"/>
  <c r="F33" i="648"/>
  <c r="H56" i="27"/>
  <c r="H63" i="27" s="1"/>
  <c r="G63" i="27"/>
  <c r="B30" i="647" l="1"/>
  <c r="C30" i="647" s="1"/>
  <c r="E43" i="648"/>
  <c r="C43" i="648"/>
  <c r="D43" i="648"/>
  <c r="J40" i="633"/>
  <c r="J251" i="633"/>
  <c r="J9" i="633"/>
  <c r="J282" i="633"/>
  <c r="J222" i="633"/>
  <c r="J194" i="633"/>
  <c r="J162" i="633"/>
  <c r="J131" i="633"/>
  <c r="J369" i="633"/>
  <c r="J100" i="633"/>
  <c r="J313" i="633"/>
  <c r="J69" i="633"/>
  <c r="J338" i="633"/>
  <c r="J337" i="633"/>
  <c r="J335" i="633"/>
  <c r="J336" i="633"/>
  <c r="J334" i="633"/>
  <c r="J331" i="633"/>
  <c r="J330" i="633"/>
  <c r="J328" i="633"/>
  <c r="J329" i="633"/>
  <c r="J327" i="633"/>
  <c r="J324" i="633"/>
  <c r="J323" i="633"/>
  <c r="J322" i="633"/>
  <c r="J321" i="633"/>
  <c r="J317" i="633"/>
  <c r="J316" i="633"/>
  <c r="J315" i="633"/>
  <c r="J314" i="633"/>
  <c r="J308" i="633"/>
  <c r="J307" i="633"/>
  <c r="J306" i="633"/>
  <c r="J303" i="633"/>
  <c r="J302" i="633"/>
  <c r="J300" i="633"/>
  <c r="J301" i="633"/>
  <c r="J299" i="633"/>
  <c r="J295" i="633"/>
  <c r="J296" i="633"/>
  <c r="J293" i="633"/>
  <c r="J294" i="633"/>
  <c r="J292" i="633"/>
  <c r="J289" i="633"/>
  <c r="J288" i="633"/>
  <c r="J287" i="633"/>
  <c r="J286" i="633"/>
  <c r="J285" i="633"/>
  <c r="J280" i="633"/>
  <c r="J279" i="633"/>
  <c r="J278" i="633"/>
  <c r="J261" i="633"/>
  <c r="J260" i="633"/>
  <c r="J259" i="633"/>
  <c r="J258" i="633"/>
  <c r="J257" i="633"/>
  <c r="J254" i="633"/>
  <c r="J253" i="633"/>
  <c r="J252" i="633"/>
  <c r="J250" i="633"/>
  <c r="J247" i="633"/>
  <c r="J246" i="633"/>
  <c r="J245" i="633"/>
  <c r="J244" i="633"/>
  <c r="J243" i="633"/>
  <c r="J240" i="633"/>
  <c r="J239" i="633"/>
  <c r="J237" i="633"/>
  <c r="J238" i="633"/>
  <c r="J236" i="633"/>
  <c r="J219" i="633"/>
  <c r="J218" i="633"/>
  <c r="J217" i="633"/>
  <c r="J216" i="633"/>
  <c r="J215" i="633"/>
  <c r="J212" i="633"/>
  <c r="J211" i="633"/>
  <c r="J210" i="633"/>
  <c r="J209" i="633"/>
  <c r="J208" i="633"/>
  <c r="J205" i="633"/>
  <c r="J204" i="633"/>
  <c r="J203" i="633"/>
  <c r="J202" i="633"/>
  <c r="J201" i="633"/>
  <c r="J198" i="633"/>
  <c r="J197" i="633"/>
  <c r="J196" i="633"/>
  <c r="J195" i="633"/>
  <c r="J191" i="633"/>
  <c r="J190" i="633"/>
  <c r="J189" i="633"/>
  <c r="J188" i="633"/>
  <c r="J187" i="633"/>
  <c r="J184" i="633"/>
  <c r="J183" i="633"/>
  <c r="J181" i="633"/>
  <c r="J182" i="633"/>
  <c r="J180" i="633"/>
  <c r="J177" i="633"/>
  <c r="J176" i="633"/>
  <c r="J175" i="633"/>
  <c r="J174" i="633"/>
  <c r="J173" i="633"/>
  <c r="J170" i="633"/>
  <c r="J169" i="633"/>
  <c r="J168" i="633"/>
  <c r="J167" i="633"/>
  <c r="J166" i="633"/>
  <c r="J149" i="633"/>
  <c r="J148" i="633"/>
  <c r="J147" i="633"/>
  <c r="J146" i="633"/>
  <c r="J145" i="633"/>
  <c r="J142" i="633"/>
  <c r="J141" i="633"/>
  <c r="J139" i="633"/>
  <c r="J140" i="633"/>
  <c r="J138" i="633"/>
  <c r="J135" i="633"/>
  <c r="J134" i="633"/>
  <c r="J132" i="633"/>
  <c r="J133" i="633"/>
  <c r="J128" i="633"/>
  <c r="J127" i="633"/>
  <c r="J126" i="633"/>
  <c r="J125" i="633"/>
  <c r="J124" i="633"/>
  <c r="J121" i="633"/>
  <c r="J120" i="633"/>
  <c r="J119" i="633"/>
  <c r="J118" i="633"/>
  <c r="J117" i="633"/>
  <c r="J114" i="633"/>
  <c r="J112" i="633"/>
  <c r="J113" i="633"/>
  <c r="J111" i="633"/>
  <c r="J110" i="633"/>
  <c r="J107" i="633"/>
  <c r="J105" i="633"/>
  <c r="J106" i="633"/>
  <c r="J104" i="633"/>
  <c r="J103" i="633"/>
  <c r="J99" i="633"/>
  <c r="J98" i="633"/>
  <c r="J97" i="633"/>
  <c r="J96" i="633"/>
  <c r="J93" i="633"/>
  <c r="J92" i="633"/>
  <c r="J91" i="633"/>
  <c r="J90" i="633"/>
  <c r="J89" i="633"/>
  <c r="J86" i="633"/>
  <c r="J85" i="633"/>
  <c r="J84" i="633"/>
  <c r="J83" i="633"/>
  <c r="J82" i="633"/>
  <c r="J65" i="633"/>
  <c r="J64" i="633"/>
  <c r="J63" i="633"/>
  <c r="J62" i="633"/>
  <c r="J61" i="633"/>
  <c r="J58" i="633"/>
  <c r="J57" i="633"/>
  <c r="J56" i="633"/>
  <c r="J55" i="633"/>
  <c r="J54" i="633"/>
  <c r="J51" i="633"/>
  <c r="J49" i="633"/>
  <c r="J50" i="633"/>
  <c r="J48" i="633"/>
  <c r="J47" i="633"/>
  <c r="J43" i="633"/>
  <c r="J44" i="633"/>
  <c r="J42" i="633"/>
  <c r="J41" i="633"/>
  <c r="J37" i="633"/>
  <c r="J35" i="633"/>
  <c r="J36" i="633"/>
  <c r="J34" i="633"/>
  <c r="J33" i="633"/>
  <c r="J30" i="633"/>
  <c r="J29" i="633"/>
  <c r="J27" i="633"/>
  <c r="J28" i="633"/>
  <c r="J26" i="633"/>
  <c r="J23" i="633"/>
  <c r="J22" i="633"/>
  <c r="J21" i="633"/>
  <c r="J20" i="633"/>
  <c r="J19" i="633"/>
  <c r="J372" i="633"/>
  <c r="J371" i="633"/>
  <c r="J370" i="633"/>
  <c r="J310" i="633"/>
  <c r="J275" i="633"/>
  <c r="J274" i="633"/>
  <c r="J273" i="633"/>
  <c r="J233" i="633"/>
  <c r="J232" i="633"/>
  <c r="J231" i="633"/>
  <c r="J230" i="633"/>
  <c r="J229" i="633"/>
  <c r="J225" i="633"/>
  <c r="J226" i="633"/>
  <c r="J224" i="633"/>
  <c r="J223" i="633"/>
  <c r="J163" i="633"/>
  <c r="J160" i="633"/>
  <c r="J159" i="633"/>
  <c r="J156" i="633"/>
  <c r="J153" i="633"/>
  <c r="J152" i="633"/>
  <c r="J79" i="633"/>
  <c r="J78" i="633"/>
  <c r="J76" i="633"/>
  <c r="J77" i="633"/>
  <c r="J75" i="633"/>
  <c r="J72" i="633"/>
  <c r="J71" i="633"/>
  <c r="J70" i="633"/>
  <c r="J68" i="633"/>
  <c r="J16" i="633"/>
  <c r="J15" i="633"/>
  <c r="J13" i="633"/>
  <c r="J14" i="633"/>
  <c r="J12" i="633"/>
  <c r="B6" i="648"/>
  <c r="D30" i="648" s="1"/>
  <c r="A43" i="648" l="1"/>
  <c r="J30" i="648"/>
  <c r="P30" i="648" s="1"/>
  <c r="I30" i="648"/>
  <c r="O30" i="648" s="1"/>
  <c r="E36" i="648"/>
  <c r="J36" i="648" s="1"/>
  <c r="D32" i="648"/>
  <c r="D33" i="648"/>
  <c r="D31" i="648"/>
  <c r="U23" i="1" s="1"/>
  <c r="D36" i="648"/>
  <c r="D29" i="648"/>
  <c r="D28" i="648"/>
  <c r="S23" i="1" l="1" a="1"/>
  <c r="S23" i="1" s="1"/>
  <c r="W23" i="1" s="1"/>
  <c r="J33" i="648"/>
  <c r="P33" i="648" s="1"/>
  <c r="I33" i="648"/>
  <c r="O33" i="648" s="1"/>
  <c r="U22" i="1"/>
  <c r="I29" i="648"/>
  <c r="I36" i="648"/>
  <c r="S22" i="1"/>
  <c r="I31" i="648"/>
  <c r="O31" i="648" s="1"/>
  <c r="I32" i="648"/>
  <c r="O32" i="648" s="1"/>
  <c r="J32" i="648"/>
  <c r="P32" i="648" s="1"/>
  <c r="I28" i="648"/>
  <c r="D34" i="648"/>
  <c r="AZ10" i="633" l="1" a="1"/>
  <c r="AZ10" i="633" s="1"/>
  <c r="AJ10" i="633" s="1"/>
  <c r="AZ17" i="633" a="1"/>
  <c r="AZ17" i="633" s="1"/>
  <c r="AJ17" i="633" s="1"/>
  <c r="AZ24" i="633" a="1"/>
  <c r="AZ24" i="633" s="1"/>
  <c r="AJ24" i="633" s="1"/>
  <c r="AZ31" i="633" a="1"/>
  <c r="AZ31" i="633" s="1"/>
  <c r="AJ31" i="633" s="1"/>
  <c r="AZ38" i="633" a="1"/>
  <c r="AZ38" i="633" s="1"/>
  <c r="AJ38" i="633" s="1"/>
  <c r="AZ45" i="633" a="1"/>
  <c r="AZ45" i="633" s="1"/>
  <c r="AJ45" i="633" s="1"/>
  <c r="AZ52" i="633" a="1"/>
  <c r="AZ52" i="633" s="1"/>
  <c r="AJ52" i="633" s="1"/>
  <c r="AZ59" i="633" a="1"/>
  <c r="AZ59" i="633" s="1"/>
  <c r="AJ59" i="633" s="1"/>
  <c r="AZ66" i="633" a="1"/>
  <c r="AZ66" i="633" s="1"/>
  <c r="AJ66" i="633" s="1"/>
  <c r="AZ73" i="633" a="1"/>
  <c r="AZ73" i="633" s="1"/>
  <c r="AJ73" i="633" s="1"/>
  <c r="AZ80" i="633" a="1"/>
  <c r="AZ80" i="633" s="1"/>
  <c r="AJ80" i="633" s="1"/>
  <c r="AZ87" i="633" a="1"/>
  <c r="AZ87" i="633" s="1"/>
  <c r="AJ87" i="633" s="1"/>
  <c r="AZ94" i="633" a="1"/>
  <c r="AZ94" i="633" s="1"/>
  <c r="AJ94" i="633" s="1"/>
  <c r="AZ101" i="633" a="1"/>
  <c r="AZ101" i="633" s="1"/>
  <c r="AJ101" i="633" s="1"/>
  <c r="AZ108" i="633" a="1"/>
  <c r="AZ108" i="633" s="1"/>
  <c r="AJ108" i="633" s="1"/>
  <c r="AZ115" i="633" a="1"/>
  <c r="AZ115" i="633" s="1"/>
  <c r="AJ115" i="633" s="1"/>
  <c r="AZ122" i="633" a="1"/>
  <c r="AZ122" i="633" s="1"/>
  <c r="AJ122" i="633" s="1"/>
  <c r="AZ129" i="633" a="1"/>
  <c r="AZ129" i="633" s="1"/>
  <c r="AJ129" i="633" s="1"/>
  <c r="AZ136" i="633" a="1"/>
  <c r="AZ136" i="633" s="1"/>
  <c r="AJ136" i="633" s="1"/>
  <c r="AZ143" i="633" a="1"/>
  <c r="AZ143" i="633" s="1"/>
  <c r="AJ143" i="633" s="1"/>
  <c r="AZ150" i="633" a="1"/>
  <c r="AZ150" i="633" s="1"/>
  <c r="AJ150" i="633" s="1"/>
  <c r="AZ157" i="633" a="1"/>
  <c r="AZ157" i="633" s="1"/>
  <c r="AJ157" i="633" s="1"/>
  <c r="AZ164" i="633" a="1"/>
  <c r="AZ164" i="633" s="1"/>
  <c r="AJ164" i="633" s="1"/>
  <c r="AZ171" i="633" a="1"/>
  <c r="AZ171" i="633" s="1"/>
  <c r="AJ171" i="633" s="1"/>
  <c r="AZ178" i="633" a="1"/>
  <c r="AZ178" i="633" s="1"/>
  <c r="AJ178" i="633" s="1"/>
  <c r="AZ185" i="633" a="1"/>
  <c r="AZ185" i="633" s="1"/>
  <c r="AJ185" i="633" s="1"/>
  <c r="AZ192" i="633" a="1"/>
  <c r="AZ192" i="633" s="1"/>
  <c r="AJ192" i="633" s="1"/>
  <c r="AZ199" i="633" a="1"/>
  <c r="AZ199" i="633" s="1"/>
  <c r="AJ199" i="633" s="1"/>
  <c r="AZ206" i="633" a="1"/>
  <c r="AZ206" i="633" s="1"/>
  <c r="AJ206" i="633" s="1"/>
  <c r="AZ213" i="633" a="1"/>
  <c r="AZ213" i="633" s="1"/>
  <c r="AJ213" i="633" s="1"/>
  <c r="AZ220" i="633" a="1"/>
  <c r="AZ220" i="633" s="1"/>
  <c r="AJ220" i="633" s="1"/>
  <c r="AZ227" i="633" a="1"/>
  <c r="AZ227" i="633" s="1"/>
  <c r="AJ227" i="633" s="1"/>
  <c r="AZ234" i="633" a="1"/>
  <c r="AZ234" i="633" s="1"/>
  <c r="AJ234" i="633" s="1"/>
  <c r="AZ241" i="633" a="1"/>
  <c r="AZ241" i="633" s="1"/>
  <c r="AJ241" i="633" s="1"/>
  <c r="AZ248" i="633" a="1"/>
  <c r="AZ248" i="633" s="1"/>
  <c r="AJ248" i="633" s="1"/>
  <c r="AZ255" i="633" a="1"/>
  <c r="AZ255" i="633" s="1"/>
  <c r="AJ255" i="633" s="1"/>
  <c r="AZ262" i="633" a="1"/>
  <c r="AZ262" i="633" s="1"/>
  <c r="AJ262" i="633" s="1"/>
  <c r="AZ269" i="633" a="1"/>
  <c r="AZ269" i="633" s="1"/>
  <c r="AJ269" i="633" s="1"/>
  <c r="AZ276" i="633" a="1"/>
  <c r="AZ276" i="633" s="1"/>
  <c r="AJ276" i="633" s="1"/>
  <c r="AZ283" i="633" a="1"/>
  <c r="AZ283" i="633" s="1"/>
  <c r="AJ283" i="633" s="1"/>
  <c r="AZ290" i="633" a="1"/>
  <c r="AZ290" i="633" s="1"/>
  <c r="AJ290" i="633" s="1"/>
  <c r="AZ297" i="633" a="1"/>
  <c r="AZ297" i="633" s="1"/>
  <c r="AJ297" i="633" s="1"/>
  <c r="AZ304" i="633" a="1"/>
  <c r="AZ304" i="633" s="1"/>
  <c r="AJ304" i="633" s="1"/>
  <c r="AZ311" i="633" a="1"/>
  <c r="AZ311" i="633" s="1"/>
  <c r="AJ311" i="633" s="1"/>
  <c r="AZ318" i="633" a="1"/>
  <c r="AZ318" i="633" s="1"/>
  <c r="AJ318" i="633" s="1"/>
  <c r="AZ325" i="633" a="1"/>
  <c r="AZ325" i="633" s="1"/>
  <c r="AJ325" i="633" s="1"/>
  <c r="AZ332" i="633" a="1"/>
  <c r="AZ332" i="633" s="1"/>
  <c r="AJ332" i="633" s="1"/>
  <c r="AZ339" i="633" a="1"/>
  <c r="AZ339" i="633" s="1"/>
  <c r="AJ339" i="633" s="1"/>
  <c r="AZ346" i="633" a="1"/>
  <c r="AZ346" i="633" s="1"/>
  <c r="AJ346" i="633" s="1"/>
  <c r="AZ353" i="633" a="1"/>
  <c r="AZ353" i="633" s="1"/>
  <c r="AJ353" i="633" s="1"/>
  <c r="AZ360" i="633" a="1"/>
  <c r="AZ360" i="633" s="1"/>
  <c r="AJ360" i="633" s="1"/>
  <c r="AZ367" i="633" a="1"/>
  <c r="AZ367" i="633" s="1"/>
  <c r="AJ367" i="633" s="1"/>
  <c r="AY17" i="633" a="1"/>
  <c r="AY17" i="633" s="1"/>
  <c r="J17" i="633" s="1"/>
  <c r="AY24" i="633" a="1"/>
  <c r="AY24" i="633" s="1"/>
  <c r="J24" i="633" s="1"/>
  <c r="AY31" i="633" a="1"/>
  <c r="AY31" i="633" s="1"/>
  <c r="J31" i="633" s="1"/>
  <c r="AY38" i="633" a="1"/>
  <c r="AY38" i="633" s="1"/>
  <c r="J38" i="633" s="1"/>
  <c r="AY45" i="633" a="1"/>
  <c r="AY45" i="633" s="1"/>
  <c r="J45" i="633" s="1"/>
  <c r="AY52" i="633" a="1"/>
  <c r="AY52" i="633" s="1"/>
  <c r="J52" i="633" s="1"/>
  <c r="AY59" i="633" a="1"/>
  <c r="AY59" i="633" s="1"/>
  <c r="J59" i="633" s="1"/>
  <c r="AY80" i="633" a="1"/>
  <c r="AY80" i="633" s="1"/>
  <c r="J80" i="633" s="1"/>
  <c r="AY87" i="633" a="1"/>
  <c r="AY87" i="633" s="1"/>
  <c r="J87" i="633" s="1"/>
  <c r="AY94" i="633" a="1"/>
  <c r="AY94" i="633" s="1"/>
  <c r="J94" i="633" s="1"/>
  <c r="AY101" i="633" a="1"/>
  <c r="AY101" i="633" s="1"/>
  <c r="J101" i="633" s="1"/>
  <c r="AY108" i="633" a="1"/>
  <c r="AY108" i="633" s="1"/>
  <c r="J108" i="633" s="1"/>
  <c r="AY115" i="633" a="1"/>
  <c r="AY115" i="633" s="1"/>
  <c r="J115" i="633" s="1"/>
  <c r="AY122" i="633" a="1"/>
  <c r="AY122" i="633" s="1"/>
  <c r="J122" i="633" s="1"/>
  <c r="AY129" i="633" a="1"/>
  <c r="AY129" i="633" s="1"/>
  <c r="J129" i="633" s="1"/>
  <c r="AY136" i="633" a="1"/>
  <c r="AY136" i="633" s="1"/>
  <c r="J136" i="633" s="1"/>
  <c r="AY143" i="633" a="1"/>
  <c r="AY143" i="633" s="1"/>
  <c r="J143" i="633" s="1"/>
  <c r="AY164" i="633" a="1"/>
  <c r="AY164" i="633" s="1"/>
  <c r="J164" i="633" s="1"/>
  <c r="AY171" i="633" a="1"/>
  <c r="AY171" i="633" s="1"/>
  <c r="J171" i="633" s="1"/>
  <c r="AY178" i="633" a="1"/>
  <c r="AY178" i="633" s="1"/>
  <c r="J178" i="633" s="1"/>
  <c r="AY185" i="633" a="1"/>
  <c r="AY185" i="633" s="1"/>
  <c r="J185" i="633" s="1"/>
  <c r="AY192" i="633" a="1"/>
  <c r="AY192" i="633" s="1"/>
  <c r="J192" i="633" s="1"/>
  <c r="AY213" i="633" a="1"/>
  <c r="AY213" i="633" s="1"/>
  <c r="J213" i="633" s="1"/>
  <c r="AY220" i="633" a="1"/>
  <c r="AY220" i="633" s="1"/>
  <c r="J220" i="633" s="1"/>
  <c r="AY227" i="633" a="1"/>
  <c r="AY227" i="633" s="1"/>
  <c r="J227" i="633" s="1"/>
  <c r="AY234" i="633" a="1"/>
  <c r="AY234" i="633" s="1"/>
  <c r="J234" i="633" s="1"/>
  <c r="AY262" i="633" a="1"/>
  <c r="AY262" i="633" s="1"/>
  <c r="J262" i="633" s="1"/>
  <c r="AY269" i="633" a="1"/>
  <c r="AY269" i="633" s="1"/>
  <c r="J269" i="633" s="1"/>
  <c r="AY276" i="633" a="1"/>
  <c r="AY276" i="633" s="1"/>
  <c r="J276" i="633" s="1"/>
  <c r="AY283" i="633" a="1"/>
  <c r="AY283" i="633" s="1"/>
  <c r="J283" i="633" s="1"/>
  <c r="AY290" i="633" a="1"/>
  <c r="AY290" i="633" s="1"/>
  <c r="J290" i="633" s="1"/>
  <c r="AY297" i="633" a="1"/>
  <c r="AY297" i="633" s="1"/>
  <c r="J297" i="633" s="1"/>
  <c r="AY304" i="633" a="1"/>
  <c r="AY304" i="633" s="1"/>
  <c r="J304" i="633" s="1"/>
  <c r="AY311" i="633" a="1"/>
  <c r="AY311" i="633" s="1"/>
  <c r="J311" i="633" s="1"/>
  <c r="AY318" i="633" a="1"/>
  <c r="AY318" i="633" s="1"/>
  <c r="J318" i="633" s="1"/>
  <c r="AY325" i="633" a="1"/>
  <c r="AY325" i="633" s="1"/>
  <c r="J325" i="633" s="1"/>
  <c r="AY332" i="633" a="1"/>
  <c r="AY332" i="633" s="1"/>
  <c r="J332" i="633" s="1"/>
  <c r="AY339" i="633" a="1"/>
  <c r="AY339" i="633" s="1"/>
  <c r="J339" i="633" s="1"/>
  <c r="AZ8" i="633" a="1"/>
  <c r="AZ8" i="633" s="1"/>
  <c r="AJ8" i="633" s="1"/>
  <c r="AZ11" i="633" a="1"/>
  <c r="AZ11" i="633" s="1"/>
  <c r="AJ11" i="633" s="1"/>
  <c r="AZ18" i="633" a="1"/>
  <c r="AZ18" i="633" s="1"/>
  <c r="AJ18" i="633" s="1"/>
  <c r="AZ25" i="633" a="1"/>
  <c r="AZ25" i="633" s="1"/>
  <c r="AJ25" i="633" s="1"/>
  <c r="AZ32" i="633" a="1"/>
  <c r="AZ32" i="633" s="1"/>
  <c r="AJ32" i="633" s="1"/>
  <c r="AZ39" i="633" a="1"/>
  <c r="AZ39" i="633" s="1"/>
  <c r="AJ39" i="633" s="1"/>
  <c r="AZ46" i="633" a="1"/>
  <c r="AZ46" i="633" s="1"/>
  <c r="AJ46" i="633" s="1"/>
  <c r="AZ53" i="633" a="1"/>
  <c r="AZ53" i="633" s="1"/>
  <c r="AJ53" i="633" s="1"/>
  <c r="AZ60" i="633" a="1"/>
  <c r="AZ60" i="633" s="1"/>
  <c r="AJ60" i="633" s="1"/>
  <c r="AZ67" i="633" a="1"/>
  <c r="AZ67" i="633" s="1"/>
  <c r="AJ67" i="633" s="1"/>
  <c r="AZ74" i="633" a="1"/>
  <c r="AZ74" i="633" s="1"/>
  <c r="AJ74" i="633" s="1"/>
  <c r="AZ81" i="633" a="1"/>
  <c r="AZ81" i="633" s="1"/>
  <c r="AJ81" i="633" s="1"/>
  <c r="AZ88" i="633" a="1"/>
  <c r="AZ88" i="633" s="1"/>
  <c r="AJ88" i="633" s="1"/>
  <c r="AZ95" i="633" a="1"/>
  <c r="AZ95" i="633" s="1"/>
  <c r="AJ95" i="633" s="1"/>
  <c r="AZ102" i="633" a="1"/>
  <c r="AZ102" i="633" s="1"/>
  <c r="AJ102" i="633" s="1"/>
  <c r="AZ109" i="633" a="1"/>
  <c r="AZ109" i="633" s="1"/>
  <c r="AJ109" i="633" s="1"/>
  <c r="AZ116" i="633" a="1"/>
  <c r="AZ116" i="633" s="1"/>
  <c r="AJ116" i="633" s="1"/>
  <c r="AZ123" i="633" a="1"/>
  <c r="AZ123" i="633" s="1"/>
  <c r="AJ123" i="633" s="1"/>
  <c r="AZ130" i="633" a="1"/>
  <c r="AZ130" i="633" s="1"/>
  <c r="AJ130" i="633" s="1"/>
  <c r="AZ137" i="633" a="1"/>
  <c r="AZ137" i="633" s="1"/>
  <c r="AJ137" i="633" s="1"/>
  <c r="AZ144" i="633" a="1"/>
  <c r="AZ144" i="633" s="1"/>
  <c r="AJ144" i="633" s="1"/>
  <c r="AZ151" i="633" a="1"/>
  <c r="AZ151" i="633" s="1"/>
  <c r="AJ151" i="633" s="1"/>
  <c r="AZ154" i="633" a="1"/>
  <c r="AZ154" i="633" s="1"/>
  <c r="AJ154" i="633" s="1"/>
  <c r="AZ155" i="633" a="1"/>
  <c r="AZ155" i="633" s="1"/>
  <c r="AJ155" i="633" s="1"/>
  <c r="AZ158" i="633" a="1"/>
  <c r="AZ158" i="633" s="1"/>
  <c r="AJ158" i="633" s="1"/>
  <c r="AZ161" i="633" a="1"/>
  <c r="AZ161" i="633" s="1"/>
  <c r="AJ161" i="633" s="1"/>
  <c r="AZ165" i="633" a="1"/>
  <c r="AZ165" i="633" s="1"/>
  <c r="AJ165" i="633" s="1"/>
  <c r="AZ172" i="633" a="1"/>
  <c r="AZ172" i="633" s="1"/>
  <c r="AJ172" i="633" s="1"/>
  <c r="AZ179" i="633" a="1"/>
  <c r="AZ179" i="633" s="1"/>
  <c r="AJ179" i="633" s="1"/>
  <c r="AZ186" i="633" a="1"/>
  <c r="AZ186" i="633" s="1"/>
  <c r="AJ186" i="633" s="1"/>
  <c r="AZ193" i="633" a="1"/>
  <c r="AZ193" i="633" s="1"/>
  <c r="AJ193" i="633" s="1"/>
  <c r="AZ200" i="633" a="1"/>
  <c r="AZ200" i="633" s="1"/>
  <c r="AJ200" i="633" s="1"/>
  <c r="AZ207" i="633" a="1"/>
  <c r="AZ207" i="633" s="1"/>
  <c r="AJ207" i="633" s="1"/>
  <c r="AZ214" i="633" a="1"/>
  <c r="AZ214" i="633" s="1"/>
  <c r="AJ214" i="633" s="1"/>
  <c r="AZ221" i="633" a="1"/>
  <c r="AZ221" i="633" s="1"/>
  <c r="AJ221" i="633" s="1"/>
  <c r="AZ228" i="633" a="1"/>
  <c r="AZ228" i="633" s="1"/>
  <c r="AJ228" i="633" s="1"/>
  <c r="AZ235" i="633" a="1"/>
  <c r="AZ235" i="633" s="1"/>
  <c r="AJ235" i="633" s="1"/>
  <c r="AZ242" i="633" a="1"/>
  <c r="AZ242" i="633" s="1"/>
  <c r="AJ242" i="633" s="1"/>
  <c r="AZ249" i="633" a="1"/>
  <c r="AZ249" i="633" s="1"/>
  <c r="AJ249" i="633" s="1"/>
  <c r="AZ256" i="633" a="1"/>
  <c r="AZ256" i="633" s="1"/>
  <c r="AJ256" i="633" s="1"/>
  <c r="AZ263" i="633" a="1"/>
  <c r="AZ263" i="633" s="1"/>
  <c r="AJ263" i="633" s="1"/>
  <c r="AZ270" i="633" a="1"/>
  <c r="AZ270" i="633" s="1"/>
  <c r="AJ270" i="633" s="1"/>
  <c r="AZ271" i="633" a="1"/>
  <c r="AZ271" i="633" s="1"/>
  <c r="AJ271" i="633" s="1"/>
  <c r="AZ277" i="633" a="1"/>
  <c r="AZ277" i="633" s="1"/>
  <c r="AJ277" i="633" s="1"/>
  <c r="AZ281" i="633" a="1"/>
  <c r="AZ281" i="633" s="1"/>
  <c r="AJ281" i="633" s="1"/>
  <c r="AZ284" i="633" a="1"/>
  <c r="AZ284" i="633" s="1"/>
  <c r="AJ284" i="633" s="1"/>
  <c r="AZ291" i="633" a="1"/>
  <c r="AZ291" i="633" s="1"/>
  <c r="AJ291" i="633" s="1"/>
  <c r="AZ298" i="633" a="1"/>
  <c r="AZ298" i="633" s="1"/>
  <c r="AJ298" i="633" s="1"/>
  <c r="AZ305" i="633" a="1"/>
  <c r="AZ305" i="633" s="1"/>
  <c r="AJ305" i="633" s="1"/>
  <c r="AZ309" i="633" a="1"/>
  <c r="AZ309" i="633" s="1"/>
  <c r="AJ309" i="633" s="1"/>
  <c r="AZ312" i="633" a="1"/>
  <c r="AZ312" i="633" s="1"/>
  <c r="AJ312" i="633" s="1"/>
  <c r="AZ319" i="633" a="1"/>
  <c r="AZ319" i="633" s="1"/>
  <c r="AJ319" i="633" s="1"/>
  <c r="AZ320" i="633" a="1"/>
  <c r="AZ320" i="633" s="1"/>
  <c r="AJ320" i="633" s="1"/>
  <c r="AZ326" i="633" a="1"/>
  <c r="AZ326" i="633" s="1"/>
  <c r="AJ326" i="633" s="1"/>
  <c r="AZ333" i="633" a="1"/>
  <c r="AZ333" i="633" s="1"/>
  <c r="AJ333" i="633" s="1"/>
  <c r="AZ340" i="633" a="1"/>
  <c r="AZ340" i="633" s="1"/>
  <c r="AJ340" i="633" s="1"/>
  <c r="AZ347" i="633" a="1"/>
  <c r="AZ347" i="633" s="1"/>
  <c r="AJ347" i="633" s="1"/>
  <c r="AZ354" i="633" a="1"/>
  <c r="AZ354" i="633" s="1"/>
  <c r="AJ354" i="633" s="1"/>
  <c r="AZ361" i="633" a="1"/>
  <c r="AZ361" i="633" s="1"/>
  <c r="AJ361" i="633" s="1"/>
  <c r="AZ368" i="633" a="1"/>
  <c r="AZ368" i="633" s="1"/>
  <c r="AJ368" i="633" s="1"/>
  <c r="AY8" i="633" a="1"/>
  <c r="AY8" i="633" s="1"/>
  <c r="J8" i="633" s="1"/>
  <c r="AY18" i="633" a="1"/>
  <c r="AY18" i="633" s="1"/>
  <c r="J18" i="633" s="1"/>
  <c r="AY25" i="633" a="1"/>
  <c r="AY25" i="633" s="1"/>
  <c r="J25" i="633" s="1"/>
  <c r="AY32" i="633" a="1"/>
  <c r="AY32" i="633" s="1"/>
  <c r="J32" i="633" s="1"/>
  <c r="AY39" i="633" a="1"/>
  <c r="AY39" i="633" s="1"/>
  <c r="J39" i="633" s="1"/>
  <c r="AY46" i="633" a="1"/>
  <c r="AY46" i="633" s="1"/>
  <c r="J46" i="633" s="1"/>
  <c r="AY53" i="633" a="1"/>
  <c r="AY53" i="633" s="1"/>
  <c r="J53" i="633" s="1"/>
  <c r="AY60" i="633" a="1"/>
  <c r="AY60" i="633" s="1"/>
  <c r="J60" i="633" s="1"/>
  <c r="AY81" i="633" a="1"/>
  <c r="AY81" i="633" s="1"/>
  <c r="J81" i="633" s="1"/>
  <c r="AY88" i="633" a="1"/>
  <c r="AY88" i="633" s="1"/>
  <c r="J88" i="633" s="1"/>
  <c r="AY95" i="633" a="1"/>
  <c r="AY95" i="633" s="1"/>
  <c r="J95" i="633" s="1"/>
  <c r="AY102" i="633" a="1"/>
  <c r="AY102" i="633" s="1"/>
  <c r="J102" i="633" s="1"/>
  <c r="AY109" i="633" a="1"/>
  <c r="AY109" i="633" s="1"/>
  <c r="J109" i="633" s="1"/>
  <c r="AY116" i="633" a="1"/>
  <c r="AY116" i="633" s="1"/>
  <c r="J116" i="633" s="1"/>
  <c r="AY123" i="633" a="1"/>
  <c r="AY123" i="633" s="1"/>
  <c r="J123" i="633" s="1"/>
  <c r="AY130" i="633" a="1"/>
  <c r="AY130" i="633" s="1"/>
  <c r="J130" i="633" s="1"/>
  <c r="AY137" i="633" a="1"/>
  <c r="AY137" i="633" s="1"/>
  <c r="J137" i="633" s="1"/>
  <c r="AY144" i="633" a="1"/>
  <c r="AY144" i="633" s="1"/>
  <c r="J144" i="633" s="1"/>
  <c r="AY155" i="633" a="1"/>
  <c r="AY155" i="633" s="1"/>
  <c r="J155" i="633" s="1"/>
  <c r="AY165" i="633" a="1"/>
  <c r="AY165" i="633" s="1"/>
  <c r="J165" i="633" s="1"/>
  <c r="AY172" i="633" a="1"/>
  <c r="AY172" i="633" s="1"/>
  <c r="J172" i="633" s="1"/>
  <c r="AY179" i="633" a="1"/>
  <c r="AY179" i="633" s="1"/>
  <c r="J179" i="633" s="1"/>
  <c r="AY186" i="633" a="1"/>
  <c r="AY186" i="633" s="1"/>
  <c r="J186" i="633" s="1"/>
  <c r="AY193" i="633" a="1"/>
  <c r="AY193" i="633" s="1"/>
  <c r="J193" i="633" s="1"/>
  <c r="AY221" i="633" a="1"/>
  <c r="AY221" i="633" s="1"/>
  <c r="J221" i="633" s="1"/>
  <c r="AY228" i="633" a="1"/>
  <c r="AY228" i="633" s="1"/>
  <c r="J228" i="633" s="1"/>
  <c r="AY235" i="633" a="1"/>
  <c r="AY235" i="633" s="1"/>
  <c r="J235" i="633" s="1"/>
  <c r="AY256" i="633" a="1"/>
  <c r="AY256" i="633" s="1"/>
  <c r="J256" i="633" s="1"/>
  <c r="AY263" i="633" a="1"/>
  <c r="AY263" i="633" s="1"/>
  <c r="J263" i="633" s="1"/>
  <c r="AY270" i="633" a="1"/>
  <c r="AY270" i="633" s="1"/>
  <c r="J270" i="633" s="1"/>
  <c r="AY271" i="633" a="1"/>
  <c r="AY271" i="633" s="1"/>
  <c r="J271" i="633" s="1"/>
  <c r="AY277" i="633" a="1"/>
  <c r="AY277" i="633" s="1"/>
  <c r="J277" i="633" s="1"/>
  <c r="AY281" i="633" a="1"/>
  <c r="AY281" i="633" s="1"/>
  <c r="J281" i="633" s="1"/>
  <c r="AY284" i="633" a="1"/>
  <c r="AY284" i="633" s="1"/>
  <c r="J284" i="633" s="1"/>
  <c r="AY291" i="633" a="1"/>
  <c r="AY291" i="633" s="1"/>
  <c r="J291" i="633" s="1"/>
  <c r="AY298" i="633" a="1"/>
  <c r="AY298" i="633" s="1"/>
  <c r="J298" i="633" s="1"/>
  <c r="AY305" i="633" a="1"/>
  <c r="AY305" i="633" s="1"/>
  <c r="J305" i="633" s="1"/>
  <c r="AY309" i="633" a="1"/>
  <c r="AY309" i="633" s="1"/>
  <c r="J309" i="633" s="1"/>
  <c r="AY312" i="633" a="1"/>
  <c r="AY312" i="633" s="1"/>
  <c r="J312" i="633" s="1"/>
  <c r="AY319" i="633" a="1"/>
  <c r="AY319" i="633" s="1"/>
  <c r="J319" i="633" s="1"/>
  <c r="AY320" i="633" a="1"/>
  <c r="AY320" i="633" s="1"/>
  <c r="J320" i="633" s="1"/>
  <c r="AY326" i="633" a="1"/>
  <c r="AY326" i="633" s="1"/>
  <c r="J326" i="633" s="1"/>
  <c r="AY333" i="633" a="1"/>
  <c r="AY333" i="633" s="1"/>
  <c r="J333" i="633" s="1"/>
  <c r="J31" i="648"/>
  <c r="P31" i="648" s="1"/>
  <c r="V23" i="1"/>
  <c r="X23" i="1" s="1"/>
  <c r="AZ264" i="633" a="1"/>
  <c r="AZ264" i="633" s="1"/>
  <c r="AJ264" i="633" s="1"/>
  <c r="AZ265" i="633" a="1"/>
  <c r="AZ265" i="633" s="1"/>
  <c r="AJ265" i="633" s="1"/>
  <c r="AZ266" i="633" a="1"/>
  <c r="AZ266" i="633" s="1"/>
  <c r="AJ266" i="633" s="1"/>
  <c r="AZ267" i="633" a="1"/>
  <c r="AZ267" i="633" s="1"/>
  <c r="AJ267" i="633" s="1"/>
  <c r="AZ272" i="633" a="1"/>
  <c r="AZ272" i="633" s="1"/>
  <c r="AJ272" i="633" s="1"/>
  <c r="AZ341" i="633" a="1"/>
  <c r="AZ341" i="633" s="1"/>
  <c r="AJ341" i="633" s="1"/>
  <c r="AZ342" i="633" a="1"/>
  <c r="AZ342" i="633" s="1"/>
  <c r="AJ342" i="633" s="1"/>
  <c r="AZ343" i="633" a="1"/>
  <c r="AZ343" i="633" s="1"/>
  <c r="AJ343" i="633" s="1"/>
  <c r="AZ344" i="633" a="1"/>
  <c r="AZ344" i="633" s="1"/>
  <c r="AJ344" i="633" s="1"/>
  <c r="AZ345" i="633" a="1"/>
  <c r="AZ345" i="633" s="1"/>
  <c r="AJ345" i="633" s="1"/>
  <c r="AZ348" i="633" a="1"/>
  <c r="AZ348" i="633" s="1"/>
  <c r="AJ348" i="633" s="1"/>
  <c r="AZ349" i="633" a="1"/>
  <c r="AZ349" i="633" s="1"/>
  <c r="AJ349" i="633" s="1"/>
  <c r="AZ350" i="633" a="1"/>
  <c r="AZ350" i="633" s="1"/>
  <c r="AJ350" i="633" s="1"/>
  <c r="AZ351" i="633" a="1"/>
  <c r="AZ351" i="633" s="1"/>
  <c r="AJ351" i="633" s="1"/>
  <c r="AZ352" i="633" a="1"/>
  <c r="AZ352" i="633" s="1"/>
  <c r="AJ352" i="633" s="1"/>
  <c r="AZ355" i="633" a="1"/>
  <c r="AZ355" i="633" s="1"/>
  <c r="AJ355" i="633" s="1"/>
  <c r="AZ356" i="633" a="1"/>
  <c r="AZ356" i="633" s="1"/>
  <c r="AJ356" i="633" s="1"/>
  <c r="AZ357" i="633" a="1"/>
  <c r="AZ357" i="633" s="1"/>
  <c r="AJ357" i="633" s="1"/>
  <c r="AZ358" i="633" a="1"/>
  <c r="AZ358" i="633" s="1"/>
  <c r="AJ358" i="633" s="1"/>
  <c r="AZ359" i="633" a="1"/>
  <c r="AZ359" i="633" s="1"/>
  <c r="AJ359" i="633" s="1"/>
  <c r="AZ362" i="633" a="1"/>
  <c r="AZ362" i="633" s="1"/>
  <c r="AJ362" i="633" s="1"/>
  <c r="AZ364" i="633" a="1"/>
  <c r="AZ364" i="633" s="1"/>
  <c r="AJ364" i="633" s="1"/>
  <c r="AZ363" i="633" a="1"/>
  <c r="AZ363" i="633" s="1"/>
  <c r="AJ363" i="633" s="1"/>
  <c r="AZ365" i="633" a="1"/>
  <c r="AZ365" i="633" s="1"/>
  <c r="AJ365" i="633" s="1"/>
  <c r="AZ366" i="633" a="1"/>
  <c r="AZ366" i="633" s="1"/>
  <c r="AJ366" i="633" s="1"/>
  <c r="AZ251" i="633" a="1"/>
  <c r="AZ251" i="633" s="1"/>
  <c r="AZ282" i="633" a="1"/>
  <c r="AZ282" i="633" s="1"/>
  <c r="AZ131" i="633" a="1"/>
  <c r="AZ131" i="633" s="1"/>
  <c r="AZ40" i="633" a="1"/>
  <c r="AZ40" i="633" s="1"/>
  <c r="AZ313" i="633" a="1"/>
  <c r="AZ313" i="633" s="1"/>
  <c r="AZ194" i="633" a="1"/>
  <c r="AZ194" i="633" s="1"/>
  <c r="AZ100" i="633" a="1"/>
  <c r="AZ100" i="633" s="1"/>
  <c r="AZ289" i="633" a="1"/>
  <c r="AZ289" i="633" s="1"/>
  <c r="AJ289" i="633" s="1"/>
  <c r="AZ167" i="633" a="1"/>
  <c r="AZ167" i="633" s="1"/>
  <c r="AJ167" i="633" s="1"/>
  <c r="AZ286" i="633" a="1"/>
  <c r="AZ286" i="633" s="1"/>
  <c r="AJ286" i="633" s="1"/>
  <c r="AZ148" i="633" a="1"/>
  <c r="AZ148" i="633" s="1"/>
  <c r="AJ148" i="633" s="1"/>
  <c r="AZ238" i="633" a="1"/>
  <c r="AZ238" i="633" s="1"/>
  <c r="AJ238" i="633" s="1"/>
  <c r="AZ316" i="633" a="1"/>
  <c r="AZ316" i="633" s="1"/>
  <c r="AJ316" i="633" s="1"/>
  <c r="AZ189" i="633" a="1"/>
  <c r="AZ189" i="633" s="1"/>
  <c r="AJ189" i="633" s="1"/>
  <c r="AZ261" i="633" a="1"/>
  <c r="AZ261" i="633" s="1"/>
  <c r="AJ261" i="633" s="1"/>
  <c r="AZ141" i="633" a="1"/>
  <c r="AZ141" i="633" s="1"/>
  <c r="AJ141" i="633" s="1"/>
  <c r="AZ258" i="633" a="1"/>
  <c r="AZ258" i="633" s="1"/>
  <c r="AJ258" i="633" s="1"/>
  <c r="AZ212" i="633" a="1"/>
  <c r="AZ212" i="633" s="1"/>
  <c r="AJ212" i="633" s="1"/>
  <c r="AZ106" i="633" a="1"/>
  <c r="AZ106" i="633" s="1"/>
  <c r="AJ106" i="633" s="1"/>
  <c r="AZ210" i="633" a="1"/>
  <c r="AZ210" i="633" s="1"/>
  <c r="AJ210" i="633" s="1"/>
  <c r="AZ321" i="633" a="1"/>
  <c r="AZ321" i="633" s="1"/>
  <c r="AJ321" i="633" s="1"/>
  <c r="AZ302" i="633" a="1"/>
  <c r="AZ302" i="633" s="1"/>
  <c r="AJ302" i="633" s="1"/>
  <c r="AZ177" i="633" a="1"/>
  <c r="AZ177" i="633" s="1"/>
  <c r="AJ177" i="633" s="1"/>
  <c r="AZ296" i="633" a="1"/>
  <c r="AZ296" i="633" s="1"/>
  <c r="AJ296" i="633" s="1"/>
  <c r="AZ174" i="633" a="1"/>
  <c r="AZ174" i="633" s="1"/>
  <c r="AJ174" i="633" s="1"/>
  <c r="AZ250" i="633" a="1"/>
  <c r="AZ250" i="633" s="1"/>
  <c r="AJ250" i="633" s="1"/>
  <c r="AZ128" i="633" a="1"/>
  <c r="AZ128" i="633" s="1"/>
  <c r="AJ128" i="633" s="1"/>
  <c r="AZ245" i="633" a="1"/>
  <c r="AZ245" i="633" s="1"/>
  <c r="AJ245" i="633" s="1"/>
  <c r="AZ329" i="633" a="1"/>
  <c r="AZ329" i="633" s="1"/>
  <c r="AJ329" i="633" s="1"/>
  <c r="AZ203" i="633" a="1"/>
  <c r="AZ203" i="633" s="1"/>
  <c r="AJ203" i="633" s="1"/>
  <c r="AZ96" i="633" a="1"/>
  <c r="AZ96" i="633" s="1"/>
  <c r="AJ96" i="633" s="1"/>
  <c r="AZ324" i="633" a="1"/>
  <c r="AZ324" i="633" s="1"/>
  <c r="AJ324" i="633" s="1"/>
  <c r="AZ197" i="633" a="1"/>
  <c r="AZ197" i="633" s="1"/>
  <c r="AJ197" i="633" s="1"/>
  <c r="AZ204" i="633" a="1"/>
  <c r="AZ204" i="633" s="1"/>
  <c r="AJ204" i="633" s="1"/>
  <c r="AZ315" i="633" a="1"/>
  <c r="AZ315" i="633" s="1"/>
  <c r="AJ315" i="633" s="1"/>
  <c r="AZ188" i="633" a="1"/>
  <c r="AZ188" i="633" s="1"/>
  <c r="AJ188" i="633" s="1"/>
  <c r="AZ83" i="633" a="1"/>
  <c r="AZ83" i="633" s="1"/>
  <c r="AJ83" i="633" s="1"/>
  <c r="AZ244" i="633" a="1"/>
  <c r="AZ244" i="633" s="1"/>
  <c r="AJ244" i="633" s="1"/>
  <c r="AZ124" i="633" a="1"/>
  <c r="AZ124" i="633" s="1"/>
  <c r="AJ124" i="633" s="1"/>
  <c r="AZ253" i="633" a="1"/>
  <c r="AZ253" i="633" s="1"/>
  <c r="AJ253" i="633" s="1"/>
  <c r="AZ132" i="633" a="1"/>
  <c r="AZ132" i="633" s="1"/>
  <c r="AJ132" i="633" s="1"/>
  <c r="AZ299" i="633" a="1"/>
  <c r="AZ299" i="633" s="1"/>
  <c r="AJ299" i="633" s="1"/>
  <c r="AZ236" i="633" a="1"/>
  <c r="AZ236" i="633" s="1"/>
  <c r="AJ236" i="633" s="1"/>
  <c r="AZ175" i="633" a="1"/>
  <c r="AZ175" i="633" s="1"/>
  <c r="AJ175" i="633" s="1"/>
  <c r="AZ334" i="633" a="1"/>
  <c r="AZ334" i="633" s="1"/>
  <c r="AJ334" i="633" s="1"/>
  <c r="AZ280" i="633" a="1"/>
  <c r="AZ280" i="633" s="1"/>
  <c r="AJ280" i="633" s="1"/>
  <c r="AZ29" i="633" a="1"/>
  <c r="AZ29" i="633" s="1"/>
  <c r="AJ29" i="633" s="1"/>
  <c r="AZ134" i="633" a="1"/>
  <c r="AZ134" i="633" s="1"/>
  <c r="AJ134" i="633" s="1"/>
  <c r="AZ111" i="633" a="1"/>
  <c r="AZ111" i="633" s="1"/>
  <c r="AJ111" i="633" s="1"/>
  <c r="AZ62" i="633" a="1"/>
  <c r="AZ62" i="633" s="1"/>
  <c r="AJ62" i="633" s="1"/>
  <c r="AZ54" i="633" a="1"/>
  <c r="AZ54" i="633" s="1"/>
  <c r="AJ54" i="633" s="1"/>
  <c r="AZ35" i="633" a="1"/>
  <c r="AZ35" i="633" s="1"/>
  <c r="AJ35" i="633" s="1"/>
  <c r="AZ121" i="633" a="1"/>
  <c r="AZ121" i="633" s="1"/>
  <c r="AJ121" i="633" s="1"/>
  <c r="AZ337" i="633" a="1"/>
  <c r="AZ337" i="633" s="1"/>
  <c r="AJ337" i="633" s="1"/>
  <c r="AZ169" i="633" a="1"/>
  <c r="AZ169" i="633" s="1"/>
  <c r="AJ169" i="633" s="1"/>
  <c r="AZ260" i="633" a="1"/>
  <c r="AZ260" i="633" s="1"/>
  <c r="AJ260" i="633" s="1"/>
  <c r="AZ140" i="633" a="1"/>
  <c r="AZ140" i="633" s="1"/>
  <c r="AJ140" i="633" s="1"/>
  <c r="AZ34" i="633" a="1"/>
  <c r="AZ34" i="633" s="1"/>
  <c r="AJ34" i="633" s="1"/>
  <c r="AZ323" i="633" a="1"/>
  <c r="AZ323" i="633" s="1"/>
  <c r="AJ323" i="633" s="1"/>
  <c r="AZ195" i="633" a="1"/>
  <c r="AZ195" i="633" s="1"/>
  <c r="AJ195" i="633" s="1"/>
  <c r="AZ90" i="633" a="1"/>
  <c r="AZ90" i="633" s="1"/>
  <c r="AJ90" i="633" s="1"/>
  <c r="AZ330" i="633" a="1"/>
  <c r="AZ330" i="633" s="1"/>
  <c r="AJ330" i="633" s="1"/>
  <c r="AZ202" i="633" a="1"/>
  <c r="AZ202" i="633" s="1"/>
  <c r="AJ202" i="633" s="1"/>
  <c r="AZ65" i="633" a="1"/>
  <c r="AZ65" i="633" s="1"/>
  <c r="AJ65" i="633" s="1"/>
  <c r="AZ48" i="633" a="1"/>
  <c r="AZ48" i="633" s="1"/>
  <c r="AJ48" i="633" s="1"/>
  <c r="AZ37" i="633" a="1"/>
  <c r="AZ37" i="633" s="1"/>
  <c r="AJ37" i="633" s="1"/>
  <c r="AZ51" i="633" a="1"/>
  <c r="AZ51" i="633" s="1"/>
  <c r="AJ51" i="633" s="1"/>
  <c r="AZ138" i="633" a="1"/>
  <c r="AZ138" i="633" s="1"/>
  <c r="AJ138" i="633" s="1"/>
  <c r="AZ331" i="633" a="1"/>
  <c r="AZ331" i="633" s="1"/>
  <c r="AJ331" i="633" s="1"/>
  <c r="AZ293" i="633" a="1"/>
  <c r="AZ293" i="633" s="1"/>
  <c r="AJ293" i="633" s="1"/>
  <c r="AZ240" i="633" a="1"/>
  <c r="AZ240" i="633" s="1"/>
  <c r="AJ240" i="633" s="1"/>
  <c r="AZ211" i="633" a="1"/>
  <c r="AZ211" i="633" s="1"/>
  <c r="AJ211" i="633" s="1"/>
  <c r="AZ105" i="633" a="1"/>
  <c r="AZ105" i="633" s="1"/>
  <c r="AJ105" i="633" s="1"/>
  <c r="AZ285" i="633" a="1"/>
  <c r="AZ285" i="633" s="1"/>
  <c r="AJ285" i="633" s="1"/>
  <c r="AZ147" i="633" a="1"/>
  <c r="AZ147" i="633" s="1"/>
  <c r="AJ147" i="633" s="1"/>
  <c r="AZ292" i="633" a="1"/>
  <c r="AZ292" i="633" s="1"/>
  <c r="AJ292" i="633" s="1"/>
  <c r="AZ168" i="633" a="1"/>
  <c r="AZ168" i="633" s="1"/>
  <c r="AJ168" i="633" s="1"/>
  <c r="AZ336" i="633" a="1"/>
  <c r="AZ336" i="633" s="1"/>
  <c r="AJ336" i="633" s="1"/>
  <c r="AZ287" i="633" a="1"/>
  <c r="AZ287" i="633" s="1"/>
  <c r="AJ287" i="633" s="1"/>
  <c r="AZ209" i="633" a="1"/>
  <c r="AZ209" i="633" s="1"/>
  <c r="AJ209" i="633" s="1"/>
  <c r="AZ149" i="633" a="1"/>
  <c r="AZ149" i="633" s="1"/>
  <c r="AJ149" i="633" s="1"/>
  <c r="AZ322" i="633" a="1"/>
  <c r="AZ322" i="633" s="1"/>
  <c r="AJ322" i="633" s="1"/>
  <c r="AZ254" i="633" a="1"/>
  <c r="AZ254" i="633" s="1"/>
  <c r="AJ254" i="633" s="1"/>
  <c r="AZ26" i="633" a="1"/>
  <c r="AZ26" i="633" s="1"/>
  <c r="AJ26" i="633" s="1"/>
  <c r="AZ93" i="633" a="1"/>
  <c r="AZ93" i="633" s="1"/>
  <c r="AJ93" i="633" s="1"/>
  <c r="AZ218" i="633" a="1"/>
  <c r="AZ218" i="633" s="1"/>
  <c r="AJ218" i="633" s="1"/>
  <c r="AZ49" i="633" a="1"/>
  <c r="AZ49" i="633" s="1"/>
  <c r="AJ49" i="633" s="1"/>
  <c r="AZ30" i="633" a="1"/>
  <c r="AZ30" i="633" s="1"/>
  <c r="AJ30" i="633" s="1"/>
  <c r="AZ63" i="633" a="1"/>
  <c r="AZ63" i="633" s="1"/>
  <c r="AJ63" i="633" s="1"/>
  <c r="AZ119" i="633" a="1"/>
  <c r="AZ119" i="633" s="1"/>
  <c r="AJ119" i="633" s="1"/>
  <c r="AZ191" i="633" a="1"/>
  <c r="AZ191" i="633" s="1"/>
  <c r="AJ191" i="633" s="1"/>
  <c r="AZ300" i="633" a="1"/>
  <c r="AZ300" i="633" s="1"/>
  <c r="AJ300" i="633" s="1"/>
  <c r="AZ176" i="633" a="1"/>
  <c r="AZ176" i="633" s="1"/>
  <c r="AJ176" i="633" s="1"/>
  <c r="AZ57" i="633" a="1"/>
  <c r="AZ57" i="633" s="1"/>
  <c r="AJ57" i="633" s="1"/>
  <c r="AZ217" i="633" a="1"/>
  <c r="AZ217" i="633" s="1"/>
  <c r="AJ217" i="633" s="1"/>
  <c r="AZ112" i="633" a="1"/>
  <c r="AZ112" i="633" s="1"/>
  <c r="AJ112" i="633" s="1"/>
  <c r="AZ239" i="633" a="1"/>
  <c r="AZ239" i="633" s="1"/>
  <c r="AJ239" i="633" s="1"/>
  <c r="AZ118" i="633" a="1"/>
  <c r="AZ118" i="633" s="1"/>
  <c r="AJ118" i="633" s="1"/>
  <c r="AZ61" i="633" a="1"/>
  <c r="AZ61" i="633" s="1"/>
  <c r="AJ61" i="633" s="1"/>
  <c r="AZ43" i="633" a="1"/>
  <c r="AZ43" i="633" s="1"/>
  <c r="AJ43" i="633" s="1"/>
  <c r="AZ84" i="633" a="1"/>
  <c r="AZ84" i="633" s="1"/>
  <c r="AJ84" i="633" s="1"/>
  <c r="AZ33" i="633" a="1"/>
  <c r="AZ33" i="633" s="1"/>
  <c r="AJ33" i="633" s="1"/>
  <c r="AZ104" i="633" a="1"/>
  <c r="AZ104" i="633" s="1"/>
  <c r="AJ104" i="633" s="1"/>
  <c r="AZ85" i="633" a="1"/>
  <c r="AZ85" i="633" s="1"/>
  <c r="AJ85" i="633" s="1"/>
  <c r="AZ308" i="633" a="1"/>
  <c r="AZ308" i="633" s="1"/>
  <c r="AJ308" i="633" s="1"/>
  <c r="AZ183" i="633" a="1"/>
  <c r="AZ183" i="633" s="1"/>
  <c r="AJ183" i="633" s="1"/>
  <c r="AZ125" i="633" a="1"/>
  <c r="AZ125" i="633" s="1"/>
  <c r="AJ125" i="633" s="1"/>
  <c r="AZ279" i="633" a="1"/>
  <c r="AZ279" i="633" s="1"/>
  <c r="AJ279" i="633" s="1"/>
  <c r="AZ145" i="633" a="1"/>
  <c r="AZ145" i="633" s="1"/>
  <c r="AJ145" i="633" s="1"/>
  <c r="AZ247" i="633" a="1"/>
  <c r="AZ247" i="633" s="1"/>
  <c r="AJ247" i="633" s="1"/>
  <c r="AZ127" i="633" a="1"/>
  <c r="AZ127" i="633" s="1"/>
  <c r="AJ127" i="633" s="1"/>
  <c r="AZ338" i="633" a="1"/>
  <c r="AZ338" i="633" s="1"/>
  <c r="AJ338" i="633" s="1"/>
  <c r="AZ307" i="633" a="1"/>
  <c r="AZ307" i="633" s="1"/>
  <c r="AJ307" i="633" s="1"/>
  <c r="AZ184" i="633" a="1"/>
  <c r="AZ184" i="633" s="1"/>
  <c r="AJ184" i="633" s="1"/>
  <c r="AZ64" i="633" a="1"/>
  <c r="AZ64" i="633" s="1"/>
  <c r="AJ64" i="633" s="1"/>
  <c r="AZ317" i="633" a="1"/>
  <c r="AZ317" i="633" s="1"/>
  <c r="AJ317" i="633" s="1"/>
  <c r="AZ190" i="633" a="1"/>
  <c r="AZ190" i="633" s="1"/>
  <c r="AJ190" i="633" s="1"/>
  <c r="AZ327" i="633" a="1"/>
  <c r="AZ327" i="633" s="1"/>
  <c r="AJ327" i="633" s="1"/>
  <c r="AZ259" i="633" a="1"/>
  <c r="AZ259" i="633" s="1"/>
  <c r="AJ259" i="633" s="1"/>
  <c r="AZ198" i="633" a="1"/>
  <c r="AZ198" i="633" s="1"/>
  <c r="AJ198" i="633" s="1"/>
  <c r="AZ139" i="633" a="1"/>
  <c r="AZ139" i="633" s="1"/>
  <c r="AJ139" i="633" s="1"/>
  <c r="AZ306" i="633" a="1"/>
  <c r="AZ306" i="633" s="1"/>
  <c r="AJ306" i="633" s="1"/>
  <c r="AZ205" i="633" a="1"/>
  <c r="AZ205" i="633" s="1"/>
  <c r="AJ205" i="633" s="1"/>
  <c r="AZ19" i="633" a="1"/>
  <c r="AZ19" i="633" s="1"/>
  <c r="AJ19" i="633" s="1"/>
  <c r="AZ89" i="633" a="1"/>
  <c r="AZ89" i="633" s="1"/>
  <c r="AJ89" i="633" s="1"/>
  <c r="AZ23" i="633" a="1"/>
  <c r="AZ23" i="633" s="1"/>
  <c r="AJ23" i="633" s="1"/>
  <c r="AZ114" i="633" a="1"/>
  <c r="AZ114" i="633" s="1"/>
  <c r="AJ114" i="633" s="1"/>
  <c r="AZ44" i="633" a="1"/>
  <c r="AZ44" i="633" s="1"/>
  <c r="AJ44" i="633" s="1"/>
  <c r="AZ216" i="633" a="1"/>
  <c r="AZ216" i="633" s="1"/>
  <c r="AJ216" i="633" s="1"/>
  <c r="AZ328" i="633" a="1"/>
  <c r="AZ328" i="633" s="1"/>
  <c r="AJ328" i="633" s="1"/>
  <c r="AZ201" i="633" a="1"/>
  <c r="AZ201" i="633" s="1"/>
  <c r="AJ201" i="633" s="1"/>
  <c r="AZ92" i="633" a="1"/>
  <c r="AZ92" i="633" s="1"/>
  <c r="AJ92" i="633" s="1"/>
  <c r="AZ257" i="633" a="1"/>
  <c r="AZ257" i="633" s="1"/>
  <c r="AJ257" i="633" s="1"/>
  <c r="AZ135" i="633" a="1"/>
  <c r="AZ135" i="633" s="1"/>
  <c r="AJ135" i="633" s="1"/>
  <c r="AZ278" i="633" a="1"/>
  <c r="AZ278" i="633" s="1"/>
  <c r="AJ278" i="633" s="1"/>
  <c r="AZ142" i="633" a="1"/>
  <c r="AZ142" i="633" s="1"/>
  <c r="AJ142" i="633" s="1"/>
  <c r="AZ55" i="633" a="1"/>
  <c r="AZ55" i="633" s="1"/>
  <c r="AJ55" i="633" s="1"/>
  <c r="AZ36" i="633" a="1"/>
  <c r="AZ36" i="633" s="1"/>
  <c r="AJ36" i="633" s="1"/>
  <c r="AZ58" i="633" a="1"/>
  <c r="AZ58" i="633" s="1"/>
  <c r="AJ58" i="633" s="1"/>
  <c r="AZ99" i="633" a="1"/>
  <c r="AZ99" i="633" s="1"/>
  <c r="AJ99" i="633" s="1"/>
  <c r="AZ82" i="633" a="1"/>
  <c r="AZ82" i="633" s="1"/>
  <c r="AJ82" i="633" s="1"/>
  <c r="AZ21" i="633" a="1"/>
  <c r="AZ21" i="633" s="1"/>
  <c r="AJ21" i="633" s="1"/>
  <c r="AZ103" i="633" a="1"/>
  <c r="AZ103" i="633" s="1"/>
  <c r="AJ103" i="633" s="1"/>
  <c r="AZ219" i="633" a="1"/>
  <c r="AZ219" i="633" s="1"/>
  <c r="AJ219" i="633" s="1"/>
  <c r="AZ303" i="633" a="1"/>
  <c r="AZ303" i="633" s="1"/>
  <c r="AJ303" i="633" s="1"/>
  <c r="AZ252" i="633" a="1"/>
  <c r="AZ252" i="633" s="1"/>
  <c r="AJ252" i="633" s="1"/>
  <c r="AZ237" i="633" a="1"/>
  <c r="AZ237" i="633" s="1"/>
  <c r="AJ237" i="633" s="1"/>
  <c r="AZ117" i="633" a="1"/>
  <c r="AZ117" i="633" s="1"/>
  <c r="AJ117" i="633" s="1"/>
  <c r="AZ295" i="633" a="1"/>
  <c r="AZ295" i="633" s="1"/>
  <c r="AJ295" i="633" s="1"/>
  <c r="AZ173" i="633" a="1"/>
  <c r="AZ173" i="633" s="1"/>
  <c r="AJ173" i="633" s="1"/>
  <c r="AZ301" i="633" a="1"/>
  <c r="AZ301" i="633" s="1"/>
  <c r="AJ301" i="633" s="1"/>
  <c r="AZ180" i="633" a="1"/>
  <c r="AZ180" i="633" s="1"/>
  <c r="AJ180" i="633" s="1"/>
  <c r="AZ50" i="633" a="1"/>
  <c r="AZ50" i="633" s="1"/>
  <c r="AJ50" i="633" s="1"/>
  <c r="AZ243" i="633" a="1"/>
  <c r="AZ243" i="633" s="1"/>
  <c r="AJ243" i="633" s="1"/>
  <c r="AZ42" i="633" a="1"/>
  <c r="AZ42" i="633" s="1"/>
  <c r="AJ42" i="633" s="1"/>
  <c r="AZ56" i="633" a="1"/>
  <c r="AZ56" i="633" s="1"/>
  <c r="AJ56" i="633" s="1"/>
  <c r="AZ28" i="633" a="1"/>
  <c r="AZ28" i="633" s="1"/>
  <c r="AJ28" i="633" s="1"/>
  <c r="AZ91" i="633" a="1"/>
  <c r="AZ91" i="633" s="1"/>
  <c r="AJ91" i="633" s="1"/>
  <c r="AZ196" i="633" a="1"/>
  <c r="AZ196" i="633" s="1"/>
  <c r="AJ196" i="633" s="1"/>
  <c r="AZ110" i="633" a="1"/>
  <c r="AZ110" i="633" s="1"/>
  <c r="AJ110" i="633" s="1"/>
  <c r="AZ288" i="633" a="1"/>
  <c r="AZ288" i="633" s="1"/>
  <c r="AJ288" i="633" s="1"/>
  <c r="AZ208" i="633" a="1"/>
  <c r="AZ208" i="633" s="1"/>
  <c r="AJ208" i="633" s="1"/>
  <c r="AZ170" i="633" a="1"/>
  <c r="AZ170" i="633" s="1"/>
  <c r="AJ170" i="633" s="1"/>
  <c r="AZ97" i="633" a="1"/>
  <c r="AZ97" i="633" s="1"/>
  <c r="AJ97" i="633" s="1"/>
  <c r="AZ181" i="633" a="1"/>
  <c r="AZ181" i="633" s="1"/>
  <c r="AJ181" i="633" s="1"/>
  <c r="AZ314" i="633" a="1"/>
  <c r="AZ314" i="633" s="1"/>
  <c r="AJ314" i="633" s="1"/>
  <c r="AZ146" i="633" a="1"/>
  <c r="AZ146" i="633" s="1"/>
  <c r="AJ146" i="633" s="1"/>
  <c r="AZ86" i="633" a="1"/>
  <c r="AZ86" i="633" s="1"/>
  <c r="AJ86" i="633" s="1"/>
  <c r="AZ120" i="633" a="1"/>
  <c r="AZ120" i="633" s="1"/>
  <c r="AJ120" i="633" s="1"/>
  <c r="AZ166" i="633" a="1"/>
  <c r="AZ166" i="633" s="1"/>
  <c r="AJ166" i="633" s="1"/>
  <c r="AZ98" i="633" a="1"/>
  <c r="AZ98" i="633" s="1"/>
  <c r="AJ98" i="633" s="1"/>
  <c r="AZ215" i="633" a="1"/>
  <c r="AZ215" i="633" s="1"/>
  <c r="AJ215" i="633" s="1"/>
  <c r="AZ246" i="633" a="1"/>
  <c r="AZ246" i="633" s="1"/>
  <c r="AJ246" i="633" s="1"/>
  <c r="AZ27" i="633" a="1"/>
  <c r="AZ27" i="633" s="1"/>
  <c r="AJ27" i="633" s="1"/>
  <c r="AZ113" i="633" a="1"/>
  <c r="AZ113" i="633" s="1"/>
  <c r="AJ113" i="633" s="1"/>
  <c r="AZ187" i="633" a="1"/>
  <c r="AZ187" i="633" s="1"/>
  <c r="AJ187" i="633" s="1"/>
  <c r="AZ294" i="633" a="1"/>
  <c r="AZ294" i="633" s="1"/>
  <c r="AJ294" i="633" s="1"/>
  <c r="AZ41" i="633" a="1"/>
  <c r="AZ41" i="633" s="1"/>
  <c r="AJ41" i="633" s="1"/>
  <c r="AZ182" i="633" a="1"/>
  <c r="AZ182" i="633" s="1"/>
  <c r="AJ182" i="633" s="1"/>
  <c r="AZ335" i="633" a="1"/>
  <c r="AZ335" i="633" s="1"/>
  <c r="AJ335" i="633" s="1"/>
  <c r="AZ126" i="633" a="1"/>
  <c r="AZ126" i="633" s="1"/>
  <c r="AJ126" i="633" s="1"/>
  <c r="AZ133" i="633" a="1"/>
  <c r="AZ133" i="633" s="1"/>
  <c r="AJ133" i="633" s="1"/>
  <c r="AZ47" i="633" a="1"/>
  <c r="AZ47" i="633" s="1"/>
  <c r="AJ47" i="633" s="1"/>
  <c r="AZ20" i="633" a="1"/>
  <c r="AZ20" i="633" s="1"/>
  <c r="AJ20" i="633" s="1"/>
  <c r="AZ107" i="633" a="1"/>
  <c r="AZ107" i="633" s="1"/>
  <c r="AJ107" i="633" s="1"/>
  <c r="AZ22" i="633" a="1"/>
  <c r="AZ22" i="633" s="1"/>
  <c r="AJ22" i="633" s="1"/>
  <c r="AZ222" i="633" a="1"/>
  <c r="AZ222" i="633" s="1"/>
  <c r="AZ369" i="633" a="1"/>
  <c r="AZ369" i="633" s="1"/>
  <c r="AZ9" i="633" a="1"/>
  <c r="AZ9" i="633" s="1"/>
  <c r="AZ162" i="633" a="1"/>
  <c r="AZ162" i="633" s="1"/>
  <c r="AZ69" i="633" a="1"/>
  <c r="AZ69" i="633" s="1"/>
  <c r="AZ233" i="633" a="1"/>
  <c r="AZ233" i="633" s="1"/>
  <c r="AJ233" i="633" s="1"/>
  <c r="AZ78" i="633" a="1"/>
  <c r="AZ78" i="633" s="1"/>
  <c r="AJ78" i="633" s="1"/>
  <c r="AZ275" i="633" a="1"/>
  <c r="AZ275" i="633" s="1"/>
  <c r="AJ275" i="633" s="1"/>
  <c r="AZ372" i="633" a="1"/>
  <c r="AZ372" i="633" s="1"/>
  <c r="AJ372" i="633" s="1"/>
  <c r="AZ13" i="633" a="1"/>
  <c r="AZ13" i="633" s="1"/>
  <c r="AJ13" i="633" s="1"/>
  <c r="AZ68" i="633" a="1"/>
  <c r="AZ68" i="633" s="1"/>
  <c r="AJ68" i="633" s="1"/>
  <c r="AZ273" i="633" a="1"/>
  <c r="AZ273" i="633" s="1"/>
  <c r="AJ273" i="633" s="1"/>
  <c r="AZ310" i="633" a="1"/>
  <c r="AZ310" i="633" s="1"/>
  <c r="AJ310" i="633" s="1"/>
  <c r="AZ14" i="633" a="1"/>
  <c r="AZ14" i="633" s="1"/>
  <c r="AJ14" i="633" s="1"/>
  <c r="AZ371" i="633" a="1"/>
  <c r="AZ371" i="633" s="1"/>
  <c r="AJ371" i="633" s="1"/>
  <c r="AZ12" i="633" a="1"/>
  <c r="AZ12" i="633" s="1"/>
  <c r="AJ12" i="633" s="1"/>
  <c r="AZ231" i="633" a="1"/>
  <c r="AZ231" i="633" s="1"/>
  <c r="AJ231" i="633" s="1"/>
  <c r="AZ223" i="633" a="1"/>
  <c r="AZ223" i="633" s="1"/>
  <c r="AJ223" i="633" s="1"/>
  <c r="AZ159" i="633" a="1"/>
  <c r="AZ159" i="633" s="1"/>
  <c r="AJ159" i="633" s="1"/>
  <c r="AZ76" i="633" a="1"/>
  <c r="AZ76" i="633" s="1"/>
  <c r="AJ76" i="633" s="1"/>
  <c r="AZ156" i="633" a="1"/>
  <c r="AZ156" i="633" s="1"/>
  <c r="AJ156" i="633" s="1"/>
  <c r="AZ232" i="633" a="1"/>
  <c r="AZ232" i="633" s="1"/>
  <c r="AJ232" i="633" s="1"/>
  <c r="AZ15" i="633" a="1"/>
  <c r="AZ15" i="633" s="1"/>
  <c r="AJ15" i="633" s="1"/>
  <c r="AZ153" i="633" a="1"/>
  <c r="AZ153" i="633" s="1"/>
  <c r="AJ153" i="633" s="1"/>
  <c r="AZ224" i="633" a="1"/>
  <c r="AZ224" i="633" s="1"/>
  <c r="AJ224" i="633" s="1"/>
  <c r="AZ226" i="633" a="1"/>
  <c r="AZ226" i="633" s="1"/>
  <c r="AJ226" i="633" s="1"/>
  <c r="AZ71" i="633" a="1"/>
  <c r="AZ71" i="633" s="1"/>
  <c r="AJ71" i="633" s="1"/>
  <c r="AZ160" i="633" a="1"/>
  <c r="AZ160" i="633" s="1"/>
  <c r="AJ160" i="633" s="1"/>
  <c r="AZ152" i="633" a="1"/>
  <c r="AZ152" i="633" s="1"/>
  <c r="AJ152" i="633" s="1"/>
  <c r="AZ274" i="633" a="1"/>
  <c r="AZ274" i="633" s="1"/>
  <c r="AJ274" i="633" s="1"/>
  <c r="AZ370" i="633" a="1"/>
  <c r="AZ370" i="633" s="1"/>
  <c r="AJ370" i="633" s="1"/>
  <c r="AZ72" i="633" a="1"/>
  <c r="AZ72" i="633" s="1"/>
  <c r="AJ72" i="633" s="1"/>
  <c r="AZ79" i="633" a="1"/>
  <c r="AZ79" i="633" s="1"/>
  <c r="AJ79" i="633" s="1"/>
  <c r="AZ75" i="633" a="1"/>
  <c r="AZ75" i="633" s="1"/>
  <c r="AJ75" i="633" s="1"/>
  <c r="AZ70" i="633" a="1"/>
  <c r="AZ70" i="633" s="1"/>
  <c r="AJ70" i="633" s="1"/>
  <c r="AZ225" i="633" a="1"/>
  <c r="AZ225" i="633" s="1"/>
  <c r="AJ225" i="633" s="1"/>
  <c r="AZ229" i="633" a="1"/>
  <c r="AZ229" i="633" s="1"/>
  <c r="AJ229" i="633" s="1"/>
  <c r="AZ16" i="633" a="1"/>
  <c r="AZ16" i="633" s="1"/>
  <c r="AJ16" i="633" s="1"/>
  <c r="AZ230" i="633" a="1"/>
  <c r="AZ230" i="633" s="1"/>
  <c r="AJ230" i="633" s="1"/>
  <c r="AZ163" i="633" a="1"/>
  <c r="AZ163" i="633" s="1"/>
  <c r="AJ163" i="633" s="1"/>
  <c r="AZ77" i="633" a="1"/>
  <c r="AZ77" i="633" s="1"/>
  <c r="AJ77" i="633" s="1"/>
  <c r="D37" i="648"/>
  <c r="D38" i="648" s="1"/>
  <c r="D35" i="648"/>
  <c r="J28" i="648"/>
  <c r="E34" i="648"/>
  <c r="V22" i="1"/>
  <c r="J29" i="648"/>
  <c r="AY299" i="633" a="1"/>
  <c r="AY299" i="633" s="1"/>
  <c r="AY190" i="633" a="1"/>
  <c r="AY190" i="633" s="1"/>
  <c r="AY168" i="633" a="1"/>
  <c r="AY168" i="633" s="1"/>
  <c r="AY133" i="633" a="1"/>
  <c r="AY133" i="633" s="1"/>
  <c r="AY323" i="633" a="1"/>
  <c r="AY323" i="633" s="1"/>
  <c r="AY103" i="633" a="1"/>
  <c r="AY103" i="633" s="1"/>
  <c r="AY64" i="633" a="1"/>
  <c r="AY64" i="633" s="1"/>
  <c r="AY37" i="633" a="1"/>
  <c r="AY37" i="633" s="1"/>
  <c r="AY308" i="633" a="1"/>
  <c r="AY308" i="633" s="1"/>
  <c r="AY286" i="633" a="1"/>
  <c r="AY286" i="633" s="1"/>
  <c r="AY237" i="633" a="1"/>
  <c r="AY237" i="633" s="1"/>
  <c r="AY294" i="633" a="1"/>
  <c r="AY294" i="633" s="1"/>
  <c r="AY184" i="633" a="1"/>
  <c r="AY184" i="633" s="1"/>
  <c r="AY148" i="633" a="1"/>
  <c r="AY148" i="633" s="1"/>
  <c r="AY118" i="633" a="1"/>
  <c r="AY118" i="633" s="1"/>
  <c r="AY96" i="633" a="1"/>
  <c r="AY96" i="633" s="1"/>
  <c r="AY58" i="633" a="1"/>
  <c r="AY58" i="633" s="1"/>
  <c r="AY33" i="633" a="1"/>
  <c r="AY33" i="633" s="1"/>
  <c r="AY302" i="633" a="1"/>
  <c r="AY302" i="633" s="1"/>
  <c r="AY313" i="633" a="1"/>
  <c r="AY313" i="633" s="1"/>
  <c r="AY282" i="633" a="1"/>
  <c r="AY282" i="633" s="1"/>
  <c r="AY314" i="633" a="1"/>
  <c r="AY314" i="633" s="1"/>
  <c r="AY287" i="633" a="1"/>
  <c r="AY287" i="633" s="1"/>
  <c r="AY239" i="633" a="1"/>
  <c r="AY239" i="633" s="1"/>
  <c r="AY180" i="633" a="1"/>
  <c r="AY180" i="633" s="1"/>
  <c r="AY142" i="633" a="1"/>
  <c r="AY142" i="633" s="1"/>
  <c r="AY336" i="633" a="1"/>
  <c r="AY336" i="633" s="1"/>
  <c r="AY126" i="633" a="1"/>
  <c r="AY126" i="633" s="1"/>
  <c r="AY90" i="633" a="1"/>
  <c r="AY90" i="633" s="1"/>
  <c r="AY49" i="633" a="1"/>
  <c r="AY49" i="633" s="1"/>
  <c r="AY28" i="633" a="1"/>
  <c r="AY28" i="633" s="1"/>
  <c r="AY295" i="633" a="1"/>
  <c r="AY295" i="633" s="1"/>
  <c r="AY212" i="633" a="1"/>
  <c r="AY212" i="633" s="1"/>
  <c r="AY189" i="633" a="1"/>
  <c r="AY189" i="633" s="1"/>
  <c r="AY40" i="633" a="1"/>
  <c r="AY40" i="633" s="1"/>
  <c r="AY303" i="633" a="1"/>
  <c r="AY303" i="633" s="1"/>
  <c r="AY219" i="633" a="1"/>
  <c r="AY219" i="633" s="1"/>
  <c r="AY197" i="633" a="1"/>
  <c r="AY197" i="633" s="1"/>
  <c r="AY174" i="633" a="1"/>
  <c r="AY174" i="633" s="1"/>
  <c r="AY138" i="633" a="1"/>
  <c r="AY138" i="633" s="1"/>
  <c r="AY328" i="633" a="1"/>
  <c r="AY328" i="633" s="1"/>
  <c r="AY107" i="633" a="1"/>
  <c r="AY107" i="633" s="1"/>
  <c r="AY84" i="633" a="1"/>
  <c r="AY84" i="633" s="1"/>
  <c r="AY43" i="633" a="1"/>
  <c r="AY43" i="633" s="1"/>
  <c r="AY21" i="633" a="1"/>
  <c r="AY21" i="633" s="1"/>
  <c r="AY292" i="633" a="1"/>
  <c r="AY292" i="633" s="1"/>
  <c r="AY300" i="633" a="1"/>
  <c r="AY300" i="633" s="1"/>
  <c r="AY170" i="633" a="1"/>
  <c r="AY170" i="633" s="1"/>
  <c r="AY106" i="633" a="1"/>
  <c r="AY106" i="633" s="1"/>
  <c r="AY48" i="633" a="1"/>
  <c r="AY48" i="633" s="1"/>
  <c r="AY293" i="633" a="1"/>
  <c r="AY293" i="633" s="1"/>
  <c r="AY149" i="633" a="1"/>
  <c r="AY149" i="633" s="1"/>
  <c r="AY330" i="633" a="1"/>
  <c r="AY330" i="633" s="1"/>
  <c r="AY91" i="633" a="1"/>
  <c r="AY91" i="633" s="1"/>
  <c r="AY27" i="633" a="1"/>
  <c r="AY27" i="633" s="1"/>
  <c r="AY63" i="633" a="1"/>
  <c r="AY63" i="633" s="1"/>
  <c r="AY120" i="633" a="1"/>
  <c r="AY120" i="633" s="1"/>
  <c r="AY57" i="633" a="1"/>
  <c r="AY57" i="633" s="1"/>
  <c r="AY167" i="633" a="1"/>
  <c r="AY167" i="633" s="1"/>
  <c r="AY296" i="633" a="1"/>
  <c r="AY296" i="633" s="1"/>
  <c r="AY337" i="633" a="1"/>
  <c r="AY337" i="633" s="1"/>
  <c r="AY98" i="633" a="1"/>
  <c r="AY98" i="633" s="1"/>
  <c r="AY42" i="633" a="1"/>
  <c r="AY42" i="633" s="1"/>
  <c r="AY288" i="633" a="1"/>
  <c r="AY288" i="633" s="1"/>
  <c r="AY204" i="633" a="1"/>
  <c r="AY204" i="633" s="1"/>
  <c r="AY145" i="633" a="1"/>
  <c r="AY145" i="633" s="1"/>
  <c r="AY324" i="633" a="1"/>
  <c r="AY324" i="633" s="1"/>
  <c r="AY85" i="633" a="1"/>
  <c r="AY85" i="633" s="1"/>
  <c r="AY22" i="633" a="1"/>
  <c r="AY22" i="633" s="1"/>
  <c r="AY55" i="633" a="1"/>
  <c r="AY55" i="633" s="1"/>
  <c r="AY146" i="633" a="1"/>
  <c r="AY146" i="633" s="1"/>
  <c r="AY50" i="633" a="1"/>
  <c r="AY50" i="633" s="1"/>
  <c r="AY139" i="633" a="1"/>
  <c r="AY139" i="633" s="1"/>
  <c r="AY196" i="633" a="1"/>
  <c r="AY196" i="633" s="1"/>
  <c r="AY289" i="633" a="1"/>
  <c r="AY289" i="633" s="1"/>
  <c r="AY205" i="633" a="1"/>
  <c r="AY205" i="633" s="1"/>
  <c r="AY331" i="633" a="1"/>
  <c r="AY331" i="633" s="1"/>
  <c r="AY92" i="633" a="1"/>
  <c r="AY92" i="633" s="1"/>
  <c r="AY36" i="633" a="1"/>
  <c r="AY36" i="633" s="1"/>
  <c r="AY280" i="633" a="1"/>
  <c r="AY280" i="633" s="1"/>
  <c r="AY198" i="633" a="1"/>
  <c r="AY198" i="633" s="1"/>
  <c r="AY140" i="633" a="1"/>
  <c r="AY140" i="633" s="1"/>
  <c r="AY317" i="633" a="1"/>
  <c r="AY317" i="633" s="1"/>
  <c r="AY65" i="633" a="1"/>
  <c r="AY65" i="633" s="1"/>
  <c r="AY322" i="633" a="1"/>
  <c r="AY322" i="633" s="1"/>
  <c r="AY44" i="633" a="1"/>
  <c r="AY44" i="633" s="1"/>
  <c r="AY117" i="633" a="1"/>
  <c r="AY117" i="633" s="1"/>
  <c r="AY35" i="633" a="1"/>
  <c r="AY35" i="633" s="1"/>
  <c r="AY125" i="633" a="1"/>
  <c r="AY125" i="633" s="1"/>
  <c r="AY183" i="633" a="1"/>
  <c r="AY183" i="633" s="1"/>
  <c r="AY285" i="633" a="1"/>
  <c r="AY285" i="633" s="1"/>
  <c r="AY327" i="633" a="1"/>
  <c r="AY327" i="633" s="1"/>
  <c r="AY86" i="633" a="1"/>
  <c r="AY86" i="633" s="1"/>
  <c r="AY29" i="633" a="1"/>
  <c r="AY29" i="633" s="1"/>
  <c r="AY253" i="633" a="1"/>
  <c r="AY253" i="633" s="1"/>
  <c r="AY191" i="633" a="1"/>
  <c r="AY191" i="633" s="1"/>
  <c r="AY132" i="633" a="1"/>
  <c r="AY132" i="633" s="1"/>
  <c r="AY261" i="633" a="1"/>
  <c r="AY261" i="633" s="1"/>
  <c r="AY61" i="633" a="1"/>
  <c r="AY61" i="633" s="1"/>
  <c r="AY30" i="633" a="1"/>
  <c r="AY30" i="633" s="1"/>
  <c r="AY141" i="633" a="1"/>
  <c r="AY141" i="633" s="1"/>
  <c r="AY26" i="633" a="1"/>
  <c r="AY26" i="633" s="1"/>
  <c r="AY329" i="633" a="1"/>
  <c r="AY329" i="633" s="1"/>
  <c r="AY131" i="633" a="1"/>
  <c r="AY131" i="633" s="1"/>
  <c r="AY177" i="633" a="1"/>
  <c r="AY177" i="633" s="1"/>
  <c r="AY254" i="633" a="1"/>
  <c r="AY254" i="633" s="1"/>
  <c r="AY195" i="633" a="1"/>
  <c r="AY195" i="633" s="1"/>
  <c r="AY321" i="633" a="1"/>
  <c r="AY321" i="633" s="1"/>
  <c r="AY82" i="633" a="1"/>
  <c r="AY82" i="633" s="1"/>
  <c r="AY23" i="633" a="1"/>
  <c r="AY23" i="633" s="1"/>
  <c r="AY246" i="633" a="1"/>
  <c r="AY246" i="633" s="1"/>
  <c r="AY187" i="633" a="1"/>
  <c r="AY187" i="633" s="1"/>
  <c r="AY119" i="633" a="1"/>
  <c r="AY119" i="633" s="1"/>
  <c r="AY121" i="633" a="1"/>
  <c r="AY121" i="633" s="1"/>
  <c r="AY51" i="633" a="1"/>
  <c r="AY51" i="633" s="1"/>
  <c r="AY166" i="633" a="1"/>
  <c r="AY166" i="633" s="1"/>
  <c r="AY20" i="633" a="1"/>
  <c r="AY20" i="633" s="1"/>
  <c r="AY127" i="633" a="1"/>
  <c r="AY127" i="633" s="1"/>
  <c r="AY338" i="633" a="1"/>
  <c r="AY338" i="633" s="1"/>
  <c r="AY135" i="633" a="1"/>
  <c r="AY135" i="633" s="1"/>
  <c r="AY100" i="633" a="1"/>
  <c r="AY100" i="633" s="1"/>
  <c r="AY173" i="633" a="1"/>
  <c r="AY173" i="633" s="1"/>
  <c r="AY247" i="633" a="1"/>
  <c r="AY247" i="633" s="1"/>
  <c r="AY188" i="633" a="1"/>
  <c r="AY188" i="633" s="1"/>
  <c r="AY278" i="633" a="1"/>
  <c r="AY278" i="633" s="1"/>
  <c r="AY62" i="633" a="1"/>
  <c r="AY62" i="633" s="1"/>
  <c r="AY315" i="633" a="1"/>
  <c r="AY315" i="633" s="1"/>
  <c r="AY240" i="633" a="1"/>
  <c r="AY240" i="633" s="1"/>
  <c r="AY182" i="633" a="1"/>
  <c r="AY182" i="633" s="1"/>
  <c r="AY112" i="633" a="1"/>
  <c r="AY112" i="633" s="1"/>
  <c r="AY110" i="633" a="1"/>
  <c r="AY110" i="633" s="1"/>
  <c r="AY47" i="633" a="1"/>
  <c r="AY47" i="633" s="1"/>
  <c r="AY113" i="633" a="1"/>
  <c r="AY113" i="633" s="1"/>
  <c r="AY147" i="633" a="1"/>
  <c r="AY147" i="633" s="1"/>
  <c r="AY105" i="633" a="1"/>
  <c r="AY105" i="633" s="1"/>
  <c r="AY114" i="633" a="1"/>
  <c r="AY114" i="633" s="1"/>
  <c r="AY316" i="633" a="1"/>
  <c r="AY316" i="633" s="1"/>
  <c r="AY181" i="633" a="1"/>
  <c r="AY181" i="633" s="1"/>
  <c r="AY124" i="633" a="1"/>
  <c r="AY124" i="633" s="1"/>
  <c r="AY56" i="633" a="1"/>
  <c r="AY56" i="633" s="1"/>
  <c r="AY306" i="633" a="1"/>
  <c r="AY306" i="633" s="1"/>
  <c r="AY236" i="633" a="1"/>
  <c r="AY236" i="633" s="1"/>
  <c r="AY175" i="633" a="1"/>
  <c r="AY175" i="633" s="1"/>
  <c r="AY19" i="633" a="1"/>
  <c r="AY19" i="633" s="1"/>
  <c r="AY104" i="633" a="1"/>
  <c r="AY104" i="633" s="1"/>
  <c r="AY41" i="633" a="1"/>
  <c r="AY41" i="633" s="1"/>
  <c r="AY99" i="633" a="1"/>
  <c r="AY99" i="633" s="1"/>
  <c r="AY134" i="633" a="1"/>
  <c r="AY134" i="633" s="1"/>
  <c r="AY93" i="633" a="1"/>
  <c r="AY93" i="633" s="1"/>
  <c r="AY279" i="633" a="1"/>
  <c r="AY279" i="633" s="1"/>
  <c r="AY194" i="633" a="1"/>
  <c r="AY194" i="633" s="1"/>
  <c r="AY307" i="633" a="1"/>
  <c r="AY307" i="633" s="1"/>
  <c r="AY238" i="633" a="1"/>
  <c r="AY238" i="633" s="1"/>
  <c r="AY176" i="633" a="1"/>
  <c r="AY176" i="633" s="1"/>
  <c r="AY111" i="633" a="1"/>
  <c r="AY111" i="633" s="1"/>
  <c r="AY54" i="633" a="1"/>
  <c r="AY54" i="633" s="1"/>
  <c r="AY301" i="633" a="1"/>
  <c r="AY301" i="633" s="1"/>
  <c r="AY169" i="633" a="1"/>
  <c r="AY169" i="633" s="1"/>
  <c r="AY335" i="633" a="1"/>
  <c r="AY335" i="633" s="1"/>
  <c r="AY97" i="633" a="1"/>
  <c r="AY97" i="633" s="1"/>
  <c r="AY34" i="633" a="1"/>
  <c r="AY34" i="633" s="1"/>
  <c r="AY89" i="633" a="1"/>
  <c r="AY89" i="633" s="1"/>
  <c r="AY128" i="633" a="1"/>
  <c r="AY128" i="633" s="1"/>
  <c r="AY83" i="633" a="1"/>
  <c r="AY83" i="633" s="1"/>
  <c r="AY334" i="633" a="1"/>
  <c r="AY334" i="633" s="1"/>
  <c r="W22" i="1"/>
  <c r="AY200" i="633" l="1" a="1"/>
  <c r="AY200" i="633" s="1"/>
  <c r="J200" i="633" s="1"/>
  <c r="AY66" i="633" a="1"/>
  <c r="AY66" i="633" s="1"/>
  <c r="J66" i="633" s="1"/>
  <c r="AY245" i="633" a="1"/>
  <c r="AY245" i="633" s="1"/>
  <c r="AY203" i="633" a="1"/>
  <c r="AY203" i="633" s="1"/>
  <c r="AY199" i="633" a="1"/>
  <c r="AY199" i="633" s="1"/>
  <c r="J199" i="633" s="1"/>
  <c r="AY244" i="633" a="1"/>
  <c r="AY244" i="633" s="1"/>
  <c r="AY73" i="633" a="1"/>
  <c r="AY73" i="633" s="1"/>
  <c r="J73" i="633" s="1"/>
  <c r="AY242" i="633" a="1"/>
  <c r="AY242" i="633" s="1"/>
  <c r="J242" i="633" s="1"/>
  <c r="AY241" i="633" a="1"/>
  <c r="AY241" i="633" s="1"/>
  <c r="J241" i="633" s="1"/>
  <c r="AY201" i="633" a="1"/>
  <c r="AY201" i="633" s="1"/>
  <c r="AY367" i="633" a="1"/>
  <c r="AY367" i="633" s="1"/>
  <c r="J367" i="633" s="1"/>
  <c r="AY202" i="633" a="1"/>
  <c r="AY202" i="633" s="1"/>
  <c r="AY154" i="633" a="1"/>
  <c r="AY154" i="633" s="1"/>
  <c r="J154" i="633" s="1"/>
  <c r="AY243" i="633" a="1"/>
  <c r="AY243" i="633" s="1"/>
  <c r="AY206" i="633" a="1"/>
  <c r="AY206" i="633" s="1"/>
  <c r="J206" i="633" s="1"/>
  <c r="AY360" i="633" a="1"/>
  <c r="AY360" i="633" s="1"/>
  <c r="J360" i="633" s="1"/>
  <c r="AY353" i="633" a="1"/>
  <c r="AY353" i="633" s="1"/>
  <c r="J353" i="633" s="1"/>
  <c r="AY255" i="633" a="1"/>
  <c r="AY255" i="633" s="1"/>
  <c r="J255" i="633" s="1"/>
  <c r="AY157" i="633" a="1"/>
  <c r="AY157" i="633" s="1"/>
  <c r="J157" i="633" s="1"/>
  <c r="AY161" i="633" a="1"/>
  <c r="AY161" i="633" s="1"/>
  <c r="J161" i="633" s="1"/>
  <c r="AY346" i="633" a="1"/>
  <c r="AY346" i="633" s="1"/>
  <c r="J346" i="633" s="1"/>
  <c r="AY248" i="633" a="1"/>
  <c r="AY248" i="633" s="1"/>
  <c r="J248" i="633" s="1"/>
  <c r="AY150" i="633" a="1"/>
  <c r="AY150" i="633" s="1"/>
  <c r="J150" i="633" s="1"/>
  <c r="AY10" i="633" a="1"/>
  <c r="AY10" i="633" s="1"/>
  <c r="J10" i="633" s="1"/>
  <c r="AR8" i="633"/>
  <c r="AX17" i="633" a="1"/>
  <c r="AX17" i="633" s="1"/>
  <c r="AX24" i="633" a="1"/>
  <c r="AX24" i="633" s="1"/>
  <c r="AX31" i="633" a="1"/>
  <c r="AX31" i="633" s="1"/>
  <c r="AX38" i="633" a="1"/>
  <c r="AX38" i="633" s="1"/>
  <c r="AX45" i="633" a="1"/>
  <c r="AX45" i="633" s="1"/>
  <c r="AX52" i="633" a="1"/>
  <c r="AX52" i="633" s="1"/>
  <c r="AX59" i="633" a="1"/>
  <c r="AX59" i="633" s="1"/>
  <c r="AX80" i="633" a="1"/>
  <c r="AX80" i="633" s="1"/>
  <c r="AX87" i="633" a="1"/>
  <c r="AX87" i="633" s="1"/>
  <c r="AX94" i="633" a="1"/>
  <c r="AX94" i="633" s="1"/>
  <c r="AX101" i="633" a="1"/>
  <c r="AX101" i="633" s="1"/>
  <c r="AX108" i="633" a="1"/>
  <c r="AX108" i="633" s="1"/>
  <c r="AX115" i="633" a="1"/>
  <c r="AX115" i="633" s="1"/>
  <c r="AX122" i="633" a="1"/>
  <c r="AX122" i="633" s="1"/>
  <c r="AX129" i="633" a="1"/>
  <c r="AX129" i="633" s="1"/>
  <c r="AX136" i="633" a="1"/>
  <c r="AX136" i="633" s="1"/>
  <c r="AX143" i="633" a="1"/>
  <c r="AX143" i="633" s="1"/>
  <c r="AX164" i="633" a="1"/>
  <c r="AX164" i="633" s="1"/>
  <c r="AX171" i="633" a="1"/>
  <c r="AX171" i="633" s="1"/>
  <c r="AX178" i="633" a="1"/>
  <c r="AX178" i="633" s="1"/>
  <c r="AX185" i="633" a="1"/>
  <c r="AX185" i="633" s="1"/>
  <c r="AX192" i="633" a="1"/>
  <c r="AX192" i="633" s="1"/>
  <c r="AX213" i="633" a="1"/>
  <c r="AX213" i="633" s="1"/>
  <c r="AX220" i="633" a="1"/>
  <c r="AX220" i="633" s="1"/>
  <c r="AX227" i="633" a="1"/>
  <c r="AX227" i="633" s="1"/>
  <c r="AX234" i="633" a="1"/>
  <c r="AX234" i="633" s="1"/>
  <c r="AX262" i="633" a="1"/>
  <c r="AX262" i="633" s="1"/>
  <c r="AX269" i="633" a="1"/>
  <c r="AX269" i="633" s="1"/>
  <c r="AX276" i="633" a="1"/>
  <c r="AX276" i="633" s="1"/>
  <c r="AX283" i="633" a="1"/>
  <c r="AX283" i="633" s="1"/>
  <c r="AX290" i="633" a="1"/>
  <c r="AX290" i="633" s="1"/>
  <c r="AX297" i="633" a="1"/>
  <c r="AX297" i="633" s="1"/>
  <c r="AX304" i="633" a="1"/>
  <c r="AX304" i="633" s="1"/>
  <c r="AX311" i="633" a="1"/>
  <c r="AX311" i="633" s="1"/>
  <c r="AX318" i="633" a="1"/>
  <c r="AX318" i="633" s="1"/>
  <c r="AX325" i="633" a="1"/>
  <c r="AX325" i="633" s="1"/>
  <c r="AX332" i="633" a="1"/>
  <c r="AX332" i="633" s="1"/>
  <c r="AX339" i="633" a="1"/>
  <c r="AX339" i="633" s="1"/>
  <c r="AY251" i="633" a="1"/>
  <c r="AY251" i="633" s="1"/>
  <c r="AY259" i="633" a="1"/>
  <c r="AY259" i="633" s="1"/>
  <c r="AY216" i="633" a="1"/>
  <c r="AY216" i="633" s="1"/>
  <c r="AY151" i="633" a="1"/>
  <c r="AY151" i="633" s="1"/>
  <c r="J151" i="633" s="1"/>
  <c r="AY211" i="633" a="1"/>
  <c r="AY211" i="633" s="1"/>
  <c r="AY217" i="633" a="1"/>
  <c r="AY217" i="633" s="1"/>
  <c r="AY260" i="633" a="1"/>
  <c r="AY260" i="633" s="1"/>
  <c r="AY368" i="633" a="1"/>
  <c r="AY368" i="633" s="1"/>
  <c r="J368" i="633" s="1"/>
  <c r="AY215" i="633" a="1"/>
  <c r="AY215" i="633" s="1"/>
  <c r="AY361" i="633" a="1"/>
  <c r="AY361" i="633" s="1"/>
  <c r="J361" i="633" s="1"/>
  <c r="AY74" i="633" a="1"/>
  <c r="AY74" i="633" s="1"/>
  <c r="J74" i="633" s="1"/>
  <c r="AY208" i="633" a="1"/>
  <c r="AY208" i="633" s="1"/>
  <c r="AY218" i="633" a="1"/>
  <c r="AY218" i="633" s="1"/>
  <c r="AY252" i="633" a="1"/>
  <c r="AY252" i="633" s="1"/>
  <c r="AY354" i="633" a="1"/>
  <c r="AY354" i="633" s="1"/>
  <c r="J354" i="633" s="1"/>
  <c r="AY214" i="633" a="1"/>
  <c r="AY214" i="633" s="1"/>
  <c r="J214" i="633" s="1"/>
  <c r="AY67" i="633" a="1"/>
  <c r="AY67" i="633" s="1"/>
  <c r="J67" i="633" s="1"/>
  <c r="AY210" i="633" a="1"/>
  <c r="AY210" i="633" s="1"/>
  <c r="AY250" i="633" a="1"/>
  <c r="AY250" i="633" s="1"/>
  <c r="AY257" i="633" a="1"/>
  <c r="AY257" i="633" s="1"/>
  <c r="AY347" i="633" a="1"/>
  <c r="AY347" i="633" s="1"/>
  <c r="J347" i="633" s="1"/>
  <c r="AY207" i="633" a="1"/>
  <c r="AY207" i="633" s="1"/>
  <c r="J207" i="633" s="1"/>
  <c r="AY158" i="633" a="1"/>
  <c r="AY158" i="633" s="1"/>
  <c r="J158" i="633" s="1"/>
  <c r="AY11" i="633" a="1"/>
  <c r="AY11" i="633" s="1"/>
  <c r="J11" i="633" s="1"/>
  <c r="AR11" i="633" s="1"/>
  <c r="AY209" i="633" a="1"/>
  <c r="AY209" i="633" s="1"/>
  <c r="AY340" i="633" a="1"/>
  <c r="AY340" i="633" s="1"/>
  <c r="J340" i="633" s="1"/>
  <c r="AY249" i="633" a="1"/>
  <c r="AY249" i="633" s="1"/>
  <c r="AY258" i="633" a="1"/>
  <c r="AY258" i="633" s="1"/>
  <c r="AX8" i="633" a="1"/>
  <c r="AX8" i="633" s="1"/>
  <c r="AU8" i="633" s="1"/>
  <c r="AQ8" i="633" s="1"/>
  <c r="AX18" i="633" a="1"/>
  <c r="AX18" i="633" s="1"/>
  <c r="AX25" i="633" a="1"/>
  <c r="AX25" i="633" s="1"/>
  <c r="AX32" i="633" a="1"/>
  <c r="AX32" i="633" s="1"/>
  <c r="AX39" i="633" a="1"/>
  <c r="AX39" i="633" s="1"/>
  <c r="AX46" i="633" a="1"/>
  <c r="AX46" i="633" s="1"/>
  <c r="AX53" i="633" a="1"/>
  <c r="AX53" i="633" s="1"/>
  <c r="AX60" i="633" a="1"/>
  <c r="AX60" i="633" s="1"/>
  <c r="AX81" i="633" a="1"/>
  <c r="AX81" i="633" s="1"/>
  <c r="AX88" i="633" a="1"/>
  <c r="AX88" i="633" s="1"/>
  <c r="AX95" i="633" a="1"/>
  <c r="AX95" i="633" s="1"/>
  <c r="AX102" i="633" a="1"/>
  <c r="AX102" i="633" s="1"/>
  <c r="AX109" i="633" a="1"/>
  <c r="AX109" i="633" s="1"/>
  <c r="AX116" i="633" a="1"/>
  <c r="AX116" i="633" s="1"/>
  <c r="AX123" i="633" a="1"/>
  <c r="AX123" i="633" s="1"/>
  <c r="AX130" i="633" a="1"/>
  <c r="AX130" i="633" s="1"/>
  <c r="AX137" i="633" a="1"/>
  <c r="AX137" i="633" s="1"/>
  <c r="AX144" i="633" a="1"/>
  <c r="AX144" i="633" s="1"/>
  <c r="AX155" i="633" a="1"/>
  <c r="AX155" i="633" s="1"/>
  <c r="AX165" i="633" a="1"/>
  <c r="AX165" i="633" s="1"/>
  <c r="AX172" i="633" a="1"/>
  <c r="AX172" i="633" s="1"/>
  <c r="AX179" i="633" a="1"/>
  <c r="AX179" i="633" s="1"/>
  <c r="AX186" i="633" a="1"/>
  <c r="AX186" i="633" s="1"/>
  <c r="AX193" i="633" a="1"/>
  <c r="AX193" i="633" s="1"/>
  <c r="AX221" i="633" a="1"/>
  <c r="AX221" i="633" s="1"/>
  <c r="AX228" i="633" a="1"/>
  <c r="AX228" i="633" s="1"/>
  <c r="AX235" i="633" a="1"/>
  <c r="AX235" i="633" s="1"/>
  <c r="AX256" i="633" a="1"/>
  <c r="AX256" i="633" s="1"/>
  <c r="AX263" i="633" a="1"/>
  <c r="AX263" i="633" s="1"/>
  <c r="AX270" i="633" a="1"/>
  <c r="AX270" i="633" s="1"/>
  <c r="AX271" i="633" a="1"/>
  <c r="AX271" i="633" s="1"/>
  <c r="AX277" i="633" a="1"/>
  <c r="AX277" i="633" s="1"/>
  <c r="AX281" i="633" a="1"/>
  <c r="AX281" i="633" s="1"/>
  <c r="AX284" i="633" a="1"/>
  <c r="AX284" i="633" s="1"/>
  <c r="AX291" i="633" a="1"/>
  <c r="AX291" i="633" s="1"/>
  <c r="AX298" i="633" a="1"/>
  <c r="AX298" i="633" s="1"/>
  <c r="AX305" i="633" a="1"/>
  <c r="AX305" i="633" s="1"/>
  <c r="AX309" i="633" a="1"/>
  <c r="AX309" i="633" s="1"/>
  <c r="AX312" i="633" a="1"/>
  <c r="AX312" i="633" s="1"/>
  <c r="AX319" i="633" a="1"/>
  <c r="AX319" i="633" s="1"/>
  <c r="AX320" i="633" a="1"/>
  <c r="AX320" i="633" s="1"/>
  <c r="AX326" i="633" a="1"/>
  <c r="AX326" i="633" s="1"/>
  <c r="AX333" i="633" a="1"/>
  <c r="AX333" i="633" s="1"/>
  <c r="AY264" i="633" a="1"/>
  <c r="AY264" i="633" s="1"/>
  <c r="J264" i="633" s="1"/>
  <c r="AY266" i="633" a="1"/>
  <c r="AY266" i="633" s="1"/>
  <c r="J266" i="633" s="1"/>
  <c r="AY265" i="633" a="1"/>
  <c r="AY265" i="633" s="1"/>
  <c r="J265" i="633" s="1"/>
  <c r="AY267" i="633" a="1"/>
  <c r="AY267" i="633" s="1"/>
  <c r="J267" i="633" s="1"/>
  <c r="AY272" i="633" a="1"/>
  <c r="AY272" i="633" s="1"/>
  <c r="J272" i="633" s="1"/>
  <c r="AY341" i="633" a="1"/>
  <c r="AY341" i="633" s="1"/>
  <c r="J341" i="633" s="1"/>
  <c r="AY343" i="633" a="1"/>
  <c r="AY343" i="633" s="1"/>
  <c r="J343" i="633" s="1"/>
  <c r="AY342" i="633" a="1"/>
  <c r="AY342" i="633" s="1"/>
  <c r="J342" i="633" s="1"/>
  <c r="AY344" i="633" a="1"/>
  <c r="AY344" i="633" s="1"/>
  <c r="J344" i="633" s="1"/>
  <c r="AY345" i="633" a="1"/>
  <c r="AY345" i="633" s="1"/>
  <c r="J345" i="633" s="1"/>
  <c r="AY348" i="633" a="1"/>
  <c r="AY348" i="633" s="1"/>
  <c r="J348" i="633" s="1"/>
  <c r="AY349" i="633" a="1"/>
  <c r="AY349" i="633" s="1"/>
  <c r="J349" i="633" s="1"/>
  <c r="AY350" i="633" a="1"/>
  <c r="AY350" i="633" s="1"/>
  <c r="J350" i="633" s="1"/>
  <c r="AY351" i="633" a="1"/>
  <c r="AY351" i="633" s="1"/>
  <c r="J351" i="633" s="1"/>
  <c r="AY352" i="633" a="1"/>
  <c r="AY352" i="633" s="1"/>
  <c r="J352" i="633" s="1"/>
  <c r="AY355" i="633" a="1"/>
  <c r="AY355" i="633" s="1"/>
  <c r="J355" i="633" s="1"/>
  <c r="AY357" i="633" a="1"/>
  <c r="AY357" i="633" s="1"/>
  <c r="J357" i="633" s="1"/>
  <c r="AY356" i="633" a="1"/>
  <c r="AY356" i="633" s="1"/>
  <c r="J356" i="633" s="1"/>
  <c r="AY358" i="633" a="1"/>
  <c r="AY358" i="633" s="1"/>
  <c r="J358" i="633" s="1"/>
  <c r="AY359" i="633" a="1"/>
  <c r="AY359" i="633" s="1"/>
  <c r="J359" i="633" s="1"/>
  <c r="AY362" i="633" a="1"/>
  <c r="AY362" i="633" s="1"/>
  <c r="J362" i="633" s="1"/>
  <c r="AY363" i="633" a="1"/>
  <c r="AY363" i="633" s="1"/>
  <c r="J363" i="633" s="1"/>
  <c r="AY364" i="633" a="1"/>
  <c r="AY364" i="633" s="1"/>
  <c r="J364" i="633" s="1"/>
  <c r="AY365" i="633" a="1"/>
  <c r="AY365" i="633" s="1"/>
  <c r="J365" i="633" s="1"/>
  <c r="AY366" i="633" a="1"/>
  <c r="AY366" i="633" s="1"/>
  <c r="J366" i="633" s="1"/>
  <c r="AY163" i="633" a="1"/>
  <c r="AY163" i="633" s="1"/>
  <c r="AY273" i="633" a="1"/>
  <c r="AY273" i="633" s="1"/>
  <c r="AY70" i="633" a="1"/>
  <c r="AY70" i="633" s="1"/>
  <c r="AY231" i="633" a="1"/>
  <c r="AY231" i="633" s="1"/>
  <c r="AY223" i="633" a="1"/>
  <c r="AY223" i="633" s="1"/>
  <c r="AY71" i="633" a="1"/>
  <c r="AY71" i="633" s="1"/>
  <c r="AY14" i="633" a="1"/>
  <c r="AY14" i="633" s="1"/>
  <c r="AY233" i="633" a="1"/>
  <c r="AY233" i="633" s="1"/>
  <c r="AY156" i="633" a="1"/>
  <c r="AY156" i="633" s="1"/>
  <c r="AY159" i="633" a="1"/>
  <c r="AY159" i="633" s="1"/>
  <c r="AY153" i="633" a="1"/>
  <c r="AY153" i="633" s="1"/>
  <c r="AY160" i="633" a="1"/>
  <c r="AY160" i="633" s="1"/>
  <c r="AY13" i="633" a="1"/>
  <c r="AY13" i="633" s="1"/>
  <c r="AY72" i="633" a="1"/>
  <c r="AY72" i="633" s="1"/>
  <c r="AY15" i="633" a="1"/>
  <c r="AY15" i="633" s="1"/>
  <c r="AY225" i="633" a="1"/>
  <c r="AY225" i="633" s="1"/>
  <c r="AY372" i="633" a="1"/>
  <c r="AY372" i="633" s="1"/>
  <c r="AY226" i="633" a="1"/>
  <c r="AY226" i="633" s="1"/>
  <c r="AY79" i="633" a="1"/>
  <c r="AY79" i="633" s="1"/>
  <c r="AY76" i="633" a="1"/>
  <c r="AY76" i="633" s="1"/>
  <c r="AY152" i="633" a="1"/>
  <c r="AY152" i="633" s="1"/>
  <c r="AY16" i="633" a="1"/>
  <c r="AY16" i="633" s="1"/>
  <c r="AY310" i="633" a="1"/>
  <c r="AY310" i="633" s="1"/>
  <c r="L16" i="27" s="1"/>
  <c r="AY275" i="633" a="1"/>
  <c r="AY275" i="633" s="1"/>
  <c r="AY78" i="633" a="1"/>
  <c r="AY78" i="633" s="1"/>
  <c r="AY224" i="633" a="1"/>
  <c r="AY224" i="633" s="1"/>
  <c r="AY68" i="633" a="1"/>
  <c r="AY68" i="633" s="1"/>
  <c r="AY75" i="633" a="1"/>
  <c r="AY75" i="633" s="1"/>
  <c r="AY370" i="633" a="1"/>
  <c r="AY370" i="633" s="1"/>
  <c r="AY77" i="633" a="1"/>
  <c r="AY77" i="633" s="1"/>
  <c r="AY371" i="633" a="1"/>
  <c r="AY371" i="633" s="1"/>
  <c r="AY230" i="633" a="1"/>
  <c r="AY230" i="633" s="1"/>
  <c r="AY229" i="633" a="1"/>
  <c r="AY229" i="633" s="1"/>
  <c r="AY274" i="633" a="1"/>
  <c r="AY274" i="633" s="1"/>
  <c r="AY12" i="633" a="1"/>
  <c r="AY12" i="633" s="1"/>
  <c r="AY232" i="633" a="1"/>
  <c r="AY232" i="633" s="1"/>
  <c r="AY162" i="633" a="1"/>
  <c r="AY162" i="633" s="1"/>
  <c r="AY69" i="633" a="1"/>
  <c r="AY69" i="633" s="1"/>
  <c r="AY222" i="633" a="1"/>
  <c r="AY222" i="633" s="1"/>
  <c r="AY9" i="633" a="1"/>
  <c r="AY9" i="633" s="1"/>
  <c r="AY369" i="633" a="1"/>
  <c r="AY369" i="633" s="1"/>
  <c r="X22" i="1"/>
  <c r="AX340" i="633" s="1" a="1"/>
  <c r="AX340" i="633" s="1"/>
  <c r="E35" i="648"/>
  <c r="F35" i="648" s="1"/>
  <c r="E37" i="648"/>
  <c r="E38" i="648" s="1"/>
  <c r="F38" i="648" s="1"/>
  <c r="AJ69" i="633"/>
  <c r="M9" i="27" s="1"/>
  <c r="AJ100" i="633"/>
  <c r="M10" i="27" s="1"/>
  <c r="AX329" i="633" a="1"/>
  <c r="AX329" i="633" s="1"/>
  <c r="AX131" i="633" a="1"/>
  <c r="AX131" i="633" s="1"/>
  <c r="AX282" i="633" a="1"/>
  <c r="AX282" i="633" s="1"/>
  <c r="AX100" i="633" a="1"/>
  <c r="AX100" i="633" s="1"/>
  <c r="AX194" i="633" a="1"/>
  <c r="AX194" i="633" s="1"/>
  <c r="AX313" i="633" a="1"/>
  <c r="AX313" i="633" s="1"/>
  <c r="AX334" i="633" a="1"/>
  <c r="AX334" i="633" s="1"/>
  <c r="AX40" i="633" a="1"/>
  <c r="AX40" i="633" s="1"/>
  <c r="AX238" i="633" a="1"/>
  <c r="AX238" i="633" s="1"/>
  <c r="AX244" i="633" a="1"/>
  <c r="AX244" i="633" s="1"/>
  <c r="AX302" i="633" a="1"/>
  <c r="AX302" i="633" s="1"/>
  <c r="AX296" i="633" a="1"/>
  <c r="AX296" i="633" s="1"/>
  <c r="AX308" i="633" a="1"/>
  <c r="AX308" i="633" s="1"/>
  <c r="AX322" i="633" a="1"/>
  <c r="AX322" i="633" s="1"/>
  <c r="AX328" i="633" a="1"/>
  <c r="AX328" i="633" s="1"/>
  <c r="AX287" i="633" a="1"/>
  <c r="AX287" i="633" s="1"/>
  <c r="AX278" i="633" a="1"/>
  <c r="AX278" i="633" s="1"/>
  <c r="AX300" i="633" a="1"/>
  <c r="AX300" i="633" s="1"/>
  <c r="AX205" i="633" a="1"/>
  <c r="AX205" i="633" s="1"/>
  <c r="AX324" i="633" a="1"/>
  <c r="AX324" i="633" s="1"/>
  <c r="AX293" i="633" a="1"/>
  <c r="AX293" i="633" s="1"/>
  <c r="AX236" i="633" a="1"/>
  <c r="AX236" i="633" s="1"/>
  <c r="AX307" i="633" a="1"/>
  <c r="AX307" i="633" s="1"/>
  <c r="AX327" i="633" a="1"/>
  <c r="AX327" i="633" s="1"/>
  <c r="AX247" i="633" a="1"/>
  <c r="AX247" i="633" s="1"/>
  <c r="AX301" i="633" a="1"/>
  <c r="AX301" i="633" s="1"/>
  <c r="AX254" i="633" a="1"/>
  <c r="AX254" i="633" s="1"/>
  <c r="AX292" i="633" a="1"/>
  <c r="AX292" i="633" s="1"/>
  <c r="AX246" i="633" a="1"/>
  <c r="AX246" i="633" s="1"/>
  <c r="AX315" i="633" a="1"/>
  <c r="AX315" i="633" s="1"/>
  <c r="AX285" i="633" a="1"/>
  <c r="AX285" i="633" s="1"/>
  <c r="AX316" i="633" a="1"/>
  <c r="AX316" i="633" s="1"/>
  <c r="AX314" i="633" a="1"/>
  <c r="AX314" i="633" s="1"/>
  <c r="AX335" i="633" a="1"/>
  <c r="AX335" i="633" s="1"/>
  <c r="AX303" i="633" a="1"/>
  <c r="AX303" i="633" s="1"/>
  <c r="AX253" i="633" a="1"/>
  <c r="AX253" i="633" s="1"/>
  <c r="AX337" i="633" a="1"/>
  <c r="AX337" i="633" s="1"/>
  <c r="AX239" i="633" a="1"/>
  <c r="AX239" i="633" s="1"/>
  <c r="AX306" i="633" a="1"/>
  <c r="AX306" i="633" s="1"/>
  <c r="AX338" i="633" a="1"/>
  <c r="AX338" i="633" s="1"/>
  <c r="AX323" i="633" a="1"/>
  <c r="AX323" i="633" s="1"/>
  <c r="AX321" i="633" a="1"/>
  <c r="AX321" i="633" s="1"/>
  <c r="AX331" i="633" a="1"/>
  <c r="AX331" i="633" s="1"/>
  <c r="AX288" i="633" a="1"/>
  <c r="AX288" i="633" s="1"/>
  <c r="AX135" i="633" a="1"/>
  <c r="AX135" i="633" s="1"/>
  <c r="AX204" i="633" a="1"/>
  <c r="AX204" i="633" s="1"/>
  <c r="AX97" i="633" a="1"/>
  <c r="AX97" i="633" s="1"/>
  <c r="AX168" i="633" a="1"/>
  <c r="AX168" i="633" s="1"/>
  <c r="AX114" i="633" a="1"/>
  <c r="AX114" i="633" s="1"/>
  <c r="AX96" i="633" a="1"/>
  <c r="AX96" i="633" s="1"/>
  <c r="AX189" i="633" a="1"/>
  <c r="AX189" i="633" s="1"/>
  <c r="AX294" i="633" a="1"/>
  <c r="AX294" i="633" s="1"/>
  <c r="AX286" i="633" a="1"/>
  <c r="AX286" i="633" s="1"/>
  <c r="AX197" i="633" a="1"/>
  <c r="AX197" i="633" s="1"/>
  <c r="AX148" i="633" a="1"/>
  <c r="AX148" i="633" s="1"/>
  <c r="AX177" i="633" a="1"/>
  <c r="AX177" i="633" s="1"/>
  <c r="AX105" i="633" a="1"/>
  <c r="AX105" i="633" s="1"/>
  <c r="AX139" i="633" a="1"/>
  <c r="AX139" i="633" s="1"/>
  <c r="AX133" i="633" a="1"/>
  <c r="AX133" i="633" s="1"/>
  <c r="AX146" i="633" a="1"/>
  <c r="AX146" i="633" s="1"/>
  <c r="AX91" i="633" a="1"/>
  <c r="AX91" i="633" s="1"/>
  <c r="AX279" i="633" a="1"/>
  <c r="AX279" i="633" s="1"/>
  <c r="AX330" i="633" a="1"/>
  <c r="AX330" i="633" s="1"/>
  <c r="AX240" i="633" a="1"/>
  <c r="AX240" i="633" s="1"/>
  <c r="AX113" i="633" a="1"/>
  <c r="AX113" i="633" s="1"/>
  <c r="AX201" i="633" a="1"/>
  <c r="AX201" i="633" s="1"/>
  <c r="AX117" i="633" a="1"/>
  <c r="AX117" i="633" s="1"/>
  <c r="AX103" i="633" a="1"/>
  <c r="AX103" i="633" s="1"/>
  <c r="AX173" i="633" a="1"/>
  <c r="AX173" i="633" s="1"/>
  <c r="AX124" i="633" a="1"/>
  <c r="AX124" i="633" s="1"/>
  <c r="AX140" i="633" a="1"/>
  <c r="AX140" i="633" s="1"/>
  <c r="AX138" i="633" a="1"/>
  <c r="AX138" i="633" s="1"/>
  <c r="AX167" i="633" a="1"/>
  <c r="AX167" i="633" s="1"/>
  <c r="AX149" i="633" a="1"/>
  <c r="AX149" i="633" s="1"/>
  <c r="AX90" i="633" a="1"/>
  <c r="AX90" i="633" s="1"/>
  <c r="AX336" i="633" a="1"/>
  <c r="AX336" i="633" s="1"/>
  <c r="AX299" i="633" a="1"/>
  <c r="AX299" i="633" s="1"/>
  <c r="AX261" i="633" a="1"/>
  <c r="AX261" i="633" s="1"/>
  <c r="AX176" i="633" a="1"/>
  <c r="AX176" i="633" s="1"/>
  <c r="AX195" i="633" a="1"/>
  <c r="AX195" i="633" s="1"/>
  <c r="AX166" i="633" a="1"/>
  <c r="AX166" i="633" s="1"/>
  <c r="AX182" i="633" a="1"/>
  <c r="AX182" i="633" s="1"/>
  <c r="AX191" i="633" a="1"/>
  <c r="AX191" i="633" s="1"/>
  <c r="AX142" i="633" a="1"/>
  <c r="AX142" i="633" s="1"/>
  <c r="AX84" i="633" a="1"/>
  <c r="AX84" i="633" s="1"/>
  <c r="AX289" i="633" a="1"/>
  <c r="AX289" i="633" s="1"/>
  <c r="AX111" i="633" a="1"/>
  <c r="AX111" i="633" s="1"/>
  <c r="AX99" i="633" a="1"/>
  <c r="AX99" i="633" s="1"/>
  <c r="AX170" i="633" a="1"/>
  <c r="AX170" i="633" s="1"/>
  <c r="AX120" i="633" a="1"/>
  <c r="AX120" i="633" s="1"/>
  <c r="AX106" i="633" a="1"/>
  <c r="AX106" i="633" s="1"/>
  <c r="AX118" i="633" a="1"/>
  <c r="AX118" i="633" s="1"/>
  <c r="AX237" i="633" a="1"/>
  <c r="AX237" i="633" s="1"/>
  <c r="AX295" i="633" a="1"/>
  <c r="AX295" i="633" s="1"/>
  <c r="AX132" i="633" a="1"/>
  <c r="AX132" i="633" s="1"/>
  <c r="AX145" i="633" a="1"/>
  <c r="AX145" i="633" s="1"/>
  <c r="AX174" i="633" a="1"/>
  <c r="AX174" i="633" s="1"/>
  <c r="AX119" i="633" a="1"/>
  <c r="AX119" i="633" s="1"/>
  <c r="AX190" i="633" a="1"/>
  <c r="AX190" i="633" s="1"/>
  <c r="AX134" i="633" a="1"/>
  <c r="AX134" i="633" s="1"/>
  <c r="AX125" i="633" a="1"/>
  <c r="AX125" i="633" s="1"/>
  <c r="AX107" i="633" a="1"/>
  <c r="AX107" i="633" s="1"/>
  <c r="AX147" i="633" a="1"/>
  <c r="AX147" i="633" s="1"/>
  <c r="AX212" i="633" a="1"/>
  <c r="AX212" i="633" s="1"/>
  <c r="AX169" i="633" a="1"/>
  <c r="AX169" i="633" s="1"/>
  <c r="AX187" i="633" a="1"/>
  <c r="AX187" i="633" s="1"/>
  <c r="AX219" i="633" a="1"/>
  <c r="AX219" i="633" s="1"/>
  <c r="AX175" i="633" a="1"/>
  <c r="AX175" i="633" s="1"/>
  <c r="AX141" i="633" a="1"/>
  <c r="AX141" i="633" s="1"/>
  <c r="AX196" i="633" a="1"/>
  <c r="AX196" i="633" s="1"/>
  <c r="AX30" i="633" a="1"/>
  <c r="AX30" i="633" s="1"/>
  <c r="AX51" i="633" a="1"/>
  <c r="AX51" i="633" s="1"/>
  <c r="AX48" i="633" a="1"/>
  <c r="AX48" i="633" s="1"/>
  <c r="AX198" i="633" a="1"/>
  <c r="AX198" i="633" s="1"/>
  <c r="AX55" i="633" a="1"/>
  <c r="AX55" i="633" s="1"/>
  <c r="AX56" i="633" a="1"/>
  <c r="AX56" i="633" s="1"/>
  <c r="AX128" i="633" a="1"/>
  <c r="AX128" i="633" s="1"/>
  <c r="AX61" i="633" a="1"/>
  <c r="AX61" i="633" s="1"/>
  <c r="AX43" i="633" a="1"/>
  <c r="AX43" i="633" s="1"/>
  <c r="AX110" i="633" a="1"/>
  <c r="AX110" i="633" s="1"/>
  <c r="AX41" i="633" a="1"/>
  <c r="AX41" i="633" s="1"/>
  <c r="AX26" i="633" a="1"/>
  <c r="AX26" i="633" s="1"/>
  <c r="AX93" i="633" a="1"/>
  <c r="AX93" i="633" s="1"/>
  <c r="AX29" i="633" a="1"/>
  <c r="AX29" i="633" s="1"/>
  <c r="AX92" i="633" a="1"/>
  <c r="AX92" i="633" s="1"/>
  <c r="AX104" i="633" a="1"/>
  <c r="AX104" i="633" s="1"/>
  <c r="AX27" i="633" a="1"/>
  <c r="AX27" i="633" s="1"/>
  <c r="AX98" i="633" a="1"/>
  <c r="AX98" i="633" s="1"/>
  <c r="AX54" i="633" a="1"/>
  <c r="AX54" i="633" s="1"/>
  <c r="AX64" i="633" a="1"/>
  <c r="AX64" i="633" s="1"/>
  <c r="AX20" i="633" a="1"/>
  <c r="AX20" i="633" s="1"/>
  <c r="AX280" i="633" a="1"/>
  <c r="AX280" i="633" s="1"/>
  <c r="AX57" i="633" a="1"/>
  <c r="AX57" i="633" s="1"/>
  <c r="AX184" i="633" a="1"/>
  <c r="AX184" i="633" s="1"/>
  <c r="AX42" i="633" a="1"/>
  <c r="AX42" i="633" s="1"/>
  <c r="AX44" i="633" a="1"/>
  <c r="AX44" i="633" s="1"/>
  <c r="AX180" i="633" a="1"/>
  <c r="AX180" i="633" s="1"/>
  <c r="AX49" i="633" a="1"/>
  <c r="AX49" i="633" s="1"/>
  <c r="AX317" i="633" a="1"/>
  <c r="AX317" i="633" s="1"/>
  <c r="AX89" i="633" a="1"/>
  <c r="AX89" i="633" s="1"/>
  <c r="AX86" i="633" a="1"/>
  <c r="AX86" i="633" s="1"/>
  <c r="AX82" i="633" a="1"/>
  <c r="AX82" i="633" s="1"/>
  <c r="AX23" i="633" a="1"/>
  <c r="AX23" i="633" s="1"/>
  <c r="AX47" i="633" a="1"/>
  <c r="AX47" i="633" s="1"/>
  <c r="AX35" i="633" a="1"/>
  <c r="AX35" i="633" s="1"/>
  <c r="AX50" i="633" a="1"/>
  <c r="AX50" i="633" s="1"/>
  <c r="AX33" i="633" a="1"/>
  <c r="AX33" i="633" s="1"/>
  <c r="AX181" i="633" a="1"/>
  <c r="AX181" i="633" s="1"/>
  <c r="AX85" i="633" a="1"/>
  <c r="AX85" i="633" s="1"/>
  <c r="AX58" i="633" a="1"/>
  <c r="AX58" i="633" s="1"/>
  <c r="AX62" i="633" a="1"/>
  <c r="AX62" i="633" s="1"/>
  <c r="AX19" i="633" a="1"/>
  <c r="AX19" i="633" s="1"/>
  <c r="AX112" i="633" a="1"/>
  <c r="AX112" i="633" s="1"/>
  <c r="AX37" i="633" a="1"/>
  <c r="AX37" i="633" s="1"/>
  <c r="AX83" i="633" a="1"/>
  <c r="AX83" i="633" s="1"/>
  <c r="AX22" i="633" a="1"/>
  <c r="AX22" i="633" s="1"/>
  <c r="AX121" i="633" a="1"/>
  <c r="AX121" i="633" s="1"/>
  <c r="AX126" i="633" a="1"/>
  <c r="AX126" i="633" s="1"/>
  <c r="AX34" i="633" a="1"/>
  <c r="AX34" i="633" s="1"/>
  <c r="AX65" i="633" a="1"/>
  <c r="AX65" i="633" s="1"/>
  <c r="AX36" i="633" a="1"/>
  <c r="AX36" i="633" s="1"/>
  <c r="AX28" i="633" a="1"/>
  <c r="AX28" i="633" s="1"/>
  <c r="AX188" i="633" a="1"/>
  <c r="AX188" i="633" s="1"/>
  <c r="AX63" i="633" a="1"/>
  <c r="AX63" i="633" s="1"/>
  <c r="AX21" i="633" a="1"/>
  <c r="AX21" i="633" s="1"/>
  <c r="AX183" i="633" a="1"/>
  <c r="AX183" i="633" s="1"/>
  <c r="AX127" i="633" a="1"/>
  <c r="AX127" i="633" s="1"/>
  <c r="AJ162" i="633"/>
  <c r="M12" i="27" s="1"/>
  <c r="AJ194" i="633"/>
  <c r="M13" i="27" s="1"/>
  <c r="AJ9" i="633"/>
  <c r="M7" i="27" s="1"/>
  <c r="AJ313" i="633"/>
  <c r="M17" i="27" s="1"/>
  <c r="L10" i="27"/>
  <c r="AJ369" i="633"/>
  <c r="M18" i="27" s="1"/>
  <c r="AJ40" i="633"/>
  <c r="M8" i="27" s="1"/>
  <c r="AJ222" i="633"/>
  <c r="M14" i="27" s="1"/>
  <c r="AJ131" i="633"/>
  <c r="M11" i="27" s="1"/>
  <c r="AJ282" i="633"/>
  <c r="M16" i="27" s="1"/>
  <c r="AJ251" i="633"/>
  <c r="M15" i="27" s="1"/>
  <c r="AX242" i="633" l="1" a="1"/>
  <c r="AX242" i="633" s="1"/>
  <c r="AU242" i="633" s="1"/>
  <c r="AQ242" i="633" s="1"/>
  <c r="AX154" i="633" a="1"/>
  <c r="AX154" i="633" s="1"/>
  <c r="AU154" i="633" s="1"/>
  <c r="AQ154" i="633" s="1"/>
  <c r="AX367" i="633" a="1"/>
  <c r="AX367" i="633" s="1"/>
  <c r="AU367" i="633" s="1"/>
  <c r="AQ367" i="633" s="1"/>
  <c r="AX202" i="633" a="1"/>
  <c r="AX202" i="633" s="1"/>
  <c r="AU202" i="633" s="1"/>
  <c r="AQ202" i="633" s="1"/>
  <c r="AX199" i="633" a="1"/>
  <c r="AX199" i="633" s="1"/>
  <c r="AU199" i="633" s="1"/>
  <c r="AQ199" i="633" s="1"/>
  <c r="AX243" i="633" a="1"/>
  <c r="AX243" i="633" s="1"/>
  <c r="AU243" i="633" s="1"/>
  <c r="AQ243" i="633" s="1"/>
  <c r="AX73" i="633" a="1"/>
  <c r="AX73" i="633" s="1"/>
  <c r="AU73" i="633" s="1"/>
  <c r="AQ73" i="633" s="1"/>
  <c r="AX206" i="633" a="1"/>
  <c r="AX206" i="633" s="1"/>
  <c r="AU206" i="633" s="1"/>
  <c r="AQ206" i="633" s="1"/>
  <c r="AX245" i="633" a="1"/>
  <c r="AX245" i="633" s="1"/>
  <c r="AU245" i="633" s="1"/>
  <c r="AQ245" i="633" s="1"/>
  <c r="AX161" i="633" a="1"/>
  <c r="AX161" i="633" s="1"/>
  <c r="AU161" i="633" s="1"/>
  <c r="AQ161" i="633" s="1"/>
  <c r="AS8" i="633"/>
  <c r="AX200" i="633" a="1"/>
  <c r="AX200" i="633" s="1"/>
  <c r="AU200" i="633" s="1"/>
  <c r="AQ200" i="633" s="1"/>
  <c r="AX360" i="633" a="1"/>
  <c r="AX360" i="633" s="1"/>
  <c r="AU360" i="633" s="1"/>
  <c r="AQ360" i="633" s="1"/>
  <c r="AX353" i="633" a="1"/>
  <c r="AX353" i="633" s="1"/>
  <c r="AU353" i="633" s="1"/>
  <c r="AQ353" i="633" s="1"/>
  <c r="AX255" i="633" a="1"/>
  <c r="AX255" i="633" s="1"/>
  <c r="AU255" i="633" s="1"/>
  <c r="AQ255" i="633" s="1"/>
  <c r="AX157" i="633" a="1"/>
  <c r="AX157" i="633" s="1"/>
  <c r="AU157" i="633" s="1"/>
  <c r="AQ157" i="633" s="1"/>
  <c r="AX346" i="633" a="1"/>
  <c r="AX346" i="633" s="1"/>
  <c r="AU346" i="633" s="1"/>
  <c r="AQ346" i="633" s="1"/>
  <c r="AX248" i="633" a="1"/>
  <c r="AX248" i="633" s="1"/>
  <c r="AU248" i="633" s="1"/>
  <c r="AQ248" i="633" s="1"/>
  <c r="AX150" i="633" a="1"/>
  <c r="AX150" i="633" s="1"/>
  <c r="AU150" i="633" s="1"/>
  <c r="AQ150" i="633" s="1"/>
  <c r="AX203" i="633" a="1"/>
  <c r="AX203" i="633" s="1"/>
  <c r="AU203" i="633" s="1"/>
  <c r="AQ203" i="633" s="1"/>
  <c r="AX241" i="633" a="1"/>
  <c r="AX241" i="633" s="1"/>
  <c r="AU241" i="633" s="1"/>
  <c r="AQ241" i="633" s="1"/>
  <c r="AX66" i="633" a="1"/>
  <c r="AX66" i="633" s="1"/>
  <c r="AU66" i="633" s="1"/>
  <c r="AQ66" i="633" s="1"/>
  <c r="AX10" i="633" a="1"/>
  <c r="AX10" i="633" s="1"/>
  <c r="AU10" i="633" s="1"/>
  <c r="AQ10" i="633" s="1"/>
  <c r="AR10" i="633" s="1"/>
  <c r="H297" i="633"/>
  <c r="AR297" i="633" s="1"/>
  <c r="AU297" i="633"/>
  <c r="AQ297" i="633" s="1"/>
  <c r="H290" i="633"/>
  <c r="AR290" i="633" s="1"/>
  <c r="AU290" i="633"/>
  <c r="AQ290" i="633" s="1"/>
  <c r="H94" i="633"/>
  <c r="AR94" i="633" s="1"/>
  <c r="AU94" i="633"/>
  <c r="AQ94" i="633" s="1"/>
  <c r="H276" i="633"/>
  <c r="AR276" i="633" s="1"/>
  <c r="AU276" i="633"/>
  <c r="AQ276" i="633" s="1"/>
  <c r="H178" i="633"/>
  <c r="AR178" i="633" s="1"/>
  <c r="AU178" i="633"/>
  <c r="AQ178" i="633" s="1"/>
  <c r="H80" i="633"/>
  <c r="AR80" i="633" s="1"/>
  <c r="AU80" i="633"/>
  <c r="AQ80" i="633" s="1"/>
  <c r="H367" i="633"/>
  <c r="H360" i="633"/>
  <c r="H164" i="633"/>
  <c r="AR164" i="633" s="1"/>
  <c r="AU164" i="633"/>
  <c r="AQ164" i="633" s="1"/>
  <c r="H255" i="633"/>
  <c r="AR255" i="633" s="1"/>
  <c r="H59" i="633"/>
  <c r="AR59" i="633" s="1"/>
  <c r="AU59" i="633"/>
  <c r="AQ59" i="633" s="1"/>
  <c r="H346" i="633"/>
  <c r="H150" i="633"/>
  <c r="AR150" i="633" s="1"/>
  <c r="H339" i="633"/>
  <c r="AR339" i="633" s="1"/>
  <c r="AU339" i="633"/>
  <c r="AQ339" i="633" s="1"/>
  <c r="H143" i="633"/>
  <c r="AR143" i="633" s="1"/>
  <c r="AU143" i="633"/>
  <c r="AQ143" i="633" s="1"/>
  <c r="H332" i="633"/>
  <c r="AR332" i="633" s="1"/>
  <c r="AU332" i="633"/>
  <c r="AQ332" i="633" s="1"/>
  <c r="H136" i="633"/>
  <c r="AR136" i="633" s="1"/>
  <c r="AU136" i="633"/>
  <c r="AQ136" i="633" s="1"/>
  <c r="H325" i="633"/>
  <c r="AR325" i="633" s="1"/>
  <c r="AU325" i="633"/>
  <c r="AQ325" i="633" s="1"/>
  <c r="H227" i="633"/>
  <c r="AR227" i="633" s="1"/>
  <c r="AU227" i="633"/>
  <c r="AQ227" i="633" s="1"/>
  <c r="H129" i="633"/>
  <c r="AR129" i="633" s="1"/>
  <c r="AU129" i="633"/>
  <c r="AQ129" i="633" s="1"/>
  <c r="H31" i="633"/>
  <c r="AR31" i="633" s="1"/>
  <c r="AU31" i="633"/>
  <c r="AQ31" i="633" s="1"/>
  <c r="H318" i="633"/>
  <c r="AR318" i="633" s="1"/>
  <c r="AU318" i="633"/>
  <c r="AQ318" i="633" s="1"/>
  <c r="H220" i="633"/>
  <c r="AR220" i="633" s="1"/>
  <c r="AU220" i="633"/>
  <c r="AQ220" i="633" s="1"/>
  <c r="H122" i="633"/>
  <c r="AR122" i="633" s="1"/>
  <c r="AU122" i="633"/>
  <c r="AQ122" i="633" s="1"/>
  <c r="H24" i="633"/>
  <c r="AR24" i="633" s="1"/>
  <c r="AU24" i="633"/>
  <c r="AQ24" i="633" s="1"/>
  <c r="H192" i="633"/>
  <c r="AR192" i="633" s="1"/>
  <c r="AU192" i="633"/>
  <c r="AQ192" i="633" s="1"/>
  <c r="H311" i="633"/>
  <c r="AR311" i="633" s="1"/>
  <c r="AU311" i="633"/>
  <c r="AQ311" i="633" s="1"/>
  <c r="H213" i="633"/>
  <c r="AR213" i="633" s="1"/>
  <c r="AU213" i="633"/>
  <c r="AQ213" i="633" s="1"/>
  <c r="H115" i="633"/>
  <c r="AR115" i="633" s="1"/>
  <c r="AU115" i="633"/>
  <c r="AQ115" i="633" s="1"/>
  <c r="H17" i="633"/>
  <c r="AU17" i="633"/>
  <c r="AQ17" i="633" s="1"/>
  <c r="H199" i="633"/>
  <c r="AR199" i="633" s="1"/>
  <c r="H101" i="633"/>
  <c r="AR101" i="633" s="1"/>
  <c r="AU101" i="633"/>
  <c r="AQ101" i="633" s="1"/>
  <c r="H283" i="633"/>
  <c r="AR283" i="633" s="1"/>
  <c r="AU283" i="633"/>
  <c r="AQ283" i="633" s="1"/>
  <c r="H185" i="633"/>
  <c r="AR185" i="633" s="1"/>
  <c r="AU185" i="633"/>
  <c r="AQ185" i="633" s="1"/>
  <c r="H87" i="633"/>
  <c r="AR87" i="633" s="1"/>
  <c r="AU87" i="633"/>
  <c r="AQ87" i="633" s="1"/>
  <c r="H269" i="633"/>
  <c r="AR269" i="633" s="1"/>
  <c r="AU269" i="633"/>
  <c r="AQ269" i="633" s="1"/>
  <c r="H171" i="633"/>
  <c r="AR171" i="633" s="1"/>
  <c r="AU171" i="633"/>
  <c r="AQ171" i="633" s="1"/>
  <c r="H73" i="633"/>
  <c r="AR73" i="633" s="1"/>
  <c r="H262" i="633"/>
  <c r="AR262" i="633" s="1"/>
  <c r="AU262" i="633"/>
  <c r="AQ262" i="633" s="1"/>
  <c r="H66" i="633"/>
  <c r="AR66" i="633" s="1"/>
  <c r="H353" i="633"/>
  <c r="AR353" i="633" s="1"/>
  <c r="H157" i="633"/>
  <c r="AR157" i="633" s="1"/>
  <c r="H248" i="633"/>
  <c r="AR248" i="633" s="1"/>
  <c r="H52" i="633"/>
  <c r="AR52" i="633" s="1"/>
  <c r="AU52" i="633"/>
  <c r="AQ52" i="633" s="1"/>
  <c r="H241" i="633"/>
  <c r="AR241" i="633" s="1"/>
  <c r="H45" i="633"/>
  <c r="AR45" i="633" s="1"/>
  <c r="AU45" i="633"/>
  <c r="AQ45" i="633" s="1"/>
  <c r="H234" i="633"/>
  <c r="AR234" i="633" s="1"/>
  <c r="AU234" i="633"/>
  <c r="AQ234" i="633" s="1"/>
  <c r="H38" i="633"/>
  <c r="AR38" i="633" s="1"/>
  <c r="AU38" i="633"/>
  <c r="AQ38" i="633" s="1"/>
  <c r="H304" i="633"/>
  <c r="AR304" i="633" s="1"/>
  <c r="AU304" i="633"/>
  <c r="AQ304" i="633" s="1"/>
  <c r="H206" i="633"/>
  <c r="H108" i="633"/>
  <c r="AR108" i="633" s="1"/>
  <c r="AU108" i="633"/>
  <c r="AQ108" i="633" s="1"/>
  <c r="AX252" i="633" a="1"/>
  <c r="AX252" i="633" s="1"/>
  <c r="AU252" i="633" s="1"/>
  <c r="AQ252" i="633" s="1"/>
  <c r="L8" i="27"/>
  <c r="AX208" i="633" a="1"/>
  <c r="AX208" i="633" s="1"/>
  <c r="AU208" i="633" s="1"/>
  <c r="AQ208" i="633" s="1"/>
  <c r="AX250" i="633" a="1"/>
  <c r="AX250" i="633" s="1"/>
  <c r="AU250" i="633" s="1"/>
  <c r="AQ250" i="633" s="1"/>
  <c r="AX259" i="633" a="1"/>
  <c r="AX259" i="633" s="1"/>
  <c r="AU259" i="633" s="1"/>
  <c r="AQ259" i="633" s="1"/>
  <c r="AX216" i="633" a="1"/>
  <c r="AX216" i="633" s="1"/>
  <c r="AU216" i="633" s="1"/>
  <c r="AQ216" i="633" s="1"/>
  <c r="AX218" i="633" a="1"/>
  <c r="AX218" i="633" s="1"/>
  <c r="AU218" i="633" s="1"/>
  <c r="AQ218" i="633" s="1"/>
  <c r="AX217" i="633" a="1"/>
  <c r="AX217" i="633" s="1"/>
  <c r="AU217" i="633" s="1"/>
  <c r="AQ217" i="633" s="1"/>
  <c r="AX209" i="633" a="1"/>
  <c r="AX209" i="633" s="1"/>
  <c r="AU209" i="633" s="1"/>
  <c r="AQ209" i="633" s="1"/>
  <c r="AX210" i="633" a="1"/>
  <c r="AX210" i="633" s="1"/>
  <c r="AU210" i="633" s="1"/>
  <c r="AQ210" i="633" s="1"/>
  <c r="AX251" i="633" a="1"/>
  <c r="AX251" i="633" s="1"/>
  <c r="AU251" i="633" s="1"/>
  <c r="AX257" i="633" a="1"/>
  <c r="AX257" i="633" s="1"/>
  <c r="AU257" i="633" s="1"/>
  <c r="AQ257" i="633" s="1"/>
  <c r="AX260" i="633" a="1"/>
  <c r="AX260" i="633" s="1"/>
  <c r="AU260" i="633" s="1"/>
  <c r="AQ260" i="633" s="1"/>
  <c r="AX215" i="633" a="1"/>
  <c r="AX215" i="633" s="1"/>
  <c r="AU215" i="633" s="1"/>
  <c r="AQ215" i="633" s="1"/>
  <c r="AX211" i="633" a="1"/>
  <c r="AX211" i="633" s="1"/>
  <c r="AU211" i="633" s="1"/>
  <c r="AQ211" i="633" s="1"/>
  <c r="AX258" i="633" a="1"/>
  <c r="AX258" i="633" s="1"/>
  <c r="AU258" i="633" s="1"/>
  <c r="AQ258" i="633" s="1"/>
  <c r="L13" i="27"/>
  <c r="AX249" i="633" a="1"/>
  <c r="AX249" i="633" s="1"/>
  <c r="AU249" i="633" s="1"/>
  <c r="AQ249" i="633" s="1"/>
  <c r="AX151" i="633" a="1"/>
  <c r="AX151" i="633" s="1"/>
  <c r="AU151" i="633" s="1"/>
  <c r="AQ151" i="633" s="1"/>
  <c r="AX368" i="633" a="1"/>
  <c r="AX368" i="633" s="1"/>
  <c r="AU368" i="633" s="1"/>
  <c r="AQ368" i="633" s="1"/>
  <c r="AX361" i="633" a="1"/>
  <c r="AX361" i="633" s="1"/>
  <c r="AU361" i="633" s="1"/>
  <c r="AQ361" i="633" s="1"/>
  <c r="AX74" i="633" a="1"/>
  <c r="AX74" i="633" s="1"/>
  <c r="AU74" i="633" s="1"/>
  <c r="AQ74" i="633" s="1"/>
  <c r="AX354" i="633" a="1"/>
  <c r="AX354" i="633" s="1"/>
  <c r="AU354" i="633" s="1"/>
  <c r="AQ354" i="633" s="1"/>
  <c r="AX214" i="633" a="1"/>
  <c r="AX214" i="633" s="1"/>
  <c r="AU214" i="633" s="1"/>
  <c r="AQ214" i="633" s="1"/>
  <c r="AX67" i="633" a="1"/>
  <c r="AX67" i="633" s="1"/>
  <c r="AU67" i="633" s="1"/>
  <c r="AQ67" i="633" s="1"/>
  <c r="AX11" i="633" a="1"/>
  <c r="AX11" i="633" s="1"/>
  <c r="AU11" i="633" s="1"/>
  <c r="AQ11" i="633" s="1"/>
  <c r="AX347" i="633" a="1"/>
  <c r="AX347" i="633" s="1"/>
  <c r="AU347" i="633" s="1"/>
  <c r="AQ347" i="633" s="1"/>
  <c r="AX207" i="633" a="1"/>
  <c r="AX207" i="633" s="1"/>
  <c r="AU207" i="633" s="1"/>
  <c r="AQ207" i="633" s="1"/>
  <c r="AX158" i="633" a="1"/>
  <c r="AX158" i="633" s="1"/>
  <c r="AU158" i="633" s="1"/>
  <c r="AQ158" i="633" s="1"/>
  <c r="L17" i="27"/>
  <c r="L11" i="27"/>
  <c r="H340" i="633"/>
  <c r="AR340" i="633" s="1"/>
  <c r="AU340" i="633"/>
  <c r="AQ340" i="633" s="1"/>
  <c r="H298" i="633"/>
  <c r="AR298" i="633" s="1"/>
  <c r="AU298" i="633"/>
  <c r="AQ298" i="633" s="1"/>
  <c r="H256" i="633"/>
  <c r="AR256" i="633" s="1"/>
  <c r="AU256" i="633"/>
  <c r="AQ256" i="633" s="1"/>
  <c r="H200" i="633"/>
  <c r="AR200" i="633" s="1"/>
  <c r="H155" i="633"/>
  <c r="AR155" i="633" s="1"/>
  <c r="AU155" i="633"/>
  <c r="AQ155" i="633" s="1"/>
  <c r="H109" i="633"/>
  <c r="AR109" i="633" s="1"/>
  <c r="AU109" i="633"/>
  <c r="AQ109" i="633" s="1"/>
  <c r="H53" i="633"/>
  <c r="AR53" i="633" s="1"/>
  <c r="AU53" i="633"/>
  <c r="AQ53" i="633" s="1"/>
  <c r="H333" i="633"/>
  <c r="AR333" i="633" s="1"/>
  <c r="AU333" i="633"/>
  <c r="AQ333" i="633" s="1"/>
  <c r="H291" i="633"/>
  <c r="AR291" i="633" s="1"/>
  <c r="AU291" i="633"/>
  <c r="AQ291" i="633" s="1"/>
  <c r="H249" i="633"/>
  <c r="AR249" i="633" s="1"/>
  <c r="H193" i="633"/>
  <c r="AR193" i="633" s="1"/>
  <c r="AU193" i="633"/>
  <c r="AQ193" i="633" s="1"/>
  <c r="H154" i="633"/>
  <c r="AR154" i="633" s="1"/>
  <c r="H102" i="633"/>
  <c r="AR102" i="633" s="1"/>
  <c r="AU102" i="633"/>
  <c r="AQ102" i="633" s="1"/>
  <c r="H46" i="633"/>
  <c r="AR46" i="633" s="1"/>
  <c r="AU46" i="633"/>
  <c r="AQ46" i="633" s="1"/>
  <c r="H326" i="633"/>
  <c r="AR326" i="633" s="1"/>
  <c r="AU326" i="633"/>
  <c r="AQ326" i="633" s="1"/>
  <c r="H284" i="633"/>
  <c r="AR284" i="633" s="1"/>
  <c r="AU284" i="633"/>
  <c r="AQ284" i="633" s="1"/>
  <c r="H242" i="633"/>
  <c r="AR242" i="633" s="1"/>
  <c r="H186" i="633"/>
  <c r="AR186" i="633" s="1"/>
  <c r="AU186" i="633"/>
  <c r="AQ186" i="633" s="1"/>
  <c r="H151" i="633"/>
  <c r="AR151" i="633" s="1"/>
  <c r="H95" i="633"/>
  <c r="AR95" i="633" s="1"/>
  <c r="AU95" i="633"/>
  <c r="AQ95" i="633" s="1"/>
  <c r="H39" i="633"/>
  <c r="AR39" i="633" s="1"/>
  <c r="AU39" i="633"/>
  <c r="AQ39" i="633" s="1"/>
  <c r="H320" i="633"/>
  <c r="AR320" i="633" s="1"/>
  <c r="AU320" i="633"/>
  <c r="AQ320" i="633" s="1"/>
  <c r="H281" i="633"/>
  <c r="AR281" i="633" s="1"/>
  <c r="AU281" i="633"/>
  <c r="AQ281" i="633" s="1"/>
  <c r="H235" i="633"/>
  <c r="AR235" i="633" s="1"/>
  <c r="AU235" i="633"/>
  <c r="AQ235" i="633" s="1"/>
  <c r="H179" i="633"/>
  <c r="AR179" i="633" s="1"/>
  <c r="AU179" i="633"/>
  <c r="AQ179" i="633" s="1"/>
  <c r="H144" i="633"/>
  <c r="AR144" i="633" s="1"/>
  <c r="AU144" i="633"/>
  <c r="AQ144" i="633" s="1"/>
  <c r="H88" i="633"/>
  <c r="AR88" i="633" s="1"/>
  <c r="AU88" i="633"/>
  <c r="AQ88" i="633" s="1"/>
  <c r="H32" i="633"/>
  <c r="AR32" i="633" s="1"/>
  <c r="AU32" i="633"/>
  <c r="AQ32" i="633" s="1"/>
  <c r="H368" i="633"/>
  <c r="AR368" i="633" s="1"/>
  <c r="H319" i="633"/>
  <c r="AR319" i="633" s="1"/>
  <c r="AU319" i="633"/>
  <c r="AQ319" i="633" s="1"/>
  <c r="H277" i="633"/>
  <c r="AR277" i="633" s="1"/>
  <c r="AU277" i="633"/>
  <c r="AQ277" i="633" s="1"/>
  <c r="H228" i="633"/>
  <c r="AR228" i="633" s="1"/>
  <c r="AU228" i="633"/>
  <c r="AQ228" i="633" s="1"/>
  <c r="H172" i="633"/>
  <c r="AR172" i="633" s="1"/>
  <c r="AU172" i="633"/>
  <c r="AQ172" i="633" s="1"/>
  <c r="H137" i="633"/>
  <c r="AR137" i="633" s="1"/>
  <c r="AU137" i="633"/>
  <c r="AQ137" i="633" s="1"/>
  <c r="H81" i="633"/>
  <c r="AR81" i="633" s="1"/>
  <c r="AU81" i="633"/>
  <c r="AQ81" i="633" s="1"/>
  <c r="H25" i="633"/>
  <c r="AR25" i="633" s="1"/>
  <c r="AU25" i="633"/>
  <c r="AQ25" i="633" s="1"/>
  <c r="H361" i="633"/>
  <c r="AR361" i="633" s="1"/>
  <c r="H312" i="633"/>
  <c r="AR312" i="633" s="1"/>
  <c r="AU312" i="633"/>
  <c r="AQ312" i="633" s="1"/>
  <c r="H271" i="633"/>
  <c r="AR271" i="633" s="1"/>
  <c r="AU271" i="633"/>
  <c r="AQ271" i="633" s="1"/>
  <c r="H221" i="633"/>
  <c r="AR221" i="633" s="1"/>
  <c r="AU221" i="633"/>
  <c r="AQ221" i="633" s="1"/>
  <c r="H165" i="633"/>
  <c r="AR165" i="633" s="1"/>
  <c r="AU165" i="633"/>
  <c r="AQ165" i="633" s="1"/>
  <c r="H130" i="633"/>
  <c r="AR130" i="633" s="1"/>
  <c r="AU130" i="633"/>
  <c r="AQ130" i="633" s="1"/>
  <c r="H74" i="633"/>
  <c r="AR74" i="633" s="1"/>
  <c r="H18" i="633"/>
  <c r="AU18" i="633"/>
  <c r="AQ18" i="633" s="1"/>
  <c r="H354" i="633"/>
  <c r="AR354" i="633" s="1"/>
  <c r="H309" i="633"/>
  <c r="AR309" i="633" s="1"/>
  <c r="AU309" i="633"/>
  <c r="AQ309" i="633" s="1"/>
  <c r="H270" i="633"/>
  <c r="AR270" i="633" s="1"/>
  <c r="AU270" i="633"/>
  <c r="AQ270" i="633" s="1"/>
  <c r="H214" i="633"/>
  <c r="AR214" i="633" s="1"/>
  <c r="H161" i="633"/>
  <c r="AR161" i="633" s="1"/>
  <c r="H123" i="633"/>
  <c r="AR123" i="633" s="1"/>
  <c r="AU123" i="633"/>
  <c r="AQ123" i="633" s="1"/>
  <c r="H67" i="633"/>
  <c r="AR67" i="633" s="1"/>
  <c r="H347" i="633"/>
  <c r="AR347" i="633" s="1"/>
  <c r="H305" i="633"/>
  <c r="AR305" i="633" s="1"/>
  <c r="AU305" i="633"/>
  <c r="AQ305" i="633" s="1"/>
  <c r="H263" i="633"/>
  <c r="AR263" i="633" s="1"/>
  <c r="AU263" i="633"/>
  <c r="AQ263" i="633" s="1"/>
  <c r="H207" i="633"/>
  <c r="H158" i="633"/>
  <c r="AR158" i="633" s="1"/>
  <c r="H116" i="633"/>
  <c r="AR116" i="633" s="1"/>
  <c r="AU116" i="633"/>
  <c r="AQ116" i="633" s="1"/>
  <c r="H60" i="633"/>
  <c r="AR60" i="633" s="1"/>
  <c r="AU60" i="633"/>
  <c r="AQ60" i="633" s="1"/>
  <c r="AX264" i="633" a="1"/>
  <c r="AX264" i="633" s="1"/>
  <c r="AX265" i="633" a="1"/>
  <c r="AX265" i="633" s="1"/>
  <c r="AX266" i="633" a="1"/>
  <c r="AX266" i="633" s="1"/>
  <c r="AX267" i="633" a="1"/>
  <c r="AX267" i="633" s="1"/>
  <c r="AX272" i="633" a="1"/>
  <c r="AX272" i="633" s="1"/>
  <c r="AX341" i="633" a="1"/>
  <c r="AX341" i="633" s="1"/>
  <c r="AX342" i="633" a="1"/>
  <c r="AX342" i="633" s="1"/>
  <c r="AX343" i="633" a="1"/>
  <c r="AX343" i="633" s="1"/>
  <c r="AX344" i="633" a="1"/>
  <c r="AX344" i="633" s="1"/>
  <c r="AX345" i="633" a="1"/>
  <c r="AX345" i="633" s="1"/>
  <c r="AX348" i="633" a="1"/>
  <c r="AX348" i="633" s="1"/>
  <c r="AX349" i="633" a="1"/>
  <c r="AX349" i="633" s="1"/>
  <c r="AX350" i="633" a="1"/>
  <c r="AX350" i="633" s="1"/>
  <c r="AX351" i="633" a="1"/>
  <c r="AX351" i="633" s="1"/>
  <c r="AX352" i="633" a="1"/>
  <c r="AX352" i="633" s="1"/>
  <c r="AX355" i="633" a="1"/>
  <c r="AX355" i="633" s="1"/>
  <c r="AX356" i="633" a="1"/>
  <c r="AX356" i="633" s="1"/>
  <c r="AX357" i="633" a="1"/>
  <c r="AX357" i="633" s="1"/>
  <c r="AX358" i="633" a="1"/>
  <c r="AX358" i="633" s="1"/>
  <c r="AX359" i="633" a="1"/>
  <c r="AX359" i="633" s="1"/>
  <c r="AX362" i="633" a="1"/>
  <c r="AX362" i="633" s="1"/>
  <c r="AX363" i="633" a="1"/>
  <c r="AX363" i="633" s="1"/>
  <c r="AX364" i="633" a="1"/>
  <c r="AX364" i="633" s="1"/>
  <c r="AX365" i="633" a="1"/>
  <c r="AX365" i="633" s="1"/>
  <c r="AX366" i="633" a="1"/>
  <c r="AX366" i="633" s="1"/>
  <c r="L15" i="27"/>
  <c r="L9" i="27"/>
  <c r="L14" i="27"/>
  <c r="L7" i="27"/>
  <c r="L12" i="27"/>
  <c r="L18" i="27"/>
  <c r="AU63" i="633"/>
  <c r="AQ63" i="633" s="1"/>
  <c r="H63" i="633"/>
  <c r="AR63" i="633" s="1"/>
  <c r="H22" i="633"/>
  <c r="AR22" i="633" s="1"/>
  <c r="AU22" i="633"/>
  <c r="AQ22" i="633" s="1"/>
  <c r="H181" i="633"/>
  <c r="AR181" i="633" s="1"/>
  <c r="AU181" i="633"/>
  <c r="AQ181" i="633" s="1"/>
  <c r="AU89" i="633"/>
  <c r="AQ89" i="633" s="1"/>
  <c r="H89" i="633"/>
  <c r="AR89" i="633" s="1"/>
  <c r="H259" i="633"/>
  <c r="AR259" i="633" s="1"/>
  <c r="H92" i="633"/>
  <c r="AR92" i="633" s="1"/>
  <c r="AU92" i="633"/>
  <c r="AQ92" i="633" s="1"/>
  <c r="H128" i="633"/>
  <c r="AR128" i="633" s="1"/>
  <c r="AU128" i="633"/>
  <c r="AQ128" i="633" s="1"/>
  <c r="H141" i="633"/>
  <c r="AR141" i="633" s="1"/>
  <c r="AU141" i="633"/>
  <c r="AQ141" i="633" s="1"/>
  <c r="H107" i="633"/>
  <c r="AR107" i="633" s="1"/>
  <c r="AU107" i="633"/>
  <c r="AQ107" i="633" s="1"/>
  <c r="H295" i="633"/>
  <c r="AR295" i="633" s="1"/>
  <c r="AU295" i="633"/>
  <c r="AQ295" i="633" s="1"/>
  <c r="AU111" i="633"/>
  <c r="AQ111" i="633" s="1"/>
  <c r="H111" i="633"/>
  <c r="AR111" i="633" s="1"/>
  <c r="H182" i="633"/>
  <c r="AR182" i="633" s="1"/>
  <c r="AU182" i="633"/>
  <c r="AQ182" i="633" s="1"/>
  <c r="AU90" i="633"/>
  <c r="AQ90" i="633" s="1"/>
  <c r="H90" i="633"/>
  <c r="AR90" i="633" s="1"/>
  <c r="H117" i="633"/>
  <c r="AR117" i="633" s="1"/>
  <c r="AU117" i="633"/>
  <c r="AQ117" i="633" s="1"/>
  <c r="H133" i="633"/>
  <c r="AR133" i="633" s="1"/>
  <c r="AU133" i="633"/>
  <c r="AQ133" i="633" s="1"/>
  <c r="AU294" i="633"/>
  <c r="AQ294" i="633" s="1"/>
  <c r="H294" i="633"/>
  <c r="AR294" i="633" s="1"/>
  <c r="H135" i="633"/>
  <c r="AR135" i="633" s="1"/>
  <c r="AU135" i="633"/>
  <c r="AQ135" i="633" s="1"/>
  <c r="H338" i="633"/>
  <c r="AR338" i="633" s="1"/>
  <c r="AU338" i="633"/>
  <c r="AQ338" i="633" s="1"/>
  <c r="AU314" i="633"/>
  <c r="AQ314" i="633" s="1"/>
  <c r="H314" i="633"/>
  <c r="AR314" i="633" s="1"/>
  <c r="AU254" i="633"/>
  <c r="AQ254" i="633" s="1"/>
  <c r="H254" i="633"/>
  <c r="AR254" i="633" s="1"/>
  <c r="H205" i="633"/>
  <c r="AR205" i="633" s="1"/>
  <c r="AU205" i="633"/>
  <c r="AQ205" i="633" s="1"/>
  <c r="H257" i="633"/>
  <c r="AR257" i="633" s="1"/>
  <c r="AU313" i="633"/>
  <c r="H313" i="633"/>
  <c r="AR313" i="633" s="1"/>
  <c r="AU188" i="633"/>
  <c r="AQ188" i="633" s="1"/>
  <c r="H188" i="633"/>
  <c r="AR188" i="633" s="1"/>
  <c r="AU83" i="633"/>
  <c r="AQ83" i="633" s="1"/>
  <c r="H83" i="633"/>
  <c r="AR83" i="633" s="1"/>
  <c r="AU33" i="633"/>
  <c r="AQ33" i="633" s="1"/>
  <c r="H33" i="633"/>
  <c r="AR33" i="633" s="1"/>
  <c r="AU317" i="633"/>
  <c r="AQ317" i="633" s="1"/>
  <c r="H317" i="633"/>
  <c r="AR317" i="633" s="1"/>
  <c r="AU280" i="633"/>
  <c r="AQ280" i="633" s="1"/>
  <c r="H280" i="633"/>
  <c r="AR280" i="633" s="1"/>
  <c r="AU29" i="633"/>
  <c r="AQ29" i="633" s="1"/>
  <c r="H29" i="633"/>
  <c r="AR29" i="633" s="1"/>
  <c r="H56" i="633"/>
  <c r="AR56" i="633" s="1"/>
  <c r="AU56" i="633"/>
  <c r="AQ56" i="633" s="1"/>
  <c r="H175" i="633"/>
  <c r="AR175" i="633" s="1"/>
  <c r="AU175" i="633"/>
  <c r="AQ175" i="633" s="1"/>
  <c r="H125" i="633"/>
  <c r="AR125" i="633" s="1"/>
  <c r="AU125" i="633"/>
  <c r="AQ125" i="633" s="1"/>
  <c r="H216" i="633"/>
  <c r="AR216" i="633" s="1"/>
  <c r="H218" i="633"/>
  <c r="AR218" i="633" s="1"/>
  <c r="AU166" i="633"/>
  <c r="AQ166" i="633" s="1"/>
  <c r="H166" i="633"/>
  <c r="AR166" i="633" s="1"/>
  <c r="AU149" i="633"/>
  <c r="AQ149" i="633" s="1"/>
  <c r="H149" i="633"/>
  <c r="AR149" i="633" s="1"/>
  <c r="AU201" i="633"/>
  <c r="AQ201" i="633" s="1"/>
  <c r="H201" i="633"/>
  <c r="AR201" i="633" s="1"/>
  <c r="AU139" i="633"/>
  <c r="AQ139" i="633" s="1"/>
  <c r="H139" i="633"/>
  <c r="AR139" i="633" s="1"/>
  <c r="H189" i="633"/>
  <c r="AR189" i="633" s="1"/>
  <c r="AU189" i="633"/>
  <c r="AQ189" i="633" s="1"/>
  <c r="H203" i="633"/>
  <c r="AR203" i="633" s="1"/>
  <c r="AU306" i="633"/>
  <c r="AQ306" i="633" s="1"/>
  <c r="H306" i="633"/>
  <c r="AR306" i="633" s="1"/>
  <c r="H316" i="633"/>
  <c r="AR316" i="633" s="1"/>
  <c r="AU316" i="633"/>
  <c r="AQ316" i="633" s="1"/>
  <c r="AU301" i="633"/>
  <c r="AQ301" i="633" s="1"/>
  <c r="H301" i="633"/>
  <c r="AR301" i="633" s="1"/>
  <c r="AU300" i="633"/>
  <c r="AQ300" i="633" s="1"/>
  <c r="H300" i="633"/>
  <c r="AR300" i="633" s="1"/>
  <c r="H296" i="633"/>
  <c r="AR296" i="633" s="1"/>
  <c r="AU296" i="633"/>
  <c r="AQ296" i="633" s="1"/>
  <c r="H194" i="633"/>
  <c r="AR194" i="633" s="1"/>
  <c r="AU194" i="633"/>
  <c r="H28" i="633"/>
  <c r="AR28" i="633" s="1"/>
  <c r="AU28" i="633"/>
  <c r="AQ28" i="633" s="1"/>
  <c r="AU37" i="633"/>
  <c r="AQ37" i="633" s="1"/>
  <c r="H37" i="633"/>
  <c r="AR37" i="633" s="1"/>
  <c r="AU50" i="633"/>
  <c r="AQ50" i="633" s="1"/>
  <c r="H50" i="633"/>
  <c r="AR50" i="633" s="1"/>
  <c r="AU49" i="633"/>
  <c r="AQ49" i="633" s="1"/>
  <c r="H49" i="633"/>
  <c r="AR49" i="633" s="1"/>
  <c r="H20" i="633"/>
  <c r="AR20" i="633" s="1"/>
  <c r="AU20" i="633"/>
  <c r="AQ20" i="633" s="1"/>
  <c r="AU93" i="633"/>
  <c r="AQ93" i="633" s="1"/>
  <c r="H93" i="633"/>
  <c r="AR93" i="633" s="1"/>
  <c r="AU55" i="633"/>
  <c r="AQ55" i="633" s="1"/>
  <c r="H55" i="633"/>
  <c r="AR55" i="633" s="1"/>
  <c r="AU219" i="633"/>
  <c r="AQ219" i="633" s="1"/>
  <c r="H219" i="633"/>
  <c r="AR219" i="633" s="1"/>
  <c r="H134" i="633"/>
  <c r="AR134" i="633" s="1"/>
  <c r="AU134" i="633"/>
  <c r="AQ134" i="633" s="1"/>
  <c r="AU237" i="633"/>
  <c r="AQ237" i="633" s="1"/>
  <c r="H237" i="633"/>
  <c r="AR237" i="633" s="1"/>
  <c r="H245" i="633"/>
  <c r="AR245" i="633" s="1"/>
  <c r="AU195" i="633"/>
  <c r="AQ195" i="633" s="1"/>
  <c r="H195" i="633"/>
  <c r="AR195" i="633" s="1"/>
  <c r="AU167" i="633"/>
  <c r="AQ167" i="633" s="1"/>
  <c r="H167" i="633"/>
  <c r="AR167" i="633" s="1"/>
  <c r="H113" i="633"/>
  <c r="AR113" i="633" s="1"/>
  <c r="AU113" i="633"/>
  <c r="AQ113" i="633" s="1"/>
  <c r="H105" i="633"/>
  <c r="AR105" i="633" s="1"/>
  <c r="AU105" i="633"/>
  <c r="AQ105" i="633" s="1"/>
  <c r="AU96" i="633"/>
  <c r="AQ96" i="633" s="1"/>
  <c r="H96" i="633"/>
  <c r="AR96" i="633" s="1"/>
  <c r="H243" i="633"/>
  <c r="AR243" i="633" s="1"/>
  <c r="AU239" i="633"/>
  <c r="AQ239" i="633" s="1"/>
  <c r="H239" i="633"/>
  <c r="AR239" i="633" s="1"/>
  <c r="H285" i="633"/>
  <c r="AR285" i="633" s="1"/>
  <c r="AU285" i="633"/>
  <c r="AQ285" i="633" s="1"/>
  <c r="H247" i="633"/>
  <c r="AR247" i="633" s="1"/>
  <c r="AU247" i="633"/>
  <c r="AQ247" i="633" s="1"/>
  <c r="H278" i="633"/>
  <c r="AR278" i="633" s="1"/>
  <c r="AU278" i="633"/>
  <c r="AQ278" i="633" s="1"/>
  <c r="H302" i="633"/>
  <c r="AR302" i="633" s="1"/>
  <c r="AU302" i="633"/>
  <c r="AQ302" i="633" s="1"/>
  <c r="AU100" i="633"/>
  <c r="H100" i="633"/>
  <c r="AR100" i="633" s="1"/>
  <c r="AU36" i="633"/>
  <c r="AQ36" i="633" s="1"/>
  <c r="H36" i="633"/>
  <c r="AR36" i="633" s="1"/>
  <c r="AU112" i="633"/>
  <c r="AQ112" i="633" s="1"/>
  <c r="H112" i="633"/>
  <c r="AR112" i="633" s="1"/>
  <c r="AU35" i="633"/>
  <c r="AQ35" i="633" s="1"/>
  <c r="H35" i="633"/>
  <c r="AR35" i="633" s="1"/>
  <c r="AU180" i="633"/>
  <c r="AQ180" i="633" s="1"/>
  <c r="H180" i="633"/>
  <c r="AR180" i="633" s="1"/>
  <c r="AU64" i="633"/>
  <c r="AQ64" i="633" s="1"/>
  <c r="H64" i="633"/>
  <c r="AR64" i="633" s="1"/>
  <c r="H26" i="633"/>
  <c r="AR26" i="633" s="1"/>
  <c r="AU26" i="633"/>
  <c r="AQ26" i="633" s="1"/>
  <c r="H198" i="633"/>
  <c r="AR198" i="633" s="1"/>
  <c r="AU198" i="633"/>
  <c r="AQ198" i="633" s="1"/>
  <c r="H187" i="633"/>
  <c r="AR187" i="633" s="1"/>
  <c r="AU187" i="633"/>
  <c r="AQ187" i="633" s="1"/>
  <c r="AU190" i="633"/>
  <c r="AQ190" i="633" s="1"/>
  <c r="H190" i="633"/>
  <c r="AR190" i="633" s="1"/>
  <c r="H118" i="633"/>
  <c r="AR118" i="633" s="1"/>
  <c r="AU118" i="633"/>
  <c r="AQ118" i="633" s="1"/>
  <c r="AU289" i="633"/>
  <c r="AQ289" i="633" s="1"/>
  <c r="H289" i="633"/>
  <c r="AR289" i="633" s="1"/>
  <c r="H176" i="633"/>
  <c r="AR176" i="633" s="1"/>
  <c r="AU176" i="633"/>
  <c r="AQ176" i="633" s="1"/>
  <c r="H138" i="633"/>
  <c r="AR138" i="633" s="1"/>
  <c r="AU138" i="633"/>
  <c r="AQ138" i="633" s="1"/>
  <c r="AU240" i="633"/>
  <c r="AQ240" i="633" s="1"/>
  <c r="H240" i="633"/>
  <c r="AR240" i="633" s="1"/>
  <c r="AU177" i="633"/>
  <c r="AQ177" i="633" s="1"/>
  <c r="H177" i="633"/>
  <c r="AR177" i="633" s="1"/>
  <c r="AU114" i="633"/>
  <c r="AQ114" i="633" s="1"/>
  <c r="H114" i="633"/>
  <c r="AR114" i="633" s="1"/>
  <c r="H288" i="633"/>
  <c r="AR288" i="633" s="1"/>
  <c r="AU288" i="633"/>
  <c r="AQ288" i="633" s="1"/>
  <c r="H260" i="633"/>
  <c r="AR260" i="633" s="1"/>
  <c r="H215" i="633"/>
  <c r="AR215" i="633" s="1"/>
  <c r="AU327" i="633"/>
  <c r="AQ327" i="633" s="1"/>
  <c r="H327" i="633"/>
  <c r="AR327" i="633" s="1"/>
  <c r="H287" i="633"/>
  <c r="AR287" i="633" s="1"/>
  <c r="AU287" i="633"/>
  <c r="AQ287" i="633" s="1"/>
  <c r="H244" i="633"/>
  <c r="AR244" i="633" s="1"/>
  <c r="AU244" i="633"/>
  <c r="AQ244" i="633" s="1"/>
  <c r="H282" i="633"/>
  <c r="AR282" i="633" s="1"/>
  <c r="AU282" i="633"/>
  <c r="AU65" i="633"/>
  <c r="AQ65" i="633" s="1"/>
  <c r="H65" i="633"/>
  <c r="AR65" i="633" s="1"/>
  <c r="AU19" i="633"/>
  <c r="AQ19" i="633" s="1"/>
  <c r="H19" i="633"/>
  <c r="AR19" i="633" s="1"/>
  <c r="AU47" i="633"/>
  <c r="AQ47" i="633" s="1"/>
  <c r="H47" i="633"/>
  <c r="AR47" i="633" s="1"/>
  <c r="AU44" i="633"/>
  <c r="AQ44" i="633" s="1"/>
  <c r="H44" i="633"/>
  <c r="AR44" i="633" s="1"/>
  <c r="AU54" i="633"/>
  <c r="AQ54" i="633" s="1"/>
  <c r="H54" i="633"/>
  <c r="AR54" i="633" s="1"/>
  <c r="AU41" i="633"/>
  <c r="AQ41" i="633" s="1"/>
  <c r="H41" i="633"/>
  <c r="AR41" i="633" s="1"/>
  <c r="H48" i="633"/>
  <c r="AR48" i="633" s="1"/>
  <c r="AU48" i="633"/>
  <c r="AQ48" i="633" s="1"/>
  <c r="H169" i="633"/>
  <c r="AR169" i="633" s="1"/>
  <c r="AU169" i="633"/>
  <c r="AQ169" i="633" s="1"/>
  <c r="AU119" i="633"/>
  <c r="AQ119" i="633" s="1"/>
  <c r="H119" i="633"/>
  <c r="AR119" i="633" s="1"/>
  <c r="AU106" i="633"/>
  <c r="AQ106" i="633" s="1"/>
  <c r="H106" i="633"/>
  <c r="AR106" i="633" s="1"/>
  <c r="H217" i="633"/>
  <c r="AR217" i="633" s="1"/>
  <c r="AU261" i="633"/>
  <c r="AQ261" i="633" s="1"/>
  <c r="H261" i="633"/>
  <c r="AR261" i="633" s="1"/>
  <c r="AU140" i="633"/>
  <c r="AQ140" i="633" s="1"/>
  <c r="H140" i="633"/>
  <c r="AR140" i="633" s="1"/>
  <c r="AU330" i="633"/>
  <c r="AQ330" i="633" s="1"/>
  <c r="H330" i="633"/>
  <c r="AR330" i="633" s="1"/>
  <c r="AU148" i="633"/>
  <c r="AQ148" i="633" s="1"/>
  <c r="H148" i="633"/>
  <c r="AR148" i="633" s="1"/>
  <c r="AU168" i="633"/>
  <c r="AQ168" i="633" s="1"/>
  <c r="H168" i="633"/>
  <c r="AR168" i="633" s="1"/>
  <c r="H211" i="633"/>
  <c r="AR211" i="633" s="1"/>
  <c r="AU337" i="633"/>
  <c r="AQ337" i="633" s="1"/>
  <c r="H337" i="633"/>
  <c r="AR337" i="633" s="1"/>
  <c r="AU315" i="633"/>
  <c r="AQ315" i="633" s="1"/>
  <c r="H315" i="633"/>
  <c r="AR315" i="633" s="1"/>
  <c r="AU307" i="633"/>
  <c r="AQ307" i="633" s="1"/>
  <c r="H307" i="633"/>
  <c r="AR307" i="633" s="1"/>
  <c r="AU328" i="633"/>
  <c r="AQ328" i="633" s="1"/>
  <c r="H328" i="633"/>
  <c r="AR328" i="633" s="1"/>
  <c r="H258" i="633"/>
  <c r="AR258" i="633" s="1"/>
  <c r="AU131" i="633"/>
  <c r="H131" i="633"/>
  <c r="AR131" i="633" s="1"/>
  <c r="M19" i="27"/>
  <c r="H34" i="633"/>
  <c r="AR34" i="633" s="1"/>
  <c r="AU34" i="633"/>
  <c r="AQ34" i="633" s="1"/>
  <c r="AU62" i="633"/>
  <c r="AQ62" i="633" s="1"/>
  <c r="H62" i="633"/>
  <c r="AR62" i="633" s="1"/>
  <c r="H23" i="633"/>
  <c r="AR23" i="633" s="1"/>
  <c r="AU23" i="633"/>
  <c r="AQ23" i="633" s="1"/>
  <c r="H42" i="633"/>
  <c r="AR42" i="633" s="1"/>
  <c r="AU42" i="633"/>
  <c r="AQ42" i="633" s="1"/>
  <c r="AU98" i="633"/>
  <c r="AQ98" i="633" s="1"/>
  <c r="H98" i="633"/>
  <c r="AR98" i="633" s="1"/>
  <c r="H110" i="633"/>
  <c r="AR110" i="633" s="1"/>
  <c r="AU110" i="633"/>
  <c r="AQ110" i="633" s="1"/>
  <c r="H51" i="633"/>
  <c r="AR51" i="633" s="1"/>
  <c r="AU51" i="633"/>
  <c r="AQ51" i="633" s="1"/>
  <c r="H252" i="633"/>
  <c r="AR252" i="633" s="1"/>
  <c r="AU174" i="633"/>
  <c r="AQ174" i="633" s="1"/>
  <c r="H174" i="633"/>
  <c r="AR174" i="633" s="1"/>
  <c r="AU120" i="633"/>
  <c r="AQ120" i="633" s="1"/>
  <c r="H120" i="633"/>
  <c r="AR120" i="633" s="1"/>
  <c r="AU84" i="633"/>
  <c r="AQ84" i="633" s="1"/>
  <c r="H84" i="633"/>
  <c r="AR84" i="633" s="1"/>
  <c r="H299" i="633"/>
  <c r="AR299" i="633" s="1"/>
  <c r="AU299" i="633"/>
  <c r="AQ299" i="633" s="1"/>
  <c r="H124" i="633"/>
  <c r="AR124" i="633" s="1"/>
  <c r="AU124" i="633"/>
  <c r="AQ124" i="633" s="1"/>
  <c r="AU279" i="633"/>
  <c r="AQ279" i="633" s="1"/>
  <c r="H279" i="633"/>
  <c r="AR279" i="633" s="1"/>
  <c r="AU197" i="633"/>
  <c r="AQ197" i="633" s="1"/>
  <c r="H197" i="633"/>
  <c r="AR197" i="633" s="1"/>
  <c r="H202" i="633"/>
  <c r="AR202" i="633" s="1"/>
  <c r="AU331" i="633"/>
  <c r="AQ331" i="633" s="1"/>
  <c r="H331" i="633"/>
  <c r="AR331" i="633" s="1"/>
  <c r="AU253" i="633"/>
  <c r="AQ253" i="633" s="1"/>
  <c r="H253" i="633"/>
  <c r="AR253" i="633" s="1"/>
  <c r="H246" i="633"/>
  <c r="AR246" i="633" s="1"/>
  <c r="AU246" i="633"/>
  <c r="AQ246" i="633" s="1"/>
  <c r="AU236" i="633"/>
  <c r="AQ236" i="633" s="1"/>
  <c r="H236" i="633"/>
  <c r="AR236" i="633" s="1"/>
  <c r="AU322" i="633"/>
  <c r="AQ322" i="633" s="1"/>
  <c r="H322" i="633"/>
  <c r="AR322" i="633" s="1"/>
  <c r="H238" i="633"/>
  <c r="AR238" i="633" s="1"/>
  <c r="AU238" i="633"/>
  <c r="AQ238" i="633" s="1"/>
  <c r="H329" i="633"/>
  <c r="AR329" i="633" s="1"/>
  <c r="AU329" i="633"/>
  <c r="AQ329" i="633" s="1"/>
  <c r="AU127" i="633"/>
  <c r="AQ127" i="633" s="1"/>
  <c r="H127" i="633"/>
  <c r="AR127" i="633" s="1"/>
  <c r="AU183" i="633"/>
  <c r="AQ183" i="633" s="1"/>
  <c r="H183" i="633"/>
  <c r="AR183" i="633" s="1"/>
  <c r="H126" i="633"/>
  <c r="AR126" i="633" s="1"/>
  <c r="AU126" i="633"/>
  <c r="AQ126" i="633" s="1"/>
  <c r="AU58" i="633"/>
  <c r="AQ58" i="633" s="1"/>
  <c r="H58" i="633"/>
  <c r="AR58" i="633" s="1"/>
  <c r="H82" i="633"/>
  <c r="AR82" i="633" s="1"/>
  <c r="AU82" i="633"/>
  <c r="AQ82" i="633" s="1"/>
  <c r="H184" i="633"/>
  <c r="AR184" i="633" s="1"/>
  <c r="AU184" i="633"/>
  <c r="AQ184" i="633" s="1"/>
  <c r="AU27" i="633"/>
  <c r="AQ27" i="633" s="1"/>
  <c r="H27" i="633"/>
  <c r="AR27" i="633" s="1"/>
  <c r="AU43" i="633"/>
  <c r="AQ43" i="633" s="1"/>
  <c r="H43" i="633"/>
  <c r="AR43" i="633" s="1"/>
  <c r="H30" i="633"/>
  <c r="AR30" i="633" s="1"/>
  <c r="AU30" i="633"/>
  <c r="AQ30" i="633" s="1"/>
  <c r="H212" i="633"/>
  <c r="AR212" i="633" s="1"/>
  <c r="AU212" i="633"/>
  <c r="AQ212" i="633" s="1"/>
  <c r="AU145" i="633"/>
  <c r="AQ145" i="633" s="1"/>
  <c r="H145" i="633"/>
  <c r="AR145" i="633" s="1"/>
  <c r="AU170" i="633"/>
  <c r="AQ170" i="633" s="1"/>
  <c r="H170" i="633"/>
  <c r="AR170" i="633" s="1"/>
  <c r="H142" i="633"/>
  <c r="AR142" i="633" s="1"/>
  <c r="AU142" i="633"/>
  <c r="AQ142" i="633" s="1"/>
  <c r="H208" i="633"/>
  <c r="AR208" i="633" s="1"/>
  <c r="H173" i="633"/>
  <c r="AR173" i="633" s="1"/>
  <c r="AU173" i="633"/>
  <c r="AQ173" i="633" s="1"/>
  <c r="H91" i="633"/>
  <c r="AR91" i="633" s="1"/>
  <c r="AU91" i="633"/>
  <c r="AQ91" i="633" s="1"/>
  <c r="H250" i="633"/>
  <c r="AR250" i="633" s="1"/>
  <c r="AU97" i="633"/>
  <c r="AQ97" i="633" s="1"/>
  <c r="H97" i="633"/>
  <c r="AR97" i="633" s="1"/>
  <c r="H321" i="633"/>
  <c r="AR321" i="633" s="1"/>
  <c r="AU321" i="633"/>
  <c r="AQ321" i="633" s="1"/>
  <c r="AU303" i="633"/>
  <c r="AQ303" i="633" s="1"/>
  <c r="H303" i="633"/>
  <c r="AR303" i="633" s="1"/>
  <c r="H292" i="633"/>
  <c r="AR292" i="633" s="1"/>
  <c r="AU292" i="633"/>
  <c r="AQ292" i="633" s="1"/>
  <c r="AU293" i="633"/>
  <c r="AQ293" i="633" s="1"/>
  <c r="H293" i="633"/>
  <c r="AR293" i="633" s="1"/>
  <c r="H308" i="633"/>
  <c r="AR308" i="633" s="1"/>
  <c r="AU308" i="633"/>
  <c r="AQ308" i="633" s="1"/>
  <c r="H40" i="633"/>
  <c r="AR40" i="633" s="1"/>
  <c r="AU40" i="633"/>
  <c r="H251" i="633"/>
  <c r="AR251" i="633" s="1"/>
  <c r="AX369" i="633" a="1"/>
  <c r="AX369" i="633" s="1"/>
  <c r="AX222" i="633" a="1"/>
  <c r="AX222" i="633" s="1"/>
  <c r="AX9" i="633" a="1"/>
  <c r="AX9" i="633" s="1"/>
  <c r="AX372" i="633" a="1"/>
  <c r="AX372" i="633" s="1"/>
  <c r="AX162" i="633" a="1"/>
  <c r="AX162" i="633" s="1"/>
  <c r="AX69" i="633" a="1"/>
  <c r="AX69" i="633" s="1"/>
  <c r="AX370" i="633" a="1"/>
  <c r="AX370" i="633" s="1"/>
  <c r="AX274" i="633" a="1"/>
  <c r="AX274" i="633" s="1"/>
  <c r="AX233" i="633" a="1"/>
  <c r="AX233" i="633" s="1"/>
  <c r="AX231" i="633" a="1"/>
  <c r="AX231" i="633" s="1"/>
  <c r="AX232" i="633" a="1"/>
  <c r="AX232" i="633" s="1"/>
  <c r="AX230" i="633" a="1"/>
  <c r="AX230" i="633" s="1"/>
  <c r="AX371" i="633" a="1"/>
  <c r="AX371" i="633" s="1"/>
  <c r="AX226" i="633" a="1"/>
  <c r="AX226" i="633" s="1"/>
  <c r="AX310" i="633" a="1"/>
  <c r="AX310" i="633" s="1"/>
  <c r="AX229" i="633" a="1"/>
  <c r="AX229" i="633" s="1"/>
  <c r="AX152" i="633" a="1"/>
  <c r="AX152" i="633" s="1"/>
  <c r="AX225" i="633" a="1"/>
  <c r="AX225" i="633" s="1"/>
  <c r="AX273" i="633" a="1"/>
  <c r="AX273" i="633" s="1"/>
  <c r="AX163" i="633" a="1"/>
  <c r="AX163" i="633" s="1"/>
  <c r="AX153" i="633" a="1"/>
  <c r="AX153" i="633" s="1"/>
  <c r="AX79" i="633" a="1"/>
  <c r="AX79" i="633" s="1"/>
  <c r="AX223" i="633" a="1"/>
  <c r="AX223" i="633" s="1"/>
  <c r="AX159" i="633" a="1"/>
  <c r="AX159" i="633" s="1"/>
  <c r="AX275" i="633" a="1"/>
  <c r="AX275" i="633" s="1"/>
  <c r="AX77" i="633" a="1"/>
  <c r="AX77" i="633" s="1"/>
  <c r="AX13" i="633" a="1"/>
  <c r="AX13" i="633" s="1"/>
  <c r="AX68" i="633" a="1"/>
  <c r="AX68" i="633" s="1"/>
  <c r="AX72" i="633" a="1"/>
  <c r="AX72" i="633" s="1"/>
  <c r="AX70" i="633" a="1"/>
  <c r="AX70" i="633" s="1"/>
  <c r="AX75" i="633" a="1"/>
  <c r="AX75" i="633" s="1"/>
  <c r="AX224" i="633" a="1"/>
  <c r="AX224" i="633" s="1"/>
  <c r="AX76" i="633" a="1"/>
  <c r="AX76" i="633" s="1"/>
  <c r="AX78" i="633" a="1"/>
  <c r="AX78" i="633" s="1"/>
  <c r="AX71" i="633" a="1"/>
  <c r="AX71" i="633" s="1"/>
  <c r="AX12" i="633" a="1"/>
  <c r="AX12" i="633" s="1"/>
  <c r="AX156" i="633" a="1"/>
  <c r="AX156" i="633" s="1"/>
  <c r="AX16" i="633" a="1"/>
  <c r="AX16" i="633" s="1"/>
  <c r="AX14" i="633" a="1"/>
  <c r="AX14" i="633" s="1"/>
  <c r="AX15" i="633" a="1"/>
  <c r="AX15" i="633" s="1"/>
  <c r="AX160" i="633" a="1"/>
  <c r="AX160" i="633" s="1"/>
  <c r="AU21" i="633"/>
  <c r="AQ21" i="633" s="1"/>
  <c r="H21" i="633"/>
  <c r="AR21" i="633" s="1"/>
  <c r="AU121" i="633"/>
  <c r="AQ121" i="633" s="1"/>
  <c r="H121" i="633"/>
  <c r="AR121" i="633" s="1"/>
  <c r="AU85" i="633"/>
  <c r="AQ85" i="633" s="1"/>
  <c r="H85" i="633"/>
  <c r="AR85" i="633" s="1"/>
  <c r="AU86" i="633"/>
  <c r="AQ86" i="633" s="1"/>
  <c r="H86" i="633"/>
  <c r="AR86" i="633" s="1"/>
  <c r="H57" i="633"/>
  <c r="AR57" i="633" s="1"/>
  <c r="AU57" i="633"/>
  <c r="AQ57" i="633" s="1"/>
  <c r="H104" i="633"/>
  <c r="AR104" i="633" s="1"/>
  <c r="AU104" i="633"/>
  <c r="AQ104" i="633" s="1"/>
  <c r="AU61" i="633"/>
  <c r="AQ61" i="633" s="1"/>
  <c r="H61" i="633"/>
  <c r="AR61" i="633" s="1"/>
  <c r="AU196" i="633"/>
  <c r="AQ196" i="633" s="1"/>
  <c r="H196" i="633"/>
  <c r="AR196" i="633" s="1"/>
  <c r="H147" i="633"/>
  <c r="AR147" i="633" s="1"/>
  <c r="AU147" i="633"/>
  <c r="AQ147" i="633" s="1"/>
  <c r="AU132" i="633"/>
  <c r="AQ132" i="633" s="1"/>
  <c r="H132" i="633"/>
  <c r="AR132" i="633" s="1"/>
  <c r="H99" i="633"/>
  <c r="AR99" i="633" s="1"/>
  <c r="AU99" i="633"/>
  <c r="AQ99" i="633" s="1"/>
  <c r="H191" i="633"/>
  <c r="AR191" i="633" s="1"/>
  <c r="AU191" i="633"/>
  <c r="AQ191" i="633" s="1"/>
  <c r="AU336" i="633"/>
  <c r="AQ336" i="633" s="1"/>
  <c r="H336" i="633"/>
  <c r="AR336" i="633" s="1"/>
  <c r="AU103" i="633"/>
  <c r="AQ103" i="633" s="1"/>
  <c r="H103" i="633"/>
  <c r="AR103" i="633" s="1"/>
  <c r="H146" i="633"/>
  <c r="AR146" i="633" s="1"/>
  <c r="AU146" i="633"/>
  <c r="AQ146" i="633" s="1"/>
  <c r="AU286" i="633"/>
  <c r="AQ286" i="633" s="1"/>
  <c r="H286" i="633"/>
  <c r="AR286" i="633" s="1"/>
  <c r="H204" i="633"/>
  <c r="AR204" i="633" s="1"/>
  <c r="AU204" i="633"/>
  <c r="AQ204" i="633" s="1"/>
  <c r="AU323" i="633"/>
  <c r="AQ323" i="633" s="1"/>
  <c r="H323" i="633"/>
  <c r="AR323" i="633" s="1"/>
  <c r="AU335" i="633"/>
  <c r="AQ335" i="633" s="1"/>
  <c r="H335" i="633"/>
  <c r="AR335" i="633" s="1"/>
  <c r="H209" i="633"/>
  <c r="AR209" i="633" s="1"/>
  <c r="H324" i="633"/>
  <c r="AR324" i="633" s="1"/>
  <c r="AU324" i="633"/>
  <c r="AQ324" i="633" s="1"/>
  <c r="H210" i="633"/>
  <c r="AR210" i="633" s="1"/>
  <c r="AU334" i="633"/>
  <c r="AQ334" i="633" s="1"/>
  <c r="H334" i="633"/>
  <c r="AR334" i="633" s="1"/>
  <c r="AR346" i="633" l="1"/>
  <c r="AR367" i="633"/>
  <c r="AR17" i="633"/>
  <c r="AR206" i="633"/>
  <c r="AR360" i="633"/>
  <c r="AR207" i="633"/>
  <c r="AR18" i="633"/>
  <c r="H365" i="633"/>
  <c r="AR365" i="633" s="1"/>
  <c r="AU365" i="633"/>
  <c r="AQ365" i="633" s="1"/>
  <c r="H355" i="633"/>
  <c r="AU355" i="633"/>
  <c r="AQ355" i="633" s="1"/>
  <c r="H343" i="633"/>
  <c r="AR343" i="633" s="1"/>
  <c r="AU343" i="633"/>
  <c r="AQ343" i="633" s="1"/>
  <c r="H364" i="633"/>
  <c r="AR364" i="633" s="1"/>
  <c r="AU364" i="633"/>
  <c r="AQ364" i="633" s="1"/>
  <c r="H352" i="633"/>
  <c r="AR352" i="633" s="1"/>
  <c r="AU352" i="633"/>
  <c r="AQ352" i="633" s="1"/>
  <c r="H342" i="633"/>
  <c r="AU342" i="633"/>
  <c r="AQ342" i="633" s="1"/>
  <c r="H363" i="633"/>
  <c r="AU363" i="633"/>
  <c r="AQ363" i="633" s="1"/>
  <c r="H351" i="633"/>
  <c r="AU351" i="633"/>
  <c r="AQ351" i="633" s="1"/>
  <c r="H341" i="633"/>
  <c r="K17" i="27" s="1"/>
  <c r="AU341" i="633"/>
  <c r="AQ341" i="633" s="1"/>
  <c r="H362" i="633"/>
  <c r="AU362" i="633"/>
  <c r="AQ362" i="633" s="1"/>
  <c r="H350" i="633"/>
  <c r="AR350" i="633" s="1"/>
  <c r="AU350" i="633"/>
  <c r="AQ350" i="633" s="1"/>
  <c r="H272" i="633"/>
  <c r="AU272" i="633"/>
  <c r="AQ272" i="633" s="1"/>
  <c r="H359" i="633"/>
  <c r="AR359" i="633" s="1"/>
  <c r="AU359" i="633"/>
  <c r="AQ359" i="633" s="1"/>
  <c r="H349" i="633"/>
  <c r="AU349" i="633"/>
  <c r="AQ349" i="633" s="1"/>
  <c r="H267" i="633"/>
  <c r="AU267" i="633"/>
  <c r="AQ267" i="633" s="1"/>
  <c r="H358" i="633"/>
  <c r="AR358" i="633" s="1"/>
  <c r="AU358" i="633"/>
  <c r="AQ358" i="633" s="1"/>
  <c r="H348" i="633"/>
  <c r="AU348" i="633"/>
  <c r="AQ348" i="633" s="1"/>
  <c r="H266" i="633"/>
  <c r="AU266" i="633"/>
  <c r="AQ266" i="633" s="1"/>
  <c r="H357" i="633"/>
  <c r="AR357" i="633" s="1"/>
  <c r="AU357" i="633"/>
  <c r="AQ357" i="633" s="1"/>
  <c r="H345" i="633"/>
  <c r="AR345" i="633" s="1"/>
  <c r="AU345" i="633"/>
  <c r="AQ345" i="633" s="1"/>
  <c r="H265" i="633"/>
  <c r="AU265" i="633"/>
  <c r="AQ265" i="633" s="1"/>
  <c r="H366" i="633"/>
  <c r="AR366" i="633" s="1"/>
  <c r="AU366" i="633"/>
  <c r="AQ366" i="633" s="1"/>
  <c r="H356" i="633"/>
  <c r="AU356" i="633"/>
  <c r="AQ356" i="633" s="1"/>
  <c r="H344" i="633"/>
  <c r="AR344" i="633" s="1"/>
  <c r="AU344" i="633"/>
  <c r="AQ344" i="633" s="1"/>
  <c r="H264" i="633"/>
  <c r="AU264" i="633"/>
  <c r="AQ264" i="633" s="1"/>
  <c r="L19" i="27"/>
  <c r="AU224" i="633"/>
  <c r="AQ224" i="633" s="1"/>
  <c r="H224" i="633"/>
  <c r="AR224" i="633" s="1"/>
  <c r="AU160" i="633"/>
  <c r="AQ160" i="633" s="1"/>
  <c r="H160" i="633"/>
  <c r="AR160" i="633" s="1"/>
  <c r="AU76" i="633"/>
  <c r="AQ76" i="633" s="1"/>
  <c r="H76" i="633"/>
  <c r="AR76" i="633" s="1"/>
  <c r="AU275" i="633"/>
  <c r="AQ275" i="633" s="1"/>
  <c r="H275" i="633"/>
  <c r="AR275" i="633" s="1"/>
  <c r="H152" i="633"/>
  <c r="AR152" i="633" s="1"/>
  <c r="AU152" i="633"/>
  <c r="AQ152" i="633" s="1"/>
  <c r="H233" i="633"/>
  <c r="AR233" i="633" s="1"/>
  <c r="AU233" i="633"/>
  <c r="AQ233" i="633" s="1"/>
  <c r="AU369" i="633"/>
  <c r="H369" i="633"/>
  <c r="AR369" i="633" s="1"/>
  <c r="H229" i="633"/>
  <c r="AR229" i="633" s="1"/>
  <c r="AU229" i="633"/>
  <c r="AQ229" i="633" s="1"/>
  <c r="H274" i="633"/>
  <c r="AR274" i="633" s="1"/>
  <c r="AU274" i="633"/>
  <c r="AQ274" i="633" s="1"/>
  <c r="AQ194" i="633"/>
  <c r="E13" i="27"/>
  <c r="AU75" i="633"/>
  <c r="AQ75" i="633" s="1"/>
  <c r="H75" i="633"/>
  <c r="AR75" i="633" s="1"/>
  <c r="H223" i="633"/>
  <c r="AR223" i="633" s="1"/>
  <c r="AU223" i="633"/>
  <c r="AQ223" i="633" s="1"/>
  <c r="H310" i="633"/>
  <c r="AR310" i="633" s="1"/>
  <c r="F16" i="27" s="1"/>
  <c r="AU310" i="633"/>
  <c r="AQ310" i="633" s="1"/>
  <c r="AU370" i="633"/>
  <c r="AQ370" i="633" s="1"/>
  <c r="H370" i="633"/>
  <c r="AR370" i="633" s="1"/>
  <c r="F10" i="27"/>
  <c r="AU159" i="633"/>
  <c r="AQ159" i="633" s="1"/>
  <c r="H159" i="633"/>
  <c r="AR159" i="633" s="1"/>
  <c r="H70" i="633"/>
  <c r="AR70" i="633" s="1"/>
  <c r="AU70" i="633"/>
  <c r="AQ70" i="633" s="1"/>
  <c r="H79" i="633"/>
  <c r="AR79" i="633" s="1"/>
  <c r="AU79" i="633"/>
  <c r="AQ79" i="633" s="1"/>
  <c r="H226" i="633"/>
  <c r="AR226" i="633" s="1"/>
  <c r="AU226" i="633"/>
  <c r="AQ226" i="633" s="1"/>
  <c r="H69" i="633"/>
  <c r="AR69" i="633" s="1"/>
  <c r="AU69" i="633"/>
  <c r="AQ251" i="633"/>
  <c r="AQ282" i="633"/>
  <c r="K10" i="27"/>
  <c r="K13" i="27"/>
  <c r="AQ313" i="633"/>
  <c r="H72" i="633"/>
  <c r="AR72" i="633" s="1"/>
  <c r="AU72" i="633"/>
  <c r="AQ72" i="633" s="1"/>
  <c r="H153" i="633"/>
  <c r="AR153" i="633" s="1"/>
  <c r="AU153" i="633"/>
  <c r="AQ153" i="633" s="1"/>
  <c r="H371" i="633"/>
  <c r="AR371" i="633" s="1"/>
  <c r="AU371" i="633"/>
  <c r="AQ371" i="633" s="1"/>
  <c r="AU162" i="633"/>
  <c r="H162" i="633"/>
  <c r="AR162" i="633" s="1"/>
  <c r="AQ40" i="633"/>
  <c r="E10" i="27"/>
  <c r="AQ100" i="633"/>
  <c r="AU15" i="633"/>
  <c r="AQ15" i="633" s="1"/>
  <c r="H15" i="633"/>
  <c r="AR15" i="633" s="1"/>
  <c r="AU156" i="633"/>
  <c r="AQ156" i="633" s="1"/>
  <c r="H156" i="633"/>
  <c r="AR156" i="633" s="1"/>
  <c r="AU163" i="633"/>
  <c r="AQ163" i="633" s="1"/>
  <c r="H163" i="633"/>
  <c r="AR163" i="633" s="1"/>
  <c r="AU230" i="633"/>
  <c r="AQ230" i="633" s="1"/>
  <c r="H230" i="633"/>
  <c r="AR230" i="633" s="1"/>
  <c r="AU372" i="633"/>
  <c r="AQ372" i="633" s="1"/>
  <c r="H372" i="633"/>
  <c r="AR372" i="633" s="1"/>
  <c r="H14" i="633"/>
  <c r="AR14" i="633" s="1"/>
  <c r="AU14" i="633"/>
  <c r="AQ14" i="633" s="1"/>
  <c r="H68" i="633"/>
  <c r="AR68" i="633" s="1"/>
  <c r="F8" i="27" s="1"/>
  <c r="AU68" i="633"/>
  <c r="AQ68" i="633" s="1"/>
  <c r="AU71" i="633"/>
  <c r="AQ71" i="633" s="1"/>
  <c r="H71" i="633"/>
  <c r="AR71" i="633" s="1"/>
  <c r="H13" i="633"/>
  <c r="AR13" i="633" s="1"/>
  <c r="AU13" i="633"/>
  <c r="AQ13" i="633" s="1"/>
  <c r="H273" i="633"/>
  <c r="AR273" i="633" s="1"/>
  <c r="AU273" i="633"/>
  <c r="AQ273" i="633" s="1"/>
  <c r="AU232" i="633"/>
  <c r="AQ232" i="633" s="1"/>
  <c r="H232" i="633"/>
  <c r="AR232" i="633" s="1"/>
  <c r="H9" i="633"/>
  <c r="AR9" i="633" s="1"/>
  <c r="AU9" i="633"/>
  <c r="AQ131" i="633"/>
  <c r="AU16" i="633"/>
  <c r="AQ16" i="633" s="1"/>
  <c r="H16" i="633"/>
  <c r="AR16" i="633" s="1"/>
  <c r="H12" i="633"/>
  <c r="AR12" i="633" s="1"/>
  <c r="AU12" i="633"/>
  <c r="AQ12" i="633" s="1"/>
  <c r="AU78" i="633"/>
  <c r="AQ78" i="633" s="1"/>
  <c r="H78" i="633"/>
  <c r="AR78" i="633" s="1"/>
  <c r="H77" i="633"/>
  <c r="AR77" i="633" s="1"/>
  <c r="AU77" i="633"/>
  <c r="AQ77" i="633" s="1"/>
  <c r="H225" i="633"/>
  <c r="AR225" i="633" s="1"/>
  <c r="AU225" i="633"/>
  <c r="AQ225" i="633" s="1"/>
  <c r="H231" i="633"/>
  <c r="AR231" i="633" s="1"/>
  <c r="AU231" i="633"/>
  <c r="AQ231" i="633" s="1"/>
  <c r="H222" i="633"/>
  <c r="AR222" i="633" s="1"/>
  <c r="AU222" i="633"/>
  <c r="F13" i="27" l="1"/>
  <c r="E17" i="27"/>
  <c r="E16" i="27"/>
  <c r="AR356" i="633"/>
  <c r="AR267" i="633"/>
  <c r="AR363" i="633"/>
  <c r="AR266" i="633"/>
  <c r="AR349" i="633"/>
  <c r="AR362" i="633"/>
  <c r="K14" i="27"/>
  <c r="E11" i="27"/>
  <c r="AR342" i="633"/>
  <c r="AR355" i="633"/>
  <c r="AR264" i="633"/>
  <c r="AR265" i="633"/>
  <c r="AR348" i="633"/>
  <c r="AR341" i="633"/>
  <c r="F17" i="27" s="1"/>
  <c r="AR272" i="633"/>
  <c r="AR351" i="633"/>
  <c r="K16" i="27"/>
  <c r="F11" i="27"/>
  <c r="E8" i="27"/>
  <c r="K8" i="27"/>
  <c r="K11" i="27"/>
  <c r="F14" i="27"/>
  <c r="AQ9" i="633"/>
  <c r="AS9" i="633" s="1"/>
  <c r="AS10" i="633" s="1"/>
  <c r="AS11" i="633" s="1"/>
  <c r="AS12" i="633" s="1"/>
  <c r="AS13" i="633" s="1"/>
  <c r="AS14" i="633" s="1"/>
  <c r="AS15" i="633" s="1"/>
  <c r="AS16" i="633" s="1"/>
  <c r="AS17" i="633" s="1"/>
  <c r="AS18" i="633" s="1"/>
  <c r="AS19" i="633" s="1"/>
  <c r="AS20" i="633" s="1"/>
  <c r="AS21" i="633" s="1"/>
  <c r="AS22" i="633" s="1"/>
  <c r="AS23" i="633" s="1"/>
  <c r="AS24" i="633" s="1"/>
  <c r="AS25" i="633" s="1"/>
  <c r="AS26" i="633" s="1"/>
  <c r="AS27" i="633" s="1"/>
  <c r="AS28" i="633" s="1"/>
  <c r="AS29" i="633" s="1"/>
  <c r="AS30" i="633" s="1"/>
  <c r="AS31" i="633" s="1"/>
  <c r="AS32" i="633" s="1"/>
  <c r="AS33" i="633" s="1"/>
  <c r="AS34" i="633" s="1"/>
  <c r="AS35" i="633" s="1"/>
  <c r="AS36" i="633" s="1"/>
  <c r="AS37" i="633" s="1"/>
  <c r="AS38" i="633" s="1"/>
  <c r="AS39" i="633" s="1"/>
  <c r="AS40" i="633" s="1"/>
  <c r="AS41" i="633" s="1"/>
  <c r="AS42" i="633" s="1"/>
  <c r="AS43" i="633" s="1"/>
  <c r="AS44" i="633" s="1"/>
  <c r="AS45" i="633" s="1"/>
  <c r="AS46" i="633" s="1"/>
  <c r="AS47" i="633" s="1"/>
  <c r="AS48" i="633" s="1"/>
  <c r="AS49" i="633" s="1"/>
  <c r="AS50" i="633" s="1"/>
  <c r="AS51" i="633" s="1"/>
  <c r="AS52" i="633" s="1"/>
  <c r="AS53" i="633" s="1"/>
  <c r="AS54" i="633" s="1"/>
  <c r="AS55" i="633" s="1"/>
  <c r="AS56" i="633" s="1"/>
  <c r="AS57" i="633" s="1"/>
  <c r="AS58" i="633" s="1"/>
  <c r="AS59" i="633" s="1"/>
  <c r="AS60" i="633" s="1"/>
  <c r="AS61" i="633" s="1"/>
  <c r="AS62" i="633" s="1"/>
  <c r="AS63" i="633" s="1"/>
  <c r="AS64" i="633" s="1"/>
  <c r="AS65" i="633" s="1"/>
  <c r="AS66" i="633" s="1"/>
  <c r="AS67" i="633" s="1"/>
  <c r="AS68" i="633" s="1"/>
  <c r="E7" i="27"/>
  <c r="F7" i="27"/>
  <c r="K15" i="27"/>
  <c r="E14" i="27"/>
  <c r="AQ222" i="633"/>
  <c r="K7" i="27"/>
  <c r="F12" i="27"/>
  <c r="E15" i="27"/>
  <c r="AQ162" i="633"/>
  <c r="E12" i="27"/>
  <c r="E9" i="27"/>
  <c r="AQ69" i="633"/>
  <c r="E18" i="27"/>
  <c r="AQ369" i="633"/>
  <c r="K12" i="27"/>
  <c r="F9" i="27"/>
  <c r="K18" i="27"/>
  <c r="K9" i="27"/>
  <c r="F15" i="27" l="1"/>
  <c r="F18" i="27"/>
  <c r="AS69" i="633"/>
  <c r="AS70" i="633" s="1"/>
  <c r="AS71" i="633" s="1"/>
  <c r="AS72" i="633" s="1"/>
  <c r="AS73" i="633" s="1"/>
  <c r="AS74" i="633" s="1"/>
  <c r="AS75" i="633" s="1"/>
  <c r="AS76" i="633" s="1"/>
  <c r="AS77" i="633" s="1"/>
  <c r="AS78" i="633" s="1"/>
  <c r="AS79" i="633" s="1"/>
  <c r="AS80" i="633" s="1"/>
  <c r="AS81" i="633" s="1"/>
  <c r="AS82" i="633" s="1"/>
  <c r="AS83" i="633" s="1"/>
  <c r="AS84" i="633" s="1"/>
  <c r="AS85" i="633" s="1"/>
  <c r="AS86" i="633" s="1"/>
  <c r="AS87" i="633" s="1"/>
  <c r="AS88" i="633" s="1"/>
  <c r="AS89" i="633" s="1"/>
  <c r="AS90" i="633" s="1"/>
  <c r="AS91" i="633" s="1"/>
  <c r="AS92" i="633" s="1"/>
  <c r="AS93" i="633" s="1"/>
  <c r="AS94" i="633" s="1"/>
  <c r="AS95" i="633" s="1"/>
  <c r="AS96" i="633" s="1"/>
  <c r="AS97" i="633" s="1"/>
  <c r="AS98" i="633" s="1"/>
  <c r="AS99" i="633" s="1"/>
  <c r="AS100" i="633" s="1"/>
  <c r="AS101" i="633" s="1"/>
  <c r="AS102" i="633" s="1"/>
  <c r="AS103" i="633" s="1"/>
  <c r="AS104" i="633" s="1"/>
  <c r="AS105" i="633" s="1"/>
  <c r="AS106" i="633" s="1"/>
  <c r="AS107" i="633" s="1"/>
  <c r="AS108" i="633" s="1"/>
  <c r="AS109" i="633" s="1"/>
  <c r="AS110" i="633" s="1"/>
  <c r="AS111" i="633" s="1"/>
  <c r="AS112" i="633" s="1"/>
  <c r="AS113" i="633" s="1"/>
  <c r="AS114" i="633" s="1"/>
  <c r="AS115" i="633" s="1"/>
  <c r="AS116" i="633" s="1"/>
  <c r="AS117" i="633" s="1"/>
  <c r="AS118" i="633" s="1"/>
  <c r="AS119" i="633" s="1"/>
  <c r="AS120" i="633" s="1"/>
  <c r="AS121" i="633" s="1"/>
  <c r="AS122" i="633" s="1"/>
  <c r="AS123" i="633" s="1"/>
  <c r="AS124" i="633" s="1"/>
  <c r="AS125" i="633" s="1"/>
  <c r="AS126" i="633" s="1"/>
  <c r="AS127" i="633" s="1"/>
  <c r="AS128" i="633" s="1"/>
  <c r="AS129" i="633" s="1"/>
  <c r="AS130" i="633" s="1"/>
  <c r="AS131" i="633" s="1"/>
  <c r="AS132" i="633" s="1"/>
  <c r="AS133" i="633" s="1"/>
  <c r="AS134" i="633" s="1"/>
  <c r="AS135" i="633" s="1"/>
  <c r="AS136" i="633" s="1"/>
  <c r="AS137" i="633" s="1"/>
  <c r="AS138" i="633" s="1"/>
  <c r="AS139" i="633" s="1"/>
  <c r="AS140" i="633" s="1"/>
  <c r="AS141" i="633" s="1"/>
  <c r="AS142" i="633" s="1"/>
  <c r="AS143" i="633" s="1"/>
  <c r="AS144" i="633" s="1"/>
  <c r="AS145" i="633" s="1"/>
  <c r="AS146" i="633" s="1"/>
  <c r="AS147" i="633" s="1"/>
  <c r="AS148" i="633" s="1"/>
  <c r="AS149" i="633" s="1"/>
  <c r="AS150" i="633" s="1"/>
  <c r="AS151" i="633" s="1"/>
  <c r="AS152" i="633" s="1"/>
  <c r="AS153" i="633" s="1"/>
  <c r="AS154" i="633" s="1"/>
  <c r="AS155" i="633" s="1"/>
  <c r="AS156" i="633" s="1"/>
  <c r="AS157" i="633" s="1"/>
  <c r="AS158" i="633" s="1"/>
  <c r="AS159" i="633" s="1"/>
  <c r="AS160" i="633" s="1"/>
  <c r="AS161" i="633" s="1"/>
  <c r="AS162" i="633" s="1"/>
  <c r="AS163" i="633" s="1"/>
  <c r="AS164" i="633" s="1"/>
  <c r="AS165" i="633" s="1"/>
  <c r="AS166" i="633" s="1"/>
  <c r="AS167" i="633" s="1"/>
  <c r="AS168" i="633" s="1"/>
  <c r="AS169" i="633" s="1"/>
  <c r="AS170" i="633" s="1"/>
  <c r="AS171" i="633" s="1"/>
  <c r="AS172" i="633" s="1"/>
  <c r="AS173" i="633" s="1"/>
  <c r="AS174" i="633" s="1"/>
  <c r="AS175" i="633" s="1"/>
  <c r="AS176" i="633" s="1"/>
  <c r="AS177" i="633" s="1"/>
  <c r="AS178" i="633" s="1"/>
  <c r="AS179" i="633" s="1"/>
  <c r="AS180" i="633" s="1"/>
  <c r="AS181" i="633" s="1"/>
  <c r="AS182" i="633" s="1"/>
  <c r="AS183" i="633" s="1"/>
  <c r="AS184" i="633" s="1"/>
  <c r="AS185" i="633" s="1"/>
  <c r="AS186" i="633" s="1"/>
  <c r="AS187" i="633" s="1"/>
  <c r="AS188" i="633" s="1"/>
  <c r="AS189" i="633" s="1"/>
  <c r="AS190" i="633" s="1"/>
  <c r="AS191" i="633" s="1"/>
  <c r="AS192" i="633" s="1"/>
  <c r="AS193" i="633" s="1"/>
  <c r="AS194" i="633" s="1"/>
  <c r="AS195" i="633" s="1"/>
  <c r="AS196" i="633" s="1"/>
  <c r="AS197" i="633" s="1"/>
  <c r="AS198" i="633" s="1"/>
  <c r="AS199" i="633" s="1"/>
  <c r="AS200" i="633" s="1"/>
  <c r="AS201" i="633" s="1"/>
  <c r="AS202" i="633" s="1"/>
  <c r="AS203" i="633" s="1"/>
  <c r="AS204" i="633" s="1"/>
  <c r="AS205" i="633" s="1"/>
  <c r="AS206" i="633" s="1"/>
  <c r="AS207" i="633" s="1"/>
  <c r="AS208" i="633" s="1"/>
  <c r="AS209" i="633" s="1"/>
  <c r="AS210" i="633" s="1"/>
  <c r="AS211" i="633" s="1"/>
  <c r="AS212" i="633" s="1"/>
  <c r="AS213" i="633" s="1"/>
  <c r="AS214" i="633" s="1"/>
  <c r="AS215" i="633" s="1"/>
  <c r="AS216" i="633" s="1"/>
  <c r="AS217" i="633" s="1"/>
  <c r="AS218" i="633" s="1"/>
  <c r="AS219" i="633" s="1"/>
  <c r="AS220" i="633" s="1"/>
  <c r="AS221" i="633" s="1"/>
  <c r="AS222" i="633" s="1"/>
  <c r="AS223" i="633" s="1"/>
  <c r="AS224" i="633" s="1"/>
  <c r="AS225" i="633" s="1"/>
  <c r="AS226" i="633" s="1"/>
  <c r="AS227" i="633" s="1"/>
  <c r="AS228" i="633" s="1"/>
  <c r="AS229" i="633" s="1"/>
  <c r="AS230" i="633" s="1"/>
  <c r="AS231" i="633" s="1"/>
  <c r="AS232" i="633" s="1"/>
  <c r="AS233" i="633" s="1"/>
  <c r="AS234" i="633" s="1"/>
  <c r="AS235" i="633" s="1"/>
  <c r="AS236" i="633" s="1"/>
  <c r="AS237" i="633" s="1"/>
  <c r="AS238" i="633" s="1"/>
  <c r="AS239" i="633" s="1"/>
  <c r="AS240" i="633" s="1"/>
  <c r="AS241" i="633" s="1"/>
  <c r="AS242" i="633" s="1"/>
  <c r="AS243" i="633" s="1"/>
  <c r="AS244" i="633" s="1"/>
  <c r="AS245" i="633" s="1"/>
  <c r="AS246" i="633" s="1"/>
  <c r="AS247" i="633" s="1"/>
  <c r="AS248" i="633" s="1"/>
  <c r="AS249" i="633" s="1"/>
  <c r="AS250" i="633" s="1"/>
  <c r="AS251" i="633" s="1"/>
  <c r="AS252" i="633" s="1"/>
  <c r="AS253" i="633" s="1"/>
  <c r="AS254" i="633" s="1"/>
  <c r="AS255" i="633" s="1"/>
  <c r="AS256" i="633" s="1"/>
  <c r="AS257" i="633" s="1"/>
  <c r="AS258" i="633" s="1"/>
  <c r="AS259" i="633" s="1"/>
  <c r="AS260" i="633" s="1"/>
  <c r="AS261" i="633" s="1"/>
  <c r="AS262" i="633" s="1"/>
  <c r="AS263" i="633" s="1"/>
  <c r="AS264" i="633" s="1"/>
  <c r="AS265" i="633" s="1"/>
  <c r="AS266" i="633" s="1"/>
  <c r="AS267" i="633" s="1"/>
  <c r="AS268" i="633" s="1"/>
  <c r="AS269" i="633" s="1"/>
  <c r="AS270" i="633" s="1"/>
  <c r="AS271" i="633" s="1"/>
  <c r="AS272" i="633" s="1"/>
  <c r="AS273" i="633" s="1"/>
  <c r="AS274" i="633" s="1"/>
  <c r="AS275" i="633" s="1"/>
  <c r="AS276" i="633" s="1"/>
  <c r="AS277" i="633" s="1"/>
  <c r="AS278" i="633" s="1"/>
  <c r="AS279" i="633" s="1"/>
  <c r="AS280" i="633" s="1"/>
  <c r="AS281" i="633" s="1"/>
  <c r="AS282" i="633" s="1"/>
  <c r="AS283" i="633" s="1"/>
  <c r="AS284" i="633" s="1"/>
  <c r="AS285" i="633" s="1"/>
  <c r="AS286" i="633" s="1"/>
  <c r="AS287" i="633" s="1"/>
  <c r="AS288" i="633" s="1"/>
  <c r="AS289" i="633" s="1"/>
  <c r="AS290" i="633" s="1"/>
  <c r="AS291" i="633" s="1"/>
  <c r="AS292" i="633" s="1"/>
  <c r="AS293" i="633" s="1"/>
  <c r="AS294" i="633" s="1"/>
  <c r="AS295" i="633" s="1"/>
  <c r="AS296" i="633" s="1"/>
  <c r="AS297" i="633" s="1"/>
  <c r="AS298" i="633" s="1"/>
  <c r="AS299" i="633" s="1"/>
  <c r="AS300" i="633" s="1"/>
  <c r="AS301" i="633" s="1"/>
  <c r="AS302" i="633" s="1"/>
  <c r="AS303" i="633" s="1"/>
  <c r="AS304" i="633" s="1"/>
  <c r="AS305" i="633" s="1"/>
  <c r="AS306" i="633" s="1"/>
  <c r="AS307" i="633" s="1"/>
  <c r="AS308" i="633" s="1"/>
  <c r="AS309" i="633" s="1"/>
  <c r="AS310" i="633" s="1"/>
  <c r="AS311" i="633" s="1"/>
  <c r="AS312" i="633" s="1"/>
  <c r="AS313" i="633" s="1"/>
  <c r="AS314" i="633" s="1"/>
  <c r="AS315" i="633" s="1"/>
  <c r="AS316" i="633" s="1"/>
  <c r="AS317" i="633" s="1"/>
  <c r="AS318" i="633" s="1"/>
  <c r="AS319" i="633" s="1"/>
  <c r="AS320" i="633" s="1"/>
  <c r="AS321" i="633" s="1"/>
  <c r="AS322" i="633" s="1"/>
  <c r="AS323" i="633" s="1"/>
  <c r="AS324" i="633" s="1"/>
  <c r="AS325" i="633" s="1"/>
  <c r="AS326" i="633" s="1"/>
  <c r="AS327" i="633" s="1"/>
  <c r="AS328" i="633" s="1"/>
  <c r="AS329" i="633" s="1"/>
  <c r="AS330" i="633" s="1"/>
  <c r="AS331" i="633" s="1"/>
  <c r="AS332" i="633" s="1"/>
  <c r="AS333" i="633" s="1"/>
  <c r="AS334" i="633" s="1"/>
  <c r="AS335" i="633" s="1"/>
  <c r="AS336" i="633" s="1"/>
  <c r="AS337" i="633" s="1"/>
  <c r="AS338" i="633" s="1"/>
  <c r="AS339" i="633" s="1"/>
  <c r="AS340" i="633" s="1"/>
  <c r="AS341" i="633" s="1"/>
  <c r="AS342" i="633" s="1"/>
  <c r="AS343" i="633" s="1"/>
  <c r="AS344" i="633" s="1"/>
  <c r="AS345" i="633" s="1"/>
  <c r="AS346" i="633" s="1"/>
  <c r="AS347" i="633" s="1"/>
  <c r="AS348" i="633" s="1"/>
  <c r="AS349" i="633" s="1"/>
  <c r="AS350" i="633" s="1"/>
  <c r="AS351" i="633" s="1"/>
  <c r="AS352" i="633" s="1"/>
  <c r="AS353" i="633" s="1"/>
  <c r="AS354" i="633" s="1"/>
  <c r="AS355" i="633" s="1"/>
  <c r="AS356" i="633" s="1"/>
  <c r="AS357" i="633" s="1"/>
  <c r="AS358" i="633" s="1"/>
  <c r="AS359" i="633" s="1"/>
  <c r="AS360" i="633" s="1"/>
  <c r="AS361" i="633" s="1"/>
  <c r="AS362" i="633" s="1"/>
  <c r="AS363" i="633" s="1"/>
  <c r="AS364" i="633" s="1"/>
  <c r="AS365" i="633" s="1"/>
  <c r="AS366" i="633" s="1"/>
  <c r="AS367" i="633" s="1"/>
  <c r="AS368" i="633" s="1"/>
  <c r="AS369" i="633" s="1"/>
  <c r="AS370" i="633" s="1"/>
  <c r="AS371" i="633" s="1"/>
  <c r="AS372" i="633" s="1"/>
  <c r="K19" i="27"/>
  <c r="E19" i="27"/>
  <c r="H7" i="27"/>
  <c r="G8" i="27" s="1"/>
  <c r="H8" i="27" s="1"/>
  <c r="G9" i="27" s="1"/>
  <c r="H9" i="27" s="1"/>
  <c r="G10" i="27" s="1"/>
  <c r="H10" i="27" s="1"/>
  <c r="G11" i="27" s="1"/>
  <c r="H11" i="27" s="1"/>
  <c r="G12" i="27" s="1"/>
  <c r="H12" i="27" s="1"/>
  <c r="G13" i="27" s="1"/>
  <c r="H13" i="27" s="1"/>
  <c r="G14" i="27" s="1"/>
  <c r="H14" i="27" s="1"/>
  <c r="G15" i="27" s="1"/>
  <c r="F19" i="27" l="1"/>
  <c r="H15" i="27"/>
  <c r="G16" i="27" s="1"/>
  <c r="H16" i="27" s="1"/>
  <c r="G17" i="27" s="1"/>
  <c r="H17" i="27" s="1"/>
  <c r="G18" i="27" s="1"/>
  <c r="H18" i="2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Schiegg, Michael BKSD</author>
  </authors>
  <commentList>
    <comment ref="E1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Wenn 1. Mai = Wochenende dann + 0.2 Tage</t>
        </r>
      </text>
    </comment>
    <comment ref="G2" authorId="0" shapeId="0" xr:uid="{00000000-0006-0000-0100-000002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Ferientage einer LP ohne zusätzliche Ferientage (sollte 25 sein und bleiben)</t>
        </r>
      </text>
    </comment>
    <comment ref="H2" authorId="0" shapeId="0" xr:uid="{00000000-0006-0000-0100-000003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Werktage in der Unterrichtsfreien Zeit abzüglich Feiertage.</t>
        </r>
      </text>
    </comment>
    <comment ref="I2" authorId="0" shapeId="0" xr:uid="{00000000-0006-0000-0100-000004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Tage, die aufs Wochenende fallen zwischen dem 1. und dem letzten Tag des Schuljahrs</t>
        </r>
      </text>
    </comment>
    <comment ref="W6" authorId="0" shapeId="0" xr:uid="{9703BC34-DFDA-466B-9D86-9821322DC702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Nicht immer bezahlt. Wenn nicht bezahlt, dann unter Schulferien eintragen--&gt;Untterichtsfreier Tag!</t>
        </r>
      </text>
    </comment>
    <comment ref="W7" authorId="0" shapeId="0" xr:uid="{F47AE8D8-F41E-4101-97BF-9C4519FC26B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Nicht immer bezahlt. Wenn nicht bezahlt, dann unter Schulferien eintragen--&gt;Untterichtsfreier Tag!</t>
        </r>
      </text>
    </comment>
    <comment ref="S11" authorId="0" shapeId="0" xr:uid="{00000000-0006-0000-0100-000005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Nicht immer bezahlt. Wenn nicht bezahlt, dann unter Schulferien eintragen--&gt;Untterichtsfreier Tag!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<sst xmlns="http://schemas.openxmlformats.org/spreadsheetml/2006/main" count="533" uniqueCount="344">
  <si>
    <t>Jahresarbeitszeit</t>
  </si>
  <si>
    <t>Ferienanspruch</t>
  </si>
  <si>
    <t>von</t>
  </si>
  <si>
    <t>bis</t>
  </si>
  <si>
    <t>JAZ</t>
  </si>
  <si>
    <t>Anzahl Lektionen</t>
  </si>
  <si>
    <t>Personalien</t>
  </si>
  <si>
    <t>Name</t>
  </si>
  <si>
    <t>Vorname</t>
  </si>
  <si>
    <t>Geburtsdatum</t>
  </si>
  <si>
    <t>Ferien</t>
  </si>
  <si>
    <t>Alter</t>
  </si>
  <si>
    <t>Ferientage</t>
  </si>
  <si>
    <t>Lektionen</t>
  </si>
  <si>
    <t>Schulstufe</t>
  </si>
  <si>
    <t>Total</t>
  </si>
  <si>
    <t>Mo</t>
  </si>
  <si>
    <t>Di</t>
  </si>
  <si>
    <t>Mi</t>
  </si>
  <si>
    <t>Do</t>
  </si>
  <si>
    <t>Fr</t>
  </si>
  <si>
    <t>in h</t>
  </si>
  <si>
    <t>Soll</t>
  </si>
  <si>
    <t>Ist</t>
  </si>
  <si>
    <t>Saldo</t>
  </si>
  <si>
    <t>A</t>
  </si>
  <si>
    <t>B</t>
  </si>
  <si>
    <t>CDE</t>
  </si>
  <si>
    <t>Typ</t>
  </si>
  <si>
    <t>Tätigkeit</t>
  </si>
  <si>
    <t>Lekt.</t>
  </si>
  <si>
    <t>Auswahl Tagestätigkeit</t>
  </si>
  <si>
    <t>Definition Auswahlfelder</t>
  </si>
  <si>
    <t>Funktion</t>
  </si>
  <si>
    <t>Mögliche Auswahlmenüs</t>
  </si>
  <si>
    <t>Unterrichtstag</t>
  </si>
  <si>
    <t>SUM A-E</t>
  </si>
  <si>
    <t>Wochenende</t>
  </si>
  <si>
    <t>Feiertag</t>
  </si>
  <si>
    <t>Feiertag halb</t>
  </si>
  <si>
    <t>Schulferien</t>
  </si>
  <si>
    <t>Unbezahlter Urlaub</t>
  </si>
  <si>
    <t>Monat</t>
  </si>
  <si>
    <t>unterrichtsfreie Arbeitszeit</t>
  </si>
  <si>
    <t>SUM B-E</t>
  </si>
  <si>
    <t>NR</t>
  </si>
  <si>
    <t>WE</t>
  </si>
  <si>
    <t>FT</t>
  </si>
  <si>
    <t>FH</t>
  </si>
  <si>
    <t>SF</t>
  </si>
  <si>
    <t>UU</t>
  </si>
  <si>
    <t>August</t>
  </si>
  <si>
    <t>Kindergarten</t>
  </si>
  <si>
    <t>ausserschulischer Unterricht</t>
  </si>
  <si>
    <t>September</t>
  </si>
  <si>
    <t>bezahlte Abwesenheit</t>
  </si>
  <si>
    <t>=SOLL</t>
  </si>
  <si>
    <t>Herbst</t>
  </si>
  <si>
    <t>Oktober</t>
  </si>
  <si>
    <t>Musikschule</t>
  </si>
  <si>
    <t>Gleitzeit</t>
  </si>
  <si>
    <t>=0</t>
  </si>
  <si>
    <t>Weihnachten</t>
  </si>
  <si>
    <t>November</t>
  </si>
  <si>
    <t>Fasnacht</t>
  </si>
  <si>
    <t>Dezember</t>
  </si>
  <si>
    <t>Frühjahr</t>
  </si>
  <si>
    <t>Januar</t>
  </si>
  <si>
    <t>Sommer</t>
  </si>
  <si>
    <t>Februar</t>
  </si>
  <si>
    <t>März</t>
  </si>
  <si>
    <t>unbezahlter Urlaub</t>
  </si>
  <si>
    <t>April</t>
  </si>
  <si>
    <t>Mai</t>
  </si>
  <si>
    <t>Juni</t>
  </si>
  <si>
    <t>Juli</t>
  </si>
  <si>
    <t>Erfassung der Personalien, Arbeitsverträge und unbezahlte Urlaube</t>
  </si>
  <si>
    <t>Berufsauftrag für Lehrpersonen</t>
  </si>
  <si>
    <t>Allgemeine Informationen</t>
  </si>
  <si>
    <t>Schulstufe:</t>
  </si>
  <si>
    <t>Schule:</t>
  </si>
  <si>
    <t>Schuljahr:</t>
  </si>
  <si>
    <t>Informationen zur Lehrperson</t>
  </si>
  <si>
    <t xml:space="preserve">Name: </t>
  </si>
  <si>
    <t xml:space="preserve">Vorname: </t>
  </si>
  <si>
    <t xml:space="preserve">Geburtsdatum (DD.MM.JJJJ): </t>
  </si>
  <si>
    <t>SOLL-Arbeitszeit bei 100% Anstellungsgrad</t>
  </si>
  <si>
    <t>Abzüglich 25 Ferientage</t>
  </si>
  <si>
    <t>Soll-Arbeitszeit allg.</t>
  </si>
  <si>
    <t>Absenzen von mehr als 1 Woche (Anz. Wochen)</t>
  </si>
  <si>
    <t>Umwandlung 13. Monatslohn (Anz. Wochen)</t>
  </si>
  <si>
    <t>Nettosollarbeitszeit</t>
  </si>
  <si>
    <t>Berechnung individuelle Soll-Arbeitszeit</t>
  </si>
  <si>
    <t>In Jahreslektionen</t>
  </si>
  <si>
    <t>Stellen-%</t>
  </si>
  <si>
    <t>Vollpensum (Pflichtstunden)</t>
  </si>
  <si>
    <t>Effektiv erteilte Unterrichtslektionen</t>
  </si>
  <si>
    <t>Weitere Lektionen für Spezialfunktionen (EA1 und EA2)</t>
  </si>
  <si>
    <t>Total Grundauftrag (A/B/C/D/E)</t>
  </si>
  <si>
    <t>Vereinbarung über Bereiche C, D und E</t>
  </si>
  <si>
    <t>Vereinbarung</t>
  </si>
  <si>
    <t>Bereiche C und D</t>
  </si>
  <si>
    <t>Anzahl</t>
  </si>
  <si>
    <t>Einheit</t>
  </si>
  <si>
    <t>Saldo C/D/E</t>
  </si>
  <si>
    <t>Stunden</t>
  </si>
  <si>
    <t>SCHIWEs</t>
  </si>
  <si>
    <t>Besprechung mit SL/MAG</t>
  </si>
  <si>
    <t>Elternabende</t>
  </si>
  <si>
    <t>Schulkonvente</t>
  </si>
  <si>
    <t>Schulveranstaltungen</t>
  </si>
  <si>
    <t>Mögliche Auswahl</t>
  </si>
  <si>
    <t>Bitte auswählen</t>
  </si>
  <si>
    <t>Total Bereiche C und D</t>
  </si>
  <si>
    <t>Total Bereich E</t>
  </si>
  <si>
    <t>TOTAL C/D/E</t>
  </si>
  <si>
    <t>Vereinbarung Erweiterter Auftrag</t>
  </si>
  <si>
    <t>Erweiterter Auftrag 1</t>
  </si>
  <si>
    <t>Klassenleitung</t>
  </si>
  <si>
    <t>Jahreslektionen</t>
  </si>
  <si>
    <t>Total EA 1</t>
  </si>
  <si>
    <t>Erweiterter Auftrag 2</t>
  </si>
  <si>
    <t>Bitte angeben</t>
  </si>
  <si>
    <t>Total EA 2</t>
  </si>
  <si>
    <t>Total Erweiterter Auftrag</t>
  </si>
  <si>
    <t>Total Grundauftrag und Erweiterter Auftrag</t>
  </si>
  <si>
    <t>Datum:</t>
  </si>
  <si>
    <t>Schulleitung:</t>
  </si>
  <si>
    <t>Lehrperson:</t>
  </si>
  <si>
    <t>Aufteilung A/B/C/D/E technisch</t>
  </si>
  <si>
    <t>Jahr</t>
  </si>
  <si>
    <t>SOLL-Arbeitszeit (nur 5 Wochen Ferien abgezogen)</t>
  </si>
  <si>
    <t>Anzahl Schulwoche insgeamt</t>
  </si>
  <si>
    <t>Anzahl Wochen Unterrichtsfreie Zeit</t>
  </si>
  <si>
    <t>Berechnung Anteile</t>
  </si>
  <si>
    <t>Total Stunden</t>
  </si>
  <si>
    <t>Pensum in Schulwoche</t>
  </si>
  <si>
    <t>Pensum in Schulferien (exkl. Ferien)</t>
  </si>
  <si>
    <t>Bereich A</t>
  </si>
  <si>
    <t>Stunden/Woche</t>
  </si>
  <si>
    <t>Stunden/Jahr</t>
  </si>
  <si>
    <t>C/D/E</t>
  </si>
  <si>
    <t>Davon:</t>
  </si>
  <si>
    <t>(in %)</t>
  </si>
  <si>
    <t>Bereich C</t>
  </si>
  <si>
    <t>EA1 PS</t>
  </si>
  <si>
    <t>EA 1 Sek I</t>
  </si>
  <si>
    <t>EA1 Sek II</t>
  </si>
  <si>
    <t>EA1 Sek II Berufsfachschule</t>
  </si>
  <si>
    <t>Gymnasium und FMS</t>
  </si>
  <si>
    <t>Berufsfachschulen und schulische Module Brückenangebote</t>
  </si>
  <si>
    <t>Berufsmaturitätsschule und WMS</t>
  </si>
  <si>
    <t>PICTS</t>
  </si>
  <si>
    <t>Stundenplaner/in</t>
  </si>
  <si>
    <t>Unterricht Mehrjahrgangsklasse</t>
  </si>
  <si>
    <t>Laufbahnverantwortliche/r</t>
  </si>
  <si>
    <t>Beauftragte/r BWB</t>
  </si>
  <si>
    <t>Arbeitsgruppen/Kommissionen</t>
  </si>
  <si>
    <t>Beratung Schüler/innen u. Eltern</t>
  </si>
  <si>
    <t>Lagerbegleitung (max. 4h/Tag)</t>
  </si>
  <si>
    <t>Standortgespräche</t>
  </si>
  <si>
    <t>Anteil A/B</t>
  </si>
  <si>
    <t>Anteil C/D/E</t>
  </si>
  <si>
    <t>Primarschule</t>
  </si>
  <si>
    <t>Sekundarschule</t>
  </si>
  <si>
    <t>Erfassung Bereiche</t>
  </si>
  <si>
    <t>EA1/EA2</t>
  </si>
  <si>
    <t>automatisch</t>
  </si>
  <si>
    <t>Differenz</t>
  </si>
  <si>
    <t>Bereich C/D/E Total</t>
  </si>
  <si>
    <t>Bereich EA1/EA2 total</t>
  </si>
  <si>
    <t>Übersicht Arbeitszeiten nach Monat</t>
  </si>
  <si>
    <t>Erfassung Lektionen</t>
  </si>
  <si>
    <t>Erfassungsdetails</t>
  </si>
  <si>
    <t>Soll h</t>
  </si>
  <si>
    <t>Soll CDE</t>
  </si>
  <si>
    <t>Soll B</t>
  </si>
  <si>
    <t>Soll EA1/EA2</t>
  </si>
  <si>
    <t>Gesamtes Jahr</t>
  </si>
  <si>
    <t>Planung</t>
  </si>
  <si>
    <t>Übersicht Aufgabenplanung nach Bereich</t>
  </si>
  <si>
    <t>Auffahrt</t>
  </si>
  <si>
    <t>Pfingstmontag</t>
  </si>
  <si>
    <t>Nationalfeiertag</t>
  </si>
  <si>
    <t>Weihnachtstag</t>
  </si>
  <si>
    <t>Stephanstag</t>
  </si>
  <si>
    <t>Neujahr</t>
  </si>
  <si>
    <t>Karfreitag</t>
  </si>
  <si>
    <t>Ostermontag</t>
  </si>
  <si>
    <t>Silverster Nachmittag</t>
  </si>
  <si>
    <t>Heiligabend Nachmittag</t>
  </si>
  <si>
    <t>Fasnachtsmontag Nachmittag</t>
  </si>
  <si>
    <t>Fasnachstmittwoch Nachmittag</t>
  </si>
  <si>
    <t>Bereich EA1/EA2</t>
  </si>
  <si>
    <t>Stunden/Woche inkl. EA1/EA2</t>
  </si>
  <si>
    <t>Jahr inkl. EA1/EA2</t>
  </si>
  <si>
    <t>Soll A Lekt</t>
  </si>
  <si>
    <t>Soll A h</t>
  </si>
  <si>
    <t>Datum</t>
  </si>
  <si>
    <t>Wochentag</t>
  </si>
  <si>
    <t>Anzahl Arbeitswochen</t>
  </si>
  <si>
    <t>Jahreslektion</t>
  </si>
  <si>
    <t>EA</t>
  </si>
  <si>
    <r>
      <rPr>
        <b/>
        <sz val="14"/>
        <color theme="1"/>
        <rFont val="Arial"/>
        <family val="2"/>
        <scheme val="minor"/>
      </rPr>
      <t xml:space="preserve">A: </t>
    </r>
    <r>
      <rPr>
        <sz val="14"/>
        <color theme="1"/>
        <rFont val="Arial"/>
        <family val="2"/>
        <scheme val="minor"/>
      </rPr>
      <t>Unterricht</t>
    </r>
  </si>
  <si>
    <r>
      <rPr>
        <b/>
        <sz val="14"/>
        <color theme="1"/>
        <rFont val="Arial"/>
        <family val="2"/>
        <scheme val="minor"/>
      </rPr>
      <t>Arbeitzeit</t>
    </r>
    <r>
      <rPr>
        <sz val="14"/>
        <color theme="1"/>
        <rFont val="Arial"/>
        <family val="2"/>
        <scheme val="minor"/>
      </rPr>
      <t xml:space="preserve"> in h</t>
    </r>
  </si>
  <si>
    <t>Details zum Berufsauftrag</t>
  </si>
  <si>
    <t>Unterrichtslektionen</t>
  </si>
  <si>
    <t>Lektionen EA1 und EA2</t>
  </si>
  <si>
    <t>Details unbezahlte Urlaube</t>
  </si>
  <si>
    <t>manuell</t>
  </si>
  <si>
    <t>Anz. Lekt. Unterricht</t>
  </si>
  <si>
    <t>Korrektur SOLL-Arbeitszeit aufgrund Alter</t>
  </si>
  <si>
    <t>Pflichtstunden</t>
  </si>
  <si>
    <t>Bereiche C/D/E</t>
  </si>
  <si>
    <t>Bereich C MS</t>
  </si>
  <si>
    <t>Elternarbeit</t>
  </si>
  <si>
    <t>Konvente</t>
  </si>
  <si>
    <t>MAGs</t>
  </si>
  <si>
    <t>Unterrichtsbesuche</t>
  </si>
  <si>
    <t>Evaluation</t>
  </si>
  <si>
    <t>Instrumentenpräsentationen</t>
  </si>
  <si>
    <t>Erfasstes Pensum</t>
  </si>
  <si>
    <t>Gemeinschaftliches Arbeiten in unterrichtsfreier Zeit (2 Tage)</t>
  </si>
  <si>
    <t>Kompensation angeordnete Überzeit</t>
  </si>
  <si>
    <t>Vollpensum (Pflichtlekt.)</t>
  </si>
  <si>
    <t>Vollpensum (Pflichtlektionen)</t>
  </si>
  <si>
    <t>Stundenrechner:</t>
  </si>
  <si>
    <t>Von</t>
  </si>
  <si>
    <t>Bis</t>
  </si>
  <si>
    <t>Abz. Lekt.</t>
  </si>
  <si>
    <t>Schulstufen</t>
  </si>
  <si>
    <t>Für SVERWEIS</t>
  </si>
  <si>
    <t>Basis Pflichtlektionen</t>
  </si>
  <si>
    <t>manuell/automatisch</t>
  </si>
  <si>
    <r>
      <t>Angeordnete Überzeit</t>
    </r>
    <r>
      <rPr>
        <sz val="9"/>
        <rFont val="Arial"/>
        <family val="2"/>
      </rPr>
      <t xml:space="preserve"> (Ausnahmefall gemäss VO § 11 Abs. 6)</t>
    </r>
  </si>
  <si>
    <t>Projekte/Arbeitsgruppen</t>
  </si>
  <si>
    <t>Konzerte eigene</t>
  </si>
  <si>
    <t>Aufführungen SuS</t>
  </si>
  <si>
    <t>Korepetieren</t>
  </si>
  <si>
    <t>Variable Grundlagen</t>
  </si>
  <si>
    <t>Fixe Grundlagen</t>
  </si>
  <si>
    <t>Aktuelles Schuljahr</t>
  </si>
  <si>
    <t>Tag der Arbeit</t>
  </si>
  <si>
    <t>Jahreslektion für Spezialfunktionen (EA1/EA2)</t>
  </si>
  <si>
    <t>A/Arbeitstag/UW</t>
  </si>
  <si>
    <t>EA1/EA2/Arbeitstag/UW</t>
  </si>
  <si>
    <t>EA1/EA2/Arbeitstag/UFZ</t>
  </si>
  <si>
    <t>A/Arbeitstag/UFZ</t>
  </si>
  <si>
    <t>CDE/Arbeitstag/UFZ (Residualgrösse)</t>
  </si>
  <si>
    <t>Total/Arbeitstag/UW</t>
  </si>
  <si>
    <t>Total/Arbeitstag/UFZ</t>
  </si>
  <si>
    <t>Bereich B (Residualgrösse)</t>
  </si>
  <si>
    <t>Anteil vom Grundauftrag</t>
  </si>
  <si>
    <t>Pensum CDE in %</t>
  </si>
  <si>
    <t>Pensum A in %</t>
  </si>
  <si>
    <t>Pensum A in Stunden</t>
  </si>
  <si>
    <t>Pensum CDE in Stunden</t>
  </si>
  <si>
    <t>Pensum B in %</t>
  </si>
  <si>
    <t>Pensum B in Stunden</t>
  </si>
  <si>
    <t>Pensum EA in Stunden</t>
  </si>
  <si>
    <t>Pensum EA in %</t>
  </si>
  <si>
    <t>Pensum CDE altersbedingte Korrektur in h</t>
  </si>
  <si>
    <t>Pensum CDE altersbedingte Korrektur in %</t>
  </si>
  <si>
    <t>Korrektur um nicht bezahlte Abwesenheit</t>
  </si>
  <si>
    <t>Lektionen zu erfassen</t>
  </si>
  <si>
    <t>Lektionen als Grundlage</t>
  </si>
  <si>
    <t>CDE/Arbeitstag/UW</t>
  </si>
  <si>
    <t>B/Arbeitstag/UW (Residualgrösse)</t>
  </si>
  <si>
    <t>B/Arbeitstag/UFZ (Residualgrösse)</t>
  </si>
  <si>
    <t>Saldo Ende Monat</t>
  </si>
  <si>
    <t>Ferien (Tage)</t>
  </si>
  <si>
    <t>Bezogen</t>
  </si>
  <si>
    <t>Saldo
Vormonat</t>
  </si>
  <si>
    <t>Saldo
Monatsende</t>
  </si>
  <si>
    <r>
      <t>Bereich C/D/E (</t>
    </r>
    <r>
      <rPr>
        <b/>
        <sz val="9"/>
        <color rgb="FFFF0000"/>
        <rFont val="Verdana"/>
        <family val="2"/>
      </rPr>
      <t>altersbedingte Korrektur berücksichtigt</t>
    </r>
    <r>
      <rPr>
        <sz val="9"/>
        <rFont val="Verdana"/>
        <family val="2"/>
      </rPr>
      <t>)</t>
    </r>
  </si>
  <si>
    <t>Pflichtlekt.</t>
  </si>
  <si>
    <t>Unterrichtslekt.</t>
  </si>
  <si>
    <t>Arbeitszeit pro Tag UW</t>
  </si>
  <si>
    <t>Arbeitszeit pro Tag UFZ</t>
  </si>
  <si>
    <t>Saldo nach Bereich (in h)</t>
  </si>
  <si>
    <t>Lektionen für Klassenleitung (EA1)</t>
  </si>
  <si>
    <t>Anz. Lekt. Klassenleit.</t>
  </si>
  <si>
    <t>Lekt. weitere Spezialfunkt.</t>
  </si>
  <si>
    <t>Lektionen für weitere Spezialfunktionen (EA1 und EA2)</t>
  </si>
  <si>
    <t>Anzahl Tage</t>
  </si>
  <si>
    <t>Schuljahr von</t>
  </si>
  <si>
    <t>Schuljahr bis</t>
  </si>
  <si>
    <t>Feiertage</t>
  </si>
  <si>
    <t>Übersicht Arbeitstage</t>
  </si>
  <si>
    <t>unterrichts-freie Arbeits-zeit*</t>
  </si>
  <si>
    <t>Wochen-ende</t>
  </si>
  <si>
    <t>&lt;--Bitte manuell in B26/B27/B28 übertragen</t>
  </si>
  <si>
    <t>Saldo EA</t>
  </si>
  <si>
    <t>Schulinterne Begleitung Berufseinsteigende</t>
  </si>
  <si>
    <t>Zusammenarbeit Integrative Sonderschulung (VO SoPä)</t>
  </si>
  <si>
    <t>EA1 KG</t>
  </si>
  <si>
    <t>freier Tag nach Auffahrt</t>
  </si>
  <si>
    <t>*(inkl. Arbeitszeit bei halben Feiertage und exkl. freier Freitag nach Auffahrt)</t>
  </si>
  <si>
    <t>Unterrichtsfreie Arbeitszeit</t>
  </si>
  <si>
    <t>Kontrollen</t>
  </si>
  <si>
    <t>ja</t>
  </si>
  <si>
    <t>nein</t>
  </si>
  <si>
    <t>Anzahl Stunden</t>
  </si>
  <si>
    <t>Total Tage in ZD</t>
  </si>
  <si>
    <t>Teil Sollarbeitszeit</t>
  </si>
  <si>
    <t>Davon Bereich B</t>
  </si>
  <si>
    <t>Anteil in % von SOLL-Arbeitszeit</t>
  </si>
  <si>
    <t>2026/2027</t>
  </si>
  <si>
    <t>Summiert</t>
  </si>
  <si>
    <t>Wochenende/Werktag</t>
  </si>
  <si>
    <t>Logopädie</t>
  </si>
  <si>
    <t>Grundsätzlich fixe Grundlagen</t>
  </si>
  <si>
    <t>Bereich B</t>
  </si>
  <si>
    <t>Anzahl Stunden während Unterrichtszeit</t>
  </si>
  <si>
    <t>Pensum</t>
  </si>
  <si>
    <t>Anteil A</t>
  </si>
  <si>
    <t>Total Stunden Bereich B + C/D/E</t>
  </si>
  <si>
    <t>Anteil B an B + C/D/E</t>
  </si>
  <si>
    <t>Total B</t>
  </si>
  <si>
    <t>Pro Schulwoche</t>
  </si>
  <si>
    <t>Pro Tag</t>
  </si>
  <si>
    <t>Pro Tag in Stunden</t>
  </si>
  <si>
    <t>Bereich C/D/E</t>
  </si>
  <si>
    <t>Total C/D/E</t>
  </si>
  <si>
    <t>Total Arbeitszeit</t>
  </si>
  <si>
    <t>Anteil C/D/E an B + C/D/E</t>
  </si>
  <si>
    <t>Heiligabend Vormittag</t>
  </si>
  <si>
    <t>Silverster Vormittag</t>
  </si>
  <si>
    <t xml:space="preserve">Fehlt im Bereich "Berechnungen BA'!C9:F21" bei "Berufsfachschulen und schulische Module Brückenangebote" nicht die Korrektur aufgrund der Berücksichtigung der kleinsten Pflichtstundenstufe. Respektive müsste man die Lektionen der Kategorie 26 nicht auf die Kategorie 22 kürzen? </t>
  </si>
  <si>
    <t>Wenn ich 51 Jahre alt bin, erhalte ich 16.8h mehr Ferien. Bei den C/D/E Lektion wird jedoch das Soll nur um 14.4h reduziert. Ist das korrekt?</t>
  </si>
  <si>
    <t>Aufgabenplanung!D66</t>
  </si>
  <si>
    <t>Aufgabenplanung!C66 ist ungleich Aufgabenplanung!C31</t>
  </si>
  <si>
    <t>Aufgabenplanung!D30:D31</t>
  </si>
  <si>
    <t>Stimmen die Berechnungen in Aufgabenplanung!C30:C31?</t>
  </si>
  <si>
    <t>Wenn ich in der Aufgabenplanung eine Stunde zu viel eingebe, merke ich das unter Umständen nicht:</t>
  </si>
  <si>
    <t>Braucht es hier noch die Absenzen/Umwandlung 13. Monatslohne der Vollständigkeitshalber? Berechnungen BA'!B7:B8</t>
  </si>
  <si>
    <t>Könnte man die Anzahl Ferientag in "Grundlagen!G2" nicht automatisch mittels Aufgabenplanung anpassen. Damit auch LP ab 50 Jahren direkt korrekt erfasst werden?</t>
  </si>
  <si>
    <t>"Grundlagen!H11" sollte vermutlich ohne den Abzug "-G2" sein. Die Urlaubstage sind da bereits abgezogen.</t>
  </si>
  <si>
    <t>Evt. Abkürzungsverzeichnis?</t>
  </si>
  <si>
    <t>Was ist "NR" in Zeitdok. Spalte D</t>
  </si>
  <si>
    <t>Feiertage 24. &amp; 31. Vormittag in "Grundlagen" aufnehmen, damit nicht vergessen geht. Dokument in einem Ordner abspreichern und verlinken, damit einfacher beim Update.</t>
  </si>
  <si>
    <t>Erfassung Feiertage</t>
  </si>
  <si>
    <t>Vorschlag</t>
  </si>
  <si>
    <t>Feststellung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</si>
</sst>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(* #,##0.00_);_(* \(#,##0.00\);_(* &quot;-&quot;??_);_(@_)"/>
    <numFmt numFmtId="165" formatCode="[h]:mm"/>
    <numFmt numFmtId="166" formatCode="ddd"/>
    <numFmt numFmtId="167" formatCode="00"/>
    <numFmt numFmtId="168" formatCode="0.0"/>
    <numFmt numFmtId="169" formatCode="0.000"/>
    <numFmt numFmtId="170" formatCode="[hh]:mm"/>
    <numFmt numFmtId="171" formatCode="_ * #,##0.0_ ;_ * \-#,##0.0_ ;_ * &quot;-&quot;??_ ;_ @_ "/>
    <numFmt numFmtId="172" formatCode="0.0%"/>
    <numFmt numFmtId="173" formatCode="#,##0.0\ &quot;h&quot;"/>
    <numFmt numFmtId="174" formatCode="_ * #,##0_ ;_ * \-#,##0_ ;_ * &quot;-&quot;??_ ;_ @_ "/>
    <numFmt numFmtId="175" formatCode="dd\ mmm"/>
    <numFmt numFmtId="176" formatCode="[$-F400]h:mm:ss\ AM/PM"/>
    <numFmt numFmtId="177" formatCode="0.0000"/>
    <numFmt numFmtId="178" formatCode="0.0000%"/>
    <numFmt numFmtId="179" formatCode="0.000%"/>
    <numFmt numFmtId="180" formatCode="_ * #,##0.0_ ;_ * \-#,##0.0_ ;_ * &quot;-&quot;?_ ;_ @_ "/>
  </numFmts>
  <fonts count="71" x14ac:knownFonts="1">
    <font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u/>
      <sz val="12"/>
      <color theme="10"/>
      <name val="Arial"/>
      <family val="2"/>
      <scheme val="minor"/>
    </font>
    <font>
      <u/>
      <sz val="12"/>
      <color theme="11"/>
      <name val="Arial"/>
      <family val="2"/>
      <scheme val="minor"/>
    </font>
    <font>
      <sz val="12"/>
      <color theme="1" tint="0.499984740745262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2"/>
      <color rgb="FFFF0000"/>
      <name val="Arial"/>
      <family val="2"/>
      <scheme val="minor"/>
    </font>
    <font>
      <sz val="12"/>
      <color rgb="FF505050"/>
      <name val="Arial"/>
      <family val="2"/>
      <scheme val="minor"/>
    </font>
    <font>
      <sz val="10"/>
      <name val="Verdana"/>
      <family val="2"/>
    </font>
    <font>
      <b/>
      <sz val="16"/>
      <name val="Arial"/>
      <family val="2"/>
    </font>
    <font>
      <sz val="10"/>
      <name val="Verdana"/>
      <family val="2"/>
    </font>
    <font>
      <sz val="12"/>
      <name val="Verdana"/>
      <family val="2"/>
    </font>
    <font>
      <b/>
      <sz val="12"/>
      <name val="Arial"/>
      <family val="2"/>
    </font>
    <font>
      <sz val="11"/>
      <name val="Verdana"/>
      <family val="2"/>
    </font>
    <font>
      <sz val="12"/>
      <name val="Arial"/>
      <family val="2"/>
    </font>
    <font>
      <sz val="11"/>
      <name val="Arial"/>
      <family val="2"/>
    </font>
    <font>
      <sz val="12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Verdana"/>
      <family val="2"/>
    </font>
    <font>
      <sz val="10"/>
      <name val="Arial"/>
      <family val="2"/>
    </font>
    <font>
      <b/>
      <sz val="10"/>
      <name val="Verdana"/>
      <family val="2"/>
    </font>
    <font>
      <strike/>
      <sz val="10"/>
      <color rgb="FFFF0000"/>
      <name val="Verdan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u/>
      <sz val="10"/>
      <color theme="10"/>
      <name val="Verdana"/>
      <family val="2"/>
    </font>
    <font>
      <b/>
      <sz val="12"/>
      <color rgb="FFC00000"/>
      <name val="Arial"/>
      <family val="2"/>
    </font>
    <font>
      <sz val="14"/>
      <color theme="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8"/>
      <color theme="0"/>
      <name val="Arial"/>
      <family val="2"/>
      <scheme val="minor"/>
    </font>
    <font>
      <sz val="24"/>
      <color theme="0"/>
      <name val="Arial"/>
      <family val="2"/>
      <scheme val="minor"/>
    </font>
    <font>
      <b/>
      <sz val="18"/>
      <color theme="0"/>
      <name val="Arial"/>
      <family val="2"/>
      <scheme val="minor"/>
    </font>
    <font>
      <sz val="18"/>
      <color theme="1"/>
      <name val="Arial"/>
      <family val="2"/>
      <scheme val="minor"/>
    </font>
    <font>
      <sz val="12"/>
      <color rgb="FFFF0000"/>
      <name val="Arial"/>
      <family val="2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rgb="FFFF0000"/>
      <name val="Verdana"/>
      <family val="2"/>
    </font>
    <font>
      <sz val="9"/>
      <name val="Arial"/>
      <family val="2"/>
    </font>
    <font>
      <b/>
      <sz val="12"/>
      <name val="Arial"/>
      <family val="2"/>
      <scheme val="minor"/>
    </font>
    <font>
      <sz val="10"/>
      <color theme="0" tint="-0.499984740745262"/>
      <name val="Verdana"/>
      <family val="2"/>
    </font>
    <font>
      <sz val="10"/>
      <color theme="1" tint="0.34998626667073579"/>
      <name val="Verdana"/>
      <family val="2"/>
    </font>
    <font>
      <sz val="12"/>
      <color theme="1" tint="0.34998626667073579"/>
      <name val="Arial"/>
      <family val="2"/>
      <scheme val="minor"/>
    </font>
    <font>
      <sz val="9"/>
      <name val="Verdana"/>
      <family val="2"/>
    </font>
    <font>
      <b/>
      <sz val="9"/>
      <color rgb="FFFF0000"/>
      <name val="Verdana"/>
      <family val="2"/>
    </font>
    <font>
      <sz val="12"/>
      <name val="Arial"/>
      <family val="2"/>
      <scheme val="major"/>
    </font>
    <font>
      <sz val="10"/>
      <name val="Arial"/>
      <family val="2"/>
      <scheme val="major"/>
    </font>
    <font>
      <sz val="12"/>
      <color theme="1"/>
      <name val="Arial"/>
      <family val="2"/>
      <scheme val="major"/>
    </font>
    <font>
      <u/>
      <sz val="10"/>
      <color theme="10"/>
      <name val="Arial"/>
      <family val="2"/>
      <scheme val="major"/>
    </font>
    <font>
      <b/>
      <sz val="12"/>
      <color theme="1"/>
      <name val="Arial"/>
      <family val="2"/>
      <scheme val="major"/>
    </font>
    <font>
      <b/>
      <sz val="10"/>
      <name val="Arial"/>
      <family val="2"/>
      <scheme val="major"/>
    </font>
    <font>
      <b/>
      <sz val="16"/>
      <color theme="1"/>
      <name val="Arial"/>
      <family val="2"/>
      <scheme val="major"/>
    </font>
    <font>
      <sz val="11"/>
      <name val="Arial"/>
      <family val="2"/>
      <scheme val="major"/>
    </font>
    <font>
      <b/>
      <sz val="12"/>
      <color theme="1" tint="0.499984740745262"/>
      <name val="Arial"/>
      <family val="2"/>
      <scheme val="major"/>
    </font>
    <font>
      <sz val="12"/>
      <color theme="1" tint="0.499984740745262"/>
      <name val="Arial"/>
      <family val="2"/>
      <scheme val="major"/>
    </font>
    <font>
      <b/>
      <sz val="12"/>
      <color rgb="FFFF0000"/>
      <name val="Arial"/>
      <family val="2"/>
      <scheme val="major"/>
    </font>
    <font>
      <b/>
      <sz val="10"/>
      <color rgb="FFFF0000"/>
      <name val="Arial"/>
      <family val="2"/>
      <scheme val="major"/>
    </font>
    <font>
      <sz val="10"/>
      <color rgb="FFFF0000"/>
      <name val="Arial"/>
      <family val="2"/>
      <scheme val="major"/>
    </font>
    <font>
      <sz val="10"/>
      <color theme="1"/>
      <name val="Arial"/>
      <family val="2"/>
      <scheme val="major"/>
    </font>
    <font>
      <sz val="10"/>
      <color theme="1" tint="0.499984740745262"/>
      <name val="Verdana"/>
      <family val="2"/>
    </font>
    <font>
      <sz val="12"/>
      <color rgb="FF00B050"/>
      <name val="Arial"/>
      <family val="2"/>
      <scheme val="minor"/>
    </font>
    <font>
      <sz val="12"/>
      <color theme="0" tint="-0.499984740745262"/>
      <name val="Arial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D2D2D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 style="medium">
        <color rgb="FF0070C0"/>
      </left>
      <right/>
      <top/>
      <bottom/>
      <diagonal/>
    </border>
    <border>
      <left style="medium">
        <color rgb="FF0070C0"/>
      </left>
      <right/>
      <top/>
      <bottom style="thin">
        <color rgb="FFC8C8C8"/>
      </bottom>
      <diagonal/>
    </border>
    <border>
      <left style="medium">
        <color rgb="FF0070C0"/>
      </left>
      <right/>
      <top style="thin">
        <color rgb="FFC8C8C8"/>
      </top>
      <bottom/>
      <diagonal/>
    </border>
    <border>
      <left style="thin">
        <color auto="1"/>
      </left>
      <right/>
      <top/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/>
      <diagonal/>
    </border>
    <border>
      <left style="medium">
        <color theme="0" tint="-0.14999847407452621"/>
      </left>
      <right/>
      <top/>
      <bottom/>
      <diagonal/>
    </border>
    <border>
      <left style="medium">
        <color theme="0" tint="-0.14999847407452621"/>
      </left>
      <right/>
      <top/>
      <bottom style="medium">
        <color theme="0" tint="-0.14999847407452621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thick">
        <color theme="0" tint="-4.9989318521683403E-2"/>
      </left>
      <right style="thick">
        <color theme="0" tint="-4.9989318521683403E-2"/>
      </right>
      <top style="thick">
        <color theme="0" tint="-4.9989318521683403E-2"/>
      </top>
      <bottom style="thick">
        <color theme="0" tint="-4.9989318521683403E-2"/>
      </bottom>
      <diagonal/>
    </border>
    <border>
      <left/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thin">
        <color theme="9" tint="-0.249977111117893"/>
      </left>
      <right style="thin">
        <color theme="9" tint="-0.499984740745262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/>
      <bottom style="thin">
        <color theme="9" tint="-0.249977111117893"/>
      </bottom>
      <diagonal/>
    </border>
    <border>
      <left style="thin">
        <color theme="9" tint="-0.249977111117893"/>
      </left>
      <right style="medium">
        <color theme="0" tint="-0.14999847407452621"/>
      </right>
      <top/>
      <bottom/>
      <diagonal/>
    </border>
    <border>
      <left style="thin">
        <color theme="9" tint="-0.249977111117893"/>
      </left>
      <right/>
      <top style="thin">
        <color theme="9" tint="-0.249977111117893"/>
      </top>
      <bottom/>
      <diagonal/>
    </border>
    <border>
      <left/>
      <right style="thin">
        <color theme="9" tint="-0.249977111117893"/>
      </right>
      <top style="thin">
        <color theme="9" tint="-0.249977111117893"/>
      </top>
      <bottom/>
      <diagonal/>
    </border>
    <border>
      <left style="medium">
        <color theme="0" tint="-4.9989318521683403E-2"/>
      </left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9" tint="-0.249977111117893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rgb="FF7030A0"/>
      </bottom>
      <diagonal/>
    </border>
    <border>
      <left/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theme="0" tint="-4.9989318521683403E-2"/>
      </top>
      <bottom style="medium">
        <color rgb="FF7030A0"/>
      </bottom>
      <diagonal/>
    </border>
    <border>
      <left/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/>
      <top style="medium">
        <color rgb="FF7030A0"/>
      </top>
      <bottom style="medium">
        <color rgb="FF7030A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 tint="-4.9989318521683403E-2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</borders>
  <cellStyleXfs count="65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4" fontId="5" fillId="0" borderId="0" applyFont="0" applyFill="0" applyBorder="0" applyAlignment="0" applyProtection="0"/>
    <xf numFmtId="0" fontId="15" fillId="0" borderId="0"/>
    <xf numFmtId="16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3" fillId="0" borderId="0" applyNumberFormat="0" applyFill="0" applyBorder="0" applyAlignment="0" applyProtection="0"/>
    <xf numFmtId="9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" fillId="0" borderId="0"/>
    <xf numFmtId="0" fontId="5" fillId="0" borderId="0"/>
  </cellStyleXfs>
  <cellXfs count="415">
    <xf numFmtId="0" fontId="0" fillId="0" borderId="0" xfId="0"/>
    <xf numFmtId="0" fontId="15" fillId="0" borderId="0" xfId="56"/>
    <xf numFmtId="0" fontId="21" fillId="0" borderId="0" xfId="56" applyFont="1" applyAlignment="1">
      <alignment vertical="center"/>
    </xf>
    <xf numFmtId="0" fontId="29" fillId="0" borderId="0" xfId="56" applyFont="1"/>
    <xf numFmtId="0" fontId="17" fillId="13" borderId="11" xfId="56" applyFont="1" applyFill="1" applyBorder="1"/>
    <xf numFmtId="2" fontId="15" fillId="15" borderId="11" xfId="56" applyNumberFormat="1" applyFill="1" applyBorder="1"/>
    <xf numFmtId="2" fontId="15" fillId="15" borderId="11" xfId="56" applyNumberFormat="1" applyFill="1" applyBorder="1" applyAlignment="1">
      <alignment horizontal="right"/>
    </xf>
    <xf numFmtId="0" fontId="15" fillId="15" borderId="11" xfId="56" applyFill="1" applyBorder="1"/>
    <xf numFmtId="0" fontId="17" fillId="15" borderId="11" xfId="56" applyFont="1" applyFill="1" applyBorder="1"/>
    <xf numFmtId="0" fontId="17" fillId="0" borderId="0" xfId="56" applyFont="1"/>
    <xf numFmtId="0" fontId="29" fillId="13" borderId="11" xfId="56" applyFont="1" applyFill="1" applyBorder="1"/>
    <xf numFmtId="0" fontId="17" fillId="13" borderId="11" xfId="56" applyFont="1" applyFill="1" applyBorder="1" applyAlignment="1">
      <alignment wrapText="1"/>
    </xf>
    <xf numFmtId="164" fontId="15" fillId="14" borderId="11" xfId="56" applyNumberFormat="1" applyFill="1" applyBorder="1"/>
    <xf numFmtId="164" fontId="15" fillId="0" borderId="11" xfId="56" applyNumberFormat="1" applyBorder="1"/>
    <xf numFmtId="10" fontId="0" fillId="14" borderId="11" xfId="58" applyNumberFormat="1" applyFont="1" applyFill="1" applyBorder="1"/>
    <xf numFmtId="164" fontId="0" fillId="15" borderId="11" xfId="57" applyFont="1" applyFill="1" applyBorder="1"/>
    <xf numFmtId="0" fontId="21" fillId="13" borderId="11" xfId="56" applyFont="1" applyFill="1" applyBorder="1" applyAlignment="1">
      <alignment vertical="center"/>
    </xf>
    <xf numFmtId="164" fontId="15" fillId="0" borderId="0" xfId="56" applyNumberFormat="1"/>
    <xf numFmtId="164" fontId="21" fillId="0" borderId="11" xfId="57" applyFont="1" applyBorder="1" applyAlignment="1">
      <alignment vertical="center"/>
    </xf>
    <xf numFmtId="172" fontId="21" fillId="0" borderId="0" xfId="56" applyNumberFormat="1" applyFont="1" applyAlignment="1">
      <alignment vertical="center"/>
    </xf>
    <xf numFmtId="172" fontId="21" fillId="0" borderId="11" xfId="58" applyNumberFormat="1" applyFont="1" applyBorder="1" applyAlignment="1">
      <alignment vertical="center"/>
    </xf>
    <xf numFmtId="168" fontId="21" fillId="0" borderId="0" xfId="56" applyNumberFormat="1" applyFont="1" applyAlignment="1">
      <alignment vertical="center"/>
    </xf>
    <xf numFmtId="0" fontId="15" fillId="0" borderId="0" xfId="56" applyAlignment="1">
      <alignment vertical="top" wrapText="1"/>
    </xf>
    <xf numFmtId="164" fontId="15" fillId="0" borderId="0" xfId="55" applyFont="1"/>
    <xf numFmtId="10" fontId="0" fillId="14" borderId="0" xfId="58" applyNumberFormat="1" applyFont="1" applyFill="1" applyBorder="1"/>
    <xf numFmtId="0" fontId="15" fillId="13" borderId="0" xfId="56" applyFont="1" applyFill="1" applyBorder="1"/>
    <xf numFmtId="177" fontId="15" fillId="0" borderId="0" xfId="56" applyNumberFormat="1"/>
    <xf numFmtId="0" fontId="15" fillId="13" borderId="11" xfId="56" applyFont="1" applyFill="1" applyBorder="1"/>
    <xf numFmtId="0" fontId="15" fillId="13" borderId="0" xfId="56" applyFill="1"/>
    <xf numFmtId="176" fontId="15" fillId="0" borderId="0" xfId="56" applyNumberFormat="1"/>
    <xf numFmtId="0" fontId="15" fillId="0" borderId="0" xfId="56" applyFont="1"/>
    <xf numFmtId="164" fontId="46" fillId="0" borderId="0" xfId="55" applyFont="1"/>
    <xf numFmtId="0" fontId="46" fillId="0" borderId="0" xfId="56" applyFont="1"/>
    <xf numFmtId="0" fontId="15" fillId="0" borderId="0" xfId="56" applyAlignment="1">
      <alignment wrapText="1"/>
    </xf>
    <xf numFmtId="0" fontId="15" fillId="16" borderId="21" xfId="56" applyFill="1" applyBorder="1" applyAlignment="1">
      <alignment vertical="top" wrapText="1"/>
    </xf>
    <xf numFmtId="0" fontId="17" fillId="16" borderId="21" xfId="56" applyFont="1" applyFill="1" applyBorder="1" applyAlignment="1">
      <alignment vertical="top" wrapText="1"/>
    </xf>
    <xf numFmtId="0" fontId="15" fillId="16" borderId="21" xfId="56" applyFont="1" applyFill="1" applyBorder="1" applyAlignment="1">
      <alignment vertical="top" wrapText="1"/>
    </xf>
    <xf numFmtId="0" fontId="17" fillId="14" borderId="21" xfId="56" applyFont="1" applyFill="1" applyBorder="1" applyAlignment="1">
      <alignment vertical="top" wrapText="1"/>
    </xf>
    <xf numFmtId="0" fontId="15" fillId="14" borderId="21" xfId="56" applyFill="1" applyBorder="1" applyAlignment="1">
      <alignment vertical="top" wrapText="1"/>
    </xf>
    <xf numFmtId="0" fontId="17" fillId="0" borderId="0" xfId="56" applyFont="1" applyAlignment="1">
      <alignment wrapText="1"/>
    </xf>
    <xf numFmtId="0" fontId="15" fillId="16" borderId="29" xfId="56" applyFill="1" applyBorder="1" applyAlignment="1">
      <alignment vertical="top" wrapText="1"/>
    </xf>
    <xf numFmtId="0" fontId="17" fillId="14" borderId="29" xfId="56" applyFont="1" applyFill="1" applyBorder="1" applyAlignment="1">
      <alignment vertical="top" wrapText="1"/>
    </xf>
    <xf numFmtId="0" fontId="15" fillId="16" borderId="29" xfId="56" applyFont="1" applyFill="1" applyBorder="1" applyAlignment="1">
      <alignment vertical="top" wrapText="1"/>
    </xf>
    <xf numFmtId="0" fontId="15" fillId="14" borderId="29" xfId="56" applyFill="1" applyBorder="1" applyAlignment="1">
      <alignment vertical="top" wrapText="1"/>
    </xf>
    <xf numFmtId="0" fontId="17" fillId="16" borderId="29" xfId="56" applyFont="1" applyFill="1" applyBorder="1" applyAlignment="1">
      <alignment vertical="top" wrapText="1"/>
    </xf>
    <xf numFmtId="0" fontId="15" fillId="0" borderId="0" xfId="56" applyFill="1" applyAlignment="1">
      <alignment vertical="top" wrapText="1"/>
    </xf>
    <xf numFmtId="0" fontId="30" fillId="0" borderId="0" xfId="56" applyFont="1" applyAlignment="1">
      <alignment vertical="top" wrapText="1"/>
    </xf>
    <xf numFmtId="164" fontId="15" fillId="11" borderId="11" xfId="56" applyNumberFormat="1" applyFill="1" applyBorder="1"/>
    <xf numFmtId="164" fontId="15" fillId="25" borderId="11" xfId="56" applyNumberFormat="1" applyFill="1" applyBorder="1"/>
    <xf numFmtId="164" fontId="15" fillId="27" borderId="11" xfId="56" applyNumberFormat="1" applyFill="1" applyBorder="1"/>
    <xf numFmtId="10" fontId="15" fillId="27" borderId="11" xfId="60" applyNumberFormat="1" applyFont="1" applyFill="1" applyBorder="1"/>
    <xf numFmtId="164" fontId="15" fillId="26" borderId="11" xfId="56" applyNumberFormat="1" applyFill="1" applyBorder="1"/>
    <xf numFmtId="10" fontId="15" fillId="26" borderId="11" xfId="60" applyNumberFormat="1" applyFont="1" applyFill="1" applyBorder="1"/>
    <xf numFmtId="169" fontId="15" fillId="0" borderId="0" xfId="56" applyNumberFormat="1"/>
    <xf numFmtId="0" fontId="49" fillId="13" borderId="11" xfId="56" applyFont="1" applyFill="1" applyBorder="1" applyAlignment="1">
      <alignment wrapText="1"/>
    </xf>
    <xf numFmtId="10" fontId="49" fillId="0" borderId="0" xfId="60" applyNumberFormat="1" applyFont="1"/>
    <xf numFmtId="164" fontId="15" fillId="28" borderId="11" xfId="56" applyNumberFormat="1" applyFill="1" applyBorder="1"/>
    <xf numFmtId="10" fontId="15" fillId="28" borderId="11" xfId="60" applyNumberFormat="1" applyFont="1" applyFill="1" applyBorder="1"/>
    <xf numFmtId="10" fontId="0" fillId="14" borderId="30" xfId="58" applyNumberFormat="1" applyFont="1" applyFill="1" applyBorder="1"/>
    <xf numFmtId="164" fontId="15" fillId="14" borderId="30" xfId="56" applyNumberFormat="1" applyFill="1" applyBorder="1"/>
    <xf numFmtId="164" fontId="15" fillId="25" borderId="30" xfId="56" applyNumberFormat="1" applyFill="1" applyBorder="1"/>
    <xf numFmtId="0" fontId="15" fillId="13" borderId="31" xfId="56" applyFont="1" applyFill="1" applyBorder="1"/>
    <xf numFmtId="164" fontId="0" fillId="15" borderId="31" xfId="57" applyFont="1" applyFill="1" applyBorder="1"/>
    <xf numFmtId="164" fontId="50" fillId="13" borderId="11" xfId="56" applyNumberFormat="1" applyFont="1" applyFill="1" applyBorder="1"/>
    <xf numFmtId="10" fontId="51" fillId="14" borderId="11" xfId="58" applyNumberFormat="1" applyFont="1" applyFill="1" applyBorder="1"/>
    <xf numFmtId="164" fontId="49" fillId="0" borderId="0" xfId="55" applyFont="1"/>
    <xf numFmtId="171" fontId="15" fillId="14" borderId="11" xfId="56" applyNumberFormat="1" applyFill="1" applyBorder="1"/>
    <xf numFmtId="0" fontId="52" fillId="13" borderId="30" xfId="56" applyFont="1" applyFill="1" applyBorder="1"/>
    <xf numFmtId="0" fontId="26" fillId="13" borderId="9" xfId="56" applyFont="1" applyFill="1" applyBorder="1" applyAlignment="1">
      <alignment horizontal="left" vertical="center"/>
    </xf>
    <xf numFmtId="20" fontId="15" fillId="0" borderId="0" xfId="56" applyNumberFormat="1"/>
    <xf numFmtId="176" fontId="49" fillId="0" borderId="0" xfId="56" applyNumberFormat="1" applyFont="1"/>
    <xf numFmtId="164" fontId="15" fillId="15" borderId="11" xfId="55" applyFont="1" applyFill="1" applyBorder="1"/>
    <xf numFmtId="0" fontId="0" fillId="4" borderId="0" xfId="0" applyFill="1" applyProtection="1">
      <protection hidden="1"/>
    </xf>
    <xf numFmtId="167" fontId="39" fillId="3" borderId="0" xfId="0" applyNumberFormat="1" applyFont="1" applyFill="1" applyProtection="1">
      <protection hidden="1"/>
    </xf>
    <xf numFmtId="0" fontId="36" fillId="3" borderId="0" xfId="0" applyFont="1" applyFill="1" applyAlignment="1" applyProtection="1">
      <alignment horizontal="left"/>
      <protection hidden="1"/>
    </xf>
    <xf numFmtId="0" fontId="36" fillId="3" borderId="0" xfId="0" applyFont="1" applyFill="1" applyProtection="1">
      <protection hidden="1"/>
    </xf>
    <xf numFmtId="0" fontId="35" fillId="3" borderId="0" xfId="0" applyFont="1" applyFill="1" applyAlignment="1" applyProtection="1">
      <alignment vertical="center"/>
      <protection hidden="1"/>
    </xf>
    <xf numFmtId="0" fontId="37" fillId="20" borderId="0" xfId="0" applyFont="1" applyFill="1" applyProtection="1">
      <protection hidden="1"/>
    </xf>
    <xf numFmtId="0" fontId="36" fillId="20" borderId="0" xfId="0" applyFont="1" applyFill="1" applyProtection="1">
      <protection hidden="1"/>
    </xf>
    <xf numFmtId="0" fontId="37" fillId="21" borderId="0" xfId="0" applyFont="1" applyFill="1" applyProtection="1">
      <protection hidden="1"/>
    </xf>
    <xf numFmtId="0" fontId="36" fillId="21" borderId="0" xfId="0" applyFont="1" applyFill="1" applyProtection="1">
      <protection hidden="1"/>
    </xf>
    <xf numFmtId="0" fontId="36" fillId="4" borderId="0" xfId="0" applyFont="1" applyFill="1" applyProtection="1">
      <protection hidden="1"/>
    </xf>
    <xf numFmtId="0" fontId="0" fillId="9" borderId="0" xfId="0" applyFill="1" applyProtection="1">
      <protection hidden="1"/>
    </xf>
    <xf numFmtId="0" fontId="0" fillId="9" borderId="0" xfId="0" applyNumberFormat="1" applyFill="1" applyProtection="1">
      <protection hidden="1"/>
    </xf>
    <xf numFmtId="0" fontId="0" fillId="4" borderId="5" xfId="0" applyFill="1" applyBorder="1" applyProtection="1">
      <protection hidden="1"/>
    </xf>
    <xf numFmtId="0" fontId="38" fillId="3" borderId="0" xfId="0" applyFont="1" applyFill="1" applyProtection="1">
      <protection hidden="1"/>
    </xf>
    <xf numFmtId="0" fontId="40" fillId="3" borderId="0" xfId="0" applyFont="1" applyFill="1" applyAlignment="1" applyProtection="1">
      <alignment horizontal="left"/>
      <protection hidden="1"/>
    </xf>
    <xf numFmtId="0" fontId="41" fillId="3" borderId="0" xfId="0" applyFont="1" applyFill="1" applyProtection="1">
      <protection hidden="1"/>
    </xf>
    <xf numFmtId="0" fontId="36" fillId="3" borderId="0" xfId="0" applyFont="1" applyFill="1" applyAlignment="1" applyProtection="1">
      <protection hidden="1"/>
    </xf>
    <xf numFmtId="0" fontId="36" fillId="7" borderId="0" xfId="0" applyFont="1" applyFill="1" applyProtection="1">
      <protection hidden="1"/>
    </xf>
    <xf numFmtId="0" fontId="35" fillId="3" borderId="0" xfId="0" applyFont="1" applyFill="1" applyAlignment="1" applyProtection="1">
      <alignment horizontal="center"/>
      <protection hidden="1"/>
    </xf>
    <xf numFmtId="20" fontId="36" fillId="10" borderId="21" xfId="0" applyNumberFormat="1" applyFont="1" applyFill="1" applyBorder="1" applyAlignment="1" applyProtection="1">
      <alignment horizontal="center"/>
      <protection locked="0" hidden="1"/>
    </xf>
    <xf numFmtId="0" fontId="36" fillId="10" borderId="21" xfId="0" applyFont="1" applyFill="1" applyBorder="1" applyAlignment="1" applyProtection="1">
      <alignment horizontal="center"/>
      <protection locked="0" hidden="1"/>
    </xf>
    <xf numFmtId="20" fontId="36" fillId="13" borderId="21" xfId="0" applyNumberFormat="1" applyFont="1" applyFill="1" applyBorder="1" applyAlignment="1" applyProtection="1">
      <alignment horizontal="center"/>
      <protection hidden="1"/>
    </xf>
    <xf numFmtId="0" fontId="36" fillId="4" borderId="0" xfId="0" applyFont="1" applyFill="1" applyAlignment="1" applyProtection="1">
      <alignment horizontal="left"/>
      <protection hidden="1"/>
    </xf>
    <xf numFmtId="0" fontId="36" fillId="4" borderId="0" xfId="0" applyFont="1" applyFill="1" applyAlignment="1" applyProtection="1">
      <protection hidden="1"/>
    </xf>
    <xf numFmtId="0" fontId="37" fillId="4" borderId="0" xfId="0" applyFont="1" applyFill="1" applyProtection="1">
      <protection hidden="1"/>
    </xf>
    <xf numFmtId="176" fontId="0" fillId="9" borderId="0" xfId="0" applyNumberFormat="1" applyFill="1" applyProtection="1">
      <protection hidden="1"/>
    </xf>
    <xf numFmtId="0" fontId="36" fillId="7" borderId="0" xfId="0" applyFont="1" applyFill="1" applyAlignment="1" applyProtection="1">
      <alignment horizontal="left"/>
      <protection hidden="1"/>
    </xf>
    <xf numFmtId="175" fontId="36" fillId="7" borderId="22" xfId="0" applyNumberFormat="1" applyFont="1" applyFill="1" applyBorder="1" applyProtection="1">
      <protection hidden="1"/>
    </xf>
    <xf numFmtId="166" fontId="36" fillId="7" borderId="22" xfId="0" applyNumberFormat="1" applyFont="1" applyFill="1" applyBorder="1" applyAlignment="1" applyProtection="1">
      <alignment horizontal="left"/>
      <protection hidden="1"/>
    </xf>
    <xf numFmtId="0" fontId="36" fillId="4" borderId="22" xfId="0" applyFont="1" applyFill="1" applyBorder="1" applyProtection="1">
      <protection hidden="1"/>
    </xf>
    <xf numFmtId="0" fontId="36" fillId="5" borderId="22" xfId="0" applyFont="1" applyFill="1" applyBorder="1" applyAlignment="1" applyProtection="1">
      <alignment shrinkToFit="1"/>
      <protection locked="0" hidden="1"/>
    </xf>
    <xf numFmtId="0" fontId="36" fillId="7" borderId="22" xfId="0" applyFont="1" applyFill="1" applyBorder="1" applyAlignment="1" applyProtection="1">
      <protection hidden="1"/>
    </xf>
    <xf numFmtId="165" fontId="36" fillId="13" borderId="22" xfId="0" applyNumberFormat="1" applyFont="1" applyFill="1" applyBorder="1" applyProtection="1">
      <protection hidden="1"/>
    </xf>
    <xf numFmtId="165" fontId="36" fillId="5" borderId="22" xfId="0" applyNumberFormat="1" applyFont="1" applyFill="1" applyBorder="1" applyProtection="1">
      <protection locked="0" hidden="1"/>
    </xf>
    <xf numFmtId="165" fontId="36" fillId="19" borderId="22" xfId="0" applyNumberFormat="1" applyFont="1" applyFill="1" applyBorder="1" applyProtection="1">
      <protection hidden="1"/>
    </xf>
    <xf numFmtId="165" fontId="36" fillId="25" borderId="22" xfId="0" applyNumberFormat="1" applyFont="1" applyFill="1" applyBorder="1" applyProtection="1">
      <protection hidden="1"/>
    </xf>
    <xf numFmtId="165" fontId="36" fillId="7" borderId="22" xfId="0" applyNumberFormat="1" applyFont="1" applyFill="1" applyBorder="1" applyProtection="1">
      <protection hidden="1"/>
    </xf>
    <xf numFmtId="170" fontId="36" fillId="7" borderId="22" xfId="0" applyNumberFormat="1" applyFont="1" applyFill="1" applyBorder="1" applyProtection="1">
      <protection hidden="1"/>
    </xf>
    <xf numFmtId="176" fontId="0" fillId="9" borderId="20" xfId="0" applyNumberFormat="1" applyFill="1" applyBorder="1" applyProtection="1">
      <protection hidden="1"/>
    </xf>
    <xf numFmtId="164" fontId="0" fillId="9" borderId="20" xfId="55" applyFont="1" applyFill="1" applyBorder="1" applyProtection="1">
      <protection hidden="1"/>
    </xf>
    <xf numFmtId="0" fontId="0" fillId="9" borderId="20" xfId="0" applyNumberFormat="1" applyFill="1" applyBorder="1" applyProtection="1">
      <protection hidden="1"/>
    </xf>
    <xf numFmtId="0" fontId="14" fillId="8" borderId="7" xfId="0" applyFont="1" applyFill="1" applyBorder="1" applyProtection="1">
      <protection hidden="1"/>
    </xf>
    <xf numFmtId="0" fontId="14" fillId="4" borderId="0" xfId="0" applyFont="1" applyFill="1" applyProtection="1">
      <protection hidden="1"/>
    </xf>
    <xf numFmtId="0" fontId="14" fillId="8" borderId="6" xfId="0" applyFont="1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4" borderId="0" xfId="0" applyFill="1" applyAlignment="1" applyProtection="1">
      <alignment horizontal="left"/>
      <protection hidden="1"/>
    </xf>
    <xf numFmtId="0" fontId="0" fillId="4" borderId="0" xfId="0" applyFill="1" applyAlignment="1" applyProtection="1">
      <protection hidden="1"/>
    </xf>
    <xf numFmtId="0" fontId="8" fillId="6" borderId="0" xfId="0" applyFont="1" applyFill="1" applyProtection="1">
      <protection hidden="1"/>
    </xf>
    <xf numFmtId="0" fontId="6" fillId="6" borderId="0" xfId="0" applyFont="1" applyFill="1" applyProtection="1">
      <protection hidden="1"/>
    </xf>
    <xf numFmtId="0" fontId="7" fillId="4" borderId="0" xfId="0" applyFont="1" applyFill="1" applyProtection="1">
      <protection hidden="1"/>
    </xf>
    <xf numFmtId="0" fontId="48" fillId="4" borderId="0" xfId="0" applyFont="1" applyFill="1" applyProtection="1">
      <protection hidden="1"/>
    </xf>
    <xf numFmtId="0" fontId="0" fillId="4" borderId="3" xfId="0" applyFill="1" applyBorder="1" applyProtection="1">
      <protection hidden="1"/>
    </xf>
    <xf numFmtId="0" fontId="0" fillId="4" borderId="3" xfId="0" applyFill="1" applyBorder="1" applyAlignment="1" applyProtection="1">
      <alignment horizontal="right"/>
      <protection hidden="1"/>
    </xf>
    <xf numFmtId="0" fontId="0" fillId="4" borderId="3" xfId="0" applyFill="1" applyBorder="1" applyAlignment="1" applyProtection="1">
      <alignment horizontal="right" wrapText="1"/>
      <protection hidden="1"/>
    </xf>
    <xf numFmtId="0" fontId="0" fillId="4" borderId="0" xfId="0" applyFill="1" applyAlignment="1" applyProtection="1">
      <alignment horizontal="right"/>
      <protection hidden="1"/>
    </xf>
    <xf numFmtId="0" fontId="0" fillId="4" borderId="3" xfId="0" applyFill="1" applyBorder="1" applyAlignment="1" applyProtection="1">
      <alignment horizontal="left"/>
      <protection hidden="1"/>
    </xf>
    <xf numFmtId="0" fontId="0" fillId="4" borderId="3" xfId="0" applyFill="1" applyBorder="1" applyAlignment="1" applyProtection="1">
      <alignment wrapText="1"/>
      <protection hidden="1"/>
    </xf>
    <xf numFmtId="165" fontId="0" fillId="4" borderId="0" xfId="0" applyNumberFormat="1" applyFill="1" applyProtection="1">
      <protection hidden="1"/>
    </xf>
    <xf numFmtId="1" fontId="0" fillId="4" borderId="0" xfId="0" applyNumberFormat="1" applyFill="1" applyProtection="1">
      <protection hidden="1"/>
    </xf>
    <xf numFmtId="0" fontId="7" fillId="4" borderId="3" xfId="0" applyFont="1" applyFill="1" applyBorder="1" applyProtection="1">
      <protection hidden="1"/>
    </xf>
    <xf numFmtId="165" fontId="7" fillId="4" borderId="3" xfId="0" applyNumberFormat="1" applyFont="1" applyFill="1" applyBorder="1" applyProtection="1">
      <protection hidden="1"/>
    </xf>
    <xf numFmtId="165" fontId="7" fillId="4" borderId="0" xfId="0" applyNumberFormat="1" applyFont="1" applyFill="1" applyProtection="1">
      <protection hidden="1"/>
    </xf>
    <xf numFmtId="0" fontId="13" fillId="4" borderId="0" xfId="0" applyFont="1" applyFill="1" applyProtection="1">
      <protection hidden="1"/>
    </xf>
    <xf numFmtId="0" fontId="0" fillId="13" borderId="3" xfId="0" applyFont="1" applyFill="1" applyBorder="1" applyProtection="1">
      <protection hidden="1"/>
    </xf>
    <xf numFmtId="165" fontId="0" fillId="13" borderId="3" xfId="0" applyNumberFormat="1" applyFont="1" applyFill="1" applyBorder="1" applyProtection="1">
      <protection hidden="1"/>
    </xf>
    <xf numFmtId="170" fontId="0" fillId="4" borderId="0" xfId="55" applyNumberFormat="1" applyFont="1" applyFill="1" applyProtection="1">
      <protection hidden="1"/>
    </xf>
    <xf numFmtId="170" fontId="0" fillId="4" borderId="0" xfId="0" applyNumberFormat="1" applyFill="1" applyProtection="1">
      <protection hidden="1"/>
    </xf>
    <xf numFmtId="0" fontId="7" fillId="23" borderId="3" xfId="0" applyFont="1" applyFill="1" applyBorder="1" applyProtection="1">
      <protection hidden="1"/>
    </xf>
    <xf numFmtId="165" fontId="7" fillId="23" borderId="3" xfId="0" applyNumberFormat="1" applyFont="1" applyFill="1" applyBorder="1" applyProtection="1">
      <protection hidden="1"/>
    </xf>
    <xf numFmtId="0" fontId="8" fillId="2" borderId="0" xfId="0" applyFont="1" applyFill="1" applyProtection="1">
      <protection hidden="1"/>
    </xf>
    <xf numFmtId="0" fontId="8" fillId="9" borderId="0" xfId="0" applyFont="1" applyFill="1" applyProtection="1">
      <protection hidden="1"/>
    </xf>
    <xf numFmtId="0" fontId="6" fillId="2" borderId="0" xfId="0" applyFont="1" applyFill="1" applyProtection="1">
      <protection hidden="1"/>
    </xf>
    <xf numFmtId="0" fontId="0" fillId="12" borderId="16" xfId="0" applyFill="1" applyBorder="1" applyAlignment="1" applyProtection="1">
      <alignment shrinkToFit="1"/>
      <protection hidden="1"/>
    </xf>
    <xf numFmtId="164" fontId="0" fillId="4" borderId="14" xfId="0" applyNumberFormat="1" applyFill="1" applyBorder="1" applyProtection="1">
      <protection hidden="1"/>
    </xf>
    <xf numFmtId="0" fontId="0" fillId="12" borderId="15" xfId="0" applyFill="1" applyBorder="1" applyAlignment="1" applyProtection="1">
      <alignment shrinkToFit="1"/>
      <protection hidden="1"/>
    </xf>
    <xf numFmtId="0" fontId="0" fillId="12" borderId="18" xfId="0" applyFill="1" applyBorder="1" applyAlignment="1" applyProtection="1">
      <alignment shrinkToFit="1"/>
      <protection hidden="1"/>
    </xf>
    <xf numFmtId="14" fontId="0" fillId="4" borderId="0" xfId="0" applyNumberFormat="1" applyFill="1" applyBorder="1" applyProtection="1">
      <protection hidden="1"/>
    </xf>
    <xf numFmtId="0" fontId="0" fillId="13" borderId="16" xfId="0" applyFill="1" applyBorder="1" applyProtection="1">
      <protection hidden="1"/>
    </xf>
    <xf numFmtId="0" fontId="0" fillId="13" borderId="19" xfId="0" applyFill="1" applyBorder="1" applyAlignment="1" applyProtection="1">
      <alignment shrinkToFit="1"/>
      <protection hidden="1"/>
    </xf>
    <xf numFmtId="0" fontId="0" fillId="13" borderId="15" xfId="0" applyFill="1" applyBorder="1" applyProtection="1">
      <protection hidden="1"/>
    </xf>
    <xf numFmtId="164" fontId="21" fillId="14" borderId="10" xfId="57" applyFont="1" applyFill="1" applyBorder="1" applyAlignment="1" applyProtection="1">
      <alignment vertical="center" shrinkToFit="1"/>
      <protection locked="0" hidden="1"/>
    </xf>
    <xf numFmtId="0" fontId="0" fillId="12" borderId="15" xfId="0" applyFill="1" applyBorder="1" applyProtection="1">
      <protection hidden="1"/>
    </xf>
    <xf numFmtId="0" fontId="0" fillId="12" borderId="23" xfId="0" applyFill="1" applyBorder="1" applyProtection="1">
      <protection hidden="1"/>
    </xf>
    <xf numFmtId="0" fontId="0" fillId="12" borderId="23" xfId="0" applyFill="1" applyBorder="1" applyAlignment="1" applyProtection="1">
      <alignment shrinkToFit="1"/>
      <protection hidden="1"/>
    </xf>
    <xf numFmtId="164" fontId="0" fillId="4" borderId="0" xfId="0" applyNumberFormat="1" applyFill="1" applyBorder="1" applyProtection="1">
      <protection hidden="1"/>
    </xf>
    <xf numFmtId="0" fontId="4" fillId="4" borderId="0" xfId="0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0" fontId="43" fillId="4" borderId="0" xfId="0" applyFont="1" applyFill="1" applyProtection="1">
      <protection hidden="1"/>
    </xf>
    <xf numFmtId="0" fontId="4" fillId="4" borderId="0" xfId="0" applyFont="1" applyFill="1" applyBorder="1" applyProtection="1">
      <protection hidden="1"/>
    </xf>
    <xf numFmtId="0" fontId="45" fillId="24" borderId="20" xfId="0" applyFont="1" applyFill="1" applyBorder="1" applyAlignment="1" applyProtection="1">
      <alignment wrapText="1"/>
      <protection hidden="1"/>
    </xf>
    <xf numFmtId="14" fontId="21" fillId="14" borderId="10" xfId="57" applyNumberFormat="1" applyFont="1" applyFill="1" applyBorder="1" applyAlignment="1" applyProtection="1">
      <alignment vertical="center"/>
      <protection locked="0" hidden="1"/>
    </xf>
    <xf numFmtId="171" fontId="7" fillId="4" borderId="15" xfId="0" applyNumberFormat="1" applyFont="1" applyFill="1" applyBorder="1" applyProtection="1">
      <protection hidden="1"/>
    </xf>
    <xf numFmtId="171" fontId="21" fillId="14" borderId="10" xfId="57" applyNumberFormat="1" applyFont="1" applyFill="1" applyBorder="1" applyAlignment="1" applyProtection="1">
      <alignment vertical="center"/>
      <protection locked="0" hidden="1"/>
    </xf>
    <xf numFmtId="0" fontId="0" fillId="4" borderId="0" xfId="0" applyFont="1" applyFill="1" applyProtection="1">
      <protection hidden="1"/>
    </xf>
    <xf numFmtId="172" fontId="44" fillId="4" borderId="0" xfId="60" applyNumberFormat="1" applyFont="1" applyFill="1" applyProtection="1">
      <protection hidden="1"/>
    </xf>
    <xf numFmtId="176" fontId="7" fillId="29" borderId="20" xfId="0" applyNumberFormat="1" applyFont="1" applyFill="1" applyBorder="1" applyProtection="1">
      <protection hidden="1"/>
    </xf>
    <xf numFmtId="176" fontId="48" fillId="29" borderId="20" xfId="0" applyNumberFormat="1" applyFont="1" applyFill="1" applyBorder="1" applyProtection="1">
      <protection hidden="1"/>
    </xf>
    <xf numFmtId="0" fontId="11" fillId="4" borderId="0" xfId="0" applyFont="1" applyFill="1" applyProtection="1">
      <protection hidden="1"/>
    </xf>
    <xf numFmtId="0" fontId="11" fillId="4" borderId="26" xfId="0" applyFont="1" applyFill="1" applyBorder="1" applyProtection="1">
      <protection hidden="1"/>
    </xf>
    <xf numFmtId="0" fontId="12" fillId="4" borderId="0" xfId="0" applyFont="1" applyFill="1" applyProtection="1">
      <protection hidden="1"/>
    </xf>
    <xf numFmtId="0" fontId="0" fillId="9" borderId="0" xfId="0" applyFill="1" applyBorder="1" applyProtection="1">
      <protection hidden="1"/>
    </xf>
    <xf numFmtId="168" fontId="0" fillId="9" borderId="0" xfId="0" applyNumberFormat="1" applyFill="1" applyBorder="1" applyProtection="1">
      <protection hidden="1"/>
    </xf>
    <xf numFmtId="168" fontId="7" fillId="9" borderId="0" xfId="0" applyNumberFormat="1" applyFont="1" applyFill="1" applyProtection="1">
      <protection hidden="1"/>
    </xf>
    <xf numFmtId="14" fontId="0" fillId="4" borderId="0" xfId="0" applyNumberFormat="1" applyFill="1" applyProtection="1">
      <protection hidden="1"/>
    </xf>
    <xf numFmtId="0" fontId="16" fillId="10" borderId="0" xfId="56" applyFont="1" applyFill="1" applyAlignment="1" applyProtection="1">
      <alignment vertical="center"/>
      <protection hidden="1"/>
    </xf>
    <xf numFmtId="2" fontId="18" fillId="10" borderId="0" xfId="56" applyNumberFormat="1" applyFont="1" applyFill="1" applyAlignment="1" applyProtection="1">
      <alignment horizontal="center" vertical="center"/>
      <protection hidden="1"/>
    </xf>
    <xf numFmtId="0" fontId="19" fillId="10" borderId="0" xfId="56" applyFont="1" applyFill="1" applyBorder="1" applyAlignment="1" applyProtection="1">
      <alignment horizontal="left" vertical="center"/>
      <protection hidden="1"/>
    </xf>
    <xf numFmtId="0" fontId="20" fillId="10" borderId="0" xfId="56" applyFont="1" applyFill="1" applyAlignment="1" applyProtection="1">
      <alignment vertical="center"/>
      <protection hidden="1"/>
    </xf>
    <xf numFmtId="0" fontId="18" fillId="10" borderId="0" xfId="56" applyFont="1" applyFill="1" applyAlignment="1" applyProtection="1">
      <alignment vertical="center"/>
      <protection hidden="1"/>
    </xf>
    <xf numFmtId="0" fontId="18" fillId="0" borderId="0" xfId="56" applyFont="1" applyAlignment="1" applyProtection="1">
      <alignment vertical="center"/>
      <protection hidden="1"/>
    </xf>
    <xf numFmtId="0" fontId="21" fillId="10" borderId="0" xfId="56" applyFont="1" applyFill="1" applyAlignment="1" applyProtection="1">
      <alignment vertical="center"/>
      <protection hidden="1"/>
    </xf>
    <xf numFmtId="2" fontId="21" fillId="10" borderId="0" xfId="56" applyNumberFormat="1" applyFont="1" applyFill="1" applyAlignment="1" applyProtection="1">
      <alignment horizontal="center" vertical="center"/>
      <protection hidden="1"/>
    </xf>
    <xf numFmtId="2" fontId="22" fillId="10" borderId="0" xfId="56" applyNumberFormat="1" applyFont="1" applyFill="1" applyAlignment="1" applyProtection="1">
      <alignment vertical="center"/>
      <protection hidden="1"/>
    </xf>
    <xf numFmtId="0" fontId="28" fillId="13" borderId="9" xfId="56" applyFont="1" applyFill="1" applyBorder="1" applyAlignment="1" applyProtection="1">
      <alignment horizontal="left" vertical="center" wrapText="1"/>
      <protection hidden="1"/>
    </xf>
    <xf numFmtId="0" fontId="21" fillId="0" borderId="0" xfId="56" applyFont="1" applyAlignment="1" applyProtection="1">
      <alignment vertical="center"/>
      <protection hidden="1"/>
    </xf>
    <xf numFmtId="0" fontId="19" fillId="12" borderId="9" xfId="56" applyFont="1" applyFill="1" applyBorder="1" applyAlignment="1" applyProtection="1">
      <alignment vertical="center"/>
      <protection hidden="1"/>
    </xf>
    <xf numFmtId="2" fontId="21" fillId="12" borderId="0" xfId="56" applyNumberFormat="1" applyFont="1" applyFill="1" applyAlignment="1" applyProtection="1">
      <alignment horizontal="center" vertical="center"/>
      <protection hidden="1"/>
    </xf>
    <xf numFmtId="0" fontId="21" fillId="12" borderId="0" xfId="56" applyFont="1" applyFill="1" applyAlignment="1" applyProtection="1">
      <alignment vertical="center"/>
      <protection hidden="1"/>
    </xf>
    <xf numFmtId="0" fontId="19" fillId="7" borderId="0" xfId="56" applyFont="1" applyFill="1" applyAlignment="1" applyProtection="1">
      <alignment vertical="center"/>
      <protection hidden="1"/>
    </xf>
    <xf numFmtId="164" fontId="19" fillId="7" borderId="0" xfId="55" applyFont="1" applyFill="1" applyAlignment="1" applyProtection="1">
      <alignment vertical="center"/>
      <protection hidden="1"/>
    </xf>
    <xf numFmtId="164" fontId="19" fillId="7" borderId="0" xfId="55" applyNumberFormat="1" applyFont="1" applyFill="1" applyAlignment="1" applyProtection="1">
      <alignment vertical="center"/>
      <protection hidden="1"/>
    </xf>
    <xf numFmtId="0" fontId="21" fillId="10" borderId="0" xfId="56" quotePrefix="1" applyFont="1" applyFill="1" applyAlignment="1" applyProtection="1">
      <alignment vertical="center"/>
      <protection hidden="1"/>
    </xf>
    <xf numFmtId="0" fontId="21" fillId="13" borderId="9" xfId="56" applyFont="1" applyFill="1" applyBorder="1" applyAlignment="1" applyProtection="1">
      <alignment horizontal="left" vertical="center"/>
      <protection hidden="1"/>
    </xf>
    <xf numFmtId="0" fontId="21" fillId="15" borderId="0" xfId="56" applyFont="1" applyFill="1" applyAlignment="1" applyProtection="1">
      <alignment vertical="center"/>
      <protection hidden="1"/>
    </xf>
    <xf numFmtId="164" fontId="21" fillId="14" borderId="10" xfId="57" applyFont="1" applyFill="1" applyBorder="1" applyAlignment="1" applyProtection="1">
      <alignment vertical="center"/>
      <protection locked="0" hidden="1"/>
    </xf>
    <xf numFmtId="0" fontId="22" fillId="10" borderId="0" xfId="56" applyFont="1" applyFill="1" applyAlignment="1" applyProtection="1">
      <alignment vertical="center"/>
      <protection hidden="1"/>
    </xf>
    <xf numFmtId="164" fontId="21" fillId="14" borderId="25" xfId="57" applyFont="1" applyFill="1" applyBorder="1" applyAlignment="1" applyProtection="1">
      <alignment vertical="center"/>
      <protection locked="0" hidden="1"/>
    </xf>
    <xf numFmtId="168" fontId="21" fillId="10" borderId="0" xfId="56" applyNumberFormat="1" applyFont="1" applyFill="1" applyAlignment="1" applyProtection="1">
      <alignment vertical="center"/>
      <protection hidden="1"/>
    </xf>
    <xf numFmtId="0" fontId="15" fillId="10" borderId="0" xfId="56" applyFill="1" applyProtection="1">
      <protection hidden="1"/>
    </xf>
    <xf numFmtId="0" fontId="19" fillId="10" borderId="0" xfId="56" applyFont="1" applyFill="1" applyAlignment="1" applyProtection="1">
      <alignment vertical="center"/>
      <protection hidden="1"/>
    </xf>
    <xf numFmtId="2" fontId="19" fillId="10" borderId="0" xfId="56" applyNumberFormat="1" applyFont="1" applyFill="1" applyAlignment="1" applyProtection="1">
      <alignment horizontal="center" vertical="center"/>
      <protection hidden="1"/>
    </xf>
    <xf numFmtId="0" fontId="21" fillId="10" borderId="0" xfId="56" applyFont="1" applyFill="1" applyBorder="1" applyAlignment="1" applyProtection="1">
      <alignment vertical="center"/>
      <protection hidden="1"/>
    </xf>
    <xf numFmtId="171" fontId="21" fillId="15" borderId="0" xfId="57" applyNumberFormat="1" applyFont="1" applyFill="1" applyBorder="1" applyAlignment="1" applyProtection="1">
      <alignment horizontal="center" vertical="center"/>
      <protection hidden="1"/>
    </xf>
    <xf numFmtId="171" fontId="21" fillId="15" borderId="0" xfId="57" applyNumberFormat="1" applyFont="1" applyFill="1" applyBorder="1" applyAlignment="1" applyProtection="1">
      <alignment horizontal="right" vertical="center"/>
      <protection hidden="1"/>
    </xf>
    <xf numFmtId="9" fontId="21" fillId="10" borderId="0" xfId="58" applyFont="1" applyFill="1" applyAlignment="1" applyProtection="1">
      <alignment vertical="center"/>
      <protection hidden="1"/>
    </xf>
    <xf numFmtId="171" fontId="19" fillId="15" borderId="0" xfId="57" applyNumberFormat="1" applyFont="1" applyFill="1" applyBorder="1" applyAlignment="1" applyProtection="1">
      <alignment horizontal="right" vertical="center"/>
      <protection hidden="1"/>
    </xf>
    <xf numFmtId="2" fontId="21" fillId="10" borderId="0" xfId="56" applyNumberFormat="1" applyFont="1" applyFill="1" applyAlignment="1" applyProtection="1">
      <alignment vertical="center"/>
      <protection hidden="1"/>
    </xf>
    <xf numFmtId="0" fontId="19" fillId="10" borderId="0" xfId="56" applyFont="1" applyFill="1" applyBorder="1" applyAlignment="1" applyProtection="1">
      <alignment vertical="center"/>
      <protection hidden="1"/>
    </xf>
    <xf numFmtId="0" fontId="21" fillId="13" borderId="9" xfId="56" applyFont="1" applyFill="1" applyBorder="1" applyAlignment="1" applyProtection="1">
      <alignment horizontal="left" vertical="center" shrinkToFit="1"/>
      <protection hidden="1"/>
    </xf>
    <xf numFmtId="174" fontId="21" fillId="15" borderId="0" xfId="57" applyNumberFormat="1" applyFont="1" applyFill="1" applyBorder="1" applyAlignment="1" applyProtection="1">
      <alignment horizontal="right" vertical="center"/>
      <protection hidden="1"/>
    </xf>
    <xf numFmtId="0" fontId="21" fillId="16" borderId="9" xfId="56" applyFont="1" applyFill="1" applyBorder="1" applyAlignment="1" applyProtection="1">
      <alignment horizontal="left" vertical="center"/>
      <protection hidden="1"/>
    </xf>
    <xf numFmtId="172" fontId="23" fillId="10" borderId="0" xfId="58" applyNumberFormat="1" applyFont="1" applyFill="1" applyAlignment="1" applyProtection="1">
      <alignment vertical="center"/>
      <protection hidden="1"/>
    </xf>
    <xf numFmtId="0" fontId="26" fillId="10" borderId="0" xfId="56" applyFont="1" applyFill="1" applyAlignment="1" applyProtection="1">
      <alignment vertical="center"/>
      <protection hidden="1"/>
    </xf>
    <xf numFmtId="0" fontId="21" fillId="17" borderId="9" xfId="56" applyFont="1" applyFill="1" applyBorder="1" applyAlignment="1" applyProtection="1">
      <alignment horizontal="left" vertical="center"/>
      <protection hidden="1"/>
    </xf>
    <xf numFmtId="0" fontId="19" fillId="18" borderId="0" xfId="56" applyFont="1" applyFill="1" applyAlignment="1" applyProtection="1">
      <alignment vertical="center"/>
      <protection hidden="1"/>
    </xf>
    <xf numFmtId="173" fontId="19" fillId="18" borderId="0" xfId="57" applyNumberFormat="1" applyFont="1" applyFill="1" applyAlignment="1" applyProtection="1">
      <alignment vertical="center"/>
      <protection hidden="1"/>
    </xf>
    <xf numFmtId="172" fontId="19" fillId="18" borderId="0" xfId="58" applyNumberFormat="1" applyFont="1" applyFill="1" applyAlignment="1" applyProtection="1">
      <alignment horizontal="right" vertical="center"/>
      <protection hidden="1"/>
    </xf>
    <xf numFmtId="173" fontId="21" fillId="19" borderId="0" xfId="57" applyNumberFormat="1" applyFont="1" applyFill="1" applyBorder="1" applyAlignment="1" applyProtection="1">
      <alignment horizontal="right" vertical="center"/>
      <protection hidden="1"/>
    </xf>
    <xf numFmtId="172" fontId="21" fillId="15" borderId="0" xfId="58" applyNumberFormat="1" applyFont="1" applyFill="1" applyAlignment="1" applyProtection="1">
      <alignment vertical="center"/>
      <protection hidden="1"/>
    </xf>
    <xf numFmtId="178" fontId="21" fillId="10" borderId="0" xfId="60" applyNumberFormat="1" applyFont="1" applyFill="1" applyAlignment="1" applyProtection="1">
      <alignment vertical="center"/>
      <protection hidden="1"/>
    </xf>
    <xf numFmtId="0" fontId="19" fillId="20" borderId="0" xfId="56" applyFont="1" applyFill="1" applyBorder="1" applyAlignment="1" applyProtection="1">
      <alignment vertical="center"/>
      <protection hidden="1"/>
    </xf>
    <xf numFmtId="0" fontId="21" fillId="20" borderId="0" xfId="56" applyFont="1" applyFill="1" applyBorder="1" applyAlignment="1" applyProtection="1">
      <alignment horizontal="center" vertical="center"/>
      <protection hidden="1"/>
    </xf>
    <xf numFmtId="0" fontId="19" fillId="10" borderId="0" xfId="56" applyFont="1" applyFill="1" applyAlignment="1" applyProtection="1">
      <alignment horizontal="center" vertical="center"/>
      <protection hidden="1"/>
    </xf>
    <xf numFmtId="0" fontId="19" fillId="16" borderId="0" xfId="56" applyFont="1" applyFill="1" applyBorder="1" applyAlignment="1" applyProtection="1">
      <alignment vertical="center"/>
      <protection hidden="1"/>
    </xf>
    <xf numFmtId="0" fontId="21" fillId="16" borderId="0" xfId="56" applyFont="1" applyFill="1" applyBorder="1" applyAlignment="1" applyProtection="1">
      <alignment horizontal="left" vertical="center"/>
      <protection hidden="1"/>
    </xf>
    <xf numFmtId="1" fontId="21" fillId="16" borderId="0" xfId="56" applyNumberFormat="1" applyFont="1" applyFill="1" applyBorder="1" applyAlignment="1" applyProtection="1">
      <alignment horizontal="center" vertical="center"/>
      <protection hidden="1"/>
    </xf>
    <xf numFmtId="0" fontId="21" fillId="14" borderId="10" xfId="0" applyFont="1" applyFill="1" applyBorder="1" applyAlignment="1" applyProtection="1">
      <alignment horizontal="left" vertical="center" shrinkToFit="1"/>
      <protection locked="0" hidden="1"/>
    </xf>
    <xf numFmtId="164" fontId="21" fillId="14" borderId="10" xfId="57" applyNumberFormat="1" applyFont="1" applyFill="1" applyBorder="1" applyAlignment="1" applyProtection="1">
      <alignment horizontal="right" vertical="center"/>
      <protection locked="0" hidden="1"/>
    </xf>
    <xf numFmtId="164" fontId="21" fillId="14" borderId="10" xfId="57" applyFont="1" applyFill="1" applyBorder="1" applyAlignment="1" applyProtection="1">
      <alignment horizontal="left" vertical="center"/>
      <protection locked="0" hidden="1"/>
    </xf>
    <xf numFmtId="171" fontId="22" fillId="10" borderId="0" xfId="57" applyNumberFormat="1" applyFont="1" applyFill="1" applyAlignment="1" applyProtection="1">
      <alignment vertical="center"/>
      <protection hidden="1"/>
    </xf>
    <xf numFmtId="164" fontId="21" fillId="14" borderId="10" xfId="57" applyNumberFormat="1" applyFont="1" applyFill="1" applyBorder="1" applyAlignment="1" applyProtection="1">
      <alignment horizontal="center" vertical="center"/>
      <protection locked="0" hidden="1"/>
    </xf>
    <xf numFmtId="0" fontId="21" fillId="16" borderId="0" xfId="56" applyFont="1" applyFill="1" applyBorder="1" applyAlignment="1" applyProtection="1">
      <alignment vertical="center"/>
      <protection hidden="1"/>
    </xf>
    <xf numFmtId="164" fontId="21" fillId="16" borderId="0" xfId="57" applyFont="1" applyFill="1" applyBorder="1" applyAlignment="1" applyProtection="1">
      <alignment horizontal="right" vertical="center"/>
      <protection hidden="1"/>
    </xf>
    <xf numFmtId="172" fontId="21" fillId="16" borderId="0" xfId="58" applyNumberFormat="1" applyFont="1" applyFill="1" applyBorder="1" applyAlignment="1" applyProtection="1">
      <alignment horizontal="left" vertical="center"/>
      <protection hidden="1"/>
    </xf>
    <xf numFmtId="0" fontId="21" fillId="10" borderId="0" xfId="56" applyFont="1" applyFill="1" applyBorder="1" applyAlignment="1" applyProtection="1">
      <alignment horizontal="center" vertical="center"/>
      <protection hidden="1"/>
    </xf>
    <xf numFmtId="1" fontId="19" fillId="16" borderId="0" xfId="56" applyNumberFormat="1" applyFont="1" applyFill="1" applyBorder="1" applyAlignment="1" applyProtection="1">
      <alignment horizontal="center" vertical="center"/>
      <protection hidden="1"/>
    </xf>
    <xf numFmtId="0" fontId="21" fillId="14" borderId="10" xfId="56" applyFont="1" applyFill="1" applyBorder="1" applyAlignment="1" applyProtection="1">
      <alignment horizontal="left" vertical="center" shrinkToFit="1"/>
      <protection locked="0" hidden="1"/>
    </xf>
    <xf numFmtId="171" fontId="24" fillId="10" borderId="0" xfId="57" applyNumberFormat="1" applyFont="1" applyFill="1" applyAlignment="1" applyProtection="1">
      <alignment vertical="center"/>
      <protection hidden="1"/>
    </xf>
    <xf numFmtId="1" fontId="21" fillId="10" borderId="0" xfId="56" applyNumberFormat="1" applyFont="1" applyFill="1" applyBorder="1" applyAlignment="1" applyProtection="1">
      <alignment horizontal="center" vertical="center"/>
      <protection hidden="1"/>
    </xf>
    <xf numFmtId="171" fontId="19" fillId="16" borderId="0" xfId="56" applyNumberFormat="1" applyFont="1" applyFill="1" applyBorder="1" applyAlignment="1" applyProtection="1">
      <alignment horizontal="center" vertical="center"/>
      <protection hidden="1"/>
    </xf>
    <xf numFmtId="172" fontId="21" fillId="16" borderId="0" xfId="58" applyNumberFormat="1" applyFont="1" applyFill="1" applyBorder="1" applyAlignment="1" applyProtection="1">
      <alignment horizontal="right" vertical="center"/>
      <protection hidden="1"/>
    </xf>
    <xf numFmtId="0" fontId="25" fillId="10" borderId="0" xfId="56" applyFont="1" applyFill="1" applyAlignment="1" applyProtection="1">
      <alignment vertical="center"/>
      <protection hidden="1"/>
    </xf>
    <xf numFmtId="0" fontId="19" fillId="0" borderId="0" xfId="56" applyFont="1" applyAlignment="1" applyProtection="1">
      <alignment vertical="center"/>
      <protection hidden="1"/>
    </xf>
    <xf numFmtId="0" fontId="19" fillId="21" borderId="0" xfId="56" applyFont="1" applyFill="1" applyBorder="1" applyAlignment="1" applyProtection="1">
      <alignment vertical="center"/>
      <protection hidden="1"/>
    </xf>
    <xf numFmtId="0" fontId="21" fillId="21" borderId="0" xfId="56" applyFont="1" applyFill="1" applyBorder="1" applyAlignment="1" applyProtection="1">
      <alignment horizontal="center" vertical="center"/>
      <protection hidden="1"/>
    </xf>
    <xf numFmtId="1" fontId="19" fillId="21" borderId="0" xfId="56" applyNumberFormat="1" applyFont="1" applyFill="1" applyBorder="1" applyAlignment="1" applyProtection="1">
      <alignment horizontal="center" vertical="center"/>
      <protection hidden="1"/>
    </xf>
    <xf numFmtId="0" fontId="19" fillId="17" borderId="0" xfId="56" applyFont="1" applyFill="1" applyBorder="1" applyAlignment="1" applyProtection="1">
      <alignment vertical="center"/>
      <protection hidden="1"/>
    </xf>
    <xf numFmtId="0" fontId="21" fillId="17" borderId="0" xfId="56" applyFont="1" applyFill="1" applyBorder="1" applyAlignment="1" applyProtection="1">
      <alignment horizontal="center" vertical="center"/>
      <protection hidden="1"/>
    </xf>
    <xf numFmtId="1" fontId="21" fillId="17" borderId="0" xfId="56" applyNumberFormat="1" applyFont="1" applyFill="1" applyBorder="1" applyAlignment="1" applyProtection="1">
      <alignment horizontal="center" vertical="center"/>
      <protection hidden="1"/>
    </xf>
    <xf numFmtId="164" fontId="21" fillId="17" borderId="0" xfId="57" applyFont="1" applyFill="1" applyBorder="1" applyAlignment="1" applyProtection="1">
      <alignment horizontal="right" vertical="center"/>
      <protection hidden="1"/>
    </xf>
    <xf numFmtId="0" fontId="42" fillId="10" borderId="0" xfId="56" quotePrefix="1" applyFont="1" applyFill="1" applyAlignment="1" applyProtection="1">
      <alignment vertical="center"/>
      <protection hidden="1"/>
    </xf>
    <xf numFmtId="0" fontId="21" fillId="17" borderId="0" xfId="56" applyFont="1" applyFill="1" applyAlignment="1" applyProtection="1">
      <alignment horizontal="right" vertical="center"/>
      <protection hidden="1"/>
    </xf>
    <xf numFmtId="164" fontId="19" fillId="21" borderId="0" xfId="57" applyFont="1" applyFill="1" applyBorder="1" applyAlignment="1" applyProtection="1">
      <alignment horizontal="right" vertical="center"/>
      <protection hidden="1"/>
    </xf>
    <xf numFmtId="172" fontId="19" fillId="21" borderId="0" xfId="58" applyNumberFormat="1" applyFont="1" applyFill="1" applyBorder="1" applyAlignment="1" applyProtection="1">
      <alignment horizontal="right" vertical="center"/>
      <protection hidden="1"/>
    </xf>
    <xf numFmtId="0" fontId="27" fillId="10" borderId="0" xfId="56" applyFont="1" applyFill="1" applyAlignment="1" applyProtection="1">
      <alignment vertical="center"/>
      <protection hidden="1"/>
    </xf>
    <xf numFmtId="172" fontId="34" fillId="10" borderId="0" xfId="56" applyNumberFormat="1" applyFont="1" applyFill="1" applyAlignment="1" applyProtection="1">
      <alignment horizontal="right" vertical="center"/>
      <protection hidden="1"/>
    </xf>
    <xf numFmtId="0" fontId="19" fillId="22" borderId="0" xfId="56" applyFont="1" applyFill="1" applyBorder="1" applyAlignment="1" applyProtection="1">
      <alignment vertical="center"/>
      <protection hidden="1"/>
    </xf>
    <xf numFmtId="164" fontId="19" fillId="22" borderId="0" xfId="57" applyFont="1" applyFill="1" applyBorder="1" applyAlignment="1" applyProtection="1">
      <alignment horizontal="right" vertical="center"/>
      <protection hidden="1"/>
    </xf>
    <xf numFmtId="172" fontId="21" fillId="22" borderId="0" xfId="58" applyNumberFormat="1" applyFont="1" applyFill="1" applyBorder="1" applyAlignment="1" applyProtection="1">
      <alignment horizontal="right" vertical="center"/>
      <protection hidden="1"/>
    </xf>
    <xf numFmtId="0" fontId="20" fillId="10" borderId="0" xfId="56" applyFont="1" applyFill="1" applyProtection="1">
      <protection hidden="1"/>
    </xf>
    <xf numFmtId="0" fontId="19" fillId="10" borderId="12" xfId="56" applyFont="1" applyFill="1" applyBorder="1" applyAlignment="1" applyProtection="1">
      <alignment vertical="center"/>
      <protection hidden="1"/>
    </xf>
    <xf numFmtId="0" fontId="21" fillId="10" borderId="2" xfId="56" applyFont="1" applyFill="1" applyBorder="1" applyAlignment="1" applyProtection="1">
      <alignment vertical="center"/>
      <protection hidden="1"/>
    </xf>
    <xf numFmtId="0" fontId="21" fillId="10" borderId="8" xfId="56" applyFont="1" applyFill="1" applyBorder="1" applyAlignment="1" applyProtection="1">
      <alignment vertical="center"/>
      <protection locked="0" hidden="1"/>
    </xf>
    <xf numFmtId="0" fontId="21" fillId="10" borderId="0" xfId="56" applyFont="1" applyFill="1" applyBorder="1" applyAlignment="1" applyProtection="1">
      <alignment vertical="center"/>
      <protection locked="0" hidden="1"/>
    </xf>
    <xf numFmtId="0" fontId="21" fillId="10" borderId="13" xfId="56" applyFont="1" applyFill="1" applyBorder="1" applyAlignment="1" applyProtection="1">
      <alignment vertical="center"/>
      <protection locked="0" hidden="1"/>
    </xf>
    <xf numFmtId="0" fontId="21" fillId="10" borderId="1" xfId="56" applyFont="1" applyFill="1" applyBorder="1" applyAlignment="1" applyProtection="1">
      <alignment vertical="center"/>
      <protection locked="0" hidden="1"/>
    </xf>
    <xf numFmtId="0" fontId="20" fillId="0" borderId="0" xfId="56" applyFont="1" applyAlignment="1" applyProtection="1">
      <alignment vertical="center"/>
      <protection hidden="1"/>
    </xf>
    <xf numFmtId="0" fontId="18" fillId="0" borderId="0" xfId="56" applyFont="1" applyProtection="1">
      <protection hidden="1"/>
    </xf>
    <xf numFmtId="2" fontId="18" fillId="0" borderId="0" xfId="56" applyNumberFormat="1" applyFont="1" applyAlignment="1" applyProtection="1">
      <alignment horizontal="center"/>
      <protection hidden="1"/>
    </xf>
    <xf numFmtId="2" fontId="20" fillId="0" borderId="0" xfId="56" applyNumberFormat="1" applyFont="1" applyProtection="1">
      <protection hidden="1"/>
    </xf>
    <xf numFmtId="0" fontId="0" fillId="13" borderId="3" xfId="0" applyFont="1" applyFill="1" applyBorder="1" applyAlignment="1" applyProtection="1">
      <alignment vertical="center"/>
      <protection hidden="1"/>
    </xf>
    <xf numFmtId="165" fontId="0" fillId="13" borderId="3" xfId="0" applyNumberFormat="1" applyFont="1" applyFill="1" applyBorder="1" applyAlignment="1" applyProtection="1">
      <alignment vertical="center"/>
      <protection hidden="1"/>
    </xf>
    <xf numFmtId="165" fontId="0" fillId="13" borderId="3" xfId="0" applyNumberFormat="1" applyFont="1" applyFill="1" applyBorder="1" applyAlignment="1" applyProtection="1">
      <alignment horizontal="right" vertical="center"/>
      <protection hidden="1"/>
    </xf>
    <xf numFmtId="165" fontId="0" fillId="13" borderId="3" xfId="0" applyNumberFormat="1" applyFont="1" applyFill="1" applyBorder="1" applyAlignment="1" applyProtection="1">
      <alignment horizontal="right" vertical="center" wrapText="1"/>
      <protection hidden="1"/>
    </xf>
    <xf numFmtId="0" fontId="21" fillId="15" borderId="32" xfId="56" applyFont="1" applyFill="1" applyBorder="1" applyAlignment="1" applyProtection="1">
      <alignment horizontal="left" vertical="center" shrinkToFit="1"/>
      <protection hidden="1"/>
    </xf>
    <xf numFmtId="164" fontId="21" fillId="15" borderId="32" xfId="57" applyNumberFormat="1" applyFont="1" applyFill="1" applyBorder="1" applyAlignment="1" applyProtection="1">
      <alignment horizontal="right" vertical="center"/>
      <protection hidden="1"/>
    </xf>
    <xf numFmtId="164" fontId="21" fillId="15" borderId="32" xfId="57" applyFont="1" applyFill="1" applyBorder="1" applyAlignment="1" applyProtection="1">
      <alignment horizontal="left" vertical="center"/>
      <protection hidden="1"/>
    </xf>
    <xf numFmtId="164" fontId="21" fillId="14" borderId="10" xfId="57" applyNumberFormat="1" applyFont="1" applyFill="1" applyBorder="1" applyAlignment="1" applyProtection="1">
      <alignment vertical="center"/>
      <protection locked="0" hidden="1"/>
    </xf>
    <xf numFmtId="0" fontId="0" fillId="4" borderId="0" xfId="0" applyFill="1" applyBorder="1" applyProtection="1">
      <protection hidden="1"/>
    </xf>
    <xf numFmtId="174" fontId="21" fillId="14" borderId="24" xfId="55" applyNumberFormat="1" applyFont="1" applyFill="1" applyBorder="1" applyAlignment="1" applyProtection="1">
      <alignment vertical="center"/>
      <protection locked="0" hidden="1"/>
    </xf>
    <xf numFmtId="0" fontId="54" fillId="16" borderId="21" xfId="0" applyFont="1" applyFill="1" applyBorder="1" applyAlignment="1">
      <alignment wrapText="1"/>
    </xf>
    <xf numFmtId="177" fontId="0" fillId="4" borderId="0" xfId="0" applyNumberFormat="1" applyFill="1" applyProtection="1">
      <protection hidden="1"/>
    </xf>
    <xf numFmtId="0" fontId="21" fillId="17" borderId="9" xfId="56" applyFont="1" applyFill="1" applyBorder="1" applyAlignment="1" applyProtection="1">
      <alignment horizontal="left" vertical="center" shrinkToFit="1"/>
      <protection hidden="1"/>
    </xf>
    <xf numFmtId="14" fontId="0" fillId="4" borderId="14" xfId="0" applyNumberFormat="1" applyFill="1" applyBorder="1" applyAlignment="1" applyProtection="1">
      <alignment shrinkToFit="1"/>
      <protection hidden="1"/>
    </xf>
    <xf numFmtId="0" fontId="1" fillId="12" borderId="15" xfId="0" applyFont="1" applyFill="1" applyBorder="1" applyProtection="1">
      <protection hidden="1"/>
    </xf>
    <xf numFmtId="14" fontId="21" fillId="14" borderId="10" xfId="57" applyNumberFormat="1" applyFont="1" applyFill="1" applyBorder="1" applyAlignment="1" applyProtection="1">
      <alignment vertical="center" shrinkToFit="1"/>
      <protection locked="0" hidden="1"/>
    </xf>
    <xf numFmtId="9" fontId="21" fillId="0" borderId="0" xfId="56" applyNumberFormat="1" applyFont="1" applyAlignment="1" applyProtection="1">
      <alignment vertical="center"/>
      <protection hidden="1"/>
    </xf>
    <xf numFmtId="0" fontId="15" fillId="14" borderId="21" xfId="56" applyFont="1" applyFill="1" applyBorder="1" applyAlignment="1">
      <alignment vertical="top" wrapText="1"/>
    </xf>
    <xf numFmtId="14" fontId="21" fillId="0" borderId="0" xfId="56" applyNumberFormat="1" applyFont="1" applyAlignment="1" applyProtection="1">
      <alignment vertical="center"/>
      <protection hidden="1"/>
    </xf>
    <xf numFmtId="171" fontId="21" fillId="15" borderId="0" xfId="61" applyNumberFormat="1" applyFont="1" applyFill="1" applyBorder="1" applyAlignment="1" applyProtection="1">
      <alignment horizontal="right" vertical="center"/>
    </xf>
    <xf numFmtId="0" fontId="15" fillId="13" borderId="11" xfId="56" applyFont="1" applyFill="1" applyBorder="1" applyAlignment="1">
      <alignment wrapText="1"/>
    </xf>
    <xf numFmtId="0" fontId="42" fillId="10" borderId="0" xfId="56" applyFont="1" applyFill="1" applyAlignment="1" applyProtection="1">
      <alignment vertical="center"/>
      <protection hidden="1"/>
    </xf>
    <xf numFmtId="0" fontId="56" fillId="16" borderId="35" xfId="0" applyFont="1" applyFill="1" applyBorder="1" applyAlignment="1">
      <alignment wrapText="1"/>
    </xf>
    <xf numFmtId="0" fontId="57" fillId="16" borderId="35" xfId="59" applyFont="1" applyFill="1" applyBorder="1" applyAlignment="1">
      <alignment wrapText="1"/>
    </xf>
    <xf numFmtId="0" fontId="56" fillId="0" borderId="0" xfId="0" applyFont="1"/>
    <xf numFmtId="0" fontId="58" fillId="16" borderId="21" xfId="0" applyFont="1" applyFill="1" applyBorder="1" applyAlignment="1">
      <alignment wrapText="1"/>
    </xf>
    <xf numFmtId="0" fontId="54" fillId="14" borderId="21" xfId="0" applyFont="1" applyFill="1" applyBorder="1" applyAlignment="1">
      <alignment wrapText="1"/>
    </xf>
    <xf numFmtId="0" fontId="56" fillId="14" borderId="35" xfId="0" applyFont="1" applyFill="1" applyBorder="1" applyAlignment="1">
      <alignment wrapText="1"/>
    </xf>
    <xf numFmtId="0" fontId="56" fillId="16" borderId="21" xfId="0" applyFont="1" applyFill="1" applyBorder="1" applyAlignment="1">
      <alignment wrapText="1"/>
    </xf>
    <xf numFmtId="0" fontId="56" fillId="14" borderId="21" xfId="0" applyFont="1" applyFill="1" applyBorder="1" applyAlignment="1">
      <alignment wrapText="1"/>
    </xf>
    <xf numFmtId="0" fontId="55" fillId="14" borderId="21" xfId="56" applyFont="1" applyFill="1" applyBorder="1" applyAlignment="1">
      <alignment wrapText="1"/>
    </xf>
    <xf numFmtId="0" fontId="55" fillId="14" borderId="21" xfId="56" applyFont="1" applyFill="1" applyBorder="1" applyAlignment="1">
      <alignment horizontal="center" wrapText="1"/>
    </xf>
    <xf numFmtId="0" fontId="60" fillId="16" borderId="0" xfId="0" applyFont="1" applyFill="1" applyAlignment="1">
      <alignment wrapText="1"/>
    </xf>
    <xf numFmtId="0" fontId="56" fillId="16" borderId="0" xfId="0" applyFont="1" applyFill="1" applyAlignment="1">
      <alignment wrapText="1"/>
    </xf>
    <xf numFmtId="0" fontId="58" fillId="14" borderId="0" xfId="0" applyFont="1" applyFill="1" applyAlignment="1">
      <alignment wrapText="1"/>
    </xf>
    <xf numFmtId="0" fontId="56" fillId="14" borderId="0" xfId="0" applyFont="1" applyFill="1" applyAlignment="1">
      <alignment wrapText="1"/>
    </xf>
    <xf numFmtId="0" fontId="56" fillId="0" borderId="0" xfId="0" applyFont="1" applyAlignment="1">
      <alignment wrapText="1"/>
    </xf>
    <xf numFmtId="0" fontId="55" fillId="0" borderId="0" xfId="56" applyFont="1" applyAlignment="1">
      <alignment wrapText="1"/>
    </xf>
    <xf numFmtId="0" fontId="56" fillId="13" borderId="33" xfId="0" applyFont="1" applyFill="1" applyBorder="1"/>
    <xf numFmtId="171" fontId="56" fillId="14" borderId="40" xfId="55" applyNumberFormat="1" applyFont="1" applyFill="1" applyBorder="1"/>
    <xf numFmtId="0" fontId="56" fillId="16" borderId="29" xfId="0" applyFont="1" applyFill="1" applyBorder="1"/>
    <xf numFmtId="171" fontId="54" fillId="10" borderId="33" xfId="55" applyNumberFormat="1" applyFont="1" applyFill="1" applyBorder="1"/>
    <xf numFmtId="0" fontId="56" fillId="14" borderId="40" xfId="0" applyFont="1" applyFill="1" applyBorder="1"/>
    <xf numFmtId="171" fontId="54" fillId="19" borderId="35" xfId="55" applyNumberFormat="1" applyFont="1" applyFill="1" applyBorder="1"/>
    <xf numFmtId="0" fontId="56" fillId="13" borderId="37" xfId="0" applyFont="1" applyFill="1" applyBorder="1"/>
    <xf numFmtId="14" fontId="56" fillId="13" borderId="37" xfId="0" applyNumberFormat="1" applyFont="1" applyFill="1" applyBorder="1"/>
    <xf numFmtId="14" fontId="56" fillId="13" borderId="43" xfId="0" applyNumberFormat="1" applyFont="1" applyFill="1" applyBorder="1"/>
    <xf numFmtId="0" fontId="56" fillId="16" borderId="40" xfId="0" applyFont="1" applyFill="1" applyBorder="1"/>
    <xf numFmtId="0" fontId="56" fillId="13" borderId="34" xfId="0" applyFont="1" applyFill="1" applyBorder="1"/>
    <xf numFmtId="0" fontId="56" fillId="13" borderId="21" xfId="0" applyFont="1" applyFill="1" applyBorder="1"/>
    <xf numFmtId="0" fontId="56" fillId="14" borderId="29" xfId="0" applyFont="1" applyFill="1" applyBorder="1"/>
    <xf numFmtId="0" fontId="55" fillId="14" borderId="21" xfId="56" applyFont="1" applyFill="1" applyBorder="1"/>
    <xf numFmtId="0" fontId="55" fillId="13" borderId="21" xfId="56" applyFont="1" applyFill="1" applyBorder="1"/>
    <xf numFmtId="179" fontId="55" fillId="13" borderId="21" xfId="56" applyNumberFormat="1" applyFont="1" applyFill="1" applyBorder="1"/>
    <xf numFmtId="10" fontId="55" fillId="13" borderId="21" xfId="56" applyNumberFormat="1" applyFont="1" applyFill="1" applyBorder="1"/>
    <xf numFmtId="0" fontId="56" fillId="16" borderId="0" xfId="0" applyFont="1" applyFill="1"/>
    <xf numFmtId="0" fontId="58" fillId="4" borderId="0" xfId="0" applyFont="1" applyFill="1"/>
    <xf numFmtId="0" fontId="62" fillId="4" borderId="0" xfId="0" applyFont="1" applyFill="1"/>
    <xf numFmtId="0" fontId="58" fillId="14" borderId="0" xfId="0" applyFont="1" applyFill="1"/>
    <xf numFmtId="0" fontId="55" fillId="0" borderId="0" xfId="56" applyFont="1"/>
    <xf numFmtId="2" fontId="56" fillId="19" borderId="42" xfId="0" applyNumberFormat="1" applyFont="1" applyFill="1" applyBorder="1"/>
    <xf numFmtId="0" fontId="56" fillId="13" borderId="38" xfId="0" applyFont="1" applyFill="1" applyBorder="1"/>
    <xf numFmtId="14" fontId="56" fillId="13" borderId="38" xfId="0" applyNumberFormat="1" applyFont="1" applyFill="1" applyBorder="1"/>
    <xf numFmtId="0" fontId="61" fillId="16" borderId="21" xfId="56" applyFont="1" applyFill="1" applyBorder="1" applyAlignment="1">
      <alignment horizontal="right"/>
    </xf>
    <xf numFmtId="0" fontId="63" fillId="13" borderId="21" xfId="0" applyFont="1" applyFill="1" applyBorder="1"/>
    <xf numFmtId="0" fontId="64" fillId="14" borderId="0" xfId="0" applyFont="1" applyFill="1"/>
    <xf numFmtId="14" fontId="56" fillId="0" borderId="41" xfId="0" applyNumberFormat="1" applyFont="1" applyBorder="1"/>
    <xf numFmtId="14" fontId="56" fillId="0" borderId="33" xfId="0" applyNumberFormat="1" applyFont="1" applyBorder="1"/>
    <xf numFmtId="0" fontId="61" fillId="13" borderId="21" xfId="56" applyFont="1" applyFill="1" applyBorder="1"/>
    <xf numFmtId="14" fontId="56" fillId="13" borderId="39" xfId="0" applyNumberFormat="1" applyFont="1" applyFill="1" applyBorder="1"/>
    <xf numFmtId="180" fontId="56" fillId="0" borderId="0" xfId="0" applyNumberFormat="1" applyFont="1"/>
    <xf numFmtId="0" fontId="63" fillId="13" borderId="21" xfId="0" quotePrefix="1" applyFont="1" applyFill="1" applyBorder="1"/>
    <xf numFmtId="0" fontId="65" fillId="0" borderId="0" xfId="56" applyFont="1"/>
    <xf numFmtId="0" fontId="59" fillId="31" borderId="0" xfId="56" applyFont="1" applyFill="1"/>
    <xf numFmtId="0" fontId="59" fillId="31" borderId="11" xfId="56" applyFont="1" applyFill="1" applyBorder="1"/>
    <xf numFmtId="168" fontId="59" fillId="31" borderId="11" xfId="56" applyNumberFormat="1" applyFont="1" applyFill="1" applyBorder="1"/>
    <xf numFmtId="16" fontId="56" fillId="16" borderId="40" xfId="0" applyNumberFormat="1" applyFont="1" applyFill="1" applyBorder="1"/>
    <xf numFmtId="16" fontId="56" fillId="0" borderId="0" xfId="0" applyNumberFormat="1" applyFont="1"/>
    <xf numFmtId="0" fontId="66" fillId="0" borderId="0" xfId="56" applyFont="1"/>
    <xf numFmtId="0" fontId="55" fillId="30" borderId="0" xfId="56" applyFont="1" applyFill="1" applyBorder="1"/>
    <xf numFmtId="0" fontId="55" fillId="30" borderId="44" xfId="56" applyFont="1" applyFill="1" applyBorder="1"/>
    <xf numFmtId="0" fontId="55" fillId="9" borderId="11" xfId="56" applyFont="1" applyFill="1" applyBorder="1"/>
    <xf numFmtId="0" fontId="66" fillId="9" borderId="11" xfId="56" applyFont="1" applyFill="1" applyBorder="1"/>
    <xf numFmtId="0" fontId="59" fillId="9" borderId="11" xfId="56" applyFont="1" applyFill="1" applyBorder="1"/>
    <xf numFmtId="164" fontId="66" fillId="0" borderId="0" xfId="55" applyFont="1"/>
    <xf numFmtId="2" fontId="55" fillId="9" borderId="11" xfId="56" applyNumberFormat="1" applyFont="1" applyFill="1" applyBorder="1"/>
    <xf numFmtId="171" fontId="66" fillId="9" borderId="11" xfId="55" applyNumberFormat="1" applyFont="1" applyFill="1" applyBorder="1"/>
    <xf numFmtId="180" fontId="55" fillId="9" borderId="11" xfId="56" applyNumberFormat="1" applyFont="1" applyFill="1" applyBorder="1"/>
    <xf numFmtId="164" fontId="66" fillId="9" borderId="11" xfId="55" applyFont="1" applyFill="1" applyBorder="1"/>
    <xf numFmtId="0" fontId="56" fillId="30" borderId="40" xfId="0" applyFont="1" applyFill="1" applyBorder="1"/>
    <xf numFmtId="0" fontId="56" fillId="13" borderId="39" xfId="0" applyFont="1" applyFill="1" applyBorder="1"/>
    <xf numFmtId="0" fontId="55" fillId="31" borderId="11" xfId="56" applyFont="1" applyFill="1" applyBorder="1"/>
    <xf numFmtId="171" fontId="55" fillId="30" borderId="11" xfId="56" applyNumberFormat="1" applyFont="1" applyFill="1" applyBorder="1"/>
    <xf numFmtId="2" fontId="55" fillId="30" borderId="11" xfId="56" applyNumberFormat="1" applyFont="1" applyFill="1" applyBorder="1"/>
    <xf numFmtId="2" fontId="59" fillId="30" borderId="11" xfId="56" applyNumberFormat="1" applyFont="1" applyFill="1" applyBorder="1"/>
    <xf numFmtId="0" fontId="58" fillId="16" borderId="21" xfId="0" applyFont="1" applyFill="1" applyBorder="1"/>
    <xf numFmtId="171" fontId="58" fillId="13" borderId="36" xfId="55" applyNumberFormat="1" applyFont="1" applyFill="1" applyBorder="1"/>
    <xf numFmtId="14" fontId="56" fillId="0" borderId="0" xfId="0" applyNumberFormat="1" applyFont="1"/>
    <xf numFmtId="0" fontId="55" fillId="30" borderId="0" xfId="56" applyFont="1" applyFill="1"/>
    <xf numFmtId="0" fontId="55" fillId="30" borderId="11" xfId="56" applyFont="1" applyFill="1" applyBorder="1"/>
    <xf numFmtId="179" fontId="55" fillId="0" borderId="0" xfId="56" applyNumberFormat="1" applyFont="1"/>
    <xf numFmtId="0" fontId="55" fillId="20" borderId="0" xfId="56" applyFont="1" applyFill="1"/>
    <xf numFmtId="2" fontId="55" fillId="0" borderId="0" xfId="56" applyNumberFormat="1" applyFont="1"/>
    <xf numFmtId="14" fontId="55" fillId="0" borderId="0" xfId="56" applyNumberFormat="1" applyFont="1"/>
    <xf numFmtId="164" fontId="55" fillId="0" borderId="0" xfId="55" applyFont="1"/>
    <xf numFmtId="164" fontId="55" fillId="0" borderId="0" xfId="56" applyNumberFormat="1" applyFont="1"/>
    <xf numFmtId="14" fontId="56" fillId="13" borderId="42" xfId="0" applyNumberFormat="1" applyFont="1" applyFill="1" applyBorder="1"/>
    <xf numFmtId="14" fontId="67" fillId="0" borderId="41" xfId="0" applyNumberFormat="1" applyFont="1" applyBorder="1"/>
    <xf numFmtId="14" fontId="67" fillId="0" borderId="33" xfId="0" applyNumberFormat="1" applyFont="1" applyBorder="1"/>
    <xf numFmtId="180" fontId="56" fillId="14" borderId="40" xfId="0" applyNumberFormat="1" applyFont="1" applyFill="1" applyBorder="1"/>
    <xf numFmtId="0" fontId="68" fillId="12" borderId="0" xfId="56" applyFont="1" applyFill="1"/>
    <xf numFmtId="0" fontId="68" fillId="13" borderId="0" xfId="56" applyFont="1" applyFill="1"/>
    <xf numFmtId="164" fontId="68" fillId="15" borderId="0" xfId="55" applyFont="1" applyFill="1"/>
    <xf numFmtId="176" fontId="68" fillId="15" borderId="0" xfId="56" applyNumberFormat="1" applyFont="1" applyFill="1"/>
    <xf numFmtId="164" fontId="21" fillId="10" borderId="0" xfId="55" applyFont="1" applyFill="1" applyAlignment="1" applyProtection="1">
      <alignment vertical="center"/>
      <protection hidden="1"/>
    </xf>
    <xf numFmtId="0" fontId="0" fillId="10" borderId="0" xfId="0" applyFill="1"/>
    <xf numFmtId="0" fontId="69" fillId="10" borderId="0" xfId="0" applyFont="1" applyFill="1"/>
    <xf numFmtId="0" fontId="70" fillId="10" borderId="0" xfId="0" applyFont="1" applyFill="1"/>
    <xf numFmtId="10" fontId="0" fillId="10" borderId="0" xfId="0" applyNumberFormat="1" applyFill="1"/>
    <xf numFmtId="0" fontId="7" fillId="10" borderId="0" xfId="0" applyFont="1" applyFill="1"/>
    <xf numFmtId="0" fontId="61" fillId="16" borderId="21" xfId="56" applyFont="1" applyFill="1" applyBorder="1" applyAlignment="1">
      <alignment horizontal="center"/>
    </xf>
    <xf numFmtId="0" fontId="61" fillId="16" borderId="29" xfId="56" applyFont="1" applyFill="1" applyBorder="1" applyAlignment="1">
      <alignment horizontal="center" vertical="center" wrapText="1"/>
    </xf>
    <xf numFmtId="0" fontId="55" fillId="20" borderId="0" xfId="56" applyFont="1" applyFill="1" applyAlignment="1">
      <alignment horizontal="center" textRotation="90"/>
    </xf>
    <xf numFmtId="0" fontId="59" fillId="0" borderId="0" xfId="56" applyFont="1" applyBorder="1" applyAlignment="1">
      <alignment horizontal="center" wrapText="1"/>
    </xf>
    <xf numFmtId="0" fontId="54" fillId="16" borderId="29" xfId="0" applyFont="1" applyFill="1" applyBorder="1" applyAlignment="1">
      <alignment horizontal="center" wrapText="1"/>
    </xf>
    <xf numFmtId="0" fontId="54" fillId="16" borderId="34" xfId="0" applyFont="1" applyFill="1" applyBorder="1" applyAlignment="1">
      <alignment horizontal="center" wrapText="1"/>
    </xf>
    <xf numFmtId="14" fontId="21" fillId="14" borderId="10" xfId="56" applyNumberFormat="1" applyFont="1" applyFill="1" applyBorder="1" applyAlignment="1" applyProtection="1">
      <alignment horizontal="center" vertical="center"/>
      <protection locked="0" hidden="1"/>
    </xf>
    <xf numFmtId="2" fontId="21" fillId="14" borderId="10" xfId="56" applyNumberFormat="1" applyFont="1" applyFill="1" applyBorder="1" applyAlignment="1" applyProtection="1">
      <alignment horizontal="center" vertical="center" shrinkToFit="1"/>
      <protection locked="0" hidden="1"/>
    </xf>
    <xf numFmtId="2" fontId="21" fillId="14" borderId="24" xfId="56" applyNumberFormat="1" applyFont="1" applyFill="1" applyBorder="1" applyAlignment="1" applyProtection="1">
      <alignment horizontal="center" vertical="center" shrinkToFit="1"/>
      <protection locked="0" hidden="1"/>
    </xf>
    <xf numFmtId="0" fontId="21" fillId="15" borderId="28" xfId="56" applyNumberFormat="1" applyFont="1" applyFill="1" applyBorder="1" applyAlignment="1" applyProtection="1">
      <alignment horizontal="center" vertical="center"/>
      <protection hidden="1"/>
    </xf>
    <xf numFmtId="0" fontId="21" fillId="15" borderId="27" xfId="56" applyNumberFormat="1" applyFont="1" applyFill="1" applyBorder="1" applyAlignment="1" applyProtection="1">
      <alignment horizontal="center" vertical="center"/>
      <protection hidden="1"/>
    </xf>
    <xf numFmtId="2" fontId="21" fillId="14" borderId="10" xfId="56" applyNumberFormat="1" applyFont="1" applyFill="1" applyBorder="1" applyAlignment="1" applyProtection="1">
      <alignment horizontal="center" vertical="center"/>
      <protection locked="0" hidden="1"/>
    </xf>
    <xf numFmtId="0" fontId="0" fillId="12" borderId="16" xfId="0" applyFill="1" applyBorder="1" applyAlignment="1" applyProtection="1">
      <alignment horizontal="center" textRotation="90" wrapText="1"/>
      <protection hidden="1"/>
    </xf>
    <xf numFmtId="0" fontId="0" fillId="12" borderId="17" xfId="0" applyFill="1" applyBorder="1" applyAlignment="1" applyProtection="1">
      <alignment horizontal="center" textRotation="90" wrapText="1"/>
      <protection hidden="1"/>
    </xf>
    <xf numFmtId="0" fontId="0" fillId="12" borderId="18" xfId="0" applyFill="1" applyBorder="1" applyAlignment="1" applyProtection="1">
      <alignment horizontal="center" textRotation="90" wrapText="1"/>
      <protection hidden="1"/>
    </xf>
    <xf numFmtId="0" fontId="44" fillId="4" borderId="0" xfId="0" applyFont="1" applyFill="1" applyAlignment="1" applyProtection="1">
      <alignment horizontal="center" wrapText="1"/>
      <protection hidden="1"/>
    </xf>
    <xf numFmtId="0" fontId="36" fillId="16" borderId="35" xfId="0" applyFont="1" applyFill="1" applyBorder="1" applyAlignment="1" applyProtection="1">
      <alignment horizontal="center" textRotation="90" wrapText="1"/>
      <protection hidden="1"/>
    </xf>
    <xf numFmtId="0" fontId="36" fillId="16" borderId="45" xfId="0" applyFont="1" applyFill="1" applyBorder="1" applyAlignment="1" applyProtection="1">
      <alignment horizontal="center" textRotation="90" wrapText="1"/>
      <protection hidden="1"/>
    </xf>
    <xf numFmtId="0" fontId="36" fillId="16" borderId="36" xfId="0" applyFont="1" applyFill="1" applyBorder="1" applyAlignment="1" applyProtection="1">
      <alignment horizontal="center" textRotation="90" wrapText="1"/>
      <protection hidden="1"/>
    </xf>
    <xf numFmtId="0" fontId="36" fillId="17" borderId="21" xfId="0" applyFont="1" applyFill="1" applyBorder="1" applyAlignment="1" applyProtection="1">
      <alignment horizontal="center" textRotation="90" wrapText="1"/>
      <protection hidden="1"/>
    </xf>
    <xf numFmtId="0" fontId="37" fillId="20" borderId="0" xfId="0" applyFont="1" applyFill="1" applyAlignment="1" applyProtection="1">
      <alignment horizontal="center" textRotation="90" wrapText="1"/>
      <protection hidden="1"/>
    </xf>
    <xf numFmtId="0" fontId="37" fillId="21" borderId="45" xfId="0" applyFont="1" applyFill="1" applyBorder="1" applyAlignment="1" applyProtection="1">
      <alignment horizontal="center" textRotation="90" wrapText="1"/>
      <protection hidden="1"/>
    </xf>
  </cellXfs>
  <cellStyles count="65">
    <cellStyle name="Besuchter Hyperlink" xfId="2" builtinId="9" hidden="1"/>
    <cellStyle name="Besuchter Hyperlink" xfId="5" builtinId="9" hidden="1"/>
    <cellStyle name="Besuchter Hyperlink" xfId="36" builtinId="9" hidden="1"/>
    <cellStyle name="Besuchter Hyperlink" xfId="38" builtinId="9" hidden="1"/>
    <cellStyle name="Besuchter Hyperlink" xfId="42" builtinId="9" hidden="1"/>
    <cellStyle name="Besuchter Hyperlink" xfId="46" builtinId="9" hidden="1"/>
    <cellStyle name="Besuchter Hyperlink" xfId="50" builtinId="9" hidden="1"/>
    <cellStyle name="Besuchter Hyperlink" xfId="48" builtinId="9" hidden="1"/>
    <cellStyle name="Besuchter Hyperlink" xfId="32" builtinId="9" hidden="1"/>
    <cellStyle name="Besuchter Hyperlink" xfId="24" builtinId="9" hidden="1"/>
    <cellStyle name="Besuchter Hyperlink" xfId="16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4" builtinId="9" hidden="1"/>
    <cellStyle name="Besuchter Hyperlink" xfId="8" builtinId="9" hidden="1"/>
    <cellStyle name="Besuchter Hyperlink" xfId="6" builtinId="9" hidden="1"/>
    <cellStyle name="Besuchter Hyperlink" xfId="40" builtinId="9" hidden="1"/>
    <cellStyle name="Besuchter Hyperlink" xfId="44" builtinId="9" hidden="1"/>
    <cellStyle name="Besuchter Hyperlink" xfId="34" builtinId="9" hidden="1"/>
    <cellStyle name="Besuchter Hyperlink" xfId="20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22" builtinId="9" hidden="1"/>
    <cellStyle name="Besuchter Hyperlink" xfId="52" builtinId="9" hidden="1"/>
    <cellStyle name="Besuchter Hyperlink" xfId="18" builtinId="9" hidden="1"/>
    <cellStyle name="Besuchter Hyperlink" xfId="54" builtinId="9" hidden="1"/>
    <cellStyle name="Komma" xfId="55" builtinId="3"/>
    <cellStyle name="Komma 2" xfId="57" xr:uid="{00000000-0005-0000-0000-00001D000000}"/>
    <cellStyle name="Komma 2 2" xfId="61" xr:uid="{00000000-0005-0000-0000-00001E000000}"/>
    <cellStyle name="Link" xfId="17" builtinId="8" hidden="1"/>
    <cellStyle name="Link" xfId="7" builtinId="8" hidden="1"/>
    <cellStyle name="Link" xfId="9" builtinId="8" hidden="1"/>
    <cellStyle name="Link" xfId="1" builtinId="8" hidden="1"/>
    <cellStyle name="Link" xfId="3" builtinId="8" hidden="1"/>
    <cellStyle name="Link" xfId="1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7" builtinId="8" hidden="1"/>
    <cellStyle name="Link" xfId="39" builtinId="8" hidden="1"/>
    <cellStyle name="Link" xfId="41" builtinId="8" hidden="1"/>
    <cellStyle name="Link" xfId="19" builtinId="8" hidden="1"/>
    <cellStyle name="Link" xfId="11" builtinId="8" hidden="1"/>
    <cellStyle name="Link" xfId="13" builtinId="8" hidden="1"/>
    <cellStyle name="Link" xfId="35" builtinId="8" hidden="1"/>
    <cellStyle name="Link" xfId="25" builtinId="8" hidden="1"/>
    <cellStyle name="Link" xfId="51" builtinId="8" hidden="1"/>
    <cellStyle name="Link" xfId="43" builtinId="8" hidden="1"/>
    <cellStyle name="Link" xfId="21" builtinId="8" hidden="1"/>
    <cellStyle name="Link" xfId="23" builtinId="8" hidden="1"/>
    <cellStyle name="Link" xfId="49" builtinId="8" hidden="1"/>
    <cellStyle name="Link" xfId="53" builtinId="8" hidden="1"/>
    <cellStyle name="Link" xfId="47" builtinId="8" hidden="1"/>
    <cellStyle name="Link" xfId="45" builtinId="8" hidden="1"/>
    <cellStyle name="Link" xfId="59" builtinId="8"/>
    <cellStyle name="Prozent" xfId="60" builtinId="5"/>
    <cellStyle name="Prozent 2" xfId="58" xr:uid="{00000000-0005-0000-0000-00003B000000}"/>
    <cellStyle name="Prozent 2 2" xfId="62" xr:uid="{00000000-0005-0000-0000-00003C000000}"/>
    <cellStyle name="Standard" xfId="0" builtinId="0"/>
    <cellStyle name="Standard 2" xfId="56" xr:uid="{00000000-0005-0000-0000-00003E000000}"/>
    <cellStyle name="Standard 3" xfId="63" xr:uid="{00000000-0005-0000-0000-00003F000000}"/>
    <cellStyle name="Standard 3 2" xfId="64" xr:uid="{00000000-0005-0000-0000-000040000000}"/>
  </cellStyles>
  <dxfs count="53">
    <dxf>
      <font>
        <color theme="0" tint="-0.14996795556505021"/>
      </font>
      <fill>
        <patternFill>
          <bgColor theme="0" tint="-0.14996795556505021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9" tint="0.39994506668294322"/>
        </patternFill>
      </fill>
    </dxf>
    <dxf>
      <font>
        <color theme="0" tint="-0.14996795556505021"/>
      </font>
      <fill>
        <patternFill>
          <bgColor theme="0" tint="-0.14996795556505021"/>
        </patternFill>
      </fill>
      <border>
        <bottom style="thin">
          <color theme="0" tint="-0.14996795556505021"/>
        </bottom>
        <vertical/>
        <horizontal/>
      </border>
    </dxf>
    <dxf>
      <font>
        <color theme="0" tint="-0.14996795556505021"/>
      </font>
      <fill>
        <patternFill>
          <bgColor theme="0" tint="-0.14996795556505021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2" tint="-0.24994659260841701"/>
        </patternFill>
      </fill>
    </dxf>
    <dxf>
      <fill>
        <patternFill>
          <bgColor rgb="FFE6E6E6"/>
        </patternFill>
      </fill>
    </dxf>
    <dxf>
      <fill>
        <patternFill>
          <bgColor theme="7" tint="0.59996337778862885"/>
        </patternFill>
      </fill>
    </dxf>
    <dxf>
      <fill>
        <patternFill>
          <bgColor rgb="FFE6E6E6"/>
        </patternFill>
      </fill>
    </dxf>
    <dxf>
      <font>
        <color theme="1"/>
      </font>
      <fill>
        <patternFill>
          <bgColor theme="0" tint="-0.14996795556505021"/>
        </patternFill>
      </fill>
      <border>
        <bottom style="thin">
          <color theme="0" tint="-0.1499679555650502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0F0F0"/>
        </patternFill>
      </fill>
      <border>
        <left/>
        <right/>
        <bottom/>
        <vertical/>
        <horizontal/>
      </border>
    </dxf>
    <dxf>
      <font>
        <color rgb="FF00B050"/>
      </font>
    </dxf>
    <dxf>
      <font>
        <color rgb="FF00B05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6" tint="0.59996337778862885"/>
      </font>
    </dxf>
    <dxf>
      <font>
        <color theme="0" tint="-0.34998626667073579"/>
      </font>
    </dxf>
    <dxf>
      <font>
        <color rgb="FF00B050"/>
      </font>
    </dxf>
    <dxf>
      <font>
        <color theme="6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6" tint="0.59996337778862885"/>
      </font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 tint="-0.34998626667073579"/>
      </font>
    </dxf>
    <dxf>
      <font>
        <color theme="0" tint="-0.34998626667073579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numFmt numFmtId="181" formatCode="&quot;DD.MM.JJJJ&quot;"/>
    </dxf>
  </dxfs>
  <tableStyles count="0" defaultTableStyle="TableStyleMedium9" defaultPivotStyle="PivotStyleMedium7"/>
  <colors>
    <mruColors>
      <color rgb="FFE6F0FB"/>
      <color rgb="FFC2D6EE"/>
      <color rgb="FFC2D6DA"/>
      <color rgb="FFFFFF99"/>
      <color rgb="FFF0F0F0"/>
      <color rgb="FFE6E6E6"/>
      <color rgb="FFD2D2D2"/>
      <color rgb="FFFAFAFA"/>
      <color rgb="FFE2E1E3"/>
      <color rgb="FF0082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9</xdr:row>
      <xdr:rowOff>0</xdr:rowOff>
    </xdr:from>
    <xdr:ext cx="4153113" cy="1314520"/>
    <xdr:pic>
      <xdr:nvPicPr>
        <xdr:cNvPr id="2" name="Grafik 1">
          <a:extLst>
            <a:ext uri="{FF2B5EF4-FFF2-40B4-BE49-F238E27FC236}">
              <a16:creationId xmlns:a16="http://schemas.microsoft.com/office/drawing/2014/main" id="{C4DC0F59-679D-4090-9122-FC2D541DF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0" y="1714500"/>
          <a:ext cx="4153113" cy="131452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16</xdr:row>
      <xdr:rowOff>0</xdr:rowOff>
    </xdr:from>
    <xdr:ext cx="4181690" cy="1285944"/>
    <xdr:pic>
      <xdr:nvPicPr>
        <xdr:cNvPr id="3" name="Grafik 2">
          <a:extLst>
            <a:ext uri="{FF2B5EF4-FFF2-40B4-BE49-F238E27FC236}">
              <a16:creationId xmlns:a16="http://schemas.microsoft.com/office/drawing/2014/main" id="{0EA0B5A3-F6C0-45E6-AAA3-9FBB1CB06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00" y="3048000"/>
          <a:ext cx="4181690" cy="128594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Testversionen/Formular%20Aufgabenplanung%20und%20Arbeitszeitdokumentation%20SJ%2026_27%20-%20test2_js.xlsx?4A5B9924" TargetMode="External"/><Relationship Id="rId1" Type="http://schemas.openxmlformats.org/officeDocument/2006/relationships/externalLinkPath" Target="file:///\\4A5B9924\Formular%20Aufgabenplanung%20und%20Arbeitszeitdokumentation%20SJ%2026_27%20-%20test2_j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 js"/>
      <sheetName val="Dropdowns"/>
      <sheetName val="Grundlagen"/>
      <sheetName val="Berechnungen BA"/>
      <sheetName val="Aufgabenplanung"/>
      <sheetName val="ZD Vorerfassung"/>
      <sheetName val="Zeitdokumentation"/>
      <sheetName val="ZD Übersicht"/>
    </sheetNames>
    <sheetDataSet>
      <sheetData sheetId="0" refreshError="1"/>
      <sheetData sheetId="1" refreshError="1"/>
      <sheetData sheetId="2" refreshError="1"/>
      <sheetData sheetId="3">
        <row r="13">
          <cell r="C13">
            <v>0.1413906447534766</v>
          </cell>
          <cell r="D13">
            <v>7.5853350189633378E-2</v>
          </cell>
          <cell r="E13">
            <v>6.0682680151706692E-2</v>
          </cell>
          <cell r="F13">
            <v>7.5853350189633378E-2</v>
          </cell>
        </row>
        <row r="14">
          <cell r="C14">
            <v>5.1683636363636369E-2</v>
          </cell>
          <cell r="D14">
            <v>2.6956521739130435E-2</v>
          </cell>
          <cell r="E14">
            <v>2.1000000000000001E-2</v>
          </cell>
          <cell r="F14">
            <v>2.4807692307692308E-2</v>
          </cell>
        </row>
        <row r="18">
          <cell r="C18">
            <v>0.2305620825192507</v>
          </cell>
          <cell r="D18">
            <v>0.11458143241906227</v>
          </cell>
          <cell r="E18">
            <v>8.4983986514959961E-2</v>
          </cell>
          <cell r="F18">
            <v>9.1646649810366632E-2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-Design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baselland.ch/politik-und-behorden/direktionen/finanz-und-kirchendirektion/personalamt/arbeitszeiten" TargetMode="External"/><Relationship Id="rId1" Type="http://schemas.openxmlformats.org/officeDocument/2006/relationships/hyperlink" Target="https://www.baselland.ch/politik-und-behorden/direktionen/finanz-und-kirchendirektion/personalamt/arbeitszeiten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1FC5E-4C41-4F60-856B-E6979EF61E9D}">
  <sheetPr codeName="Tabelle2"/>
  <dimension ref="A2:C27"/>
  <sheetViews>
    <sheetView workbookViewId="0">
      <selection activeCell="B16" sqref="B16"/>
    </sheetView>
  </sheetViews>
  <sheetFormatPr baseColWidth="10" defaultColWidth="11.109375" defaultRowHeight="15" x14ac:dyDescent="0.2"/>
  <cols>
    <col min="1" max="1" width="3.33203125" style="388" customWidth="1"/>
    <col min="2" max="2" width="255.6640625" style="388" customWidth="1"/>
    <col min="3" max="3" width="145.88671875" style="388" bestFit="1" customWidth="1"/>
    <col min="4" max="16384" width="11.109375" style="388"/>
  </cols>
  <sheetData>
    <row r="2" spans="1:3" ht="15.75" x14ac:dyDescent="0.25">
      <c r="B2" s="392" t="s">
        <v>343</v>
      </c>
      <c r="C2" s="392" t="s">
        <v>342</v>
      </c>
    </row>
    <row r="3" spans="1:3" s="390" customFormat="1" x14ac:dyDescent="0.2">
      <c r="A3" s="389">
        <v>1</v>
      </c>
      <c r="B3" s="389" t="s">
        <v>341</v>
      </c>
      <c r="C3" s="390" t="s">
        <v>340</v>
      </c>
    </row>
    <row r="4" spans="1:3" s="390" customFormat="1" x14ac:dyDescent="0.2">
      <c r="A4" s="389">
        <f t="shared" ref="A4:A9" si="0">A3+1</f>
        <v>2</v>
      </c>
      <c r="B4" s="389" t="s">
        <v>339</v>
      </c>
      <c r="C4" s="390" t="s">
        <v>338</v>
      </c>
    </row>
    <row r="5" spans="1:3" x14ac:dyDescent="0.2">
      <c r="A5" s="390">
        <f t="shared" si="0"/>
        <v>3</v>
      </c>
      <c r="B5" s="388" t="s">
        <v>337</v>
      </c>
    </row>
    <row r="6" spans="1:3" x14ac:dyDescent="0.2">
      <c r="A6" s="390">
        <f t="shared" si="0"/>
        <v>4</v>
      </c>
      <c r="B6" s="388" t="s">
        <v>336</v>
      </c>
    </row>
    <row r="7" spans="1:3" s="390" customFormat="1" x14ac:dyDescent="0.2">
      <c r="A7" s="390">
        <f t="shared" si="0"/>
        <v>5</v>
      </c>
      <c r="B7" s="390" t="s">
        <v>335</v>
      </c>
    </row>
    <row r="8" spans="1:3" x14ac:dyDescent="0.2">
      <c r="A8" s="390">
        <f t="shared" si="0"/>
        <v>6</v>
      </c>
      <c r="B8" s="391" t="str">
        <f>"Kleine Rundungsdifferenz: "&amp;SUM('[1]Berechnungen BA'!C13:F14,'[1]Berechnungen BA'!C18:F18,'[1]Berechnungen BA'!C21:F21)</f>
        <v>Kleine Rundungsdifferenz: 1.00000202695855</v>
      </c>
    </row>
    <row r="9" spans="1:3" x14ac:dyDescent="0.2">
      <c r="A9" s="390">
        <f t="shared" si="0"/>
        <v>7</v>
      </c>
      <c r="B9" s="388" t="s">
        <v>334</v>
      </c>
    </row>
    <row r="24" spans="1:3" x14ac:dyDescent="0.2">
      <c r="A24" s="388">
        <v>8</v>
      </c>
      <c r="B24" s="388" t="s">
        <v>333</v>
      </c>
      <c r="C24" s="388" t="s">
        <v>332</v>
      </c>
    </row>
    <row r="25" spans="1:3" x14ac:dyDescent="0.2">
      <c r="A25" s="388">
        <f>A24+1</f>
        <v>9</v>
      </c>
      <c r="B25" s="388" t="s">
        <v>331</v>
      </c>
      <c r="C25" s="388" t="s">
        <v>330</v>
      </c>
    </row>
    <row r="26" spans="1:3" x14ac:dyDescent="0.2">
      <c r="A26" s="389">
        <v>10</v>
      </c>
      <c r="B26" s="389" t="s">
        <v>329</v>
      </c>
    </row>
    <row r="27" spans="1:3" x14ac:dyDescent="0.2">
      <c r="A27" s="389">
        <v>11</v>
      </c>
      <c r="B27" s="389" t="s">
        <v>328</v>
      </c>
    </row>
  </sheetData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3">
    <tabColor rgb="FFFFC000"/>
  </sheetPr>
  <dimension ref="A1:L29"/>
  <sheetViews>
    <sheetView zoomScale="85" zoomScaleNormal="85" workbookViewId="0">
      <pane ySplit="1" topLeftCell="A2" activePane="bottomLeft" state="frozen"/>
      <selection activeCell="B16" sqref="B16"/>
      <selection pane="bottomLeft" activeCell="B16" sqref="B16"/>
    </sheetView>
  </sheetViews>
  <sheetFormatPr baseColWidth="10" defaultColWidth="11.5546875" defaultRowHeight="12.75" x14ac:dyDescent="0.2"/>
  <cols>
    <col min="1" max="11" width="17.77734375" style="33" customWidth="1"/>
    <col min="12" max="16384" width="11.5546875" style="1"/>
  </cols>
  <sheetData>
    <row r="1" spans="1:12" s="22" customFormat="1" ht="39" thickBot="1" x14ac:dyDescent="0.25">
      <c r="A1" s="35" t="s">
        <v>144</v>
      </c>
      <c r="B1" s="36" t="s">
        <v>214</v>
      </c>
      <c r="C1" s="37" t="s">
        <v>145</v>
      </c>
      <c r="D1" s="37" t="s">
        <v>146</v>
      </c>
      <c r="E1" s="37" t="s">
        <v>147</v>
      </c>
      <c r="F1" s="37" t="s">
        <v>148</v>
      </c>
      <c r="G1" s="35" t="s">
        <v>149</v>
      </c>
      <c r="H1" s="35" t="s">
        <v>150</v>
      </c>
      <c r="I1" s="35" t="s">
        <v>151</v>
      </c>
      <c r="J1" s="38" t="s">
        <v>230</v>
      </c>
      <c r="K1" s="34" t="s">
        <v>233</v>
      </c>
      <c r="L1" s="290" t="s">
        <v>295</v>
      </c>
    </row>
    <row r="2" spans="1:12" ht="51.75" thickBot="1" x14ac:dyDescent="0.25">
      <c r="A2" s="34" t="s">
        <v>222</v>
      </c>
      <c r="B2" s="40" t="s">
        <v>215</v>
      </c>
      <c r="C2" s="37" t="s">
        <v>118</v>
      </c>
      <c r="D2" s="37" t="s">
        <v>118</v>
      </c>
      <c r="E2" s="37" t="s">
        <v>118</v>
      </c>
      <c r="F2" s="41" t="s">
        <v>118</v>
      </c>
      <c r="G2" s="34">
        <v>22</v>
      </c>
      <c r="H2" s="34">
        <v>22</v>
      </c>
      <c r="I2" s="40">
        <v>22</v>
      </c>
      <c r="J2" s="41" t="s">
        <v>52</v>
      </c>
      <c r="K2" s="34" t="s">
        <v>209</v>
      </c>
      <c r="L2" s="37" t="s">
        <v>118</v>
      </c>
    </row>
    <row r="3" spans="1:12" ht="13.5" thickBot="1" x14ac:dyDescent="0.25">
      <c r="A3" s="35" t="s">
        <v>106</v>
      </c>
      <c r="B3" s="42" t="s">
        <v>236</v>
      </c>
      <c r="C3" s="38" t="s">
        <v>152</v>
      </c>
      <c r="D3" s="37" t="s">
        <v>152</v>
      </c>
      <c r="E3" s="38" t="s">
        <v>152</v>
      </c>
      <c r="F3" s="43" t="s">
        <v>152</v>
      </c>
      <c r="G3" s="34">
        <v>26</v>
      </c>
      <c r="H3" s="34">
        <v>23</v>
      </c>
      <c r="I3" s="44">
        <v>26</v>
      </c>
      <c r="J3" s="41" t="s">
        <v>163</v>
      </c>
      <c r="K3" s="34" t="s">
        <v>167</v>
      </c>
      <c r="L3" s="38" t="s">
        <v>152</v>
      </c>
    </row>
    <row r="4" spans="1:12" ht="26.25" thickBot="1" x14ac:dyDescent="0.25">
      <c r="A4" s="35" t="s">
        <v>109</v>
      </c>
      <c r="B4" s="42" t="s">
        <v>237</v>
      </c>
      <c r="C4" s="38" t="s">
        <v>153</v>
      </c>
      <c r="D4" s="38" t="s">
        <v>153</v>
      </c>
      <c r="E4" s="38" t="s">
        <v>153</v>
      </c>
      <c r="F4" s="38" t="s">
        <v>153</v>
      </c>
      <c r="G4" s="22"/>
      <c r="H4" s="34">
        <v>24</v>
      </c>
      <c r="I4" s="22"/>
      <c r="J4" s="37" t="s">
        <v>164</v>
      </c>
      <c r="K4" s="22"/>
      <c r="L4" s="38" t="s">
        <v>153</v>
      </c>
    </row>
    <row r="5" spans="1:12" ht="51.75" thickBot="1" x14ac:dyDescent="0.25">
      <c r="A5" s="35" t="s">
        <v>107</v>
      </c>
      <c r="B5" s="42" t="s">
        <v>235</v>
      </c>
      <c r="C5" s="38" t="s">
        <v>154</v>
      </c>
      <c r="D5" s="37" t="s">
        <v>155</v>
      </c>
      <c r="E5" s="45"/>
      <c r="F5" s="38" t="s">
        <v>156</v>
      </c>
      <c r="G5" s="22"/>
      <c r="H5" s="34">
        <v>26</v>
      </c>
      <c r="I5" s="22"/>
      <c r="J5" s="37" t="s">
        <v>149</v>
      </c>
      <c r="K5" s="22"/>
      <c r="L5" s="38" t="s">
        <v>294</v>
      </c>
    </row>
    <row r="6" spans="1:12" ht="51.75" thickBot="1" x14ac:dyDescent="0.25">
      <c r="A6" s="35" t="s">
        <v>157</v>
      </c>
      <c r="B6" s="36" t="s">
        <v>216</v>
      </c>
      <c r="C6" s="38" t="s">
        <v>294</v>
      </c>
      <c r="D6" s="38" t="s">
        <v>156</v>
      </c>
      <c r="E6" s="45"/>
      <c r="F6" s="45"/>
      <c r="G6" s="22"/>
      <c r="H6" s="22"/>
      <c r="I6" s="22"/>
      <c r="J6" s="37" t="s">
        <v>150</v>
      </c>
      <c r="K6" s="22"/>
    </row>
    <row r="7" spans="1:12" ht="39" thickBot="1" x14ac:dyDescent="0.25">
      <c r="A7" s="35" t="s">
        <v>110</v>
      </c>
      <c r="B7" s="36" t="s">
        <v>106</v>
      </c>
      <c r="C7" s="45"/>
      <c r="D7" s="38" t="s">
        <v>293</v>
      </c>
      <c r="E7" s="45"/>
      <c r="F7" s="45"/>
      <c r="G7" s="22"/>
      <c r="H7" s="22"/>
      <c r="I7" s="22"/>
      <c r="J7" s="37" t="s">
        <v>151</v>
      </c>
      <c r="K7" s="22"/>
    </row>
    <row r="8" spans="1:12" ht="51.75" thickBot="1" x14ac:dyDescent="0.25">
      <c r="A8" s="35" t="s">
        <v>158</v>
      </c>
      <c r="B8" s="36" t="s">
        <v>217</v>
      </c>
      <c r="C8" s="22"/>
      <c r="D8" s="38" t="s">
        <v>294</v>
      </c>
      <c r="E8" s="22"/>
      <c r="F8" s="22"/>
      <c r="G8" s="22"/>
      <c r="H8" s="22"/>
      <c r="I8" s="22"/>
      <c r="J8" s="290" t="s">
        <v>310</v>
      </c>
      <c r="K8" s="22"/>
    </row>
    <row r="9" spans="1:12" ht="13.5" thickBot="1" x14ac:dyDescent="0.25">
      <c r="A9" s="35" t="s">
        <v>108</v>
      </c>
      <c r="B9" s="36" t="s">
        <v>218</v>
      </c>
      <c r="C9" s="22"/>
      <c r="D9" s="22"/>
      <c r="E9" s="46"/>
      <c r="F9" s="46"/>
      <c r="G9" s="22"/>
      <c r="H9" s="22"/>
      <c r="I9" s="22"/>
      <c r="J9" s="22"/>
      <c r="K9" s="22"/>
    </row>
    <row r="10" spans="1:12" ht="26.25" thickBot="1" x14ac:dyDescent="0.25">
      <c r="A10" s="35" t="s">
        <v>159</v>
      </c>
      <c r="B10" s="36" t="s">
        <v>219</v>
      </c>
      <c r="C10" s="46"/>
      <c r="D10" s="22"/>
      <c r="E10" s="22"/>
      <c r="F10" s="22"/>
      <c r="G10" s="22"/>
      <c r="H10" s="22"/>
      <c r="I10" s="22"/>
      <c r="J10" s="22"/>
      <c r="K10" s="22"/>
    </row>
    <row r="11" spans="1:12" ht="13.5" thickBot="1" x14ac:dyDescent="0.25">
      <c r="A11" s="35" t="s">
        <v>160</v>
      </c>
      <c r="B11" s="36" t="s">
        <v>238</v>
      </c>
      <c r="C11" s="46"/>
      <c r="D11" s="22"/>
      <c r="E11" s="22"/>
      <c r="F11" s="22"/>
      <c r="G11" s="22"/>
      <c r="H11" s="22"/>
      <c r="I11" s="22"/>
      <c r="J11" s="22"/>
      <c r="K11" s="22"/>
    </row>
    <row r="12" spans="1:12" ht="26.25" thickBot="1" x14ac:dyDescent="0.25">
      <c r="A12" s="35" t="s">
        <v>223</v>
      </c>
      <c r="B12" s="36" t="s">
        <v>220</v>
      </c>
      <c r="C12" s="22"/>
      <c r="D12" s="22"/>
      <c r="E12" s="22"/>
      <c r="F12" s="22"/>
      <c r="G12" s="22"/>
      <c r="H12" s="22"/>
      <c r="I12" s="22"/>
      <c r="J12" s="22"/>
      <c r="K12" s="22"/>
    </row>
    <row r="13" spans="1:12" x14ac:dyDescent="0.2">
      <c r="B13" s="22"/>
      <c r="C13" s="22"/>
      <c r="D13" s="22"/>
      <c r="E13" s="22"/>
      <c r="F13" s="22"/>
      <c r="G13" s="22"/>
      <c r="H13" s="22"/>
      <c r="I13" s="22"/>
      <c r="J13" s="22"/>
      <c r="K13" s="22"/>
    </row>
    <row r="26" spans="1:2" x14ac:dyDescent="0.2">
      <c r="A26" s="39"/>
      <c r="B26" s="39"/>
    </row>
    <row r="29" spans="1:2" x14ac:dyDescent="0.2">
      <c r="A29" s="39"/>
      <c r="B29" s="39"/>
    </row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4">
    <tabColor rgb="FFFFC000"/>
  </sheetPr>
  <dimension ref="A1:AU252"/>
  <sheetViews>
    <sheetView zoomScaleNormal="100" workbookViewId="0">
      <selection activeCell="B16" sqref="B16"/>
    </sheetView>
  </sheetViews>
  <sheetFormatPr baseColWidth="10" defaultColWidth="11.5546875" defaultRowHeight="15" x14ac:dyDescent="0.2"/>
  <cols>
    <col min="1" max="1" width="3.5546875" style="374" bestFit="1" customWidth="1"/>
    <col min="2" max="3" width="11.33203125" style="332" customWidth="1"/>
    <col min="4" max="4" width="3.77734375" style="297" customWidth="1"/>
    <col min="5" max="7" width="8.21875" style="332" customWidth="1"/>
    <col min="8" max="8" width="9.33203125" style="332" customWidth="1"/>
    <col min="9" max="12" width="8.21875" style="332" customWidth="1"/>
    <col min="13" max="13" width="3.109375" style="297" customWidth="1"/>
    <col min="14" max="14" width="16.33203125" style="297" customWidth="1"/>
    <col min="15" max="15" width="8.109375" style="297" customWidth="1"/>
    <col min="16" max="16" width="11.5546875" style="297"/>
    <col min="17" max="18" width="14.44140625" style="297" customWidth="1"/>
    <col min="19" max="19" width="13.88671875" style="297" bestFit="1" customWidth="1"/>
    <col min="20" max="20" width="26.77734375" style="297" bestFit="1" customWidth="1"/>
    <col min="21" max="22" width="9.77734375" style="297" bestFit="1" customWidth="1"/>
    <col min="23" max="23" width="26.5546875" style="297" bestFit="1" customWidth="1"/>
    <col min="24" max="24" width="9.88671875" style="297" bestFit="1" customWidth="1"/>
    <col min="25" max="26" width="9.77734375" style="297" bestFit="1" customWidth="1"/>
    <col min="27" max="27" width="3.5546875" style="374" bestFit="1" customWidth="1"/>
    <col min="28" max="30" width="6.5546875" style="332" customWidth="1"/>
    <col min="31" max="31" width="45" style="332" bestFit="1" customWidth="1"/>
    <col min="32" max="36" width="11.33203125" style="332" customWidth="1"/>
    <col min="37" max="37" width="3.5546875" style="374" bestFit="1" customWidth="1"/>
    <col min="38" max="47" width="11.21875" style="297" customWidth="1"/>
    <col min="48" max="16384" width="11.5546875" style="332"/>
  </cols>
  <sheetData>
    <row r="1" spans="1:47" s="310" customFormat="1" ht="62.25" thickBot="1" x14ac:dyDescent="0.35">
      <c r="A1" s="395" t="s">
        <v>239</v>
      </c>
      <c r="B1" s="295" t="s">
        <v>241</v>
      </c>
      <c r="C1" s="296" t="s">
        <v>4</v>
      </c>
      <c r="D1" s="297"/>
      <c r="E1" s="397" t="s">
        <v>288</v>
      </c>
      <c r="F1" s="398"/>
      <c r="G1" s="283" t="s">
        <v>10</v>
      </c>
      <c r="H1" s="283" t="s">
        <v>289</v>
      </c>
      <c r="I1" s="283" t="s">
        <v>290</v>
      </c>
      <c r="J1" s="283" t="s">
        <v>35</v>
      </c>
      <c r="K1" s="283" t="s">
        <v>287</v>
      </c>
      <c r="L1" s="283" t="s">
        <v>15</v>
      </c>
      <c r="M1" s="297"/>
      <c r="N1" s="298" t="str">
        <f>"SOLL-Arbeitszeit Schuljahr "&amp;Schuljahr</f>
        <v>SOLL-Arbeitszeit Schuljahr 2026/2027</v>
      </c>
      <c r="O1" s="296" t="s">
        <v>4</v>
      </c>
      <c r="P1" s="299" t="str">
        <f>"Schulferien Schuljahr "&amp;Schuljahr</f>
        <v>Schulferien Schuljahr 2026/2027</v>
      </c>
      <c r="Q1" s="300" t="s">
        <v>198</v>
      </c>
      <c r="R1" s="300" t="s">
        <v>309</v>
      </c>
      <c r="S1" s="301"/>
      <c r="T1" s="295" t="str">
        <f>"Feiertage Schuljahr "&amp;Schuljahr</f>
        <v>Feiertage Schuljahr 2026/2027</v>
      </c>
      <c r="U1" s="301" t="s">
        <v>40</v>
      </c>
      <c r="V1" s="301" t="s">
        <v>199</v>
      </c>
      <c r="W1" s="302" t="str">
        <f>"Feiertage halb Schuljahr "&amp;Schuljahr</f>
        <v>Feiertage halb Schuljahr 2026/2027</v>
      </c>
      <c r="X1" s="300"/>
      <c r="Y1" s="302" t="s">
        <v>40</v>
      </c>
      <c r="Z1" s="302" t="s">
        <v>199</v>
      </c>
      <c r="AA1" s="395" t="s">
        <v>311</v>
      </c>
      <c r="AB1" s="396" t="s">
        <v>1</v>
      </c>
      <c r="AC1" s="396"/>
      <c r="AD1" s="396"/>
      <c r="AE1" s="303" t="s">
        <v>5</v>
      </c>
      <c r="AF1" s="303" t="s">
        <v>13</v>
      </c>
      <c r="AG1" s="304" t="s">
        <v>231</v>
      </c>
      <c r="AH1" s="303" t="s">
        <v>161</v>
      </c>
      <c r="AI1" s="303" t="s">
        <v>162</v>
      </c>
      <c r="AJ1" s="303" t="s">
        <v>15</v>
      </c>
      <c r="AK1" s="395" t="s">
        <v>240</v>
      </c>
      <c r="AL1" s="305" t="s">
        <v>31</v>
      </c>
      <c r="AM1" s="306"/>
      <c r="AN1" s="306"/>
      <c r="AO1" s="307" t="s">
        <v>34</v>
      </c>
      <c r="AP1" s="308"/>
      <c r="AQ1" s="308"/>
      <c r="AR1" s="308"/>
      <c r="AS1" s="308"/>
      <c r="AT1" s="308"/>
      <c r="AU1" s="309"/>
    </row>
    <row r="2" spans="1:47" ht="16.5" thickBot="1" x14ac:dyDescent="0.3">
      <c r="A2" s="395"/>
      <c r="B2" s="311" t="s">
        <v>307</v>
      </c>
      <c r="C2" s="312">
        <f>+O14</f>
        <v>2108.4</v>
      </c>
      <c r="E2" s="313" t="s">
        <v>284</v>
      </c>
      <c r="F2" s="313"/>
      <c r="G2" s="314">
        <v>25</v>
      </c>
      <c r="H2" s="382">
        <f>COUNTIFS(R:R,"Werktag")-G2-SUMPRODUCT(U2:U11,V2:V11)-SUMPRODUCT(Y2:Y5,Z2:Z5)/2</f>
        <v>34</v>
      </c>
      <c r="I2" s="315">
        <f>COUNTIFS(Zeitdokumentation!E:E,"Wochenende")</f>
        <v>105</v>
      </c>
      <c r="J2" s="315">
        <f>COUNTIFS(Zeitdokumentation!E:E,"Unterrichtstag")</f>
        <v>192</v>
      </c>
      <c r="K2" s="315">
        <f>SUM(V1:V11)+SUM(Z1:Z5)*0.5</f>
        <v>9</v>
      </c>
      <c r="L2" s="316">
        <f>SUM(G2:K2)</f>
        <v>365</v>
      </c>
      <c r="N2" s="313" t="s">
        <v>51</v>
      </c>
      <c r="O2" s="317">
        <v>176.4</v>
      </c>
      <c r="P2" s="315" t="str" cm="1">
        <f t="array" ref="P2">IF(ROW(A1)&gt;SUM($I$20:$I$25),"",INDEX($F$20:$F$25,SUMPRODUCT(($J$20:$J$25&lt;ROW(A1))*1)+1))</f>
        <v>Sommer</v>
      </c>
      <c r="Q2" s="379" cm="1">
        <f t="array" ref="Q2">IF(ROW(A1)&gt;SUM($I$20:$I$25),"",INDEX($G$20:$G$25,SUMPRODUCT(($J$20:$J$25&lt;ROW(A1))*1)+1)+ROW(A1)-IF(SUMPRODUCT(($J$20:$J$25&lt;ROW(A1))*1)+1=1,1,INDEX($J$20:$J$25,SUMPRODUCT(($J$20:$J$25&lt;ROW(A1))*1)+1-1)+1))</f>
        <v>44773</v>
      </c>
      <c r="R2" s="319" t="str">
        <f>IF(Q2="","",IF(WEEKDAY(Q2,2)&gt;5,"Wochenende","Werktag"))</f>
        <v>Wochenende</v>
      </c>
      <c r="S2" s="320" t="s">
        <v>183</v>
      </c>
      <c r="T2" s="318">
        <v>44773</v>
      </c>
      <c r="U2" s="321">
        <f t="shared" ref="U2:U10" si="0">COUNTIF(Q:Q,T2)</f>
        <v>1</v>
      </c>
      <c r="V2" s="322">
        <f t="shared" ref="V2:V11" si="1">IF(WEEKDAY(T2,2)&gt;5,0,1)</f>
        <v>0</v>
      </c>
      <c r="W2" s="323" t="s">
        <v>190</v>
      </c>
      <c r="X2" s="318">
        <v>44918</v>
      </c>
      <c r="Y2" s="321">
        <f>COUNTIF(Q:Q,X2)</f>
        <v>1</v>
      </c>
      <c r="Z2" s="322">
        <f>IF(WEEKDAY(X2,2)&gt;5,0,1)</f>
        <v>1</v>
      </c>
      <c r="AA2" s="395"/>
      <c r="AB2" s="393" t="s">
        <v>11</v>
      </c>
      <c r="AC2" s="393"/>
      <c r="AD2" s="394" t="s">
        <v>12</v>
      </c>
      <c r="AE2" s="324" t="s">
        <v>52</v>
      </c>
      <c r="AF2" s="325">
        <v>28</v>
      </c>
      <c r="AG2" s="325" t="str">
        <f>+AE2&amp;AF2</f>
        <v>Kindergarten28</v>
      </c>
      <c r="AH2" s="326">
        <v>0.83799999999999997</v>
      </c>
      <c r="AI2" s="326">
        <v>0.16200000000000001</v>
      </c>
      <c r="AJ2" s="327">
        <f t="shared" ref="AJ2:AJ12" si="2">SUM(AH2:AI2)</f>
        <v>1</v>
      </c>
      <c r="AK2" s="395"/>
      <c r="AL2" s="328"/>
      <c r="AM2" s="329" t="s">
        <v>32</v>
      </c>
      <c r="AN2" s="330" t="s">
        <v>33</v>
      </c>
      <c r="AO2" s="331" t="s">
        <v>35</v>
      </c>
      <c r="AP2" s="331" t="s">
        <v>37</v>
      </c>
      <c r="AQ2" s="331" t="s">
        <v>38</v>
      </c>
      <c r="AR2" s="331" t="s">
        <v>39</v>
      </c>
      <c r="AS2" s="331" t="s">
        <v>40</v>
      </c>
      <c r="AT2" s="331" t="s">
        <v>41</v>
      </c>
    </row>
    <row r="3" spans="1:47" ht="16.5" thickBot="1" x14ac:dyDescent="0.3">
      <c r="A3" s="395"/>
      <c r="B3" s="297" t="s">
        <v>285</v>
      </c>
      <c r="C3" s="297" t="s">
        <v>286</v>
      </c>
      <c r="E3" s="313" t="s">
        <v>200</v>
      </c>
      <c r="F3" s="313"/>
      <c r="G3" s="315">
        <f>+G2/5</f>
        <v>5</v>
      </c>
      <c r="H3" s="315">
        <f>+H2/5</f>
        <v>6.8</v>
      </c>
      <c r="I3" s="297"/>
      <c r="J3" s="315">
        <f>+J2/5</f>
        <v>38.4</v>
      </c>
      <c r="K3" s="315">
        <f>+K2/5</f>
        <v>1.8</v>
      </c>
      <c r="L3" s="333">
        <f>SUM(G3:K3)</f>
        <v>52</v>
      </c>
      <c r="N3" s="313" t="s">
        <v>54</v>
      </c>
      <c r="O3" s="334">
        <v>184.8</v>
      </c>
      <c r="P3" s="315" t="str" cm="1">
        <f t="array" ref="P3">IF(ROW(A2)&gt;SUM($I$20:$I$25),"",INDEX($F$20:$F$25,SUMPRODUCT(($J$20:$J$25&lt;ROW(A2))*1)+1))</f>
        <v>Sommer</v>
      </c>
      <c r="Q3" s="379" cm="1">
        <f t="array" ref="Q3">IF(ROW(A2)&gt;SUM($I$20:$I$25),"",INDEX($G$20:$G$25,SUMPRODUCT(($J$20:$J$25&lt;ROW(A2))*1)+1)+ROW(A2)-IF(SUMPRODUCT(($J$20:$J$25&lt;ROW(A2))*1)+1=1,1,INDEX($J$20:$J$25,SUMPRODUCT(($J$20:$J$25&lt;ROW(A2))*1)+1-1)+1))</f>
        <v>44774</v>
      </c>
      <c r="R3" s="319" t="str">
        <f t="shared" ref="R3:R66" si="3">IF(Q3="","",IF(WEEKDAY(Q3,2)&gt;5,"Wochenende","Werktag"))</f>
        <v>Wochenende</v>
      </c>
      <c r="S3" s="320" t="s">
        <v>184</v>
      </c>
      <c r="T3" s="335">
        <v>44919</v>
      </c>
      <c r="U3" s="321">
        <f t="shared" si="0"/>
        <v>1</v>
      </c>
      <c r="V3" s="322">
        <f t="shared" si="1"/>
        <v>1</v>
      </c>
      <c r="W3" s="323" t="s">
        <v>189</v>
      </c>
      <c r="X3" s="335">
        <v>44925</v>
      </c>
      <c r="Y3" s="321">
        <f>COUNTIF(Q:Q,X3)</f>
        <v>1</v>
      </c>
      <c r="Z3" s="322">
        <f>IF(WEEKDAY(X3,2)&gt;5,0,1)</f>
        <v>1</v>
      </c>
      <c r="AA3" s="395"/>
      <c r="AB3" s="336" t="s">
        <v>2</v>
      </c>
      <c r="AC3" s="336" t="s">
        <v>3</v>
      </c>
      <c r="AD3" s="394"/>
      <c r="AE3" s="324" t="s">
        <v>163</v>
      </c>
      <c r="AF3" s="325">
        <v>28</v>
      </c>
      <c r="AG3" s="325" t="str">
        <f t="shared" ref="AG3:AG6" si="4">+AE3&amp;AF3</f>
        <v>Primarschule28</v>
      </c>
      <c r="AH3" s="326">
        <v>0.83799999999999997</v>
      </c>
      <c r="AI3" s="326">
        <v>0.16200000000000001</v>
      </c>
      <c r="AJ3" s="327">
        <f t="shared" si="2"/>
        <v>1</v>
      </c>
      <c r="AK3" s="395"/>
      <c r="AL3" s="328">
        <v>1</v>
      </c>
      <c r="AM3" s="322" t="s">
        <v>35</v>
      </c>
      <c r="AN3" s="337" t="s">
        <v>36</v>
      </c>
      <c r="AO3" s="338" t="s">
        <v>45</v>
      </c>
      <c r="AP3" s="338" t="s">
        <v>46</v>
      </c>
      <c r="AQ3" s="338" t="s">
        <v>47</v>
      </c>
      <c r="AR3" s="338" t="s">
        <v>48</v>
      </c>
      <c r="AS3" s="338" t="s">
        <v>49</v>
      </c>
      <c r="AT3" s="338" t="s">
        <v>50</v>
      </c>
    </row>
    <row r="4" spans="1:47" ht="15.75" thickBot="1" x14ac:dyDescent="0.25">
      <c r="A4" s="395"/>
      <c r="B4" s="339">
        <v>44773</v>
      </c>
      <c r="C4" s="340">
        <v>45137</v>
      </c>
      <c r="E4" s="297" t="s">
        <v>297</v>
      </c>
      <c r="F4" s="297"/>
      <c r="G4" s="297"/>
      <c r="H4" s="297"/>
      <c r="I4" s="297"/>
      <c r="J4" s="297"/>
      <c r="K4" s="297"/>
      <c r="L4" s="297"/>
      <c r="N4" s="313" t="s">
        <v>58</v>
      </c>
      <c r="O4" s="334">
        <v>184.8</v>
      </c>
      <c r="P4" s="315" t="str" cm="1">
        <f t="array" ref="P4">IF(ROW(A3)&gt;SUM($I$20:$I$25),"",INDEX($F$20:$F$25,SUMPRODUCT(($J$20:$J$25&lt;ROW(A3))*1)+1))</f>
        <v>Sommer</v>
      </c>
      <c r="Q4" s="379" cm="1">
        <f t="array" ref="Q4">IF(ROW(A3)&gt;SUM($I$20:$I$25),"",INDEX($G$20:$G$25,SUMPRODUCT(($J$20:$J$25&lt;ROW(A3))*1)+1)+ROW(A3)-IF(SUMPRODUCT(($J$20:$J$25&lt;ROW(A3))*1)+1=1,1,INDEX($J$20:$J$25,SUMPRODUCT(($J$20:$J$25&lt;ROW(A3))*1)+1-1)+1))</f>
        <v>44775</v>
      </c>
      <c r="R4" s="319" t="str">
        <f t="shared" si="3"/>
        <v>Werktag</v>
      </c>
      <c r="S4" s="320" t="s">
        <v>185</v>
      </c>
      <c r="T4" s="335">
        <v>44920</v>
      </c>
      <c r="U4" s="321">
        <f t="shared" si="0"/>
        <v>1</v>
      </c>
      <c r="V4" s="322">
        <f t="shared" si="1"/>
        <v>0</v>
      </c>
      <c r="W4" s="323" t="s">
        <v>191</v>
      </c>
      <c r="X4" s="335">
        <v>44971</v>
      </c>
      <c r="Y4" s="321">
        <f>COUNTIF(Q:Q,X4)</f>
        <v>1</v>
      </c>
      <c r="Z4" s="322">
        <f>IF(WEEKDAY(X4,2)&gt;5,0,1)</f>
        <v>1</v>
      </c>
      <c r="AA4" s="395"/>
      <c r="AB4" s="341">
        <v>0</v>
      </c>
      <c r="AC4" s="341">
        <v>49</v>
      </c>
      <c r="AD4" s="341">
        <v>25</v>
      </c>
      <c r="AE4" s="324" t="s">
        <v>164</v>
      </c>
      <c r="AF4" s="325">
        <v>27</v>
      </c>
      <c r="AG4" s="325" t="str">
        <f t="shared" si="4"/>
        <v>Sekundarschule27</v>
      </c>
      <c r="AH4" s="326">
        <v>0.87</v>
      </c>
      <c r="AI4" s="326">
        <v>0.13</v>
      </c>
      <c r="AJ4" s="327">
        <f t="shared" si="2"/>
        <v>1</v>
      </c>
      <c r="AK4" s="395"/>
      <c r="AL4" s="328">
        <v>2</v>
      </c>
      <c r="AM4" s="322" t="s">
        <v>43</v>
      </c>
      <c r="AN4" s="337" t="s">
        <v>44</v>
      </c>
      <c r="AO4" s="322" t="str">
        <f>Param1</f>
        <v>Unterrichtstag</v>
      </c>
      <c r="AP4" s="322" t="str">
        <f>Param7</f>
        <v>Wochenende</v>
      </c>
      <c r="AQ4" s="322" t="str">
        <f>Param8</f>
        <v>Feiertag</v>
      </c>
      <c r="AR4" s="322" t="str">
        <f>Param1</f>
        <v>Unterrichtstag</v>
      </c>
      <c r="AS4" s="322" t="str">
        <f>Param2</f>
        <v>unterrichtsfreie Arbeitszeit</v>
      </c>
      <c r="AT4" s="322" t="str">
        <f>Param10</f>
        <v>unbezahlter Urlaub</v>
      </c>
    </row>
    <row r="5" spans="1:47" ht="15.75" thickBot="1" x14ac:dyDescent="0.25">
      <c r="A5" s="395"/>
      <c r="B5" s="297"/>
      <c r="C5" s="297"/>
      <c r="E5" s="297"/>
      <c r="F5" s="297"/>
      <c r="G5" s="297"/>
      <c r="H5" s="297"/>
      <c r="I5" s="297"/>
      <c r="J5" s="297"/>
      <c r="K5" s="297"/>
      <c r="L5" s="297"/>
      <c r="N5" s="313" t="s">
        <v>63</v>
      </c>
      <c r="O5" s="334">
        <v>176.4</v>
      </c>
      <c r="P5" s="315" t="str" cm="1">
        <f t="array" ref="P5">IF(ROW(A4)&gt;SUM($I$20:$I$25),"",INDEX($F$20:$F$25,SUMPRODUCT(($J$20:$J$25&lt;ROW(A4))*1)+1))</f>
        <v>Sommer</v>
      </c>
      <c r="Q5" s="379" cm="1">
        <f t="array" ref="Q5">IF(ROW(A4)&gt;SUM($I$20:$I$25),"",INDEX($G$20:$G$25,SUMPRODUCT(($J$20:$J$25&lt;ROW(A4))*1)+1)+ROW(A4)-IF(SUMPRODUCT(($J$20:$J$25&lt;ROW(A4))*1)+1=1,1,INDEX($J$20:$J$25,SUMPRODUCT(($J$20:$J$25&lt;ROW(A4))*1)+1-1)+1))</f>
        <v>44776</v>
      </c>
      <c r="R5" s="319" t="str">
        <f t="shared" si="3"/>
        <v>Werktag</v>
      </c>
      <c r="S5" s="320" t="s">
        <v>186</v>
      </c>
      <c r="T5" s="335">
        <v>44926</v>
      </c>
      <c r="U5" s="321">
        <f t="shared" si="0"/>
        <v>1</v>
      </c>
      <c r="V5" s="322">
        <f t="shared" si="1"/>
        <v>1</v>
      </c>
      <c r="W5" s="323" t="s">
        <v>192</v>
      </c>
      <c r="X5" s="342">
        <v>44973</v>
      </c>
      <c r="Y5" s="321">
        <f>COUNTIF(Q:Q,X5)</f>
        <v>1</v>
      </c>
      <c r="Z5" s="322">
        <f>IF(WEEKDAY(X5,2)&gt;5,0,1)</f>
        <v>1</v>
      </c>
      <c r="AA5" s="395"/>
      <c r="AB5" s="341">
        <v>50</v>
      </c>
      <c r="AC5" s="341">
        <v>59</v>
      </c>
      <c r="AD5" s="341">
        <v>27</v>
      </c>
      <c r="AE5" s="324" t="s">
        <v>149</v>
      </c>
      <c r="AF5" s="325">
        <v>22</v>
      </c>
      <c r="AG5" s="325" t="str">
        <f t="shared" si="4"/>
        <v>Gymnasium und FMS22</v>
      </c>
      <c r="AH5" s="326">
        <v>0.878</v>
      </c>
      <c r="AI5" s="326">
        <v>0.122</v>
      </c>
      <c r="AJ5" s="327">
        <f t="shared" si="2"/>
        <v>1</v>
      </c>
      <c r="AK5" s="395"/>
      <c r="AL5" s="328">
        <v>3</v>
      </c>
      <c r="AM5" s="322" t="s">
        <v>53</v>
      </c>
      <c r="AN5" s="337" t="s">
        <v>44</v>
      </c>
      <c r="AO5" s="322" t="str">
        <f>Param2</f>
        <v>unterrichtsfreie Arbeitszeit</v>
      </c>
      <c r="AP5" s="322"/>
      <c r="AQ5" s="322"/>
      <c r="AR5" s="322" t="str">
        <f>Param2</f>
        <v>unterrichtsfreie Arbeitszeit</v>
      </c>
      <c r="AS5" s="322" t="str">
        <f>Param3</f>
        <v>ausserschulischer Unterricht</v>
      </c>
      <c r="AT5" s="322"/>
    </row>
    <row r="6" spans="1:47" ht="15.75" thickBot="1" x14ac:dyDescent="0.25">
      <c r="A6" s="395"/>
      <c r="B6" s="297"/>
      <c r="C6" s="297"/>
      <c r="E6" s="297"/>
      <c r="F6" s="297"/>
      <c r="G6" s="297"/>
      <c r="H6" s="343"/>
      <c r="I6" s="297"/>
      <c r="J6" s="297">
        <f>COUNTIFS(Zeitdokumentation!E:E,"Unterrichtstag")</f>
        <v>192</v>
      </c>
      <c r="K6" s="297"/>
      <c r="L6" s="297"/>
      <c r="N6" s="313" t="s">
        <v>65</v>
      </c>
      <c r="O6" s="334">
        <v>176.4</v>
      </c>
      <c r="P6" s="315" t="str" cm="1">
        <f t="array" ref="P6">IF(ROW(A5)&gt;SUM($I$20:$I$25),"",INDEX($F$20:$F$25,SUMPRODUCT(($J$20:$J$25&lt;ROW(A5))*1)+1))</f>
        <v>Sommer</v>
      </c>
      <c r="Q6" s="379" cm="1">
        <f t="array" ref="Q6">IF(ROW(A5)&gt;SUM($I$20:$I$25),"",INDEX($G$20:$G$25,SUMPRODUCT(($J$20:$J$25&lt;ROW(A5))*1)+1)+ROW(A5)-IF(SUMPRODUCT(($J$20:$J$25&lt;ROW(A5))*1)+1=1,1,INDEX($J$20:$J$25,SUMPRODUCT(($J$20:$J$25&lt;ROW(A5))*1)+1-1)+1))</f>
        <v>44777</v>
      </c>
      <c r="R6" s="319" t="str">
        <f t="shared" si="3"/>
        <v>Werktag</v>
      </c>
      <c r="S6" s="320" t="s">
        <v>187</v>
      </c>
      <c r="T6" s="335">
        <v>45010</v>
      </c>
      <c r="U6" s="321">
        <f t="shared" si="0"/>
        <v>1</v>
      </c>
      <c r="V6" s="322">
        <f t="shared" si="1"/>
        <v>1</v>
      </c>
      <c r="W6" s="362" t="s">
        <v>326</v>
      </c>
      <c r="AA6" s="395"/>
      <c r="AB6" s="341">
        <v>60</v>
      </c>
      <c r="AC6" s="341">
        <v>65</v>
      </c>
      <c r="AD6" s="341">
        <v>30</v>
      </c>
      <c r="AE6" s="324" t="s">
        <v>149</v>
      </c>
      <c r="AF6" s="325">
        <v>26</v>
      </c>
      <c r="AG6" s="325" t="str">
        <f t="shared" si="4"/>
        <v>Gymnasium und FMS26</v>
      </c>
      <c r="AH6" s="326">
        <v>0.871</v>
      </c>
      <c r="AI6" s="326">
        <v>0.129</v>
      </c>
      <c r="AJ6" s="327">
        <f t="shared" si="2"/>
        <v>1</v>
      </c>
      <c r="AK6" s="395"/>
      <c r="AL6" s="328">
        <v>4</v>
      </c>
      <c r="AM6" s="322" t="s">
        <v>55</v>
      </c>
      <c r="AN6" s="344" t="s">
        <v>56</v>
      </c>
      <c r="AO6" s="322" t="str">
        <f>Param3</f>
        <v>ausserschulischer Unterricht</v>
      </c>
      <c r="AP6" s="322"/>
      <c r="AQ6" s="322"/>
      <c r="AR6" s="322" t="str">
        <f>Param3</f>
        <v>ausserschulischer Unterricht</v>
      </c>
      <c r="AS6" s="322" t="str">
        <f>Param4</f>
        <v>bezahlte Abwesenheit</v>
      </c>
      <c r="AT6" s="322"/>
    </row>
    <row r="7" spans="1:47" ht="15.75" thickBot="1" x14ac:dyDescent="0.25">
      <c r="A7" s="395"/>
      <c r="B7" s="297"/>
      <c r="C7" s="297"/>
      <c r="E7" s="297"/>
      <c r="F7" s="297"/>
      <c r="G7" s="297"/>
      <c r="H7" s="297"/>
      <c r="I7" s="297"/>
      <c r="J7" s="297"/>
      <c r="K7" s="297"/>
      <c r="L7" s="297"/>
      <c r="N7" s="313" t="s">
        <v>67</v>
      </c>
      <c r="O7" s="334">
        <v>168</v>
      </c>
      <c r="P7" s="315" t="str" cm="1">
        <f t="array" ref="P7">IF(ROW(A6)&gt;SUM($I$20:$I$25),"",INDEX($F$20:$F$25,SUMPRODUCT(($J$20:$J$25&lt;ROW(A6))*1)+1))</f>
        <v>Sommer</v>
      </c>
      <c r="Q7" s="379" cm="1">
        <f t="array" ref="Q7">IF(ROW(A6)&gt;SUM($I$20:$I$25),"",INDEX($G$20:$G$25,SUMPRODUCT(($J$20:$J$25&lt;ROW(A6))*1)+1)+ROW(A6)-IF(SUMPRODUCT(($J$20:$J$25&lt;ROW(A6))*1)+1=1,1,INDEX($J$20:$J$25,SUMPRODUCT(($J$20:$J$25&lt;ROW(A6))*1)+1-1)+1))</f>
        <v>44778</v>
      </c>
      <c r="R7" s="319" t="str">
        <f t="shared" si="3"/>
        <v>Werktag</v>
      </c>
      <c r="S7" s="320" t="s">
        <v>188</v>
      </c>
      <c r="T7" s="335">
        <v>45013</v>
      </c>
      <c r="U7" s="321">
        <f t="shared" si="0"/>
        <v>1</v>
      </c>
      <c r="V7" s="322">
        <f t="shared" si="1"/>
        <v>1</v>
      </c>
      <c r="W7" s="362" t="s">
        <v>327</v>
      </c>
      <c r="AA7" s="395"/>
      <c r="AE7" s="324" t="s">
        <v>150</v>
      </c>
      <c r="AF7" s="325">
        <v>22</v>
      </c>
      <c r="AG7" s="325" t="str">
        <f t="shared" ref="AG7:AG14" si="5">+AE7&amp;AF7</f>
        <v>Berufsfachschulen und schulische Module Brückenangebote22</v>
      </c>
      <c r="AH7" s="326">
        <v>0.878</v>
      </c>
      <c r="AI7" s="326">
        <v>0.122</v>
      </c>
      <c r="AJ7" s="327">
        <f t="shared" si="2"/>
        <v>1</v>
      </c>
      <c r="AK7" s="395"/>
      <c r="AL7" s="328">
        <v>5</v>
      </c>
      <c r="AM7" s="322" t="s">
        <v>60</v>
      </c>
      <c r="AN7" s="344" t="s">
        <v>61</v>
      </c>
      <c r="AO7" s="322" t="str">
        <f>Param4</f>
        <v>bezahlte Abwesenheit</v>
      </c>
      <c r="AP7" s="322"/>
      <c r="AQ7" s="322"/>
      <c r="AR7" s="322" t="str">
        <f>Param4</f>
        <v>bezahlte Abwesenheit</v>
      </c>
      <c r="AS7" s="322" t="str">
        <f>Param5</f>
        <v>Gleitzeit</v>
      </c>
      <c r="AT7" s="322"/>
    </row>
    <row r="8" spans="1:47" ht="15.75" thickBot="1" x14ac:dyDescent="0.25">
      <c r="A8" s="395"/>
      <c r="B8" s="345"/>
      <c r="E8" s="346" t="s">
        <v>299</v>
      </c>
      <c r="F8" s="347"/>
      <c r="G8" s="347" t="s">
        <v>10</v>
      </c>
      <c r="H8" s="347" t="s">
        <v>289</v>
      </c>
      <c r="I8" s="347" t="s">
        <v>290</v>
      </c>
      <c r="J8" s="347" t="s">
        <v>35</v>
      </c>
      <c r="K8" s="348" t="s">
        <v>287</v>
      </c>
      <c r="L8" s="347" t="s">
        <v>15</v>
      </c>
      <c r="N8" s="313" t="s">
        <v>69</v>
      </c>
      <c r="O8" s="334">
        <v>159.6</v>
      </c>
      <c r="P8" s="315" t="str" cm="1">
        <f t="array" ref="P8">IF(ROW(A7)&gt;SUM($I$20:$I$25),"",INDEX($F$20:$F$25,SUMPRODUCT(($J$20:$J$25&lt;ROW(A7))*1)+1))</f>
        <v>Sommer</v>
      </c>
      <c r="Q8" s="379" cm="1">
        <f t="array" ref="Q8">IF(ROW(A7)&gt;SUM($I$20:$I$25),"",INDEX($G$20:$G$25,SUMPRODUCT(($J$20:$J$25&lt;ROW(A7))*1)+1)+ROW(A7)-IF(SUMPRODUCT(($J$20:$J$25&lt;ROW(A7))*1)+1=1,1,INDEX($J$20:$J$25,SUMPRODUCT(($J$20:$J$25&lt;ROW(A7))*1)+1-1)+1))</f>
        <v>44779</v>
      </c>
      <c r="R8" s="319" t="str">
        <f t="shared" si="3"/>
        <v>Werktag</v>
      </c>
      <c r="S8" s="349" t="s">
        <v>242</v>
      </c>
      <c r="T8" s="335">
        <v>45046</v>
      </c>
      <c r="U8" s="321">
        <f t="shared" si="0"/>
        <v>0</v>
      </c>
      <c r="V8" s="322">
        <f t="shared" si="1"/>
        <v>0</v>
      </c>
      <c r="Y8" s="350"/>
      <c r="Z8" s="350"/>
      <c r="AA8" s="395"/>
      <c r="AE8" s="324" t="s">
        <v>150</v>
      </c>
      <c r="AF8" s="325">
        <v>23</v>
      </c>
      <c r="AG8" s="325" t="str">
        <f t="shared" si="5"/>
        <v>Berufsfachschulen und schulische Module Brückenangebote23</v>
      </c>
      <c r="AH8" s="326">
        <v>0.876</v>
      </c>
      <c r="AI8" s="326">
        <v>0.124</v>
      </c>
      <c r="AJ8" s="327">
        <f t="shared" si="2"/>
        <v>1</v>
      </c>
      <c r="AK8" s="395"/>
      <c r="AL8" s="328">
        <v>6</v>
      </c>
      <c r="AM8" s="322" t="s">
        <v>10</v>
      </c>
      <c r="AN8" s="344" t="s">
        <v>56</v>
      </c>
      <c r="AO8" s="322" t="str">
        <f>Param5</f>
        <v>Gleitzeit</v>
      </c>
      <c r="AP8" s="322"/>
      <c r="AQ8" s="322"/>
      <c r="AR8" s="322" t="str">
        <f>Param5</f>
        <v>Gleitzeit</v>
      </c>
      <c r="AS8" s="322" t="str">
        <f>Param6</f>
        <v>Ferien</v>
      </c>
      <c r="AT8" s="322"/>
    </row>
    <row r="9" spans="1:47" ht="15.75" thickBot="1" x14ac:dyDescent="0.25">
      <c r="A9" s="395"/>
      <c r="B9" s="351"/>
      <c r="C9" s="351"/>
      <c r="E9" s="352" t="s">
        <v>35</v>
      </c>
      <c r="F9" s="353"/>
      <c r="G9" s="354"/>
      <c r="H9" s="354"/>
      <c r="I9" s="355"/>
      <c r="J9" s="354">
        <f>COUNTIFS(Zeitdokumentation!E:E,E9)</f>
        <v>192</v>
      </c>
      <c r="K9" s="355"/>
      <c r="L9" s="356">
        <f>SUM(G9:K9)</f>
        <v>192</v>
      </c>
      <c r="N9" s="313" t="s">
        <v>70</v>
      </c>
      <c r="O9" s="334">
        <v>176.4</v>
      </c>
      <c r="P9" s="315" t="str" cm="1">
        <f t="array" ref="P9">IF(ROW(A8)&gt;SUM($I$20:$I$25),"",INDEX($F$20:$F$25,SUMPRODUCT(($J$20:$J$25&lt;ROW(A8))*1)+1))</f>
        <v>Sommer</v>
      </c>
      <c r="Q9" s="379" cm="1">
        <f t="array" ref="Q9">IF(ROW(A8)&gt;SUM($I$20:$I$25),"",INDEX($G$20:$G$25,SUMPRODUCT(($J$20:$J$25&lt;ROW(A8))*1)+1)+ROW(A8)-IF(SUMPRODUCT(($J$20:$J$25&lt;ROW(A8))*1)+1=1,1,INDEX($J$20:$J$25,SUMPRODUCT(($J$20:$J$25&lt;ROW(A8))*1)+1-1)+1))</f>
        <v>44780</v>
      </c>
      <c r="R9" s="319" t="str">
        <f t="shared" si="3"/>
        <v>Wochenende</v>
      </c>
      <c r="S9" s="320" t="s">
        <v>181</v>
      </c>
      <c r="T9" s="335">
        <v>45051</v>
      </c>
      <c r="U9" s="321">
        <f t="shared" si="0"/>
        <v>0</v>
      </c>
      <c r="V9" s="322">
        <f t="shared" si="1"/>
        <v>1</v>
      </c>
      <c r="AA9" s="395"/>
      <c r="AE9" s="324" t="s">
        <v>150</v>
      </c>
      <c r="AF9" s="325">
        <v>24</v>
      </c>
      <c r="AG9" s="325" t="str">
        <f t="shared" si="5"/>
        <v>Berufsfachschulen und schulische Module Brückenangebote24</v>
      </c>
      <c r="AH9" s="326">
        <v>0.874</v>
      </c>
      <c r="AI9" s="326">
        <v>0.126</v>
      </c>
      <c r="AJ9" s="327">
        <f t="shared" si="2"/>
        <v>1</v>
      </c>
      <c r="AK9" s="395"/>
      <c r="AL9" s="328">
        <v>7</v>
      </c>
      <c r="AM9" s="322" t="s">
        <v>37</v>
      </c>
      <c r="AN9" s="337" t="s">
        <v>44</v>
      </c>
      <c r="AO9" s="322"/>
      <c r="AP9" s="322"/>
      <c r="AQ9" s="322"/>
      <c r="AR9" s="322" t="str">
        <f>Param6</f>
        <v>Ferien</v>
      </c>
      <c r="AS9" s="322"/>
      <c r="AT9" s="322"/>
    </row>
    <row r="10" spans="1:47" ht="15.75" thickBot="1" x14ac:dyDescent="0.25">
      <c r="A10" s="395"/>
      <c r="B10" s="351"/>
      <c r="C10" s="357"/>
      <c r="E10" s="352" t="s">
        <v>37</v>
      </c>
      <c r="F10" s="353"/>
      <c r="G10" s="354"/>
      <c r="H10" s="358"/>
      <c r="I10" s="354">
        <f>COUNTIFS(Zeitdokumentation!E:E,E10)</f>
        <v>105</v>
      </c>
      <c r="J10" s="359"/>
      <c r="K10" s="359"/>
      <c r="L10" s="356">
        <f t="shared" ref="L10:L13" si="6">SUM(G10:K10)</f>
        <v>105</v>
      </c>
      <c r="N10" s="313" t="s">
        <v>72</v>
      </c>
      <c r="O10" s="334">
        <v>184.8</v>
      </c>
      <c r="P10" s="315" t="str" cm="1">
        <f t="array" ref="P10">IF(ROW(A9)&gt;SUM($I$20:$I$25),"",INDEX($F$20:$F$25,SUMPRODUCT(($J$20:$J$25&lt;ROW(A9))*1)+1))</f>
        <v>Sommer</v>
      </c>
      <c r="Q10" s="379" cm="1">
        <f t="array" ref="Q10">IF(ROW(A9)&gt;SUM($I$20:$I$25),"",INDEX($G$20:$G$25,SUMPRODUCT(($J$20:$J$25&lt;ROW(A9))*1)+1)+ROW(A9)-IF(SUMPRODUCT(($J$20:$J$25&lt;ROW(A9))*1)+1=1,1,INDEX($J$20:$J$25,SUMPRODUCT(($J$20:$J$25&lt;ROW(A9))*1)+1-1)+1))</f>
        <v>44781</v>
      </c>
      <c r="R10" s="319" t="str">
        <f t="shared" si="3"/>
        <v>Wochenende</v>
      </c>
      <c r="S10" s="320" t="s">
        <v>182</v>
      </c>
      <c r="T10" s="342">
        <v>45062</v>
      </c>
      <c r="U10" s="321">
        <f t="shared" si="0"/>
        <v>0</v>
      </c>
      <c r="V10" s="322">
        <f t="shared" si="1"/>
        <v>1</v>
      </c>
      <c r="AA10" s="395"/>
      <c r="AE10" s="324" t="s">
        <v>150</v>
      </c>
      <c r="AF10" s="325">
        <v>26</v>
      </c>
      <c r="AG10" s="325" t="str">
        <f t="shared" si="5"/>
        <v>Berufsfachschulen und schulische Module Brückenangebote26</v>
      </c>
      <c r="AH10" s="326">
        <v>0.871</v>
      </c>
      <c r="AI10" s="326">
        <v>0.129</v>
      </c>
      <c r="AJ10" s="327">
        <f t="shared" si="2"/>
        <v>1</v>
      </c>
      <c r="AK10" s="395"/>
      <c r="AL10" s="328">
        <v>8</v>
      </c>
      <c r="AM10" s="322" t="s">
        <v>38</v>
      </c>
      <c r="AN10" s="337" t="s">
        <v>44</v>
      </c>
      <c r="AO10" s="322"/>
      <c r="AP10" s="322"/>
      <c r="AQ10" s="322"/>
      <c r="AR10" s="322" t="str">
        <f>Param9</f>
        <v>Feiertag halb</v>
      </c>
      <c r="AS10" s="322"/>
      <c r="AT10" s="322"/>
    </row>
    <row r="11" spans="1:47" ht="15.75" thickBot="1" x14ac:dyDescent="0.25">
      <c r="A11" s="395"/>
      <c r="B11" s="351"/>
      <c r="C11" s="351"/>
      <c r="E11" s="352" t="s">
        <v>298</v>
      </c>
      <c r="F11" s="353"/>
      <c r="G11" s="354"/>
      <c r="H11" s="360">
        <f>COUNTIFS(Zeitdokumentation!E:E,E11)-G2</f>
        <v>32</v>
      </c>
      <c r="I11" s="361"/>
      <c r="J11" s="361"/>
      <c r="K11" s="361"/>
      <c r="L11" s="356">
        <f t="shared" si="6"/>
        <v>32</v>
      </c>
      <c r="N11" s="313" t="s">
        <v>73</v>
      </c>
      <c r="O11" s="334">
        <v>151.19999999999999</v>
      </c>
      <c r="P11" s="315" t="str" cm="1">
        <f t="array" ref="P11">IF(ROW(A10)&gt;SUM($I$20:$I$25),"",INDEX($F$20:$F$25,SUMPRODUCT(($J$20:$J$25&lt;ROW(A10))*1)+1))</f>
        <v>Herbst</v>
      </c>
      <c r="Q11" s="379" cm="1">
        <f t="array" ref="Q11">IF(ROW(A10)&gt;SUM($I$20:$I$25),"",INDEX($G$20:$G$25,SUMPRODUCT(($J$20:$J$25&lt;ROW(A10))*1)+1)+ROW(A10)-IF(SUMPRODUCT(($J$20:$J$25&lt;ROW(A10))*1)+1=1,1,INDEX($J$20:$J$25,SUMPRODUCT(($J$20:$J$25&lt;ROW(A10))*1)+1-1)+1))</f>
        <v>44829</v>
      </c>
      <c r="R11" s="319" t="str">
        <f t="shared" si="3"/>
        <v>Wochenende</v>
      </c>
      <c r="S11" s="362" t="s">
        <v>296</v>
      </c>
      <c r="T11" s="342">
        <v>45052</v>
      </c>
      <c r="U11" s="321">
        <f t="shared" ref="U11" si="7">COUNTIF(Q:Q,T11)</f>
        <v>0</v>
      </c>
      <c r="V11" s="322">
        <f t="shared" si="1"/>
        <v>1</v>
      </c>
      <c r="AA11" s="395"/>
      <c r="AE11" s="324" t="s">
        <v>151</v>
      </c>
      <c r="AF11" s="325">
        <v>22</v>
      </c>
      <c r="AG11" s="325" t="str">
        <f t="shared" si="5"/>
        <v>Berufsmaturitätsschule und WMS22</v>
      </c>
      <c r="AH11" s="326">
        <v>0.878</v>
      </c>
      <c r="AI11" s="326">
        <v>0.122</v>
      </c>
      <c r="AJ11" s="327">
        <f t="shared" si="2"/>
        <v>1</v>
      </c>
      <c r="AK11" s="395"/>
      <c r="AL11" s="328">
        <v>9</v>
      </c>
      <c r="AM11" s="322" t="s">
        <v>39</v>
      </c>
      <c r="AN11" s="337" t="s">
        <v>44</v>
      </c>
    </row>
    <row r="12" spans="1:47" ht="15.75" thickBot="1" x14ac:dyDescent="0.25">
      <c r="A12" s="395"/>
      <c r="B12" s="351"/>
      <c r="E12" s="352" t="s">
        <v>38</v>
      </c>
      <c r="F12" s="353"/>
      <c r="G12" s="354"/>
      <c r="H12" s="358"/>
      <c r="I12" s="355"/>
      <c r="J12" s="355"/>
      <c r="K12" s="354">
        <f>COUNTIFS(Zeitdokumentation!E:E,E12)</f>
        <v>7</v>
      </c>
      <c r="L12" s="356">
        <f t="shared" si="6"/>
        <v>7</v>
      </c>
      <c r="N12" s="313" t="s">
        <v>74</v>
      </c>
      <c r="O12" s="334">
        <v>184.8</v>
      </c>
      <c r="P12" s="315" t="str" cm="1">
        <f t="array" ref="P12">IF(ROW(A11)&gt;SUM($I$20:$I$25),"",INDEX($F$20:$F$25,SUMPRODUCT(($J$20:$J$25&lt;ROW(A11))*1)+1))</f>
        <v>Herbst</v>
      </c>
      <c r="Q12" s="379" cm="1">
        <f t="array" ref="Q12">IF(ROW(A11)&gt;SUM($I$20:$I$25),"",INDEX($G$20:$G$25,SUMPRODUCT(($J$20:$J$25&lt;ROW(A11))*1)+1)+ROW(A11)-IF(SUMPRODUCT(($J$20:$J$25&lt;ROW(A11))*1)+1=1,1,INDEX($J$20:$J$25,SUMPRODUCT(($J$20:$J$25&lt;ROW(A11))*1)+1-1)+1))</f>
        <v>44830</v>
      </c>
      <c r="R12" s="319" t="str">
        <f t="shared" si="3"/>
        <v>Wochenende</v>
      </c>
      <c r="AA12" s="395"/>
      <c r="AE12" s="324" t="s">
        <v>151</v>
      </c>
      <c r="AF12" s="325">
        <v>26</v>
      </c>
      <c r="AG12" s="325" t="str">
        <f t="shared" si="5"/>
        <v>Berufsmaturitätsschule und WMS26</v>
      </c>
      <c r="AH12" s="326">
        <v>0.871</v>
      </c>
      <c r="AI12" s="326">
        <v>0.129</v>
      </c>
      <c r="AJ12" s="327">
        <f t="shared" si="2"/>
        <v>1</v>
      </c>
      <c r="AK12" s="395"/>
      <c r="AL12" s="328">
        <v>10</v>
      </c>
      <c r="AM12" s="322" t="s">
        <v>71</v>
      </c>
      <c r="AN12" s="344" t="s">
        <v>61</v>
      </c>
    </row>
    <row r="13" spans="1:47" ht="15.75" thickBot="1" x14ac:dyDescent="0.25">
      <c r="A13" s="395"/>
      <c r="E13" s="352" t="s">
        <v>39</v>
      </c>
      <c r="F13" s="353"/>
      <c r="G13" s="354"/>
      <c r="H13" s="354">
        <f>COUNTIFS(Zeitdokumentation!E:E,E13)/2</f>
        <v>2</v>
      </c>
      <c r="I13" s="354"/>
      <c r="J13" s="354"/>
      <c r="K13" s="354">
        <f>COUNTIFS(Zeitdokumentation!E:E,E13)/2</f>
        <v>2</v>
      </c>
      <c r="L13" s="356">
        <f t="shared" si="6"/>
        <v>4</v>
      </c>
      <c r="N13" s="313" t="s">
        <v>75</v>
      </c>
      <c r="O13" s="363">
        <v>184.8</v>
      </c>
      <c r="P13" s="315" t="str" cm="1">
        <f t="array" ref="P13">IF(ROW(A12)&gt;SUM($I$20:$I$25),"",INDEX($F$20:$F$25,SUMPRODUCT(($J$20:$J$25&lt;ROW(A12))*1)+1))</f>
        <v>Herbst</v>
      </c>
      <c r="Q13" s="379" cm="1">
        <f t="array" ref="Q13">IF(ROW(A12)&gt;SUM($I$20:$I$25),"",INDEX($G$20:$G$25,SUMPRODUCT(($J$20:$J$25&lt;ROW(A12))*1)+1)+ROW(A12)-IF(SUMPRODUCT(($J$20:$J$25&lt;ROW(A12))*1)+1=1,1,INDEX($J$20:$J$25,SUMPRODUCT(($J$20:$J$25&lt;ROW(A12))*1)+1-1)+1))</f>
        <v>44831</v>
      </c>
      <c r="R13" s="319" t="str">
        <f t="shared" si="3"/>
        <v>Werktag</v>
      </c>
      <c r="AA13" s="395"/>
      <c r="AE13" s="324" t="s">
        <v>59</v>
      </c>
      <c r="AF13" s="325">
        <v>27</v>
      </c>
      <c r="AG13" s="325" t="str">
        <f t="shared" si="5"/>
        <v>Musikschule27</v>
      </c>
      <c r="AH13" s="326">
        <v>0.83799999999999997</v>
      </c>
      <c r="AI13" s="326">
        <v>0.16200000000000001</v>
      </c>
      <c r="AJ13" s="327">
        <f>SUM(AH13:AI13)</f>
        <v>1</v>
      </c>
      <c r="AK13" s="395"/>
    </row>
    <row r="14" spans="1:47" ht="16.5" thickBot="1" x14ac:dyDescent="0.3">
      <c r="A14" s="395"/>
      <c r="E14" s="346" t="s">
        <v>303</v>
      </c>
      <c r="F14" s="364"/>
      <c r="G14" s="365">
        <f>+G2</f>
        <v>25</v>
      </c>
      <c r="H14" s="366">
        <f>SUM(H9:H13)</f>
        <v>34</v>
      </c>
      <c r="I14" s="366">
        <f t="shared" ref="I14:K14" si="8">SUM(I9:I13)</f>
        <v>105</v>
      </c>
      <c r="J14" s="366">
        <f t="shared" si="8"/>
        <v>192</v>
      </c>
      <c r="K14" s="366">
        <f t="shared" si="8"/>
        <v>9</v>
      </c>
      <c r="L14" s="367">
        <f>SUM(G14:K14)</f>
        <v>365</v>
      </c>
      <c r="N14" s="368" t="s">
        <v>178</v>
      </c>
      <c r="O14" s="369">
        <f>SUM(O2:O13)</f>
        <v>2108.4</v>
      </c>
      <c r="P14" s="315" t="str" cm="1">
        <f t="array" ref="P14">IF(ROW(A13)&gt;SUM($I$20:$I$25),"",INDEX($F$20:$F$25,SUMPRODUCT(($J$20:$J$25&lt;ROW(A13))*1)+1))</f>
        <v>Herbst</v>
      </c>
      <c r="Q14" s="379" cm="1">
        <f t="array" ref="Q14">IF(ROW(A13)&gt;SUM($I$20:$I$25),"",INDEX($G$20:$G$25,SUMPRODUCT(($J$20:$J$25&lt;ROW(A13))*1)+1)+ROW(A13)-IF(SUMPRODUCT(($J$20:$J$25&lt;ROW(A13))*1)+1=1,1,INDEX($J$20:$J$25,SUMPRODUCT(($J$20:$J$25&lt;ROW(A13))*1)+1-1)+1))</f>
        <v>44832</v>
      </c>
      <c r="R14" s="319" t="str">
        <f t="shared" si="3"/>
        <v>Werktag</v>
      </c>
      <c r="T14" s="370"/>
      <c r="X14" s="370"/>
      <c r="AA14" s="395"/>
      <c r="AE14" s="324" t="s">
        <v>310</v>
      </c>
      <c r="AF14" s="325">
        <v>28</v>
      </c>
      <c r="AG14" s="325" t="str">
        <f t="shared" si="5"/>
        <v>Logopädie28</v>
      </c>
      <c r="AH14" s="326">
        <v>0.83799999999999997</v>
      </c>
      <c r="AI14" s="326">
        <v>0.16200000000000001</v>
      </c>
      <c r="AJ14" s="327">
        <f>SUM(AH14:AI14)</f>
        <v>1</v>
      </c>
      <c r="AK14" s="395"/>
    </row>
    <row r="15" spans="1:47" ht="15.75" thickBot="1" x14ac:dyDescent="0.25">
      <c r="A15" s="395"/>
      <c r="E15" s="371" t="s">
        <v>304</v>
      </c>
      <c r="F15" s="372"/>
      <c r="G15" s="354" t="s">
        <v>300</v>
      </c>
      <c r="H15" s="354" t="s">
        <v>300</v>
      </c>
      <c r="I15" s="354" t="s">
        <v>301</v>
      </c>
      <c r="J15" s="354" t="s">
        <v>300</v>
      </c>
      <c r="K15" s="354" t="s">
        <v>301</v>
      </c>
      <c r="L15" s="356"/>
      <c r="P15" s="315" t="str" cm="1">
        <f t="array" ref="P15">IF(ROW(A14)&gt;SUM($I$20:$I$25),"",INDEX($F$20:$F$25,SUMPRODUCT(($J$20:$J$25&lt;ROW(A14))*1)+1))</f>
        <v>Herbst</v>
      </c>
      <c r="Q15" s="379" cm="1">
        <f t="array" ref="Q15">IF(ROW(A14)&gt;SUM($I$20:$I$25),"",INDEX($G$20:$G$25,SUMPRODUCT(($J$20:$J$25&lt;ROW(A14))*1)+1)+ROW(A14)-IF(SUMPRODUCT(($J$20:$J$25&lt;ROW(A14))*1)+1=1,1,INDEX($J$20:$J$25,SUMPRODUCT(($J$20:$J$25&lt;ROW(A14))*1)+1-1)+1))</f>
        <v>44833</v>
      </c>
      <c r="R15" s="319" t="str">
        <f t="shared" si="3"/>
        <v>Werktag</v>
      </c>
      <c r="T15" s="370"/>
      <c r="X15" s="370"/>
      <c r="AA15" s="395"/>
      <c r="AH15" s="373"/>
      <c r="AI15" s="373"/>
      <c r="AK15" s="395"/>
    </row>
    <row r="16" spans="1:47" ht="15.75" thickBot="1" x14ac:dyDescent="0.25">
      <c r="A16" s="395"/>
      <c r="E16" s="346" t="s">
        <v>302</v>
      </c>
      <c r="F16" s="364"/>
      <c r="G16" s="365">
        <f>+G14*8.4</f>
        <v>210</v>
      </c>
      <c r="H16" s="366">
        <f>+H14*8.4</f>
        <v>285.60000000000002</v>
      </c>
      <c r="I16" s="366"/>
      <c r="J16" s="366">
        <f>+J14*8.4</f>
        <v>1612.8000000000002</v>
      </c>
      <c r="K16" s="366"/>
      <c r="L16" s="367">
        <f>SUM(G16:K16)</f>
        <v>2108.4</v>
      </c>
      <c r="P16" s="315" t="str" cm="1">
        <f t="array" ref="P16">IF(ROW(A15)&gt;SUM($I$20:$I$25),"",INDEX($F$20:$F$25,SUMPRODUCT(($J$20:$J$25&lt;ROW(A15))*1)+1))</f>
        <v>Herbst</v>
      </c>
      <c r="Q16" s="379" cm="1">
        <f t="array" ref="Q16">IF(ROW(A15)&gt;SUM($I$20:$I$25),"",INDEX($G$20:$G$25,SUMPRODUCT(($J$20:$J$25&lt;ROW(A15))*1)+1)+ROW(A15)-IF(SUMPRODUCT(($J$20:$J$25&lt;ROW(A15))*1)+1=1,1,INDEX($J$20:$J$25,SUMPRODUCT(($J$20:$J$25&lt;ROW(A15))*1)+1-1)+1))</f>
        <v>44834</v>
      </c>
      <c r="R16" s="319" t="str">
        <f t="shared" si="3"/>
        <v>Werktag</v>
      </c>
      <c r="T16" s="370"/>
      <c r="X16" s="370"/>
      <c r="AA16" s="395"/>
      <c r="AH16" s="373"/>
      <c r="AI16" s="373"/>
      <c r="AK16" s="395"/>
    </row>
    <row r="17" spans="6:35" ht="15.75" thickBot="1" x14ac:dyDescent="0.25">
      <c r="J17" s="375"/>
      <c r="P17" s="315" t="str" cm="1">
        <f t="array" ref="P17">IF(ROW(A16)&gt;SUM($I$20:$I$25),"",INDEX($F$20:$F$25,SUMPRODUCT(($J$20:$J$25&lt;ROW(A16))*1)+1))</f>
        <v>Herbst</v>
      </c>
      <c r="Q17" s="379" cm="1">
        <f t="array" ref="Q17">IF(ROW(A16)&gt;SUM($I$20:$I$25),"",INDEX($G$20:$G$25,SUMPRODUCT(($J$20:$J$25&lt;ROW(A16))*1)+1)+ROW(A16)-IF(SUMPRODUCT(($J$20:$J$25&lt;ROW(A16))*1)+1=1,1,INDEX($J$20:$J$25,SUMPRODUCT(($J$20:$J$25&lt;ROW(A16))*1)+1-1)+1))</f>
        <v>44835</v>
      </c>
      <c r="R17" s="319" t="str">
        <f t="shared" si="3"/>
        <v>Werktag</v>
      </c>
      <c r="T17" s="370"/>
      <c r="X17" s="370"/>
      <c r="AH17" s="373"/>
      <c r="AI17" s="373"/>
    </row>
    <row r="18" spans="6:35" ht="15.75" thickBot="1" x14ac:dyDescent="0.25">
      <c r="P18" s="315" t="str" cm="1">
        <f t="array" ref="P18">IF(ROW(A17)&gt;SUM($I$20:$I$25),"",INDEX($F$20:$F$25,SUMPRODUCT(($J$20:$J$25&lt;ROW(A17))*1)+1))</f>
        <v>Herbst</v>
      </c>
      <c r="Q18" s="379" cm="1">
        <f t="array" ref="Q18">IF(ROW(A17)&gt;SUM($I$20:$I$25),"",INDEX($G$20:$G$25,SUMPRODUCT(($J$20:$J$25&lt;ROW(A17))*1)+1)+ROW(A17)-IF(SUMPRODUCT(($J$20:$J$25&lt;ROW(A17))*1)+1=1,1,INDEX($J$20:$J$25,SUMPRODUCT(($J$20:$J$25&lt;ROW(A17))*1)+1-1)+1))</f>
        <v>44836</v>
      </c>
      <c r="R18" s="319" t="str">
        <f t="shared" si="3"/>
        <v>Wochenende</v>
      </c>
      <c r="T18" s="370"/>
      <c r="AH18" s="373"/>
      <c r="AI18" s="373"/>
    </row>
    <row r="19" spans="6:35" ht="15.75" thickBot="1" x14ac:dyDescent="0.25">
      <c r="F19" s="332" t="s">
        <v>10</v>
      </c>
      <c r="G19" s="332" t="s">
        <v>2</v>
      </c>
      <c r="H19" s="332" t="s">
        <v>3</v>
      </c>
      <c r="I19" s="332" t="s">
        <v>284</v>
      </c>
      <c r="J19" s="332" t="s">
        <v>308</v>
      </c>
      <c r="P19" s="315" t="str" cm="1">
        <f t="array" ref="P19">IF(ROW(A18)&gt;SUM($I$20:$I$25),"",INDEX($F$20:$F$25,SUMPRODUCT(($J$20:$J$25&lt;ROW(A18))*1)+1))</f>
        <v>Herbst</v>
      </c>
      <c r="Q19" s="379" cm="1">
        <f t="array" ref="Q19">IF(ROW(A18)&gt;SUM($I$20:$I$25),"",INDEX($G$20:$G$25,SUMPRODUCT(($J$20:$J$25&lt;ROW(A18))*1)+1)+ROW(A18)-IF(SUMPRODUCT(($J$20:$J$25&lt;ROW(A18))*1)+1=1,1,INDEX($J$20:$J$25,SUMPRODUCT(($J$20:$J$25&lt;ROW(A18))*1)+1-1)+1))</f>
        <v>44837</v>
      </c>
      <c r="R19" s="319" t="str">
        <f t="shared" si="3"/>
        <v>Wochenende</v>
      </c>
      <c r="T19" s="370"/>
      <c r="AH19" s="373"/>
      <c r="AI19" s="373"/>
    </row>
    <row r="20" spans="6:35" ht="15.75" thickBot="1" x14ac:dyDescent="0.25">
      <c r="F20" s="332" t="s">
        <v>68</v>
      </c>
      <c r="G20" s="380">
        <v>44773</v>
      </c>
      <c r="H20" s="381">
        <v>44781</v>
      </c>
      <c r="I20" s="377">
        <f>+H20-G20+1</f>
        <v>9</v>
      </c>
      <c r="J20" s="378">
        <f>+I20</f>
        <v>9</v>
      </c>
      <c r="P20" s="315" t="str" cm="1">
        <f t="array" ref="P20">IF(ROW(A19)&gt;SUM($I$20:$I$25),"",INDEX($F$20:$F$25,SUMPRODUCT(($J$20:$J$25&lt;ROW(A19))*1)+1))</f>
        <v>Herbst</v>
      </c>
      <c r="Q20" s="379" cm="1">
        <f t="array" ref="Q20">IF(ROW(A19)&gt;SUM($I$20:$I$25),"",INDEX($G$20:$G$25,SUMPRODUCT(($J$20:$J$25&lt;ROW(A19))*1)+1)+ROW(A19)-IF(SUMPRODUCT(($J$20:$J$25&lt;ROW(A19))*1)+1=1,1,INDEX($J$20:$J$25,SUMPRODUCT(($J$20:$J$25&lt;ROW(A19))*1)+1-1)+1))</f>
        <v>44838</v>
      </c>
      <c r="R20" s="319" t="str">
        <f t="shared" si="3"/>
        <v>Werktag</v>
      </c>
      <c r="T20" s="370"/>
      <c r="AH20" s="373"/>
      <c r="AI20" s="373"/>
    </row>
    <row r="21" spans="6:35" ht="15.75" thickBot="1" x14ac:dyDescent="0.25">
      <c r="F21" s="332" t="s">
        <v>57</v>
      </c>
      <c r="G21" s="380">
        <v>44829</v>
      </c>
      <c r="H21" s="381">
        <v>44844</v>
      </c>
      <c r="I21" s="377">
        <f t="shared" ref="I21:I25" si="9">+H21-G21+1</f>
        <v>16</v>
      </c>
      <c r="J21" s="378">
        <f>+I21+J20</f>
        <v>25</v>
      </c>
      <c r="P21" s="315" t="str" cm="1">
        <f t="array" ref="P21">IF(ROW(A20)&gt;SUM($I$20:$I$25),"",INDEX($F$20:$F$25,SUMPRODUCT(($J$20:$J$25&lt;ROW(A20))*1)+1))</f>
        <v>Herbst</v>
      </c>
      <c r="Q21" s="379" cm="1">
        <f t="array" ref="Q21">IF(ROW(A20)&gt;SUM($I$20:$I$25),"",INDEX($G$20:$G$25,SUMPRODUCT(($J$20:$J$25&lt;ROW(A20))*1)+1)+ROW(A20)-IF(SUMPRODUCT(($J$20:$J$25&lt;ROW(A20))*1)+1=1,1,INDEX($J$20:$J$25,SUMPRODUCT(($J$20:$J$25&lt;ROW(A20))*1)+1-1)+1))</f>
        <v>44839</v>
      </c>
      <c r="R21" s="319" t="str">
        <f t="shared" si="3"/>
        <v>Werktag</v>
      </c>
      <c r="T21" s="370"/>
      <c r="AH21" s="373"/>
      <c r="AI21" s="373"/>
    </row>
    <row r="22" spans="6:35" ht="15.75" thickBot="1" x14ac:dyDescent="0.25">
      <c r="F22" s="332" t="s">
        <v>62</v>
      </c>
      <c r="G22" s="380">
        <v>44913</v>
      </c>
      <c r="H22" s="381">
        <v>44928</v>
      </c>
      <c r="I22" s="377">
        <f t="shared" si="9"/>
        <v>16</v>
      </c>
      <c r="J22" s="378">
        <f>+I22+J21</f>
        <v>41</v>
      </c>
      <c r="P22" s="315" t="str" cm="1">
        <f t="array" ref="P22">IF(ROW(A21)&gt;SUM($I$20:$I$25),"",INDEX($F$20:$F$25,SUMPRODUCT(($J$20:$J$25&lt;ROW(A21))*1)+1))</f>
        <v>Herbst</v>
      </c>
      <c r="Q22" s="379" cm="1">
        <f t="array" ref="Q22">IF(ROW(A21)&gt;SUM($I$20:$I$25),"",INDEX($G$20:$G$25,SUMPRODUCT(($J$20:$J$25&lt;ROW(A21))*1)+1)+ROW(A21)-IF(SUMPRODUCT(($J$20:$J$25&lt;ROW(A21))*1)+1=1,1,INDEX($J$20:$J$25,SUMPRODUCT(($J$20:$J$25&lt;ROW(A21))*1)+1-1)+1))</f>
        <v>44840</v>
      </c>
      <c r="R22" s="319" t="str">
        <f t="shared" si="3"/>
        <v>Werktag</v>
      </c>
      <c r="T22" s="370"/>
      <c r="AH22" s="373"/>
      <c r="AI22" s="373"/>
    </row>
    <row r="23" spans="6:35" ht="15.75" thickBot="1" x14ac:dyDescent="0.25">
      <c r="F23" s="332" t="s">
        <v>64</v>
      </c>
      <c r="G23" s="380">
        <v>44962</v>
      </c>
      <c r="H23" s="381">
        <v>44977</v>
      </c>
      <c r="I23" s="377">
        <f t="shared" si="9"/>
        <v>16</v>
      </c>
      <c r="J23" s="378">
        <f>+I23+J22</f>
        <v>57</v>
      </c>
      <c r="P23" s="315" t="str" cm="1">
        <f t="array" ref="P23">IF(ROW(A22)&gt;SUM($I$20:$I$25),"",INDEX($F$20:$F$25,SUMPRODUCT(($J$20:$J$25&lt;ROW(A22))*1)+1))</f>
        <v>Herbst</v>
      </c>
      <c r="Q23" s="379" cm="1">
        <f t="array" ref="Q23">IF(ROW(A22)&gt;SUM($I$20:$I$25),"",INDEX($G$20:$G$25,SUMPRODUCT(($J$20:$J$25&lt;ROW(A22))*1)+1)+ROW(A22)-IF(SUMPRODUCT(($J$20:$J$25&lt;ROW(A22))*1)+1=1,1,INDEX($J$20:$J$25,SUMPRODUCT(($J$20:$J$25&lt;ROW(A22))*1)+1-1)+1))</f>
        <v>44841</v>
      </c>
      <c r="R23" s="319" t="str">
        <f t="shared" si="3"/>
        <v>Werktag</v>
      </c>
      <c r="T23" s="370"/>
      <c r="AH23" s="373"/>
      <c r="AI23" s="373"/>
    </row>
    <row r="24" spans="6:35" ht="15.75" thickBot="1" x14ac:dyDescent="0.25">
      <c r="F24" s="332" t="s">
        <v>66</v>
      </c>
      <c r="G24" s="380">
        <v>45004</v>
      </c>
      <c r="H24" s="381">
        <v>45019</v>
      </c>
      <c r="I24" s="377">
        <f t="shared" si="9"/>
        <v>16</v>
      </c>
      <c r="J24" s="378">
        <f>+I24+J23</f>
        <v>73</v>
      </c>
      <c r="P24" s="315" t="str" cm="1">
        <f t="array" ref="P24">IF(ROW(A23)&gt;SUM($I$20:$I$25),"",INDEX($F$20:$F$25,SUMPRODUCT(($J$20:$J$25&lt;ROW(A23))*1)+1))</f>
        <v>Herbst</v>
      </c>
      <c r="Q24" s="379" cm="1">
        <f t="array" ref="Q24">IF(ROW(A23)&gt;SUM($I$20:$I$25),"",INDEX($G$20:$G$25,SUMPRODUCT(($J$20:$J$25&lt;ROW(A23))*1)+1)+ROW(A23)-IF(SUMPRODUCT(($J$20:$J$25&lt;ROW(A23))*1)+1=1,1,INDEX($J$20:$J$25,SUMPRODUCT(($J$20:$J$25&lt;ROW(A23))*1)+1-1)+1))</f>
        <v>44842</v>
      </c>
      <c r="R24" s="319" t="str">
        <f t="shared" si="3"/>
        <v>Werktag</v>
      </c>
      <c r="T24" s="370"/>
      <c r="AH24" s="373"/>
      <c r="AI24" s="373"/>
    </row>
    <row r="25" spans="6:35" ht="15.75" thickBot="1" x14ac:dyDescent="0.25">
      <c r="F25" s="332" t="s">
        <v>68</v>
      </c>
      <c r="G25" s="380">
        <v>45109</v>
      </c>
      <c r="H25" s="381">
        <v>45137</v>
      </c>
      <c r="I25" s="377">
        <f t="shared" si="9"/>
        <v>29</v>
      </c>
      <c r="J25" s="378">
        <f>+I25+J24</f>
        <v>102</v>
      </c>
      <c r="P25" s="315" t="str" cm="1">
        <f t="array" ref="P25">IF(ROW(A24)&gt;SUM($I$20:$I$25),"",INDEX($F$20:$F$25,SUMPRODUCT(($J$20:$J$25&lt;ROW(A24))*1)+1))</f>
        <v>Herbst</v>
      </c>
      <c r="Q25" s="379" cm="1">
        <f t="array" ref="Q25">IF(ROW(A24)&gt;SUM($I$20:$I$25),"",INDEX($G$20:$G$25,SUMPRODUCT(($J$20:$J$25&lt;ROW(A24))*1)+1)+ROW(A24)-IF(SUMPRODUCT(($J$20:$J$25&lt;ROW(A24))*1)+1=1,1,INDEX($J$20:$J$25,SUMPRODUCT(($J$20:$J$25&lt;ROW(A24))*1)+1-1)+1))</f>
        <v>44843</v>
      </c>
      <c r="R25" s="319" t="str">
        <f t="shared" si="3"/>
        <v>Wochenende</v>
      </c>
      <c r="T25" s="370"/>
      <c r="AH25" s="373"/>
      <c r="AI25" s="373"/>
    </row>
    <row r="26" spans="6:35" ht="15.75" thickBot="1" x14ac:dyDescent="0.25">
      <c r="P26" s="315" t="str" cm="1">
        <f t="array" ref="P26">IF(ROW(A25)&gt;SUM($I$20:$I$25),"",INDEX($F$20:$F$25,SUMPRODUCT(($J$20:$J$25&lt;ROW(A25))*1)+1))</f>
        <v>Herbst</v>
      </c>
      <c r="Q26" s="379" cm="1">
        <f t="array" ref="Q26">IF(ROW(A25)&gt;SUM($I$20:$I$25),"",INDEX($G$20:$G$25,SUMPRODUCT(($J$20:$J$25&lt;ROW(A25))*1)+1)+ROW(A25)-IF(SUMPRODUCT(($J$20:$J$25&lt;ROW(A25))*1)+1=1,1,INDEX($J$20:$J$25,SUMPRODUCT(($J$20:$J$25&lt;ROW(A25))*1)+1-1)+1))</f>
        <v>44844</v>
      </c>
      <c r="R26" s="319" t="str">
        <f t="shared" si="3"/>
        <v>Wochenende</v>
      </c>
      <c r="T26" s="370"/>
      <c r="AH26" s="373"/>
      <c r="AI26" s="373"/>
    </row>
    <row r="27" spans="6:35" ht="15.75" thickBot="1" x14ac:dyDescent="0.25">
      <c r="G27" s="376"/>
      <c r="P27" s="315" t="str" cm="1">
        <f t="array" ref="P27">IF(ROW(A26)&gt;SUM($I$20:$I$25),"",INDEX($F$20:$F$25,SUMPRODUCT(($J$20:$J$25&lt;ROW(A26))*1)+1))</f>
        <v>Weihnachten</v>
      </c>
      <c r="Q27" s="379" cm="1">
        <f t="array" ref="Q27">IF(ROW(A26)&gt;SUM($I$20:$I$25),"",INDEX($G$20:$G$25,SUMPRODUCT(($J$20:$J$25&lt;ROW(A26))*1)+1)+ROW(A26)-IF(SUMPRODUCT(($J$20:$J$25&lt;ROW(A26))*1)+1=1,1,INDEX($J$20:$J$25,SUMPRODUCT(($J$20:$J$25&lt;ROW(A26))*1)+1-1)+1))</f>
        <v>44913</v>
      </c>
      <c r="R27" s="319" t="str">
        <f t="shared" si="3"/>
        <v>Wochenende</v>
      </c>
      <c r="T27" s="370"/>
      <c r="AH27" s="373"/>
      <c r="AI27" s="373"/>
    </row>
    <row r="28" spans="6:35" ht="15.75" thickBot="1" x14ac:dyDescent="0.25">
      <c r="G28" s="376"/>
      <c r="P28" s="315" t="str" cm="1">
        <f t="array" ref="P28">IF(ROW(A27)&gt;SUM($I$20:$I$25),"",INDEX($F$20:$F$25,SUMPRODUCT(($J$20:$J$25&lt;ROW(A27))*1)+1))</f>
        <v>Weihnachten</v>
      </c>
      <c r="Q28" s="379" cm="1">
        <f t="array" ref="Q28">IF(ROW(A27)&gt;SUM($I$20:$I$25),"",INDEX($G$20:$G$25,SUMPRODUCT(($J$20:$J$25&lt;ROW(A27))*1)+1)+ROW(A27)-IF(SUMPRODUCT(($J$20:$J$25&lt;ROW(A27))*1)+1=1,1,INDEX($J$20:$J$25,SUMPRODUCT(($J$20:$J$25&lt;ROW(A27))*1)+1-1)+1))</f>
        <v>44914</v>
      </c>
      <c r="R28" s="319" t="str">
        <f t="shared" si="3"/>
        <v>Wochenende</v>
      </c>
      <c r="T28" s="370"/>
      <c r="AH28" s="373"/>
      <c r="AI28" s="373"/>
    </row>
    <row r="29" spans="6:35" ht="15.75" thickBot="1" x14ac:dyDescent="0.25">
      <c r="G29" s="376"/>
      <c r="P29" s="315" t="str" cm="1">
        <f t="array" ref="P29">IF(ROW(A28)&gt;SUM($I$20:$I$25),"",INDEX($F$20:$F$25,SUMPRODUCT(($J$20:$J$25&lt;ROW(A28))*1)+1))</f>
        <v>Weihnachten</v>
      </c>
      <c r="Q29" s="379" cm="1">
        <f t="array" ref="Q29">IF(ROW(A28)&gt;SUM($I$20:$I$25),"",INDEX($G$20:$G$25,SUMPRODUCT(($J$20:$J$25&lt;ROW(A28))*1)+1)+ROW(A28)-IF(SUMPRODUCT(($J$20:$J$25&lt;ROW(A28))*1)+1=1,1,INDEX($J$20:$J$25,SUMPRODUCT(($J$20:$J$25&lt;ROW(A28))*1)+1-1)+1))</f>
        <v>44915</v>
      </c>
      <c r="R29" s="319" t="str">
        <f t="shared" si="3"/>
        <v>Werktag</v>
      </c>
      <c r="T29" s="370"/>
      <c r="AH29" s="373"/>
      <c r="AI29" s="373"/>
    </row>
    <row r="30" spans="6:35" ht="15.75" thickBot="1" x14ac:dyDescent="0.25">
      <c r="G30" s="376"/>
      <c r="P30" s="315" t="str" cm="1">
        <f t="array" ref="P30">IF(ROW(A29)&gt;SUM($I$20:$I$25),"",INDEX($F$20:$F$25,SUMPRODUCT(($J$20:$J$25&lt;ROW(A29))*1)+1))</f>
        <v>Weihnachten</v>
      </c>
      <c r="Q30" s="379" cm="1">
        <f t="array" ref="Q30">IF(ROW(A29)&gt;SUM($I$20:$I$25),"",INDEX($G$20:$G$25,SUMPRODUCT(($J$20:$J$25&lt;ROW(A29))*1)+1)+ROW(A29)-IF(SUMPRODUCT(($J$20:$J$25&lt;ROW(A29))*1)+1=1,1,INDEX($J$20:$J$25,SUMPRODUCT(($J$20:$J$25&lt;ROW(A29))*1)+1-1)+1))</f>
        <v>44916</v>
      </c>
      <c r="R30" s="319" t="str">
        <f t="shared" si="3"/>
        <v>Werktag</v>
      </c>
      <c r="T30" s="370"/>
    </row>
    <row r="31" spans="6:35" ht="15.75" thickBot="1" x14ac:dyDescent="0.25">
      <c r="G31" s="376"/>
      <c r="P31" s="315" t="str" cm="1">
        <f t="array" ref="P31">IF(ROW(A30)&gt;SUM($I$20:$I$25),"",INDEX($F$20:$F$25,SUMPRODUCT(($J$20:$J$25&lt;ROW(A30))*1)+1))</f>
        <v>Weihnachten</v>
      </c>
      <c r="Q31" s="379" cm="1">
        <f t="array" ref="Q31">IF(ROW(A30)&gt;SUM($I$20:$I$25),"",INDEX($G$20:$G$25,SUMPRODUCT(($J$20:$J$25&lt;ROW(A30))*1)+1)+ROW(A30)-IF(SUMPRODUCT(($J$20:$J$25&lt;ROW(A30))*1)+1=1,1,INDEX($J$20:$J$25,SUMPRODUCT(($J$20:$J$25&lt;ROW(A30))*1)+1-1)+1))</f>
        <v>44917</v>
      </c>
      <c r="R31" s="319" t="str">
        <f t="shared" si="3"/>
        <v>Werktag</v>
      </c>
      <c r="T31" s="370"/>
    </row>
    <row r="32" spans="6:35" ht="15.75" thickBot="1" x14ac:dyDescent="0.25">
      <c r="G32" s="376"/>
      <c r="P32" s="315" t="str" cm="1">
        <f t="array" ref="P32">IF(ROW(A31)&gt;SUM($I$20:$I$25),"",INDEX($F$20:$F$25,SUMPRODUCT(($J$20:$J$25&lt;ROW(A31))*1)+1))</f>
        <v>Weihnachten</v>
      </c>
      <c r="Q32" s="379" cm="1">
        <f t="array" ref="Q32">IF(ROW(A31)&gt;SUM($I$20:$I$25),"",INDEX($G$20:$G$25,SUMPRODUCT(($J$20:$J$25&lt;ROW(A31))*1)+1)+ROW(A31)-IF(SUMPRODUCT(($J$20:$J$25&lt;ROW(A31))*1)+1=1,1,INDEX($J$20:$J$25,SUMPRODUCT(($J$20:$J$25&lt;ROW(A31))*1)+1-1)+1))</f>
        <v>44918</v>
      </c>
      <c r="R32" s="319" t="str">
        <f t="shared" si="3"/>
        <v>Werktag</v>
      </c>
      <c r="T32" s="370"/>
    </row>
    <row r="33" spans="7:20" ht="15.75" thickBot="1" x14ac:dyDescent="0.25">
      <c r="G33" s="376"/>
      <c r="P33" s="315" t="str" cm="1">
        <f t="array" ref="P33">IF(ROW(A32)&gt;SUM($I$20:$I$25),"",INDEX($F$20:$F$25,SUMPRODUCT(($J$20:$J$25&lt;ROW(A32))*1)+1))</f>
        <v>Weihnachten</v>
      </c>
      <c r="Q33" s="379" cm="1">
        <f t="array" ref="Q33">IF(ROW(A32)&gt;SUM($I$20:$I$25),"",INDEX($G$20:$G$25,SUMPRODUCT(($J$20:$J$25&lt;ROW(A32))*1)+1)+ROW(A32)-IF(SUMPRODUCT(($J$20:$J$25&lt;ROW(A32))*1)+1=1,1,INDEX($J$20:$J$25,SUMPRODUCT(($J$20:$J$25&lt;ROW(A32))*1)+1-1)+1))</f>
        <v>44919</v>
      </c>
      <c r="R33" s="319" t="str">
        <f t="shared" si="3"/>
        <v>Werktag</v>
      </c>
      <c r="T33" s="370"/>
    </row>
    <row r="34" spans="7:20" ht="15.75" thickBot="1" x14ac:dyDescent="0.25">
      <c r="G34" s="376"/>
      <c r="P34" s="315" t="str" cm="1">
        <f t="array" ref="P34">IF(ROW(A33)&gt;SUM($I$20:$I$25),"",INDEX($F$20:$F$25,SUMPRODUCT(($J$20:$J$25&lt;ROW(A33))*1)+1))</f>
        <v>Weihnachten</v>
      </c>
      <c r="Q34" s="379" cm="1">
        <f t="array" ref="Q34">IF(ROW(A33)&gt;SUM($I$20:$I$25),"",INDEX($G$20:$G$25,SUMPRODUCT(($J$20:$J$25&lt;ROW(A33))*1)+1)+ROW(A33)-IF(SUMPRODUCT(($J$20:$J$25&lt;ROW(A33))*1)+1=1,1,INDEX($J$20:$J$25,SUMPRODUCT(($J$20:$J$25&lt;ROW(A33))*1)+1-1)+1))</f>
        <v>44920</v>
      </c>
      <c r="R34" s="319" t="str">
        <f t="shared" si="3"/>
        <v>Wochenende</v>
      </c>
      <c r="T34" s="370"/>
    </row>
    <row r="35" spans="7:20" ht="15.75" thickBot="1" x14ac:dyDescent="0.25">
      <c r="G35" s="376"/>
      <c r="P35" s="315" t="str" cm="1">
        <f t="array" ref="P35">IF(ROW(A34)&gt;SUM($I$20:$I$25),"",INDEX($F$20:$F$25,SUMPRODUCT(($J$20:$J$25&lt;ROW(A34))*1)+1))</f>
        <v>Weihnachten</v>
      </c>
      <c r="Q35" s="379" cm="1">
        <f t="array" ref="Q35">IF(ROW(A34)&gt;SUM($I$20:$I$25),"",INDEX($G$20:$G$25,SUMPRODUCT(($J$20:$J$25&lt;ROW(A34))*1)+1)+ROW(A34)-IF(SUMPRODUCT(($J$20:$J$25&lt;ROW(A34))*1)+1=1,1,INDEX($J$20:$J$25,SUMPRODUCT(($J$20:$J$25&lt;ROW(A34))*1)+1-1)+1))</f>
        <v>44921</v>
      </c>
      <c r="R35" s="319" t="str">
        <f t="shared" si="3"/>
        <v>Wochenende</v>
      </c>
      <c r="T35" s="370"/>
    </row>
    <row r="36" spans="7:20" ht="15.75" thickBot="1" x14ac:dyDescent="0.25">
      <c r="G36" s="376"/>
      <c r="P36" s="315" t="str" cm="1">
        <f t="array" ref="P36">IF(ROW(A35)&gt;SUM($I$20:$I$25),"",INDEX($F$20:$F$25,SUMPRODUCT(($J$20:$J$25&lt;ROW(A35))*1)+1))</f>
        <v>Weihnachten</v>
      </c>
      <c r="Q36" s="379" cm="1">
        <f t="array" ref="Q36">IF(ROW(A35)&gt;SUM($I$20:$I$25),"",INDEX($G$20:$G$25,SUMPRODUCT(($J$20:$J$25&lt;ROW(A35))*1)+1)+ROW(A35)-IF(SUMPRODUCT(($J$20:$J$25&lt;ROW(A35))*1)+1=1,1,INDEX($J$20:$J$25,SUMPRODUCT(($J$20:$J$25&lt;ROW(A35))*1)+1-1)+1))</f>
        <v>44922</v>
      </c>
      <c r="R36" s="319" t="str">
        <f t="shared" si="3"/>
        <v>Werktag</v>
      </c>
      <c r="T36" s="370"/>
    </row>
    <row r="37" spans="7:20" ht="15.75" thickBot="1" x14ac:dyDescent="0.25">
      <c r="G37" s="376"/>
      <c r="P37" s="315" t="str" cm="1">
        <f t="array" ref="P37">IF(ROW(A36)&gt;SUM($I$20:$I$25),"",INDEX($F$20:$F$25,SUMPRODUCT(($J$20:$J$25&lt;ROW(A36))*1)+1))</f>
        <v>Weihnachten</v>
      </c>
      <c r="Q37" s="379" cm="1">
        <f t="array" ref="Q37">IF(ROW(A36)&gt;SUM($I$20:$I$25),"",INDEX($G$20:$G$25,SUMPRODUCT(($J$20:$J$25&lt;ROW(A36))*1)+1)+ROW(A36)-IF(SUMPRODUCT(($J$20:$J$25&lt;ROW(A36))*1)+1=1,1,INDEX($J$20:$J$25,SUMPRODUCT(($J$20:$J$25&lt;ROW(A36))*1)+1-1)+1))</f>
        <v>44923</v>
      </c>
      <c r="R37" s="319" t="str">
        <f t="shared" si="3"/>
        <v>Werktag</v>
      </c>
      <c r="T37" s="370"/>
    </row>
    <row r="38" spans="7:20" ht="15.75" thickBot="1" x14ac:dyDescent="0.25">
      <c r="G38" s="376"/>
      <c r="P38" s="315" t="str" cm="1">
        <f t="array" ref="P38">IF(ROW(A37)&gt;SUM($I$20:$I$25),"",INDEX($F$20:$F$25,SUMPRODUCT(($J$20:$J$25&lt;ROW(A37))*1)+1))</f>
        <v>Weihnachten</v>
      </c>
      <c r="Q38" s="379" cm="1">
        <f t="array" ref="Q38">IF(ROW(A37)&gt;SUM($I$20:$I$25),"",INDEX($G$20:$G$25,SUMPRODUCT(($J$20:$J$25&lt;ROW(A37))*1)+1)+ROW(A37)-IF(SUMPRODUCT(($J$20:$J$25&lt;ROW(A37))*1)+1=1,1,INDEX($J$20:$J$25,SUMPRODUCT(($J$20:$J$25&lt;ROW(A37))*1)+1-1)+1))</f>
        <v>44924</v>
      </c>
      <c r="R38" s="319" t="str">
        <f t="shared" si="3"/>
        <v>Werktag</v>
      </c>
      <c r="T38" s="370"/>
    </row>
    <row r="39" spans="7:20" ht="15.75" thickBot="1" x14ac:dyDescent="0.25">
      <c r="G39" s="376"/>
      <c r="P39" s="315" t="str" cm="1">
        <f t="array" ref="P39">IF(ROW(A38)&gt;SUM($I$20:$I$25),"",INDEX($F$20:$F$25,SUMPRODUCT(($J$20:$J$25&lt;ROW(A38))*1)+1))</f>
        <v>Weihnachten</v>
      </c>
      <c r="Q39" s="379" cm="1">
        <f t="array" ref="Q39">IF(ROW(A38)&gt;SUM($I$20:$I$25),"",INDEX($G$20:$G$25,SUMPRODUCT(($J$20:$J$25&lt;ROW(A38))*1)+1)+ROW(A38)-IF(SUMPRODUCT(($J$20:$J$25&lt;ROW(A38))*1)+1=1,1,INDEX($J$20:$J$25,SUMPRODUCT(($J$20:$J$25&lt;ROW(A38))*1)+1-1)+1))</f>
        <v>44925</v>
      </c>
      <c r="R39" s="319" t="str">
        <f t="shared" si="3"/>
        <v>Werktag</v>
      </c>
      <c r="T39" s="370"/>
    </row>
    <row r="40" spans="7:20" ht="15.75" thickBot="1" x14ac:dyDescent="0.25">
      <c r="G40" s="376"/>
      <c r="P40" s="315" t="str" cm="1">
        <f t="array" ref="P40">IF(ROW(A39)&gt;SUM($I$20:$I$25),"",INDEX($F$20:$F$25,SUMPRODUCT(($J$20:$J$25&lt;ROW(A39))*1)+1))</f>
        <v>Weihnachten</v>
      </c>
      <c r="Q40" s="379" cm="1">
        <f t="array" ref="Q40">IF(ROW(A39)&gt;SUM($I$20:$I$25),"",INDEX($G$20:$G$25,SUMPRODUCT(($J$20:$J$25&lt;ROW(A39))*1)+1)+ROW(A39)-IF(SUMPRODUCT(($J$20:$J$25&lt;ROW(A39))*1)+1=1,1,INDEX($J$20:$J$25,SUMPRODUCT(($J$20:$J$25&lt;ROW(A39))*1)+1-1)+1))</f>
        <v>44926</v>
      </c>
      <c r="R40" s="319" t="str">
        <f t="shared" si="3"/>
        <v>Werktag</v>
      </c>
      <c r="T40" s="370"/>
    </row>
    <row r="41" spans="7:20" ht="15.75" thickBot="1" x14ac:dyDescent="0.25">
      <c r="G41" s="376"/>
      <c r="P41" s="315" t="str" cm="1">
        <f t="array" ref="P41">IF(ROW(A40)&gt;SUM($I$20:$I$25),"",INDEX($F$20:$F$25,SUMPRODUCT(($J$20:$J$25&lt;ROW(A40))*1)+1))</f>
        <v>Weihnachten</v>
      </c>
      <c r="Q41" s="379" cm="1">
        <f t="array" ref="Q41">IF(ROW(A40)&gt;SUM($I$20:$I$25),"",INDEX($G$20:$G$25,SUMPRODUCT(($J$20:$J$25&lt;ROW(A40))*1)+1)+ROW(A40)-IF(SUMPRODUCT(($J$20:$J$25&lt;ROW(A40))*1)+1=1,1,INDEX($J$20:$J$25,SUMPRODUCT(($J$20:$J$25&lt;ROW(A40))*1)+1-1)+1))</f>
        <v>44927</v>
      </c>
      <c r="R41" s="319" t="str">
        <f t="shared" si="3"/>
        <v>Wochenende</v>
      </c>
      <c r="T41" s="370"/>
    </row>
    <row r="42" spans="7:20" ht="15.75" thickBot="1" x14ac:dyDescent="0.25">
      <c r="G42" s="376"/>
      <c r="P42" s="315" t="str" cm="1">
        <f t="array" ref="P42">IF(ROW(A41)&gt;SUM($I$20:$I$25),"",INDEX($F$20:$F$25,SUMPRODUCT(($J$20:$J$25&lt;ROW(A41))*1)+1))</f>
        <v>Weihnachten</v>
      </c>
      <c r="Q42" s="379" cm="1">
        <f t="array" ref="Q42">IF(ROW(A41)&gt;SUM($I$20:$I$25),"",INDEX($G$20:$G$25,SUMPRODUCT(($J$20:$J$25&lt;ROW(A41))*1)+1)+ROW(A41)-IF(SUMPRODUCT(($J$20:$J$25&lt;ROW(A41))*1)+1=1,1,INDEX($J$20:$J$25,SUMPRODUCT(($J$20:$J$25&lt;ROW(A41))*1)+1-1)+1))</f>
        <v>44928</v>
      </c>
      <c r="R42" s="319" t="str">
        <f t="shared" si="3"/>
        <v>Wochenende</v>
      </c>
      <c r="T42" s="370"/>
    </row>
    <row r="43" spans="7:20" ht="15.75" thickBot="1" x14ac:dyDescent="0.25">
      <c r="G43" s="376"/>
      <c r="P43" s="315" t="str" cm="1">
        <f t="array" ref="P43">IF(ROW(A42)&gt;SUM($I$20:$I$25),"",INDEX($F$20:$F$25,SUMPRODUCT(($J$20:$J$25&lt;ROW(A42))*1)+1))</f>
        <v>Fasnacht</v>
      </c>
      <c r="Q43" s="379" cm="1">
        <f t="array" ref="Q43">IF(ROW(A42)&gt;SUM($I$20:$I$25),"",INDEX($G$20:$G$25,SUMPRODUCT(($J$20:$J$25&lt;ROW(A42))*1)+1)+ROW(A42)-IF(SUMPRODUCT(($J$20:$J$25&lt;ROW(A42))*1)+1=1,1,INDEX($J$20:$J$25,SUMPRODUCT(($J$20:$J$25&lt;ROW(A42))*1)+1-1)+1))</f>
        <v>44962</v>
      </c>
      <c r="R43" s="319" t="str">
        <f t="shared" si="3"/>
        <v>Wochenende</v>
      </c>
      <c r="T43" s="370"/>
    </row>
    <row r="44" spans="7:20" ht="15.75" thickBot="1" x14ac:dyDescent="0.25">
      <c r="G44" s="376"/>
      <c r="P44" s="315" t="str" cm="1">
        <f t="array" ref="P44">IF(ROW(A43)&gt;SUM($I$20:$I$25),"",INDEX($F$20:$F$25,SUMPRODUCT(($J$20:$J$25&lt;ROW(A43))*1)+1))</f>
        <v>Fasnacht</v>
      </c>
      <c r="Q44" s="379" cm="1">
        <f t="array" ref="Q44">IF(ROW(A43)&gt;SUM($I$20:$I$25),"",INDEX($G$20:$G$25,SUMPRODUCT(($J$20:$J$25&lt;ROW(A43))*1)+1)+ROW(A43)-IF(SUMPRODUCT(($J$20:$J$25&lt;ROW(A43))*1)+1=1,1,INDEX($J$20:$J$25,SUMPRODUCT(($J$20:$J$25&lt;ROW(A43))*1)+1-1)+1))</f>
        <v>44963</v>
      </c>
      <c r="R44" s="319" t="str">
        <f t="shared" si="3"/>
        <v>Wochenende</v>
      </c>
      <c r="T44" s="370"/>
    </row>
    <row r="45" spans="7:20" ht="15.75" thickBot="1" x14ac:dyDescent="0.25">
      <c r="G45" s="376"/>
      <c r="P45" s="315" t="str" cm="1">
        <f t="array" ref="P45">IF(ROW(A44)&gt;SUM($I$20:$I$25),"",INDEX($F$20:$F$25,SUMPRODUCT(($J$20:$J$25&lt;ROW(A44))*1)+1))</f>
        <v>Fasnacht</v>
      </c>
      <c r="Q45" s="379" cm="1">
        <f t="array" ref="Q45">IF(ROW(A44)&gt;SUM($I$20:$I$25),"",INDEX($G$20:$G$25,SUMPRODUCT(($J$20:$J$25&lt;ROW(A44))*1)+1)+ROW(A44)-IF(SUMPRODUCT(($J$20:$J$25&lt;ROW(A44))*1)+1=1,1,INDEX($J$20:$J$25,SUMPRODUCT(($J$20:$J$25&lt;ROW(A44))*1)+1-1)+1))</f>
        <v>44964</v>
      </c>
      <c r="R45" s="319" t="str">
        <f t="shared" si="3"/>
        <v>Werktag</v>
      </c>
      <c r="T45" s="370"/>
    </row>
    <row r="46" spans="7:20" ht="15.75" thickBot="1" x14ac:dyDescent="0.25">
      <c r="G46" s="376"/>
      <c r="P46" s="315" t="str" cm="1">
        <f t="array" ref="P46">IF(ROW(A45)&gt;SUM($I$20:$I$25),"",INDEX($F$20:$F$25,SUMPRODUCT(($J$20:$J$25&lt;ROW(A45))*1)+1))</f>
        <v>Fasnacht</v>
      </c>
      <c r="Q46" s="379" cm="1">
        <f t="array" ref="Q46">IF(ROW(A45)&gt;SUM($I$20:$I$25),"",INDEX($G$20:$G$25,SUMPRODUCT(($J$20:$J$25&lt;ROW(A45))*1)+1)+ROW(A45)-IF(SUMPRODUCT(($J$20:$J$25&lt;ROW(A45))*1)+1=1,1,INDEX($J$20:$J$25,SUMPRODUCT(($J$20:$J$25&lt;ROW(A45))*1)+1-1)+1))</f>
        <v>44965</v>
      </c>
      <c r="R46" s="319" t="str">
        <f t="shared" si="3"/>
        <v>Werktag</v>
      </c>
      <c r="T46" s="370"/>
    </row>
    <row r="47" spans="7:20" ht="15.75" thickBot="1" x14ac:dyDescent="0.25">
      <c r="G47" s="376"/>
      <c r="P47" s="315" t="str" cm="1">
        <f t="array" ref="P47">IF(ROW(A46)&gt;SUM($I$20:$I$25),"",INDEX($F$20:$F$25,SUMPRODUCT(($J$20:$J$25&lt;ROW(A46))*1)+1))</f>
        <v>Fasnacht</v>
      </c>
      <c r="Q47" s="379" cm="1">
        <f t="array" ref="Q47">IF(ROW(A46)&gt;SUM($I$20:$I$25),"",INDEX($G$20:$G$25,SUMPRODUCT(($J$20:$J$25&lt;ROW(A46))*1)+1)+ROW(A46)-IF(SUMPRODUCT(($J$20:$J$25&lt;ROW(A46))*1)+1=1,1,INDEX($J$20:$J$25,SUMPRODUCT(($J$20:$J$25&lt;ROW(A46))*1)+1-1)+1))</f>
        <v>44966</v>
      </c>
      <c r="R47" s="319" t="str">
        <f t="shared" si="3"/>
        <v>Werktag</v>
      </c>
      <c r="T47" s="370"/>
    </row>
    <row r="48" spans="7:20" ht="15.75" thickBot="1" x14ac:dyDescent="0.25">
      <c r="G48" s="376"/>
      <c r="P48" s="315" t="str" cm="1">
        <f t="array" ref="P48">IF(ROW(A47)&gt;SUM($I$20:$I$25),"",INDEX($F$20:$F$25,SUMPRODUCT(($J$20:$J$25&lt;ROW(A47))*1)+1))</f>
        <v>Fasnacht</v>
      </c>
      <c r="Q48" s="379" cm="1">
        <f t="array" ref="Q48">IF(ROW(A47)&gt;SUM($I$20:$I$25),"",INDEX($G$20:$G$25,SUMPRODUCT(($J$20:$J$25&lt;ROW(A47))*1)+1)+ROW(A47)-IF(SUMPRODUCT(($J$20:$J$25&lt;ROW(A47))*1)+1=1,1,INDEX($J$20:$J$25,SUMPRODUCT(($J$20:$J$25&lt;ROW(A47))*1)+1-1)+1))</f>
        <v>44967</v>
      </c>
      <c r="R48" s="319" t="str">
        <f t="shared" si="3"/>
        <v>Werktag</v>
      </c>
      <c r="T48" s="370"/>
    </row>
    <row r="49" spans="7:20" ht="15.75" thickBot="1" x14ac:dyDescent="0.25">
      <c r="G49" s="376"/>
      <c r="P49" s="315" t="str" cm="1">
        <f t="array" ref="P49">IF(ROW(A48)&gt;SUM($I$20:$I$25),"",INDEX($F$20:$F$25,SUMPRODUCT(($J$20:$J$25&lt;ROW(A48))*1)+1))</f>
        <v>Fasnacht</v>
      </c>
      <c r="Q49" s="379" cm="1">
        <f t="array" ref="Q49">IF(ROW(A48)&gt;SUM($I$20:$I$25),"",INDEX($G$20:$G$25,SUMPRODUCT(($J$20:$J$25&lt;ROW(A48))*1)+1)+ROW(A48)-IF(SUMPRODUCT(($J$20:$J$25&lt;ROW(A48))*1)+1=1,1,INDEX($J$20:$J$25,SUMPRODUCT(($J$20:$J$25&lt;ROW(A48))*1)+1-1)+1))</f>
        <v>44968</v>
      </c>
      <c r="R49" s="319" t="str">
        <f t="shared" si="3"/>
        <v>Werktag</v>
      </c>
      <c r="T49" s="370"/>
    </row>
    <row r="50" spans="7:20" ht="15.75" thickBot="1" x14ac:dyDescent="0.25">
      <c r="G50" s="376"/>
      <c r="P50" s="315" t="str" cm="1">
        <f t="array" ref="P50">IF(ROW(A49)&gt;SUM($I$20:$I$25),"",INDEX($F$20:$F$25,SUMPRODUCT(($J$20:$J$25&lt;ROW(A49))*1)+1))</f>
        <v>Fasnacht</v>
      </c>
      <c r="Q50" s="379" cm="1">
        <f t="array" ref="Q50">IF(ROW(A49)&gt;SUM($I$20:$I$25),"",INDEX($G$20:$G$25,SUMPRODUCT(($J$20:$J$25&lt;ROW(A49))*1)+1)+ROW(A49)-IF(SUMPRODUCT(($J$20:$J$25&lt;ROW(A49))*1)+1=1,1,INDEX($J$20:$J$25,SUMPRODUCT(($J$20:$J$25&lt;ROW(A49))*1)+1-1)+1))</f>
        <v>44969</v>
      </c>
      <c r="R50" s="319" t="str">
        <f t="shared" si="3"/>
        <v>Wochenende</v>
      </c>
      <c r="T50" s="370"/>
    </row>
    <row r="51" spans="7:20" ht="15.75" thickBot="1" x14ac:dyDescent="0.25">
      <c r="G51" s="376"/>
      <c r="P51" s="315" t="str" cm="1">
        <f t="array" ref="P51">IF(ROW(A50)&gt;SUM($I$20:$I$25),"",INDEX($F$20:$F$25,SUMPRODUCT(($J$20:$J$25&lt;ROW(A50))*1)+1))</f>
        <v>Fasnacht</v>
      </c>
      <c r="Q51" s="379" cm="1">
        <f t="array" ref="Q51">IF(ROW(A50)&gt;SUM($I$20:$I$25),"",INDEX($G$20:$G$25,SUMPRODUCT(($J$20:$J$25&lt;ROW(A50))*1)+1)+ROW(A50)-IF(SUMPRODUCT(($J$20:$J$25&lt;ROW(A50))*1)+1=1,1,INDEX($J$20:$J$25,SUMPRODUCT(($J$20:$J$25&lt;ROW(A50))*1)+1-1)+1))</f>
        <v>44970</v>
      </c>
      <c r="R51" s="319" t="str">
        <f t="shared" si="3"/>
        <v>Wochenende</v>
      </c>
      <c r="T51" s="370"/>
    </row>
    <row r="52" spans="7:20" ht="15.75" thickBot="1" x14ac:dyDescent="0.25">
      <c r="G52" s="376"/>
      <c r="P52" s="315" t="str" cm="1">
        <f t="array" ref="P52">IF(ROW(A51)&gt;SUM($I$20:$I$25),"",INDEX($F$20:$F$25,SUMPRODUCT(($J$20:$J$25&lt;ROW(A51))*1)+1))</f>
        <v>Fasnacht</v>
      </c>
      <c r="Q52" s="379" cm="1">
        <f t="array" ref="Q52">IF(ROW(A51)&gt;SUM($I$20:$I$25),"",INDEX($G$20:$G$25,SUMPRODUCT(($J$20:$J$25&lt;ROW(A51))*1)+1)+ROW(A51)-IF(SUMPRODUCT(($J$20:$J$25&lt;ROW(A51))*1)+1=1,1,INDEX($J$20:$J$25,SUMPRODUCT(($J$20:$J$25&lt;ROW(A51))*1)+1-1)+1))</f>
        <v>44971</v>
      </c>
      <c r="R52" s="319" t="str">
        <f t="shared" si="3"/>
        <v>Werktag</v>
      </c>
      <c r="T52" s="370"/>
    </row>
    <row r="53" spans="7:20" ht="15.75" thickBot="1" x14ac:dyDescent="0.25">
      <c r="G53" s="376"/>
      <c r="P53" s="315" t="str" cm="1">
        <f t="array" ref="P53">IF(ROW(A52)&gt;SUM($I$20:$I$25),"",INDEX($F$20:$F$25,SUMPRODUCT(($J$20:$J$25&lt;ROW(A52))*1)+1))</f>
        <v>Fasnacht</v>
      </c>
      <c r="Q53" s="379" cm="1">
        <f t="array" ref="Q53">IF(ROW(A52)&gt;SUM($I$20:$I$25),"",INDEX($G$20:$G$25,SUMPRODUCT(($J$20:$J$25&lt;ROW(A52))*1)+1)+ROW(A52)-IF(SUMPRODUCT(($J$20:$J$25&lt;ROW(A52))*1)+1=1,1,INDEX($J$20:$J$25,SUMPRODUCT(($J$20:$J$25&lt;ROW(A52))*1)+1-1)+1))</f>
        <v>44972</v>
      </c>
      <c r="R53" s="319" t="str">
        <f t="shared" si="3"/>
        <v>Werktag</v>
      </c>
      <c r="T53" s="370"/>
    </row>
    <row r="54" spans="7:20" ht="15.75" thickBot="1" x14ac:dyDescent="0.25">
      <c r="G54" s="376"/>
      <c r="P54" s="315" t="str" cm="1">
        <f t="array" ref="P54">IF(ROW(A53)&gt;SUM($I$20:$I$25),"",INDEX($F$20:$F$25,SUMPRODUCT(($J$20:$J$25&lt;ROW(A53))*1)+1))</f>
        <v>Fasnacht</v>
      </c>
      <c r="Q54" s="379" cm="1">
        <f t="array" ref="Q54">IF(ROW(A53)&gt;SUM($I$20:$I$25),"",INDEX($G$20:$G$25,SUMPRODUCT(($J$20:$J$25&lt;ROW(A53))*1)+1)+ROW(A53)-IF(SUMPRODUCT(($J$20:$J$25&lt;ROW(A53))*1)+1=1,1,INDEX($J$20:$J$25,SUMPRODUCT(($J$20:$J$25&lt;ROW(A53))*1)+1-1)+1))</f>
        <v>44973</v>
      </c>
      <c r="R54" s="319" t="str">
        <f t="shared" si="3"/>
        <v>Werktag</v>
      </c>
      <c r="T54" s="370"/>
    </row>
    <row r="55" spans="7:20" ht="15.75" thickBot="1" x14ac:dyDescent="0.25">
      <c r="G55" s="376"/>
      <c r="P55" s="315" t="str" cm="1">
        <f t="array" ref="P55">IF(ROW(A54)&gt;SUM($I$20:$I$25),"",INDEX($F$20:$F$25,SUMPRODUCT(($J$20:$J$25&lt;ROW(A54))*1)+1))</f>
        <v>Fasnacht</v>
      </c>
      <c r="Q55" s="379" cm="1">
        <f t="array" ref="Q55">IF(ROW(A54)&gt;SUM($I$20:$I$25),"",INDEX($G$20:$G$25,SUMPRODUCT(($J$20:$J$25&lt;ROW(A54))*1)+1)+ROW(A54)-IF(SUMPRODUCT(($J$20:$J$25&lt;ROW(A54))*1)+1=1,1,INDEX($J$20:$J$25,SUMPRODUCT(($J$20:$J$25&lt;ROW(A54))*1)+1-1)+1))</f>
        <v>44974</v>
      </c>
      <c r="R55" s="319" t="str">
        <f t="shared" si="3"/>
        <v>Werktag</v>
      </c>
      <c r="T55" s="370"/>
    </row>
    <row r="56" spans="7:20" ht="15.75" thickBot="1" x14ac:dyDescent="0.25">
      <c r="G56" s="376"/>
      <c r="P56" s="315" t="str" cm="1">
        <f t="array" ref="P56">IF(ROW(A55)&gt;SUM($I$20:$I$25),"",INDEX($F$20:$F$25,SUMPRODUCT(($J$20:$J$25&lt;ROW(A55))*1)+1))</f>
        <v>Fasnacht</v>
      </c>
      <c r="Q56" s="379" cm="1">
        <f t="array" ref="Q56">IF(ROW(A55)&gt;SUM($I$20:$I$25),"",INDEX($G$20:$G$25,SUMPRODUCT(($J$20:$J$25&lt;ROW(A55))*1)+1)+ROW(A55)-IF(SUMPRODUCT(($J$20:$J$25&lt;ROW(A55))*1)+1=1,1,INDEX($J$20:$J$25,SUMPRODUCT(($J$20:$J$25&lt;ROW(A55))*1)+1-1)+1))</f>
        <v>44975</v>
      </c>
      <c r="R56" s="319" t="str">
        <f t="shared" si="3"/>
        <v>Werktag</v>
      </c>
      <c r="T56" s="370"/>
    </row>
    <row r="57" spans="7:20" ht="15.75" thickBot="1" x14ac:dyDescent="0.25">
      <c r="G57" s="376"/>
      <c r="P57" s="315" t="str" cm="1">
        <f t="array" ref="P57">IF(ROW(A56)&gt;SUM($I$20:$I$25),"",INDEX($F$20:$F$25,SUMPRODUCT(($J$20:$J$25&lt;ROW(A56))*1)+1))</f>
        <v>Fasnacht</v>
      </c>
      <c r="Q57" s="379" cm="1">
        <f t="array" ref="Q57">IF(ROW(A56)&gt;SUM($I$20:$I$25),"",INDEX($G$20:$G$25,SUMPRODUCT(($J$20:$J$25&lt;ROW(A56))*1)+1)+ROW(A56)-IF(SUMPRODUCT(($J$20:$J$25&lt;ROW(A56))*1)+1=1,1,INDEX($J$20:$J$25,SUMPRODUCT(($J$20:$J$25&lt;ROW(A56))*1)+1-1)+1))</f>
        <v>44976</v>
      </c>
      <c r="R57" s="319" t="str">
        <f t="shared" si="3"/>
        <v>Wochenende</v>
      </c>
      <c r="T57" s="370"/>
    </row>
    <row r="58" spans="7:20" ht="15.75" thickBot="1" x14ac:dyDescent="0.25">
      <c r="G58" s="376"/>
      <c r="P58" s="315" t="str" cm="1">
        <f t="array" ref="P58">IF(ROW(A57)&gt;SUM($I$20:$I$25),"",INDEX($F$20:$F$25,SUMPRODUCT(($J$20:$J$25&lt;ROW(A57))*1)+1))</f>
        <v>Fasnacht</v>
      </c>
      <c r="Q58" s="379" cm="1">
        <f t="array" ref="Q58">IF(ROW(A57)&gt;SUM($I$20:$I$25),"",INDEX($G$20:$G$25,SUMPRODUCT(($J$20:$J$25&lt;ROW(A57))*1)+1)+ROW(A57)-IF(SUMPRODUCT(($J$20:$J$25&lt;ROW(A57))*1)+1=1,1,INDEX($J$20:$J$25,SUMPRODUCT(($J$20:$J$25&lt;ROW(A57))*1)+1-1)+1))</f>
        <v>44977</v>
      </c>
      <c r="R58" s="319" t="str">
        <f t="shared" si="3"/>
        <v>Wochenende</v>
      </c>
      <c r="T58" s="370"/>
    </row>
    <row r="59" spans="7:20" ht="15.75" thickBot="1" x14ac:dyDescent="0.25">
      <c r="G59" s="376"/>
      <c r="P59" s="315" t="str" cm="1">
        <f t="array" ref="P59">IF(ROW(A58)&gt;SUM($I$20:$I$25),"",INDEX($F$20:$F$25,SUMPRODUCT(($J$20:$J$25&lt;ROW(A58))*1)+1))</f>
        <v>Frühjahr</v>
      </c>
      <c r="Q59" s="379" cm="1">
        <f t="array" ref="Q59">IF(ROW(A58)&gt;SUM($I$20:$I$25),"",INDEX($G$20:$G$25,SUMPRODUCT(($J$20:$J$25&lt;ROW(A58))*1)+1)+ROW(A58)-IF(SUMPRODUCT(($J$20:$J$25&lt;ROW(A58))*1)+1=1,1,INDEX($J$20:$J$25,SUMPRODUCT(($J$20:$J$25&lt;ROW(A58))*1)+1-1)+1))</f>
        <v>45004</v>
      </c>
      <c r="R59" s="319" t="str">
        <f t="shared" si="3"/>
        <v>Wochenende</v>
      </c>
      <c r="T59" s="370"/>
    </row>
    <row r="60" spans="7:20" ht="15.75" thickBot="1" x14ac:dyDescent="0.25">
      <c r="G60" s="376"/>
      <c r="P60" s="315" t="str" cm="1">
        <f t="array" ref="P60">IF(ROW(A59)&gt;SUM($I$20:$I$25),"",INDEX($F$20:$F$25,SUMPRODUCT(($J$20:$J$25&lt;ROW(A59))*1)+1))</f>
        <v>Frühjahr</v>
      </c>
      <c r="Q60" s="379" cm="1">
        <f t="array" ref="Q60">IF(ROW(A59)&gt;SUM($I$20:$I$25),"",INDEX($G$20:$G$25,SUMPRODUCT(($J$20:$J$25&lt;ROW(A59))*1)+1)+ROW(A59)-IF(SUMPRODUCT(($J$20:$J$25&lt;ROW(A59))*1)+1=1,1,INDEX($J$20:$J$25,SUMPRODUCT(($J$20:$J$25&lt;ROW(A59))*1)+1-1)+1))</f>
        <v>45005</v>
      </c>
      <c r="R60" s="319" t="str">
        <f t="shared" si="3"/>
        <v>Wochenende</v>
      </c>
      <c r="T60" s="370"/>
    </row>
    <row r="61" spans="7:20" ht="15.75" thickBot="1" x14ac:dyDescent="0.25">
      <c r="G61" s="376"/>
      <c r="P61" s="315" t="str" cm="1">
        <f t="array" ref="P61">IF(ROW(A60)&gt;SUM($I$20:$I$25),"",INDEX($F$20:$F$25,SUMPRODUCT(($J$20:$J$25&lt;ROW(A60))*1)+1))</f>
        <v>Frühjahr</v>
      </c>
      <c r="Q61" s="379" cm="1">
        <f t="array" ref="Q61">IF(ROW(A60)&gt;SUM($I$20:$I$25),"",INDEX($G$20:$G$25,SUMPRODUCT(($J$20:$J$25&lt;ROW(A60))*1)+1)+ROW(A60)-IF(SUMPRODUCT(($J$20:$J$25&lt;ROW(A60))*1)+1=1,1,INDEX($J$20:$J$25,SUMPRODUCT(($J$20:$J$25&lt;ROW(A60))*1)+1-1)+1))</f>
        <v>45006</v>
      </c>
      <c r="R61" s="319" t="str">
        <f t="shared" si="3"/>
        <v>Werktag</v>
      </c>
      <c r="T61" s="370"/>
    </row>
    <row r="62" spans="7:20" ht="15.75" thickBot="1" x14ac:dyDescent="0.25">
      <c r="G62" s="376"/>
      <c r="P62" s="315" t="str" cm="1">
        <f t="array" ref="P62">IF(ROW(A61)&gt;SUM($I$20:$I$25),"",INDEX($F$20:$F$25,SUMPRODUCT(($J$20:$J$25&lt;ROW(A61))*1)+1))</f>
        <v>Frühjahr</v>
      </c>
      <c r="Q62" s="379" cm="1">
        <f t="array" ref="Q62">IF(ROW(A61)&gt;SUM($I$20:$I$25),"",INDEX($G$20:$G$25,SUMPRODUCT(($J$20:$J$25&lt;ROW(A61))*1)+1)+ROW(A61)-IF(SUMPRODUCT(($J$20:$J$25&lt;ROW(A61))*1)+1=1,1,INDEX($J$20:$J$25,SUMPRODUCT(($J$20:$J$25&lt;ROW(A61))*1)+1-1)+1))</f>
        <v>45007</v>
      </c>
      <c r="R62" s="319" t="str">
        <f t="shared" si="3"/>
        <v>Werktag</v>
      </c>
      <c r="T62" s="370"/>
    </row>
    <row r="63" spans="7:20" ht="15.75" thickBot="1" x14ac:dyDescent="0.25">
      <c r="G63" s="376"/>
      <c r="P63" s="315" t="str" cm="1">
        <f t="array" ref="P63">IF(ROW(A62)&gt;SUM($I$20:$I$25),"",INDEX($F$20:$F$25,SUMPRODUCT(($J$20:$J$25&lt;ROW(A62))*1)+1))</f>
        <v>Frühjahr</v>
      </c>
      <c r="Q63" s="379" cm="1">
        <f t="array" ref="Q63">IF(ROW(A62)&gt;SUM($I$20:$I$25),"",INDEX($G$20:$G$25,SUMPRODUCT(($J$20:$J$25&lt;ROW(A62))*1)+1)+ROW(A62)-IF(SUMPRODUCT(($J$20:$J$25&lt;ROW(A62))*1)+1=1,1,INDEX($J$20:$J$25,SUMPRODUCT(($J$20:$J$25&lt;ROW(A62))*1)+1-1)+1))</f>
        <v>45008</v>
      </c>
      <c r="R63" s="319" t="str">
        <f t="shared" si="3"/>
        <v>Werktag</v>
      </c>
      <c r="T63" s="370"/>
    </row>
    <row r="64" spans="7:20" ht="15.75" thickBot="1" x14ac:dyDescent="0.25">
      <c r="G64" s="376"/>
      <c r="P64" s="315" t="str" cm="1">
        <f t="array" ref="P64">IF(ROW(A63)&gt;SUM($I$20:$I$25),"",INDEX($F$20:$F$25,SUMPRODUCT(($J$20:$J$25&lt;ROW(A63))*1)+1))</f>
        <v>Frühjahr</v>
      </c>
      <c r="Q64" s="379" cm="1">
        <f t="array" ref="Q64">IF(ROW(A63)&gt;SUM($I$20:$I$25),"",INDEX($G$20:$G$25,SUMPRODUCT(($J$20:$J$25&lt;ROW(A63))*1)+1)+ROW(A63)-IF(SUMPRODUCT(($J$20:$J$25&lt;ROW(A63))*1)+1=1,1,INDEX($J$20:$J$25,SUMPRODUCT(($J$20:$J$25&lt;ROW(A63))*1)+1-1)+1))</f>
        <v>45009</v>
      </c>
      <c r="R64" s="319" t="str">
        <f t="shared" si="3"/>
        <v>Werktag</v>
      </c>
      <c r="T64" s="370"/>
    </row>
    <row r="65" spans="7:20" ht="15.75" thickBot="1" x14ac:dyDescent="0.25">
      <c r="G65" s="376"/>
      <c r="P65" s="315" t="str" cm="1">
        <f t="array" ref="P65">IF(ROW(A64)&gt;SUM($I$20:$I$25),"",INDEX($F$20:$F$25,SUMPRODUCT(($J$20:$J$25&lt;ROW(A64))*1)+1))</f>
        <v>Frühjahr</v>
      </c>
      <c r="Q65" s="379" cm="1">
        <f t="array" ref="Q65">IF(ROW(A64)&gt;SUM($I$20:$I$25),"",INDEX($G$20:$G$25,SUMPRODUCT(($J$20:$J$25&lt;ROW(A64))*1)+1)+ROW(A64)-IF(SUMPRODUCT(($J$20:$J$25&lt;ROW(A64))*1)+1=1,1,INDEX($J$20:$J$25,SUMPRODUCT(($J$20:$J$25&lt;ROW(A64))*1)+1-1)+1))</f>
        <v>45010</v>
      </c>
      <c r="R65" s="319" t="str">
        <f t="shared" si="3"/>
        <v>Werktag</v>
      </c>
      <c r="T65" s="370"/>
    </row>
    <row r="66" spans="7:20" ht="15.75" thickBot="1" x14ac:dyDescent="0.25">
      <c r="G66" s="376"/>
      <c r="P66" s="315" t="str" cm="1">
        <f t="array" ref="P66">IF(ROW(A65)&gt;SUM($I$20:$I$25),"",INDEX($F$20:$F$25,SUMPRODUCT(($J$20:$J$25&lt;ROW(A65))*1)+1))</f>
        <v>Frühjahr</v>
      </c>
      <c r="Q66" s="379" cm="1">
        <f t="array" ref="Q66">IF(ROW(A65)&gt;SUM($I$20:$I$25),"",INDEX($G$20:$G$25,SUMPRODUCT(($J$20:$J$25&lt;ROW(A65))*1)+1)+ROW(A65)-IF(SUMPRODUCT(($J$20:$J$25&lt;ROW(A65))*1)+1=1,1,INDEX($J$20:$J$25,SUMPRODUCT(($J$20:$J$25&lt;ROW(A65))*1)+1-1)+1))</f>
        <v>45011</v>
      </c>
      <c r="R66" s="319" t="str">
        <f t="shared" si="3"/>
        <v>Wochenende</v>
      </c>
      <c r="T66" s="370"/>
    </row>
    <row r="67" spans="7:20" ht="15.75" thickBot="1" x14ac:dyDescent="0.25">
      <c r="G67" s="376"/>
      <c r="P67" s="315" t="str" cm="1">
        <f t="array" ref="P67">IF(ROW(A66)&gt;SUM($I$20:$I$25),"",INDEX($F$20:$F$25,SUMPRODUCT(($J$20:$J$25&lt;ROW(A66))*1)+1))</f>
        <v>Frühjahr</v>
      </c>
      <c r="Q67" s="379" cm="1">
        <f t="array" ref="Q67">IF(ROW(A66)&gt;SUM($I$20:$I$25),"",INDEX($G$20:$G$25,SUMPRODUCT(($J$20:$J$25&lt;ROW(A66))*1)+1)+ROW(A66)-IF(SUMPRODUCT(($J$20:$J$25&lt;ROW(A66))*1)+1=1,1,INDEX($J$20:$J$25,SUMPRODUCT(($J$20:$J$25&lt;ROW(A66))*1)+1-1)+1))</f>
        <v>45012</v>
      </c>
      <c r="R67" s="319" t="str">
        <f t="shared" ref="R67:R110" si="10">IF(Q67="","",IF(WEEKDAY(Q67,2)&gt;5,"Wochenende","Werktag"))</f>
        <v>Wochenende</v>
      </c>
      <c r="T67" s="370"/>
    </row>
    <row r="68" spans="7:20" ht="15.75" thickBot="1" x14ac:dyDescent="0.25">
      <c r="G68" s="376"/>
      <c r="P68" s="315" t="str" cm="1">
        <f t="array" ref="P68">IF(ROW(A67)&gt;SUM($I$20:$I$25),"",INDEX($F$20:$F$25,SUMPRODUCT(($J$20:$J$25&lt;ROW(A67))*1)+1))</f>
        <v>Frühjahr</v>
      </c>
      <c r="Q68" s="379" cm="1">
        <f t="array" ref="Q68">IF(ROW(A67)&gt;SUM($I$20:$I$25),"",INDEX($G$20:$G$25,SUMPRODUCT(($J$20:$J$25&lt;ROW(A67))*1)+1)+ROW(A67)-IF(SUMPRODUCT(($J$20:$J$25&lt;ROW(A67))*1)+1=1,1,INDEX($J$20:$J$25,SUMPRODUCT(($J$20:$J$25&lt;ROW(A67))*1)+1-1)+1))</f>
        <v>45013</v>
      </c>
      <c r="R68" s="319" t="str">
        <f t="shared" si="10"/>
        <v>Werktag</v>
      </c>
      <c r="T68" s="370"/>
    </row>
    <row r="69" spans="7:20" ht="15.75" thickBot="1" x14ac:dyDescent="0.25">
      <c r="G69" s="376"/>
      <c r="P69" s="315" t="str" cm="1">
        <f t="array" ref="P69">IF(ROW(A68)&gt;SUM($I$20:$I$25),"",INDEX($F$20:$F$25,SUMPRODUCT(($J$20:$J$25&lt;ROW(A68))*1)+1))</f>
        <v>Frühjahr</v>
      </c>
      <c r="Q69" s="379" cm="1">
        <f t="array" ref="Q69">IF(ROW(A68)&gt;SUM($I$20:$I$25),"",INDEX($G$20:$G$25,SUMPRODUCT(($J$20:$J$25&lt;ROW(A68))*1)+1)+ROW(A68)-IF(SUMPRODUCT(($J$20:$J$25&lt;ROW(A68))*1)+1=1,1,INDEX($J$20:$J$25,SUMPRODUCT(($J$20:$J$25&lt;ROW(A68))*1)+1-1)+1))</f>
        <v>45014</v>
      </c>
      <c r="R69" s="319" t="str">
        <f t="shared" si="10"/>
        <v>Werktag</v>
      </c>
      <c r="T69" s="370"/>
    </row>
    <row r="70" spans="7:20" ht="15.75" thickBot="1" x14ac:dyDescent="0.25">
      <c r="G70" s="376"/>
      <c r="P70" s="315" t="str" cm="1">
        <f t="array" ref="P70">IF(ROW(A69)&gt;SUM($I$20:$I$25),"",INDEX($F$20:$F$25,SUMPRODUCT(($J$20:$J$25&lt;ROW(A69))*1)+1))</f>
        <v>Frühjahr</v>
      </c>
      <c r="Q70" s="379" cm="1">
        <f t="array" ref="Q70">IF(ROW(A69)&gt;SUM($I$20:$I$25),"",INDEX($G$20:$G$25,SUMPRODUCT(($J$20:$J$25&lt;ROW(A69))*1)+1)+ROW(A69)-IF(SUMPRODUCT(($J$20:$J$25&lt;ROW(A69))*1)+1=1,1,INDEX($J$20:$J$25,SUMPRODUCT(($J$20:$J$25&lt;ROW(A69))*1)+1-1)+1))</f>
        <v>45015</v>
      </c>
      <c r="R70" s="319" t="str">
        <f t="shared" si="10"/>
        <v>Werktag</v>
      </c>
      <c r="T70" s="370"/>
    </row>
    <row r="71" spans="7:20" ht="15.75" thickBot="1" x14ac:dyDescent="0.25">
      <c r="G71" s="376"/>
      <c r="P71" s="315" t="str" cm="1">
        <f t="array" ref="P71">IF(ROW(A70)&gt;SUM($I$20:$I$25),"",INDEX($F$20:$F$25,SUMPRODUCT(($J$20:$J$25&lt;ROW(A70))*1)+1))</f>
        <v>Frühjahr</v>
      </c>
      <c r="Q71" s="379" cm="1">
        <f t="array" ref="Q71">IF(ROW(A70)&gt;SUM($I$20:$I$25),"",INDEX($G$20:$G$25,SUMPRODUCT(($J$20:$J$25&lt;ROW(A70))*1)+1)+ROW(A70)-IF(SUMPRODUCT(($J$20:$J$25&lt;ROW(A70))*1)+1=1,1,INDEX($J$20:$J$25,SUMPRODUCT(($J$20:$J$25&lt;ROW(A70))*1)+1-1)+1))</f>
        <v>45016</v>
      </c>
      <c r="R71" s="319" t="str">
        <f t="shared" si="10"/>
        <v>Werktag</v>
      </c>
      <c r="T71" s="370"/>
    </row>
    <row r="72" spans="7:20" ht="15.75" thickBot="1" x14ac:dyDescent="0.25">
      <c r="G72" s="376"/>
      <c r="P72" s="315" t="str" cm="1">
        <f t="array" ref="P72">IF(ROW(A71)&gt;SUM($I$20:$I$25),"",INDEX($F$20:$F$25,SUMPRODUCT(($J$20:$J$25&lt;ROW(A71))*1)+1))</f>
        <v>Frühjahr</v>
      </c>
      <c r="Q72" s="379" cm="1">
        <f t="array" ref="Q72">IF(ROW(A71)&gt;SUM($I$20:$I$25),"",INDEX($G$20:$G$25,SUMPRODUCT(($J$20:$J$25&lt;ROW(A71))*1)+1)+ROW(A71)-IF(SUMPRODUCT(($J$20:$J$25&lt;ROW(A71))*1)+1=1,1,INDEX($J$20:$J$25,SUMPRODUCT(($J$20:$J$25&lt;ROW(A71))*1)+1-1)+1))</f>
        <v>45017</v>
      </c>
      <c r="R72" s="319" t="str">
        <f t="shared" si="10"/>
        <v>Werktag</v>
      </c>
      <c r="T72" s="370"/>
    </row>
    <row r="73" spans="7:20" ht="15.75" thickBot="1" x14ac:dyDescent="0.25">
      <c r="G73" s="376"/>
      <c r="P73" s="315" t="str" cm="1">
        <f t="array" ref="P73">IF(ROW(A72)&gt;SUM($I$20:$I$25),"",INDEX($F$20:$F$25,SUMPRODUCT(($J$20:$J$25&lt;ROW(A72))*1)+1))</f>
        <v>Frühjahr</v>
      </c>
      <c r="Q73" s="379" cm="1">
        <f t="array" ref="Q73">IF(ROW(A72)&gt;SUM($I$20:$I$25),"",INDEX($G$20:$G$25,SUMPRODUCT(($J$20:$J$25&lt;ROW(A72))*1)+1)+ROW(A72)-IF(SUMPRODUCT(($J$20:$J$25&lt;ROW(A72))*1)+1=1,1,INDEX($J$20:$J$25,SUMPRODUCT(($J$20:$J$25&lt;ROW(A72))*1)+1-1)+1))</f>
        <v>45018</v>
      </c>
      <c r="R73" s="319" t="str">
        <f t="shared" si="10"/>
        <v>Wochenende</v>
      </c>
      <c r="T73" s="370"/>
    </row>
    <row r="74" spans="7:20" ht="15.75" thickBot="1" x14ac:dyDescent="0.25">
      <c r="G74" s="376"/>
      <c r="P74" s="315" t="str" cm="1">
        <f t="array" ref="P74">IF(ROW(A73)&gt;SUM($I$20:$I$25),"",INDEX($F$20:$F$25,SUMPRODUCT(($J$20:$J$25&lt;ROW(A73))*1)+1))</f>
        <v>Frühjahr</v>
      </c>
      <c r="Q74" s="379" cm="1">
        <f t="array" ref="Q74">IF(ROW(A73)&gt;SUM($I$20:$I$25),"",INDEX($G$20:$G$25,SUMPRODUCT(($J$20:$J$25&lt;ROW(A73))*1)+1)+ROW(A73)-IF(SUMPRODUCT(($J$20:$J$25&lt;ROW(A73))*1)+1=1,1,INDEX($J$20:$J$25,SUMPRODUCT(($J$20:$J$25&lt;ROW(A73))*1)+1-1)+1))</f>
        <v>45019</v>
      </c>
      <c r="R74" s="319" t="str">
        <f t="shared" si="10"/>
        <v>Wochenende</v>
      </c>
      <c r="T74" s="370"/>
    </row>
    <row r="75" spans="7:20" ht="15.75" thickBot="1" x14ac:dyDescent="0.25">
      <c r="G75" s="376"/>
      <c r="P75" s="315" t="str" cm="1">
        <f t="array" ref="P75">IF(ROW(A74)&gt;SUM($I$20:$I$25),"",INDEX($F$20:$F$25,SUMPRODUCT(($J$20:$J$25&lt;ROW(A74))*1)+1))</f>
        <v>Sommer</v>
      </c>
      <c r="Q75" s="379" cm="1">
        <f t="array" ref="Q75">IF(ROW(A74)&gt;SUM($I$20:$I$25),"",INDEX($G$20:$G$25,SUMPRODUCT(($J$20:$J$25&lt;ROW(A74))*1)+1)+ROW(A74)-IF(SUMPRODUCT(($J$20:$J$25&lt;ROW(A74))*1)+1=1,1,INDEX($J$20:$J$25,SUMPRODUCT(($J$20:$J$25&lt;ROW(A74))*1)+1-1)+1))</f>
        <v>45109</v>
      </c>
      <c r="R75" s="319" t="str">
        <f t="shared" si="10"/>
        <v>Wochenende</v>
      </c>
      <c r="T75" s="370"/>
    </row>
    <row r="76" spans="7:20" ht="15.75" thickBot="1" x14ac:dyDescent="0.25">
      <c r="G76" s="376"/>
      <c r="P76" s="315" t="str" cm="1">
        <f t="array" ref="P76">IF(ROW(A75)&gt;SUM($I$20:$I$25),"",INDEX($F$20:$F$25,SUMPRODUCT(($J$20:$J$25&lt;ROW(A75))*1)+1))</f>
        <v>Sommer</v>
      </c>
      <c r="Q76" s="379" cm="1">
        <f t="array" ref="Q76">IF(ROW(A75)&gt;SUM($I$20:$I$25),"",INDEX($G$20:$G$25,SUMPRODUCT(($J$20:$J$25&lt;ROW(A75))*1)+1)+ROW(A75)-IF(SUMPRODUCT(($J$20:$J$25&lt;ROW(A75))*1)+1=1,1,INDEX($J$20:$J$25,SUMPRODUCT(($J$20:$J$25&lt;ROW(A75))*1)+1-1)+1))</f>
        <v>45110</v>
      </c>
      <c r="R76" s="319" t="str">
        <f t="shared" si="10"/>
        <v>Wochenende</v>
      </c>
      <c r="T76" s="370"/>
    </row>
    <row r="77" spans="7:20" ht="15.75" thickBot="1" x14ac:dyDescent="0.25">
      <c r="G77" s="376"/>
      <c r="P77" s="315" t="str" cm="1">
        <f t="array" ref="P77">IF(ROW(A76)&gt;SUM($I$20:$I$25),"",INDEX($F$20:$F$25,SUMPRODUCT(($J$20:$J$25&lt;ROW(A76))*1)+1))</f>
        <v>Sommer</v>
      </c>
      <c r="Q77" s="379" cm="1">
        <f t="array" ref="Q77">IF(ROW(A76)&gt;SUM($I$20:$I$25),"",INDEX($G$20:$G$25,SUMPRODUCT(($J$20:$J$25&lt;ROW(A76))*1)+1)+ROW(A76)-IF(SUMPRODUCT(($J$20:$J$25&lt;ROW(A76))*1)+1=1,1,INDEX($J$20:$J$25,SUMPRODUCT(($J$20:$J$25&lt;ROW(A76))*1)+1-1)+1))</f>
        <v>45111</v>
      </c>
      <c r="R77" s="319" t="str">
        <f t="shared" si="10"/>
        <v>Werktag</v>
      </c>
      <c r="T77" s="370"/>
    </row>
    <row r="78" spans="7:20" ht="15.75" thickBot="1" x14ac:dyDescent="0.25">
      <c r="G78" s="376"/>
      <c r="P78" s="315" t="str" cm="1">
        <f t="array" ref="P78">IF(ROW(A77)&gt;SUM($I$20:$I$25),"",INDEX($F$20:$F$25,SUMPRODUCT(($J$20:$J$25&lt;ROW(A77))*1)+1))</f>
        <v>Sommer</v>
      </c>
      <c r="Q78" s="379" cm="1">
        <f t="array" ref="Q78">IF(ROW(A77)&gt;SUM($I$20:$I$25),"",INDEX($G$20:$G$25,SUMPRODUCT(($J$20:$J$25&lt;ROW(A77))*1)+1)+ROW(A77)-IF(SUMPRODUCT(($J$20:$J$25&lt;ROW(A77))*1)+1=1,1,INDEX($J$20:$J$25,SUMPRODUCT(($J$20:$J$25&lt;ROW(A77))*1)+1-1)+1))</f>
        <v>45112</v>
      </c>
      <c r="R78" s="319" t="str">
        <f t="shared" si="10"/>
        <v>Werktag</v>
      </c>
      <c r="T78" s="370"/>
    </row>
    <row r="79" spans="7:20" ht="15.75" thickBot="1" x14ac:dyDescent="0.25">
      <c r="G79" s="376"/>
      <c r="P79" s="315" t="str" cm="1">
        <f t="array" ref="P79">IF(ROW(A78)&gt;SUM($I$20:$I$25),"",INDEX($F$20:$F$25,SUMPRODUCT(($J$20:$J$25&lt;ROW(A78))*1)+1))</f>
        <v>Sommer</v>
      </c>
      <c r="Q79" s="379" cm="1">
        <f t="array" ref="Q79">IF(ROW(A78)&gt;SUM($I$20:$I$25),"",INDEX($G$20:$G$25,SUMPRODUCT(($J$20:$J$25&lt;ROW(A78))*1)+1)+ROW(A78)-IF(SUMPRODUCT(($J$20:$J$25&lt;ROW(A78))*1)+1=1,1,INDEX($J$20:$J$25,SUMPRODUCT(($J$20:$J$25&lt;ROW(A78))*1)+1-1)+1))</f>
        <v>45113</v>
      </c>
      <c r="R79" s="319" t="str">
        <f t="shared" si="10"/>
        <v>Werktag</v>
      </c>
      <c r="T79" s="370"/>
    </row>
    <row r="80" spans="7:20" ht="15.75" thickBot="1" x14ac:dyDescent="0.25">
      <c r="G80" s="376"/>
      <c r="P80" s="315" t="str" cm="1">
        <f t="array" ref="P80">IF(ROW(A79)&gt;SUM($I$20:$I$25),"",INDEX($F$20:$F$25,SUMPRODUCT(($J$20:$J$25&lt;ROW(A79))*1)+1))</f>
        <v>Sommer</v>
      </c>
      <c r="Q80" s="379" cm="1">
        <f t="array" ref="Q80">IF(ROW(A79)&gt;SUM($I$20:$I$25),"",INDEX($G$20:$G$25,SUMPRODUCT(($J$20:$J$25&lt;ROW(A79))*1)+1)+ROW(A79)-IF(SUMPRODUCT(($J$20:$J$25&lt;ROW(A79))*1)+1=1,1,INDEX($J$20:$J$25,SUMPRODUCT(($J$20:$J$25&lt;ROW(A79))*1)+1-1)+1))</f>
        <v>45114</v>
      </c>
      <c r="R80" s="319" t="str">
        <f t="shared" si="10"/>
        <v>Werktag</v>
      </c>
      <c r="T80" s="370"/>
    </row>
    <row r="81" spans="7:20" ht="15.75" thickBot="1" x14ac:dyDescent="0.25">
      <c r="G81" s="376"/>
      <c r="P81" s="315" t="str" cm="1">
        <f t="array" ref="P81">IF(ROW(A80)&gt;SUM($I$20:$I$25),"",INDEX($F$20:$F$25,SUMPRODUCT(($J$20:$J$25&lt;ROW(A80))*1)+1))</f>
        <v>Sommer</v>
      </c>
      <c r="Q81" s="379" cm="1">
        <f t="array" ref="Q81">IF(ROW(A80)&gt;SUM($I$20:$I$25),"",INDEX($G$20:$G$25,SUMPRODUCT(($J$20:$J$25&lt;ROW(A80))*1)+1)+ROW(A80)-IF(SUMPRODUCT(($J$20:$J$25&lt;ROW(A80))*1)+1=1,1,INDEX($J$20:$J$25,SUMPRODUCT(($J$20:$J$25&lt;ROW(A80))*1)+1-1)+1))</f>
        <v>45115</v>
      </c>
      <c r="R81" s="319" t="str">
        <f t="shared" si="10"/>
        <v>Werktag</v>
      </c>
      <c r="T81" s="370"/>
    </row>
    <row r="82" spans="7:20" ht="15.75" thickBot="1" x14ac:dyDescent="0.25">
      <c r="G82" s="376"/>
      <c r="P82" s="315" t="str" cm="1">
        <f t="array" ref="P82">IF(ROW(A81)&gt;SUM($I$20:$I$25),"",INDEX($F$20:$F$25,SUMPRODUCT(($J$20:$J$25&lt;ROW(A81))*1)+1))</f>
        <v>Sommer</v>
      </c>
      <c r="Q82" s="379" cm="1">
        <f t="array" ref="Q82">IF(ROW(A81)&gt;SUM($I$20:$I$25),"",INDEX($G$20:$G$25,SUMPRODUCT(($J$20:$J$25&lt;ROW(A81))*1)+1)+ROW(A81)-IF(SUMPRODUCT(($J$20:$J$25&lt;ROW(A81))*1)+1=1,1,INDEX($J$20:$J$25,SUMPRODUCT(($J$20:$J$25&lt;ROW(A81))*1)+1-1)+1))</f>
        <v>45116</v>
      </c>
      <c r="R82" s="319" t="str">
        <f t="shared" si="10"/>
        <v>Wochenende</v>
      </c>
      <c r="T82" s="370"/>
    </row>
    <row r="83" spans="7:20" ht="15.75" thickBot="1" x14ac:dyDescent="0.25">
      <c r="G83" s="376"/>
      <c r="P83" s="315" t="str" cm="1">
        <f t="array" ref="P83">IF(ROW(A82)&gt;SUM($I$20:$I$25),"",INDEX($F$20:$F$25,SUMPRODUCT(($J$20:$J$25&lt;ROW(A82))*1)+1))</f>
        <v>Sommer</v>
      </c>
      <c r="Q83" s="379" cm="1">
        <f t="array" ref="Q83">IF(ROW(A82)&gt;SUM($I$20:$I$25),"",INDEX($G$20:$G$25,SUMPRODUCT(($J$20:$J$25&lt;ROW(A82))*1)+1)+ROW(A82)-IF(SUMPRODUCT(($J$20:$J$25&lt;ROW(A82))*1)+1=1,1,INDEX($J$20:$J$25,SUMPRODUCT(($J$20:$J$25&lt;ROW(A82))*1)+1-1)+1))</f>
        <v>45117</v>
      </c>
      <c r="R83" s="319" t="str">
        <f t="shared" si="10"/>
        <v>Wochenende</v>
      </c>
      <c r="T83" s="370"/>
    </row>
    <row r="84" spans="7:20" ht="15.75" thickBot="1" x14ac:dyDescent="0.25">
      <c r="G84" s="376"/>
      <c r="P84" s="315" t="str" cm="1">
        <f t="array" ref="P84">IF(ROW(A83)&gt;SUM($I$20:$I$25),"",INDEX($F$20:$F$25,SUMPRODUCT(($J$20:$J$25&lt;ROW(A83))*1)+1))</f>
        <v>Sommer</v>
      </c>
      <c r="Q84" s="379" cm="1">
        <f t="array" ref="Q84">IF(ROW(A83)&gt;SUM($I$20:$I$25),"",INDEX($G$20:$G$25,SUMPRODUCT(($J$20:$J$25&lt;ROW(A83))*1)+1)+ROW(A83)-IF(SUMPRODUCT(($J$20:$J$25&lt;ROW(A83))*1)+1=1,1,INDEX($J$20:$J$25,SUMPRODUCT(($J$20:$J$25&lt;ROW(A83))*1)+1-1)+1))</f>
        <v>45118</v>
      </c>
      <c r="R84" s="319" t="str">
        <f t="shared" si="10"/>
        <v>Werktag</v>
      </c>
      <c r="T84" s="370"/>
    </row>
    <row r="85" spans="7:20" ht="15.75" thickBot="1" x14ac:dyDescent="0.25">
      <c r="G85" s="376"/>
      <c r="P85" s="315" t="str" cm="1">
        <f t="array" ref="P85">IF(ROW(A84)&gt;SUM($I$20:$I$25),"",INDEX($F$20:$F$25,SUMPRODUCT(($J$20:$J$25&lt;ROW(A84))*1)+1))</f>
        <v>Sommer</v>
      </c>
      <c r="Q85" s="379" cm="1">
        <f t="array" ref="Q85">IF(ROW(A84)&gt;SUM($I$20:$I$25),"",INDEX($G$20:$G$25,SUMPRODUCT(($J$20:$J$25&lt;ROW(A84))*1)+1)+ROW(A84)-IF(SUMPRODUCT(($J$20:$J$25&lt;ROW(A84))*1)+1=1,1,INDEX($J$20:$J$25,SUMPRODUCT(($J$20:$J$25&lt;ROW(A84))*1)+1-1)+1))</f>
        <v>45119</v>
      </c>
      <c r="R85" s="319" t="str">
        <f t="shared" si="10"/>
        <v>Werktag</v>
      </c>
      <c r="T85" s="370"/>
    </row>
    <row r="86" spans="7:20" ht="15.75" thickBot="1" x14ac:dyDescent="0.25">
      <c r="G86" s="376"/>
      <c r="P86" s="315" t="str" cm="1">
        <f t="array" ref="P86">IF(ROW(A85)&gt;SUM($I$20:$I$25),"",INDEX($F$20:$F$25,SUMPRODUCT(($J$20:$J$25&lt;ROW(A85))*1)+1))</f>
        <v>Sommer</v>
      </c>
      <c r="Q86" s="379" cm="1">
        <f t="array" ref="Q86">IF(ROW(A85)&gt;SUM($I$20:$I$25),"",INDEX($G$20:$G$25,SUMPRODUCT(($J$20:$J$25&lt;ROW(A85))*1)+1)+ROW(A85)-IF(SUMPRODUCT(($J$20:$J$25&lt;ROW(A85))*1)+1=1,1,INDEX($J$20:$J$25,SUMPRODUCT(($J$20:$J$25&lt;ROW(A85))*1)+1-1)+1))</f>
        <v>45120</v>
      </c>
      <c r="R86" s="319" t="str">
        <f t="shared" si="10"/>
        <v>Werktag</v>
      </c>
      <c r="T86" s="370"/>
    </row>
    <row r="87" spans="7:20" ht="15.75" thickBot="1" x14ac:dyDescent="0.25">
      <c r="G87" s="376"/>
      <c r="P87" s="315" t="str" cm="1">
        <f t="array" ref="P87">IF(ROW(A86)&gt;SUM($I$20:$I$25),"",INDEX($F$20:$F$25,SUMPRODUCT(($J$20:$J$25&lt;ROW(A86))*1)+1))</f>
        <v>Sommer</v>
      </c>
      <c r="Q87" s="379" cm="1">
        <f t="array" ref="Q87">IF(ROW(A86)&gt;SUM($I$20:$I$25),"",INDEX($G$20:$G$25,SUMPRODUCT(($J$20:$J$25&lt;ROW(A86))*1)+1)+ROW(A86)-IF(SUMPRODUCT(($J$20:$J$25&lt;ROW(A86))*1)+1=1,1,INDEX($J$20:$J$25,SUMPRODUCT(($J$20:$J$25&lt;ROW(A86))*1)+1-1)+1))</f>
        <v>45121</v>
      </c>
      <c r="R87" s="319" t="str">
        <f t="shared" si="10"/>
        <v>Werktag</v>
      </c>
      <c r="T87" s="370"/>
    </row>
    <row r="88" spans="7:20" ht="15.75" thickBot="1" x14ac:dyDescent="0.25">
      <c r="G88" s="376"/>
      <c r="P88" s="315" t="str" cm="1">
        <f t="array" ref="P88">IF(ROW(A87)&gt;SUM($I$20:$I$25),"",INDEX($F$20:$F$25,SUMPRODUCT(($J$20:$J$25&lt;ROW(A87))*1)+1))</f>
        <v>Sommer</v>
      </c>
      <c r="Q88" s="379" cm="1">
        <f t="array" ref="Q88">IF(ROW(A87)&gt;SUM($I$20:$I$25),"",INDEX($G$20:$G$25,SUMPRODUCT(($J$20:$J$25&lt;ROW(A87))*1)+1)+ROW(A87)-IF(SUMPRODUCT(($J$20:$J$25&lt;ROW(A87))*1)+1=1,1,INDEX($J$20:$J$25,SUMPRODUCT(($J$20:$J$25&lt;ROW(A87))*1)+1-1)+1))</f>
        <v>45122</v>
      </c>
      <c r="R88" s="319" t="str">
        <f t="shared" si="10"/>
        <v>Werktag</v>
      </c>
      <c r="T88" s="370"/>
    </row>
    <row r="89" spans="7:20" ht="15.75" thickBot="1" x14ac:dyDescent="0.25">
      <c r="G89" s="376"/>
      <c r="P89" s="315" t="str" cm="1">
        <f t="array" ref="P89">IF(ROW(A88)&gt;SUM($I$20:$I$25),"",INDEX($F$20:$F$25,SUMPRODUCT(($J$20:$J$25&lt;ROW(A88))*1)+1))</f>
        <v>Sommer</v>
      </c>
      <c r="Q89" s="379" cm="1">
        <f t="array" ref="Q89">IF(ROW(A88)&gt;SUM($I$20:$I$25),"",INDEX($G$20:$G$25,SUMPRODUCT(($J$20:$J$25&lt;ROW(A88))*1)+1)+ROW(A88)-IF(SUMPRODUCT(($J$20:$J$25&lt;ROW(A88))*1)+1=1,1,INDEX($J$20:$J$25,SUMPRODUCT(($J$20:$J$25&lt;ROW(A88))*1)+1-1)+1))</f>
        <v>45123</v>
      </c>
      <c r="R89" s="319" t="str">
        <f t="shared" si="10"/>
        <v>Wochenende</v>
      </c>
      <c r="T89" s="370"/>
    </row>
    <row r="90" spans="7:20" ht="15.75" thickBot="1" x14ac:dyDescent="0.25">
      <c r="G90" s="376"/>
      <c r="P90" s="315" t="str" cm="1">
        <f t="array" ref="P90">IF(ROW(A89)&gt;SUM($I$20:$I$25),"",INDEX($F$20:$F$25,SUMPRODUCT(($J$20:$J$25&lt;ROW(A89))*1)+1))</f>
        <v>Sommer</v>
      </c>
      <c r="Q90" s="379" cm="1">
        <f t="array" ref="Q90">IF(ROW(A89)&gt;SUM($I$20:$I$25),"",INDEX($G$20:$G$25,SUMPRODUCT(($J$20:$J$25&lt;ROW(A89))*1)+1)+ROW(A89)-IF(SUMPRODUCT(($J$20:$J$25&lt;ROW(A89))*1)+1=1,1,INDEX($J$20:$J$25,SUMPRODUCT(($J$20:$J$25&lt;ROW(A89))*1)+1-1)+1))</f>
        <v>45124</v>
      </c>
      <c r="R90" s="319" t="str">
        <f t="shared" si="10"/>
        <v>Wochenende</v>
      </c>
      <c r="T90" s="370"/>
    </row>
    <row r="91" spans="7:20" ht="15.75" thickBot="1" x14ac:dyDescent="0.25">
      <c r="G91" s="376"/>
      <c r="P91" s="315" t="str" cm="1">
        <f t="array" ref="P91">IF(ROW(A90)&gt;SUM($I$20:$I$25),"",INDEX($F$20:$F$25,SUMPRODUCT(($J$20:$J$25&lt;ROW(A90))*1)+1))</f>
        <v>Sommer</v>
      </c>
      <c r="Q91" s="379" cm="1">
        <f t="array" ref="Q91">IF(ROW(A90)&gt;SUM($I$20:$I$25),"",INDEX($G$20:$G$25,SUMPRODUCT(($J$20:$J$25&lt;ROW(A90))*1)+1)+ROW(A90)-IF(SUMPRODUCT(($J$20:$J$25&lt;ROW(A90))*1)+1=1,1,INDEX($J$20:$J$25,SUMPRODUCT(($J$20:$J$25&lt;ROW(A90))*1)+1-1)+1))</f>
        <v>45125</v>
      </c>
      <c r="R91" s="319" t="str">
        <f t="shared" si="10"/>
        <v>Werktag</v>
      </c>
      <c r="T91" s="370"/>
    </row>
    <row r="92" spans="7:20" ht="15.75" thickBot="1" x14ac:dyDescent="0.25">
      <c r="G92" s="376"/>
      <c r="P92" s="315" t="str" cm="1">
        <f t="array" ref="P92">IF(ROW(A91)&gt;SUM($I$20:$I$25),"",INDEX($F$20:$F$25,SUMPRODUCT(($J$20:$J$25&lt;ROW(A91))*1)+1))</f>
        <v>Sommer</v>
      </c>
      <c r="Q92" s="379" cm="1">
        <f t="array" ref="Q92">IF(ROW(A91)&gt;SUM($I$20:$I$25),"",INDEX($G$20:$G$25,SUMPRODUCT(($J$20:$J$25&lt;ROW(A91))*1)+1)+ROW(A91)-IF(SUMPRODUCT(($J$20:$J$25&lt;ROW(A91))*1)+1=1,1,INDEX($J$20:$J$25,SUMPRODUCT(($J$20:$J$25&lt;ROW(A91))*1)+1-1)+1))</f>
        <v>45126</v>
      </c>
      <c r="R92" s="319" t="str">
        <f t="shared" si="10"/>
        <v>Werktag</v>
      </c>
      <c r="T92" s="370"/>
    </row>
    <row r="93" spans="7:20" ht="15.75" thickBot="1" x14ac:dyDescent="0.25">
      <c r="G93" s="376"/>
      <c r="P93" s="315" t="str" cm="1">
        <f t="array" ref="P93">IF(ROW(A92)&gt;SUM($I$20:$I$25),"",INDEX($F$20:$F$25,SUMPRODUCT(($J$20:$J$25&lt;ROW(A92))*1)+1))</f>
        <v>Sommer</v>
      </c>
      <c r="Q93" s="379" cm="1">
        <f t="array" ref="Q93">IF(ROW(A92)&gt;SUM($I$20:$I$25),"",INDEX($G$20:$G$25,SUMPRODUCT(($J$20:$J$25&lt;ROW(A92))*1)+1)+ROW(A92)-IF(SUMPRODUCT(($J$20:$J$25&lt;ROW(A92))*1)+1=1,1,INDEX($J$20:$J$25,SUMPRODUCT(($J$20:$J$25&lt;ROW(A92))*1)+1-1)+1))</f>
        <v>45127</v>
      </c>
      <c r="R93" s="319" t="str">
        <f t="shared" si="10"/>
        <v>Werktag</v>
      </c>
      <c r="T93" s="370"/>
    </row>
    <row r="94" spans="7:20" ht="15.75" thickBot="1" x14ac:dyDescent="0.25">
      <c r="G94" s="376"/>
      <c r="P94" s="315" t="str" cm="1">
        <f t="array" ref="P94">IF(ROW(A93)&gt;SUM($I$20:$I$25),"",INDEX($F$20:$F$25,SUMPRODUCT(($J$20:$J$25&lt;ROW(A93))*1)+1))</f>
        <v>Sommer</v>
      </c>
      <c r="Q94" s="379" cm="1">
        <f t="array" ref="Q94">IF(ROW(A93)&gt;SUM($I$20:$I$25),"",INDEX($G$20:$G$25,SUMPRODUCT(($J$20:$J$25&lt;ROW(A93))*1)+1)+ROW(A93)-IF(SUMPRODUCT(($J$20:$J$25&lt;ROW(A93))*1)+1=1,1,INDEX($J$20:$J$25,SUMPRODUCT(($J$20:$J$25&lt;ROW(A93))*1)+1-1)+1))</f>
        <v>45128</v>
      </c>
      <c r="R94" s="319" t="str">
        <f t="shared" si="10"/>
        <v>Werktag</v>
      </c>
      <c r="T94" s="370"/>
    </row>
    <row r="95" spans="7:20" ht="15.75" thickBot="1" x14ac:dyDescent="0.25">
      <c r="G95" s="376"/>
      <c r="P95" s="315" t="str" cm="1">
        <f t="array" ref="P95">IF(ROW(A94)&gt;SUM($I$20:$I$25),"",INDEX($F$20:$F$25,SUMPRODUCT(($J$20:$J$25&lt;ROW(A94))*1)+1))</f>
        <v>Sommer</v>
      </c>
      <c r="Q95" s="379" cm="1">
        <f t="array" ref="Q95">IF(ROW(A94)&gt;SUM($I$20:$I$25),"",INDEX($G$20:$G$25,SUMPRODUCT(($J$20:$J$25&lt;ROW(A94))*1)+1)+ROW(A94)-IF(SUMPRODUCT(($J$20:$J$25&lt;ROW(A94))*1)+1=1,1,INDEX($J$20:$J$25,SUMPRODUCT(($J$20:$J$25&lt;ROW(A94))*1)+1-1)+1))</f>
        <v>45129</v>
      </c>
      <c r="R95" s="319" t="str">
        <f t="shared" si="10"/>
        <v>Werktag</v>
      </c>
      <c r="T95" s="370"/>
    </row>
    <row r="96" spans="7:20" ht="15.75" thickBot="1" x14ac:dyDescent="0.25">
      <c r="G96" s="376"/>
      <c r="P96" s="315" t="str" cm="1">
        <f t="array" ref="P96">IF(ROW(A95)&gt;SUM($I$20:$I$25),"",INDEX($F$20:$F$25,SUMPRODUCT(($J$20:$J$25&lt;ROW(A95))*1)+1))</f>
        <v>Sommer</v>
      </c>
      <c r="Q96" s="379" cm="1">
        <f t="array" ref="Q96">IF(ROW(A95)&gt;SUM($I$20:$I$25),"",INDEX($G$20:$G$25,SUMPRODUCT(($J$20:$J$25&lt;ROW(A95))*1)+1)+ROW(A95)-IF(SUMPRODUCT(($J$20:$J$25&lt;ROW(A95))*1)+1=1,1,INDEX($J$20:$J$25,SUMPRODUCT(($J$20:$J$25&lt;ROW(A95))*1)+1-1)+1))</f>
        <v>45130</v>
      </c>
      <c r="R96" s="319" t="str">
        <f t="shared" si="10"/>
        <v>Wochenende</v>
      </c>
      <c r="T96" s="370"/>
    </row>
    <row r="97" spans="7:20" ht="15.75" thickBot="1" x14ac:dyDescent="0.25">
      <c r="G97" s="376"/>
      <c r="P97" s="315" t="str" cm="1">
        <f t="array" ref="P97">IF(ROW(A96)&gt;SUM($I$20:$I$25),"",INDEX($F$20:$F$25,SUMPRODUCT(($J$20:$J$25&lt;ROW(A96))*1)+1))</f>
        <v>Sommer</v>
      </c>
      <c r="Q97" s="379" cm="1">
        <f t="array" ref="Q97">IF(ROW(A96)&gt;SUM($I$20:$I$25),"",INDEX($G$20:$G$25,SUMPRODUCT(($J$20:$J$25&lt;ROW(A96))*1)+1)+ROW(A96)-IF(SUMPRODUCT(($J$20:$J$25&lt;ROW(A96))*1)+1=1,1,INDEX($J$20:$J$25,SUMPRODUCT(($J$20:$J$25&lt;ROW(A96))*1)+1-1)+1))</f>
        <v>45131</v>
      </c>
      <c r="R97" s="319" t="str">
        <f t="shared" si="10"/>
        <v>Wochenende</v>
      </c>
      <c r="T97" s="370"/>
    </row>
    <row r="98" spans="7:20" ht="15.75" thickBot="1" x14ac:dyDescent="0.25">
      <c r="G98" s="376"/>
      <c r="P98" s="315" t="str" cm="1">
        <f t="array" ref="P98">IF(ROW(A97)&gt;SUM($I$20:$I$25),"",INDEX($F$20:$F$25,SUMPRODUCT(($J$20:$J$25&lt;ROW(A97))*1)+1))</f>
        <v>Sommer</v>
      </c>
      <c r="Q98" s="379" cm="1">
        <f t="array" ref="Q98">IF(ROW(A97)&gt;SUM($I$20:$I$25),"",INDEX($G$20:$G$25,SUMPRODUCT(($J$20:$J$25&lt;ROW(A97))*1)+1)+ROW(A97)-IF(SUMPRODUCT(($J$20:$J$25&lt;ROW(A97))*1)+1=1,1,INDEX($J$20:$J$25,SUMPRODUCT(($J$20:$J$25&lt;ROW(A97))*1)+1-1)+1))</f>
        <v>45132</v>
      </c>
      <c r="R98" s="319" t="str">
        <f t="shared" si="10"/>
        <v>Werktag</v>
      </c>
      <c r="T98" s="370"/>
    </row>
    <row r="99" spans="7:20" ht="15.75" thickBot="1" x14ac:dyDescent="0.25">
      <c r="G99" s="376"/>
      <c r="P99" s="315" t="str" cm="1">
        <f t="array" ref="P99">IF(ROW(A98)&gt;SUM($I$20:$I$25),"",INDEX($F$20:$F$25,SUMPRODUCT(($J$20:$J$25&lt;ROW(A98))*1)+1))</f>
        <v>Sommer</v>
      </c>
      <c r="Q99" s="379" cm="1">
        <f t="array" ref="Q99">IF(ROW(A98)&gt;SUM($I$20:$I$25),"",INDEX($G$20:$G$25,SUMPRODUCT(($J$20:$J$25&lt;ROW(A98))*1)+1)+ROW(A98)-IF(SUMPRODUCT(($J$20:$J$25&lt;ROW(A98))*1)+1=1,1,INDEX($J$20:$J$25,SUMPRODUCT(($J$20:$J$25&lt;ROW(A98))*1)+1-1)+1))</f>
        <v>45133</v>
      </c>
      <c r="R99" s="319" t="str">
        <f t="shared" si="10"/>
        <v>Werktag</v>
      </c>
      <c r="T99" s="370"/>
    </row>
    <row r="100" spans="7:20" ht="15.75" thickBot="1" x14ac:dyDescent="0.25">
      <c r="G100" s="376"/>
      <c r="P100" s="315" t="str" cm="1">
        <f t="array" ref="P100">IF(ROW(A99)&gt;SUM($I$20:$I$25),"",INDEX($F$20:$F$25,SUMPRODUCT(($J$20:$J$25&lt;ROW(A99))*1)+1))</f>
        <v>Sommer</v>
      </c>
      <c r="Q100" s="379" cm="1">
        <f t="array" ref="Q100">IF(ROW(A99)&gt;SUM($I$20:$I$25),"",INDEX($G$20:$G$25,SUMPRODUCT(($J$20:$J$25&lt;ROW(A99))*1)+1)+ROW(A99)-IF(SUMPRODUCT(($J$20:$J$25&lt;ROW(A99))*1)+1=1,1,INDEX($J$20:$J$25,SUMPRODUCT(($J$20:$J$25&lt;ROW(A99))*1)+1-1)+1))</f>
        <v>45134</v>
      </c>
      <c r="R100" s="319" t="str">
        <f t="shared" si="10"/>
        <v>Werktag</v>
      </c>
      <c r="T100" s="370"/>
    </row>
    <row r="101" spans="7:20" ht="15.75" thickBot="1" x14ac:dyDescent="0.25">
      <c r="G101" s="376"/>
      <c r="P101" s="315" t="str" cm="1">
        <f t="array" ref="P101">IF(ROW(A100)&gt;SUM($I$20:$I$25),"",INDEX($F$20:$F$25,SUMPRODUCT(($J$20:$J$25&lt;ROW(A100))*1)+1))</f>
        <v>Sommer</v>
      </c>
      <c r="Q101" s="379" cm="1">
        <f t="array" ref="Q101">IF(ROW(A100)&gt;SUM($I$20:$I$25),"",INDEX($G$20:$G$25,SUMPRODUCT(($J$20:$J$25&lt;ROW(A100))*1)+1)+ROW(A100)-IF(SUMPRODUCT(($J$20:$J$25&lt;ROW(A100))*1)+1=1,1,INDEX($J$20:$J$25,SUMPRODUCT(($J$20:$J$25&lt;ROW(A100))*1)+1-1)+1))</f>
        <v>45135</v>
      </c>
      <c r="R101" s="319" t="str">
        <f t="shared" si="10"/>
        <v>Werktag</v>
      </c>
      <c r="T101" s="370"/>
    </row>
    <row r="102" spans="7:20" ht="15.75" thickBot="1" x14ac:dyDescent="0.25">
      <c r="G102" s="376"/>
      <c r="P102" s="315" t="str" cm="1">
        <f t="array" ref="P102">IF(ROW(A101)&gt;SUM($I$20:$I$25),"",INDEX($F$20:$F$25,SUMPRODUCT(($J$20:$J$25&lt;ROW(A101))*1)+1))</f>
        <v>Sommer</v>
      </c>
      <c r="Q102" s="379" cm="1">
        <f t="array" ref="Q102">IF(ROW(A101)&gt;SUM($I$20:$I$25),"",INDEX($G$20:$G$25,SUMPRODUCT(($J$20:$J$25&lt;ROW(A101))*1)+1)+ROW(A101)-IF(SUMPRODUCT(($J$20:$J$25&lt;ROW(A101))*1)+1=1,1,INDEX($J$20:$J$25,SUMPRODUCT(($J$20:$J$25&lt;ROW(A101))*1)+1-1)+1))</f>
        <v>45136</v>
      </c>
      <c r="R102" s="319" t="str">
        <f t="shared" si="10"/>
        <v>Werktag</v>
      </c>
      <c r="T102" s="370"/>
    </row>
    <row r="103" spans="7:20" ht="15.75" thickBot="1" x14ac:dyDescent="0.25">
      <c r="G103" s="376"/>
      <c r="P103" s="315" t="str" cm="1">
        <f t="array" ref="P103">IF(ROW(A102)&gt;SUM($I$20:$I$25),"",INDEX($F$20:$F$25,SUMPRODUCT(($J$20:$J$25&lt;ROW(A102))*1)+1))</f>
        <v>Sommer</v>
      </c>
      <c r="Q103" s="379" cm="1">
        <f t="array" ref="Q103">IF(ROW(A102)&gt;SUM($I$20:$I$25),"",INDEX($G$20:$G$25,SUMPRODUCT(($J$20:$J$25&lt;ROW(A102))*1)+1)+ROW(A102)-IF(SUMPRODUCT(($J$20:$J$25&lt;ROW(A102))*1)+1=1,1,INDEX($J$20:$J$25,SUMPRODUCT(($J$20:$J$25&lt;ROW(A102))*1)+1-1)+1))</f>
        <v>45137</v>
      </c>
      <c r="R103" s="319" t="str">
        <f t="shared" si="10"/>
        <v>Wochenende</v>
      </c>
      <c r="T103" s="370"/>
    </row>
    <row r="104" spans="7:20" ht="15.75" thickBot="1" x14ac:dyDescent="0.25">
      <c r="G104" s="376"/>
      <c r="P104" s="315" t="str" cm="1">
        <f t="array" ref="P104">IF(ROW(A103)&gt;SUM($I$20:$I$25),"",INDEX($F$20:$F$25,SUMPRODUCT(($J$20:$J$25&lt;ROW(A103))*1)+1))</f>
        <v/>
      </c>
      <c r="Q104" s="379" t="str" cm="1">
        <f t="array" ref="Q104">IF(ROW(A103)&gt;SUM($I$20:$I$25),"",INDEX($G$20:$G$25,SUMPRODUCT(($J$20:$J$25&lt;ROW(A103))*1)+1)+ROW(A103)-IF(SUMPRODUCT(($J$20:$J$25&lt;ROW(A103))*1)+1=1,1,INDEX($J$20:$J$25,SUMPRODUCT(($J$20:$J$25&lt;ROW(A103))*1)+1-1)+1))</f>
        <v/>
      </c>
      <c r="R104" s="319" t="str">
        <f t="shared" si="10"/>
        <v/>
      </c>
      <c r="T104" s="370"/>
    </row>
    <row r="105" spans="7:20" ht="15.75" thickBot="1" x14ac:dyDescent="0.25">
      <c r="G105" s="376"/>
      <c r="P105" s="315" t="str" cm="1">
        <f t="array" ref="P105">IF(ROW(A104)&gt;SUM($I$20:$I$25),"",INDEX($F$20:$F$25,SUMPRODUCT(($J$20:$J$25&lt;ROW(A104))*1)+1))</f>
        <v/>
      </c>
      <c r="Q105" s="379" t="str" cm="1">
        <f t="array" ref="Q105">IF(ROW(A104)&gt;SUM($I$20:$I$25),"",INDEX($G$20:$G$25,SUMPRODUCT(($J$20:$J$25&lt;ROW(A104))*1)+1)+ROW(A104)-IF(SUMPRODUCT(($J$20:$J$25&lt;ROW(A104))*1)+1=1,1,INDEX($J$20:$J$25,SUMPRODUCT(($J$20:$J$25&lt;ROW(A104))*1)+1-1)+1))</f>
        <v/>
      </c>
      <c r="R105" s="319" t="str">
        <f t="shared" si="10"/>
        <v/>
      </c>
      <c r="T105" s="370"/>
    </row>
    <row r="106" spans="7:20" ht="15.75" thickBot="1" x14ac:dyDescent="0.25">
      <c r="G106" s="376"/>
      <c r="P106" s="315" t="str" cm="1">
        <f t="array" ref="P106">IF(ROW(A105)&gt;SUM($I$20:$I$25),"",INDEX($F$20:$F$25,SUMPRODUCT(($J$20:$J$25&lt;ROW(A105))*1)+1))</f>
        <v/>
      </c>
      <c r="Q106" s="379" t="str" cm="1">
        <f t="array" ref="Q106">IF(ROW(A105)&gt;SUM($I$20:$I$25),"",INDEX($G$20:$G$25,SUMPRODUCT(($J$20:$J$25&lt;ROW(A105))*1)+1)+ROW(A105)-IF(SUMPRODUCT(($J$20:$J$25&lt;ROW(A105))*1)+1=1,1,INDEX($J$20:$J$25,SUMPRODUCT(($J$20:$J$25&lt;ROW(A105))*1)+1-1)+1))</f>
        <v/>
      </c>
      <c r="R106" s="319" t="str">
        <f t="shared" si="10"/>
        <v/>
      </c>
      <c r="T106" s="370"/>
    </row>
    <row r="107" spans="7:20" ht="15.75" thickBot="1" x14ac:dyDescent="0.25">
      <c r="G107" s="376"/>
      <c r="P107" s="315" t="str" cm="1">
        <f t="array" ref="P107">IF(ROW(A106)&gt;SUM($I$20:$I$25),"",INDEX($F$20:$F$25,SUMPRODUCT(($J$20:$J$25&lt;ROW(A106))*1)+1))</f>
        <v/>
      </c>
      <c r="Q107" s="379" t="str" cm="1">
        <f t="array" ref="Q107">IF(ROW(A106)&gt;SUM($I$20:$I$25),"",INDEX($G$20:$G$25,SUMPRODUCT(($J$20:$J$25&lt;ROW(A106))*1)+1)+ROW(A106)-IF(SUMPRODUCT(($J$20:$J$25&lt;ROW(A106))*1)+1=1,1,INDEX($J$20:$J$25,SUMPRODUCT(($J$20:$J$25&lt;ROW(A106))*1)+1-1)+1))</f>
        <v/>
      </c>
      <c r="R107" s="319" t="str">
        <f t="shared" si="10"/>
        <v/>
      </c>
      <c r="T107" s="370"/>
    </row>
    <row r="108" spans="7:20" ht="15.75" thickBot="1" x14ac:dyDescent="0.25">
      <c r="G108" s="376"/>
      <c r="P108" s="315" t="str" cm="1">
        <f t="array" ref="P108">IF(ROW(A107)&gt;SUM($I$20:$I$25),"",INDEX($F$20:$F$25,SUMPRODUCT(($J$20:$J$25&lt;ROW(A107))*1)+1))</f>
        <v/>
      </c>
      <c r="Q108" s="379" t="str" cm="1">
        <f t="array" ref="Q108">IF(ROW(A107)&gt;SUM($I$20:$I$25),"",INDEX($G$20:$G$25,SUMPRODUCT(($J$20:$J$25&lt;ROW(A107))*1)+1)+ROW(A107)-IF(SUMPRODUCT(($J$20:$J$25&lt;ROW(A107))*1)+1=1,1,INDEX($J$20:$J$25,SUMPRODUCT(($J$20:$J$25&lt;ROW(A107))*1)+1-1)+1))</f>
        <v/>
      </c>
      <c r="R108" s="319" t="str">
        <f t="shared" si="10"/>
        <v/>
      </c>
      <c r="T108" s="370"/>
    </row>
    <row r="109" spans="7:20" ht="15.75" thickBot="1" x14ac:dyDescent="0.25">
      <c r="G109" s="376"/>
      <c r="P109" s="315" t="str" cm="1">
        <f t="array" ref="P109">IF(ROW(A108)&gt;SUM($I$20:$I$25),"",INDEX($F$20:$F$25,SUMPRODUCT(($J$20:$J$25&lt;ROW(A108))*1)+1))</f>
        <v/>
      </c>
      <c r="Q109" s="379" t="str" cm="1">
        <f t="array" ref="Q109">IF(ROW(A108)&gt;SUM($I$20:$I$25),"",INDEX($G$20:$G$25,SUMPRODUCT(($J$20:$J$25&lt;ROW(A108))*1)+1)+ROW(A108)-IF(SUMPRODUCT(($J$20:$J$25&lt;ROW(A108))*1)+1=1,1,INDEX($J$20:$J$25,SUMPRODUCT(($J$20:$J$25&lt;ROW(A108))*1)+1-1)+1))</f>
        <v/>
      </c>
      <c r="R109" s="319" t="str">
        <f t="shared" si="10"/>
        <v/>
      </c>
      <c r="T109" s="370"/>
    </row>
    <row r="110" spans="7:20" ht="15.75" thickBot="1" x14ac:dyDescent="0.25">
      <c r="G110" s="376"/>
      <c r="P110" s="315" t="str" cm="1">
        <f t="array" ref="P110">IF(ROW(A109)&gt;SUM($I$20:$I$25),"",INDEX($F$20:$F$25,SUMPRODUCT(($J$20:$J$25&lt;ROW(A109))*1)+1))</f>
        <v/>
      </c>
      <c r="Q110" s="379" t="str" cm="1">
        <f t="array" ref="Q110">IF(ROW(A109)&gt;SUM($I$20:$I$25),"",INDEX($G$20:$G$25,SUMPRODUCT(($J$20:$J$25&lt;ROW(A109))*1)+1)+ROW(A109)-IF(SUMPRODUCT(($J$20:$J$25&lt;ROW(A109))*1)+1=1,1,INDEX($J$20:$J$25,SUMPRODUCT(($J$20:$J$25&lt;ROW(A109))*1)+1-1)+1))</f>
        <v/>
      </c>
      <c r="R110" s="319" t="str">
        <f t="shared" si="10"/>
        <v/>
      </c>
      <c r="T110" s="370"/>
    </row>
    <row r="111" spans="7:20" x14ac:dyDescent="0.2">
      <c r="G111" s="376"/>
      <c r="T111" s="370"/>
    </row>
    <row r="112" spans="7:20" x14ac:dyDescent="0.2">
      <c r="G112" s="376"/>
      <c r="T112" s="370"/>
    </row>
    <row r="113" spans="7:20" x14ac:dyDescent="0.2">
      <c r="G113" s="376"/>
      <c r="T113" s="370"/>
    </row>
    <row r="114" spans="7:20" x14ac:dyDescent="0.2">
      <c r="G114" s="376"/>
      <c r="T114" s="370"/>
    </row>
    <row r="115" spans="7:20" x14ac:dyDescent="0.2">
      <c r="G115" s="376"/>
      <c r="T115" s="370"/>
    </row>
    <row r="116" spans="7:20" x14ac:dyDescent="0.2">
      <c r="G116" s="376"/>
      <c r="T116" s="370"/>
    </row>
    <row r="117" spans="7:20" x14ac:dyDescent="0.2">
      <c r="G117" s="376"/>
      <c r="T117" s="370"/>
    </row>
    <row r="118" spans="7:20" x14ac:dyDescent="0.2">
      <c r="G118" s="376"/>
      <c r="T118" s="370"/>
    </row>
    <row r="119" spans="7:20" x14ac:dyDescent="0.2">
      <c r="G119" s="376"/>
      <c r="T119" s="370"/>
    </row>
    <row r="120" spans="7:20" x14ac:dyDescent="0.2">
      <c r="G120" s="376"/>
      <c r="T120" s="370"/>
    </row>
    <row r="121" spans="7:20" x14ac:dyDescent="0.2">
      <c r="G121" s="376"/>
      <c r="T121" s="370"/>
    </row>
    <row r="122" spans="7:20" x14ac:dyDescent="0.2">
      <c r="G122" s="376"/>
      <c r="T122" s="370"/>
    </row>
    <row r="123" spans="7:20" x14ac:dyDescent="0.2">
      <c r="G123" s="376"/>
      <c r="T123" s="370"/>
    </row>
    <row r="124" spans="7:20" x14ac:dyDescent="0.2">
      <c r="G124" s="376"/>
      <c r="T124" s="370"/>
    </row>
    <row r="125" spans="7:20" x14ac:dyDescent="0.2">
      <c r="G125" s="376"/>
      <c r="T125" s="370"/>
    </row>
    <row r="126" spans="7:20" x14ac:dyDescent="0.2">
      <c r="G126" s="376"/>
      <c r="T126" s="370"/>
    </row>
    <row r="127" spans="7:20" x14ac:dyDescent="0.2">
      <c r="G127" s="376"/>
      <c r="T127" s="370"/>
    </row>
    <row r="128" spans="7:20" x14ac:dyDescent="0.2">
      <c r="G128" s="376"/>
      <c r="T128" s="370"/>
    </row>
    <row r="129" spans="7:20" x14ac:dyDescent="0.2">
      <c r="G129" s="376"/>
      <c r="T129" s="370"/>
    </row>
    <row r="130" spans="7:20" x14ac:dyDescent="0.2">
      <c r="G130" s="376"/>
      <c r="T130" s="370"/>
    </row>
    <row r="131" spans="7:20" x14ac:dyDescent="0.2">
      <c r="G131" s="376"/>
      <c r="T131" s="370"/>
    </row>
    <row r="132" spans="7:20" x14ac:dyDescent="0.2">
      <c r="G132" s="376"/>
      <c r="T132" s="370"/>
    </row>
    <row r="133" spans="7:20" x14ac:dyDescent="0.2">
      <c r="G133" s="376"/>
      <c r="T133" s="370"/>
    </row>
    <row r="134" spans="7:20" x14ac:dyDescent="0.2">
      <c r="G134" s="376"/>
      <c r="T134" s="370"/>
    </row>
    <row r="135" spans="7:20" x14ac:dyDescent="0.2">
      <c r="G135" s="376"/>
      <c r="T135" s="370"/>
    </row>
    <row r="136" spans="7:20" x14ac:dyDescent="0.2">
      <c r="G136" s="376"/>
      <c r="T136" s="370"/>
    </row>
    <row r="137" spans="7:20" x14ac:dyDescent="0.2">
      <c r="T137" s="370"/>
    </row>
    <row r="138" spans="7:20" x14ac:dyDescent="0.2">
      <c r="T138" s="370"/>
    </row>
    <row r="139" spans="7:20" x14ac:dyDescent="0.2">
      <c r="T139" s="370"/>
    </row>
    <row r="140" spans="7:20" x14ac:dyDescent="0.2">
      <c r="T140" s="370"/>
    </row>
    <row r="141" spans="7:20" x14ac:dyDescent="0.2">
      <c r="T141" s="370"/>
    </row>
    <row r="142" spans="7:20" x14ac:dyDescent="0.2">
      <c r="T142" s="370"/>
    </row>
    <row r="143" spans="7:20" x14ac:dyDescent="0.2">
      <c r="T143" s="370"/>
    </row>
    <row r="144" spans="7:20" x14ac:dyDescent="0.2">
      <c r="T144" s="370"/>
    </row>
    <row r="145" spans="20:20" x14ac:dyDescent="0.2">
      <c r="T145" s="370"/>
    </row>
    <row r="146" spans="20:20" x14ac:dyDescent="0.2">
      <c r="T146" s="370"/>
    </row>
    <row r="147" spans="20:20" x14ac:dyDescent="0.2">
      <c r="T147" s="370"/>
    </row>
    <row r="148" spans="20:20" x14ac:dyDescent="0.2">
      <c r="T148" s="370"/>
    </row>
    <row r="149" spans="20:20" x14ac:dyDescent="0.2">
      <c r="T149" s="370"/>
    </row>
    <row r="150" spans="20:20" x14ac:dyDescent="0.2">
      <c r="T150" s="370"/>
    </row>
    <row r="151" spans="20:20" x14ac:dyDescent="0.2">
      <c r="T151" s="370"/>
    </row>
    <row r="152" spans="20:20" x14ac:dyDescent="0.2">
      <c r="T152" s="370"/>
    </row>
    <row r="153" spans="20:20" x14ac:dyDescent="0.2">
      <c r="T153" s="370"/>
    </row>
    <row r="154" spans="20:20" x14ac:dyDescent="0.2">
      <c r="T154" s="370"/>
    </row>
    <row r="155" spans="20:20" x14ac:dyDescent="0.2">
      <c r="T155" s="370"/>
    </row>
    <row r="156" spans="20:20" x14ac:dyDescent="0.2">
      <c r="T156" s="370"/>
    </row>
    <row r="157" spans="20:20" x14ac:dyDescent="0.2">
      <c r="T157" s="370"/>
    </row>
    <row r="158" spans="20:20" x14ac:dyDescent="0.2">
      <c r="T158" s="370"/>
    </row>
    <row r="159" spans="20:20" x14ac:dyDescent="0.2">
      <c r="T159" s="370"/>
    </row>
    <row r="160" spans="20:20" x14ac:dyDescent="0.2">
      <c r="T160" s="370"/>
    </row>
    <row r="161" spans="20:20" x14ac:dyDescent="0.2">
      <c r="T161" s="370"/>
    </row>
    <row r="162" spans="20:20" x14ac:dyDescent="0.2">
      <c r="T162" s="370"/>
    </row>
    <row r="163" spans="20:20" x14ac:dyDescent="0.2">
      <c r="T163" s="370"/>
    </row>
    <row r="164" spans="20:20" x14ac:dyDescent="0.2">
      <c r="T164" s="370"/>
    </row>
    <row r="165" spans="20:20" x14ac:dyDescent="0.2">
      <c r="T165" s="370"/>
    </row>
    <row r="166" spans="20:20" x14ac:dyDescent="0.2">
      <c r="T166" s="370"/>
    </row>
    <row r="167" spans="20:20" x14ac:dyDescent="0.2">
      <c r="T167" s="370"/>
    </row>
    <row r="168" spans="20:20" x14ac:dyDescent="0.2">
      <c r="T168" s="370"/>
    </row>
    <row r="169" spans="20:20" x14ac:dyDescent="0.2">
      <c r="T169" s="370"/>
    </row>
    <row r="170" spans="20:20" x14ac:dyDescent="0.2">
      <c r="T170" s="370"/>
    </row>
    <row r="171" spans="20:20" x14ac:dyDescent="0.2">
      <c r="T171" s="370"/>
    </row>
    <row r="172" spans="20:20" x14ac:dyDescent="0.2">
      <c r="T172" s="370"/>
    </row>
    <row r="173" spans="20:20" x14ac:dyDescent="0.2">
      <c r="T173" s="370"/>
    </row>
    <row r="174" spans="20:20" x14ac:dyDescent="0.2">
      <c r="T174" s="370"/>
    </row>
    <row r="175" spans="20:20" x14ac:dyDescent="0.2">
      <c r="T175" s="370"/>
    </row>
    <row r="176" spans="20:20" x14ac:dyDescent="0.2">
      <c r="T176" s="370"/>
    </row>
    <row r="177" spans="20:20" x14ac:dyDescent="0.2">
      <c r="T177" s="370"/>
    </row>
    <row r="178" spans="20:20" x14ac:dyDescent="0.2">
      <c r="T178" s="370"/>
    </row>
    <row r="179" spans="20:20" x14ac:dyDescent="0.2">
      <c r="T179" s="370"/>
    </row>
    <row r="180" spans="20:20" x14ac:dyDescent="0.2">
      <c r="T180" s="370"/>
    </row>
    <row r="181" spans="20:20" x14ac:dyDescent="0.2">
      <c r="T181" s="370"/>
    </row>
    <row r="182" spans="20:20" x14ac:dyDescent="0.2">
      <c r="T182" s="370"/>
    </row>
    <row r="183" spans="20:20" x14ac:dyDescent="0.2">
      <c r="T183" s="370"/>
    </row>
    <row r="184" spans="20:20" x14ac:dyDescent="0.2">
      <c r="T184" s="370"/>
    </row>
    <row r="185" spans="20:20" x14ac:dyDescent="0.2">
      <c r="T185" s="370"/>
    </row>
    <row r="186" spans="20:20" x14ac:dyDescent="0.2">
      <c r="T186" s="370"/>
    </row>
    <row r="187" spans="20:20" x14ac:dyDescent="0.2">
      <c r="T187" s="370"/>
    </row>
    <row r="188" spans="20:20" x14ac:dyDescent="0.2">
      <c r="T188" s="370"/>
    </row>
    <row r="189" spans="20:20" x14ac:dyDescent="0.2">
      <c r="T189" s="370"/>
    </row>
    <row r="190" spans="20:20" x14ac:dyDescent="0.2">
      <c r="T190" s="370"/>
    </row>
    <row r="191" spans="20:20" x14ac:dyDescent="0.2">
      <c r="T191" s="370"/>
    </row>
    <row r="192" spans="20:20" x14ac:dyDescent="0.2">
      <c r="T192" s="370"/>
    </row>
    <row r="193" spans="20:20" x14ac:dyDescent="0.2">
      <c r="T193" s="370"/>
    </row>
    <row r="194" spans="20:20" x14ac:dyDescent="0.2">
      <c r="T194" s="370"/>
    </row>
    <row r="195" spans="20:20" x14ac:dyDescent="0.2">
      <c r="T195" s="370"/>
    </row>
    <row r="196" spans="20:20" x14ac:dyDescent="0.2">
      <c r="T196" s="370"/>
    </row>
    <row r="197" spans="20:20" x14ac:dyDescent="0.2">
      <c r="T197" s="370"/>
    </row>
    <row r="198" spans="20:20" x14ac:dyDescent="0.2">
      <c r="T198" s="370"/>
    </row>
    <row r="199" spans="20:20" x14ac:dyDescent="0.2">
      <c r="T199" s="370"/>
    </row>
    <row r="200" spans="20:20" x14ac:dyDescent="0.2">
      <c r="T200" s="370"/>
    </row>
    <row r="201" spans="20:20" x14ac:dyDescent="0.2">
      <c r="T201" s="370"/>
    </row>
    <row r="202" spans="20:20" x14ac:dyDescent="0.2">
      <c r="T202" s="370"/>
    </row>
    <row r="203" spans="20:20" x14ac:dyDescent="0.2">
      <c r="T203" s="370"/>
    </row>
    <row r="204" spans="20:20" x14ac:dyDescent="0.2">
      <c r="T204" s="370"/>
    </row>
    <row r="205" spans="20:20" x14ac:dyDescent="0.2">
      <c r="T205" s="370"/>
    </row>
    <row r="206" spans="20:20" x14ac:dyDescent="0.2">
      <c r="T206" s="370"/>
    </row>
    <row r="207" spans="20:20" x14ac:dyDescent="0.2">
      <c r="T207" s="370"/>
    </row>
    <row r="208" spans="20:20" x14ac:dyDescent="0.2">
      <c r="T208" s="370"/>
    </row>
    <row r="209" spans="20:20" x14ac:dyDescent="0.2">
      <c r="T209" s="370"/>
    </row>
    <row r="210" spans="20:20" x14ac:dyDescent="0.2">
      <c r="T210" s="370"/>
    </row>
    <row r="211" spans="20:20" x14ac:dyDescent="0.2">
      <c r="T211" s="370"/>
    </row>
    <row r="212" spans="20:20" x14ac:dyDescent="0.2">
      <c r="T212" s="370"/>
    </row>
    <row r="213" spans="20:20" x14ac:dyDescent="0.2">
      <c r="T213" s="370"/>
    </row>
    <row r="214" spans="20:20" x14ac:dyDescent="0.2">
      <c r="T214" s="370"/>
    </row>
    <row r="215" spans="20:20" x14ac:dyDescent="0.2">
      <c r="T215" s="370"/>
    </row>
    <row r="216" spans="20:20" x14ac:dyDescent="0.2">
      <c r="T216" s="370"/>
    </row>
    <row r="217" spans="20:20" x14ac:dyDescent="0.2">
      <c r="T217" s="370"/>
    </row>
    <row r="218" spans="20:20" x14ac:dyDescent="0.2">
      <c r="T218" s="370"/>
    </row>
    <row r="219" spans="20:20" x14ac:dyDescent="0.2">
      <c r="T219" s="370"/>
    </row>
    <row r="220" spans="20:20" x14ac:dyDescent="0.2">
      <c r="T220" s="370"/>
    </row>
    <row r="221" spans="20:20" x14ac:dyDescent="0.2">
      <c r="T221" s="370"/>
    </row>
    <row r="222" spans="20:20" x14ac:dyDescent="0.2">
      <c r="T222" s="370"/>
    </row>
    <row r="223" spans="20:20" x14ac:dyDescent="0.2">
      <c r="T223" s="370"/>
    </row>
    <row r="224" spans="20:20" x14ac:dyDescent="0.2">
      <c r="T224" s="370"/>
    </row>
    <row r="225" spans="20:20" x14ac:dyDescent="0.2">
      <c r="T225" s="370"/>
    </row>
    <row r="226" spans="20:20" x14ac:dyDescent="0.2">
      <c r="T226" s="370"/>
    </row>
    <row r="227" spans="20:20" x14ac:dyDescent="0.2">
      <c r="T227" s="370"/>
    </row>
    <row r="228" spans="20:20" x14ac:dyDescent="0.2">
      <c r="T228" s="370"/>
    </row>
    <row r="229" spans="20:20" x14ac:dyDescent="0.2">
      <c r="T229" s="370"/>
    </row>
    <row r="230" spans="20:20" x14ac:dyDescent="0.2">
      <c r="T230" s="370"/>
    </row>
    <row r="231" spans="20:20" x14ac:dyDescent="0.2">
      <c r="T231" s="370"/>
    </row>
    <row r="232" spans="20:20" x14ac:dyDescent="0.2">
      <c r="T232" s="370"/>
    </row>
    <row r="233" spans="20:20" x14ac:dyDescent="0.2">
      <c r="T233" s="370"/>
    </row>
    <row r="234" spans="20:20" x14ac:dyDescent="0.2">
      <c r="T234" s="370"/>
    </row>
    <row r="235" spans="20:20" x14ac:dyDescent="0.2">
      <c r="T235" s="370"/>
    </row>
    <row r="236" spans="20:20" x14ac:dyDescent="0.2">
      <c r="T236" s="370"/>
    </row>
    <row r="237" spans="20:20" x14ac:dyDescent="0.2">
      <c r="T237" s="370"/>
    </row>
    <row r="238" spans="20:20" x14ac:dyDescent="0.2">
      <c r="T238" s="370"/>
    </row>
    <row r="239" spans="20:20" x14ac:dyDescent="0.2">
      <c r="T239" s="370"/>
    </row>
    <row r="240" spans="20:20" x14ac:dyDescent="0.2">
      <c r="T240" s="370"/>
    </row>
    <row r="241" spans="20:20" x14ac:dyDescent="0.2">
      <c r="T241" s="370"/>
    </row>
    <row r="242" spans="20:20" x14ac:dyDescent="0.2">
      <c r="T242" s="370"/>
    </row>
    <row r="243" spans="20:20" x14ac:dyDescent="0.2">
      <c r="T243" s="370"/>
    </row>
    <row r="244" spans="20:20" x14ac:dyDescent="0.2">
      <c r="T244" s="370"/>
    </row>
    <row r="245" spans="20:20" x14ac:dyDescent="0.2">
      <c r="T245" s="370"/>
    </row>
    <row r="246" spans="20:20" x14ac:dyDescent="0.2">
      <c r="T246" s="370"/>
    </row>
    <row r="247" spans="20:20" x14ac:dyDescent="0.2">
      <c r="T247" s="370"/>
    </row>
    <row r="248" spans="20:20" x14ac:dyDescent="0.2">
      <c r="T248" s="370"/>
    </row>
    <row r="249" spans="20:20" x14ac:dyDescent="0.2">
      <c r="T249" s="370"/>
    </row>
    <row r="250" spans="20:20" x14ac:dyDescent="0.2">
      <c r="T250" s="370"/>
    </row>
    <row r="251" spans="20:20" x14ac:dyDescent="0.2">
      <c r="T251" s="370"/>
    </row>
    <row r="252" spans="20:20" x14ac:dyDescent="0.2">
      <c r="T252" s="370"/>
    </row>
  </sheetData>
  <mergeCells count="7">
    <mergeCell ref="AB2:AC2"/>
    <mergeCell ref="AD2:AD3"/>
    <mergeCell ref="A1:A16"/>
    <mergeCell ref="AA1:AA16"/>
    <mergeCell ref="AK1:AK16"/>
    <mergeCell ref="AB1:AD1"/>
    <mergeCell ref="E1:F1"/>
  </mergeCells>
  <hyperlinks>
    <hyperlink ref="C1" r:id="rId1" xr:uid="{00000000-0004-0000-0100-000000000000}"/>
    <hyperlink ref="O1" r:id="rId2" xr:uid="{03F91689-9D9C-4011-BB2C-18899FC34DCA}"/>
  </hyperlinks>
  <pageMargins left="0.78740157499999996" right="0.78740157499999996" top="0.984251969" bottom="0.984251969" header="0.4921259845" footer="0.4921259845"/>
  <pageSetup paperSize="9" orientation="portrait" r:id="rId3"/>
  <headerFooter alignWithMargins="0"/>
  <customProperties>
    <customPr name="_pios_id" r:id="rId4"/>
  </customProperties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2">
    <tabColor rgb="FFFFC000"/>
  </sheetPr>
  <dimension ref="A1:Q47"/>
  <sheetViews>
    <sheetView topLeftCell="A4" zoomScale="85" zoomScaleNormal="85" workbookViewId="0">
      <selection activeCell="B16" sqref="B16"/>
    </sheetView>
  </sheetViews>
  <sheetFormatPr baseColWidth="10" defaultColWidth="11.5546875" defaultRowHeight="12.75" x14ac:dyDescent="0.2"/>
  <cols>
    <col min="1" max="1" width="41.77734375" style="1" bestFit="1" customWidth="1"/>
    <col min="2" max="2" width="23" style="1" bestFit="1" customWidth="1"/>
    <col min="3" max="5" width="13.109375" style="1" customWidth="1"/>
    <col min="6" max="6" width="11.5546875" style="1"/>
    <col min="7" max="7" width="8.21875" style="1" customWidth="1"/>
    <col min="8" max="14" width="8.77734375" style="1" customWidth="1"/>
    <col min="15" max="16384" width="11.5546875" style="1"/>
  </cols>
  <sheetData>
    <row r="1" spans="1:17" x14ac:dyDescent="0.2">
      <c r="A1" s="3" t="s">
        <v>129</v>
      </c>
    </row>
    <row r="2" spans="1:17" x14ac:dyDescent="0.2">
      <c r="A2" s="4" t="s">
        <v>14</v>
      </c>
      <c r="B2" s="5">
        <f>+Aufgabenplanung!B4</f>
        <v>0</v>
      </c>
      <c r="H2" s="383" t="s">
        <v>312</v>
      </c>
      <c r="I2" s="383"/>
      <c r="J2" s="383"/>
      <c r="K2" s="383"/>
      <c r="L2" s="383"/>
      <c r="M2" s="383"/>
      <c r="N2" s="383"/>
      <c r="O2" s="383"/>
      <c r="P2" s="383"/>
      <c r="Q2" s="383"/>
    </row>
    <row r="3" spans="1:17" x14ac:dyDescent="0.2">
      <c r="A3" s="4" t="s">
        <v>130</v>
      </c>
      <c r="B3" s="6" t="str">
        <f>+Aufgabenplanung!B6</f>
        <v>2026/2027</v>
      </c>
      <c r="H3" s="384" t="s">
        <v>313</v>
      </c>
      <c r="I3" s="384" t="s">
        <v>314</v>
      </c>
      <c r="J3" s="384" t="s">
        <v>135</v>
      </c>
      <c r="K3" s="384" t="s">
        <v>315</v>
      </c>
      <c r="L3" s="384" t="s">
        <v>316</v>
      </c>
      <c r="M3" s="384" t="s">
        <v>317</v>
      </c>
      <c r="N3" s="384" t="s">
        <v>318</v>
      </c>
      <c r="O3" s="384" t="s">
        <v>319</v>
      </c>
      <c r="P3" s="384" t="s">
        <v>320</v>
      </c>
      <c r="Q3" s="384" t="s">
        <v>321</v>
      </c>
    </row>
    <row r="4" spans="1:17" x14ac:dyDescent="0.2">
      <c r="A4" s="4" t="s">
        <v>131</v>
      </c>
      <c r="B4" s="7">
        <f>+Aufgabenplanung!B16</f>
        <v>1898.4</v>
      </c>
      <c r="H4" s="385">
        <f>+B4*B5/SUM(B5:B6)</f>
        <v>1612.8000000000002</v>
      </c>
      <c r="I4" s="385">
        <f>IF(B9=0,0,$B$10/$B$9)</f>
        <v>0</v>
      </c>
      <c r="J4" s="385">
        <f>+H4*I4</f>
        <v>0</v>
      </c>
      <c r="K4" s="385">
        <f>+C27</f>
        <v>0</v>
      </c>
      <c r="L4" s="385">
        <f>+J4-K4</f>
        <v>0</v>
      </c>
      <c r="M4" s="385">
        <f>IF(SUM(B28:B29)=0,0,B28/SUM(B28:B29))</f>
        <v>0</v>
      </c>
      <c r="N4" s="385">
        <f>+L4*M4</f>
        <v>0</v>
      </c>
      <c r="O4" s="385">
        <f>+N4/B5</f>
        <v>0</v>
      </c>
      <c r="P4" s="385">
        <f>+O4/5</f>
        <v>0</v>
      </c>
      <c r="Q4" s="386">
        <f>+P4/24</f>
        <v>0</v>
      </c>
    </row>
    <row r="5" spans="1:17" x14ac:dyDescent="0.2">
      <c r="A5" s="4" t="s">
        <v>132</v>
      </c>
      <c r="B5" s="8">
        <f>+Grundlagen!J3</f>
        <v>38.4</v>
      </c>
      <c r="H5" s="385">
        <f>+B4*B6/SUM(B5:B6)</f>
        <v>285.60000000000002</v>
      </c>
      <c r="I5" s="385">
        <f>IF(B9=0,0,$B$10/$B$9)</f>
        <v>0</v>
      </c>
      <c r="J5" s="385">
        <f>+H5*I5</f>
        <v>0</v>
      </c>
      <c r="K5" s="385">
        <v>0</v>
      </c>
      <c r="L5" s="385">
        <f>+J5-K5</f>
        <v>0</v>
      </c>
      <c r="M5" s="385">
        <f>IF(SUM(B28:B29)=0,0,B28/SUM(B28:B29))</f>
        <v>0</v>
      </c>
      <c r="N5" s="385">
        <f>+L5*M5</f>
        <v>0</v>
      </c>
      <c r="O5" s="385">
        <f>+N5/B6</f>
        <v>0</v>
      </c>
      <c r="P5" s="385">
        <f>+O5/5</f>
        <v>0</v>
      </c>
      <c r="Q5" s="386">
        <f>+P5/24</f>
        <v>0</v>
      </c>
    </row>
    <row r="6" spans="1:17" x14ac:dyDescent="0.2">
      <c r="A6" s="4" t="s">
        <v>133</v>
      </c>
      <c r="B6" s="8">
        <f>+Grundlagen!H3</f>
        <v>6.8</v>
      </c>
    </row>
    <row r="7" spans="1:17" x14ac:dyDescent="0.2">
      <c r="A7" s="27" t="s">
        <v>211</v>
      </c>
      <c r="B7" s="8">
        <f>+Aufgabenplanung!B17</f>
        <v>0</v>
      </c>
      <c r="H7" s="383" t="s">
        <v>322</v>
      </c>
      <c r="I7" s="383"/>
      <c r="J7" s="383"/>
      <c r="K7" s="383"/>
      <c r="L7" s="383"/>
      <c r="M7" s="383"/>
      <c r="N7" s="383"/>
      <c r="O7" s="383"/>
      <c r="P7" s="383"/>
      <c r="Q7" s="383"/>
    </row>
    <row r="8" spans="1:17" x14ac:dyDescent="0.2">
      <c r="A8" s="27" t="s">
        <v>91</v>
      </c>
      <c r="B8" s="8">
        <f>Aufgabenplanung!$B$20</f>
        <v>1898.4</v>
      </c>
      <c r="H8" s="384" t="s">
        <v>313</v>
      </c>
      <c r="I8" s="384" t="s">
        <v>314</v>
      </c>
      <c r="J8" s="384" t="s">
        <v>135</v>
      </c>
      <c r="K8" s="384" t="s">
        <v>315</v>
      </c>
      <c r="L8" s="384" t="s">
        <v>316</v>
      </c>
      <c r="M8" s="384" t="s">
        <v>325</v>
      </c>
      <c r="N8" s="384" t="s">
        <v>323</v>
      </c>
      <c r="O8" s="384" t="s">
        <v>319</v>
      </c>
      <c r="P8" s="384" t="s">
        <v>320</v>
      </c>
      <c r="Q8" s="384" t="s">
        <v>321</v>
      </c>
    </row>
    <row r="9" spans="1:17" x14ac:dyDescent="0.2">
      <c r="A9" s="4" t="s">
        <v>95</v>
      </c>
      <c r="B9" s="51">
        <f>IFERROR(Aufgabenplanung!B25,0)</f>
        <v>0</v>
      </c>
      <c r="C9" s="49" t="str">
        <f>IFERROR(IF(HLOOKUP(B2,Dropdowns!1:5,2,0)=0,"",HLOOKUP(B2,Dropdowns!1:5,2,0)),"")</f>
        <v/>
      </c>
      <c r="D9" s="49" t="str">
        <f>IFERROR(IF(HLOOKUP(B2,Dropdowns!1:5,3,0)=0,"",HLOOKUP(B2,Dropdowns!1:5,3,0)),"")</f>
        <v/>
      </c>
      <c r="E9" s="49" t="str">
        <f>IFERROR(IF(HLOOKUP(B2,Dropdowns!1:5,4,0)=0,"",HLOOKUP(B2,Dropdowns!1:5,4,0)),"")</f>
        <v/>
      </c>
      <c r="F9" s="49" t="str">
        <f>IFERROR(IF(HLOOKUP(B2,Dropdowns!1:5,5,0)=0,"",HLOOKUP(B2,Dropdowns!1:5,5,0)),"")</f>
        <v/>
      </c>
      <c r="H9" s="385">
        <f>+B4*B5/SUM(B5:B6)</f>
        <v>1612.8000000000002</v>
      </c>
      <c r="I9" s="385">
        <f>IF(B9=0,0,$B$10/$B$9)</f>
        <v>0</v>
      </c>
      <c r="J9" s="385">
        <f>+H9*I9</f>
        <v>0</v>
      </c>
      <c r="K9" s="385">
        <f>+C27</f>
        <v>0</v>
      </c>
      <c r="L9" s="385">
        <f t="shared" ref="L9:L10" si="0">+J9-K9</f>
        <v>0</v>
      </c>
      <c r="M9" s="385">
        <f>IF(SUM(B28:B29)=0,0,B29/SUM(B28:B29))</f>
        <v>0</v>
      </c>
      <c r="N9" s="385">
        <f>+L9*M9</f>
        <v>0</v>
      </c>
      <c r="O9" s="385">
        <f>+N9/B5</f>
        <v>0</v>
      </c>
      <c r="P9" s="385">
        <f>+O9/5</f>
        <v>0</v>
      </c>
      <c r="Q9" s="386">
        <f>+P9/24</f>
        <v>0</v>
      </c>
    </row>
    <row r="10" spans="1:17" x14ac:dyDescent="0.2">
      <c r="A10" s="4" t="s">
        <v>96</v>
      </c>
      <c r="B10" s="51">
        <f>IFERROR(Aufgabenplanung!B26,0)</f>
        <v>0</v>
      </c>
      <c r="C10" s="49">
        <f>VLOOKUP(C9,Aufgabenplanung!$E:$G,2,0)</f>
        <v>0</v>
      </c>
      <c r="D10" s="49">
        <f>VLOOKUP(D9,Aufgabenplanung!$E:$G,2,0)</f>
        <v>0</v>
      </c>
      <c r="E10" s="49">
        <f>VLOOKUP(E9,Aufgabenplanung!$E:$G,2,0)</f>
        <v>0</v>
      </c>
      <c r="F10" s="49">
        <f>VLOOKUP(F9,Aufgabenplanung!$E:$G,2,0)</f>
        <v>0</v>
      </c>
      <c r="H10" s="385">
        <f>+B4*B6/SUM(B5:B6)</f>
        <v>285.60000000000002</v>
      </c>
      <c r="I10" s="385">
        <f>IF(B9=0,0,$B$10/$B$9)</f>
        <v>0</v>
      </c>
      <c r="J10" s="385">
        <f>+H10*I10</f>
        <v>0</v>
      </c>
      <c r="K10" s="385">
        <v>0</v>
      </c>
      <c r="L10" s="385">
        <f t="shared" si="0"/>
        <v>0</v>
      </c>
      <c r="M10" s="385">
        <f>IF(SUM(B28:B29)=0,0,B29/SUM(B28:B29))</f>
        <v>0</v>
      </c>
      <c r="N10" s="385">
        <f>+L10*M10</f>
        <v>0</v>
      </c>
      <c r="O10" s="385">
        <f>+N10/B6</f>
        <v>0</v>
      </c>
      <c r="P10" s="385">
        <f>+O10/5</f>
        <v>0</v>
      </c>
      <c r="Q10" s="386">
        <f>+P10/24</f>
        <v>0</v>
      </c>
    </row>
    <row r="11" spans="1:17" x14ac:dyDescent="0.2">
      <c r="A11" s="4" t="s">
        <v>97</v>
      </c>
      <c r="B11" s="51">
        <f>Aufgabenplanung!B27+Aufgabenplanung!B28</f>
        <v>0</v>
      </c>
      <c r="C11" s="49">
        <f>VLOOKUP(C9,Aufgabenplanung!$E:$G,3,0)+VLOOKUP(C9,Aufgabenplanung!$E:$H,4,0)</f>
        <v>0</v>
      </c>
      <c r="D11" s="49">
        <f>VLOOKUP(D9,Aufgabenplanung!$E:$G,3,0)+VLOOKUP(D9,Aufgabenplanung!$E:$H,4,0)</f>
        <v>0</v>
      </c>
      <c r="E11" s="49">
        <f>VLOOKUP(E9,Aufgabenplanung!$E:$G,3,0)+VLOOKUP(E9,Aufgabenplanung!$E:$H,4,0)</f>
        <v>0</v>
      </c>
      <c r="F11" s="49">
        <f>VLOOKUP(F9,Aufgabenplanung!$E:$G,3,0)+VLOOKUP(F9,Aufgabenplanung!$E:$H,4,0)</f>
        <v>0</v>
      </c>
    </row>
    <row r="12" spans="1:17" x14ac:dyDescent="0.2">
      <c r="A12" s="27" t="s">
        <v>255</v>
      </c>
      <c r="B12" s="51">
        <f>IF(C9="",B10*$B$5*0.75,"")</f>
        <v>0</v>
      </c>
      <c r="C12" s="49">
        <f>+C10*$B$5*0.75</f>
        <v>0</v>
      </c>
      <c r="D12" s="49">
        <f>+D10*$B$5*0.75</f>
        <v>0</v>
      </c>
      <c r="E12" s="49">
        <f>+E10*$B$5*0.75</f>
        <v>0</v>
      </c>
      <c r="F12" s="49">
        <f>+F10*$B$5*0.75</f>
        <v>0</v>
      </c>
    </row>
    <row r="13" spans="1:17" x14ac:dyDescent="0.2">
      <c r="A13" s="27" t="s">
        <v>254</v>
      </c>
      <c r="B13" s="52">
        <f>IFERROR(IF(C9="",B12/$B$4,""),0)</f>
        <v>0</v>
      </c>
      <c r="C13" s="50">
        <f>IFERROR(C12/$B$4,0)</f>
        <v>0</v>
      </c>
      <c r="D13" s="50">
        <f>IFERROR(D12/$B$4,0)</f>
        <v>0</v>
      </c>
      <c r="E13" s="50">
        <f>IFERROR(E12/$B$4,0)</f>
        <v>0</v>
      </c>
      <c r="F13" s="50">
        <f>IFERROR(F12/$B$4,0)</f>
        <v>0</v>
      </c>
    </row>
    <row r="14" spans="1:17" x14ac:dyDescent="0.2">
      <c r="A14" s="27" t="s">
        <v>253</v>
      </c>
      <c r="B14" s="52">
        <f>IF(C9="",IFERROR(VLOOKUP($B$2&amp;B$9,Grundlagen!$AG:$AJ,3,0)*B10/B9,0),"")</f>
        <v>0</v>
      </c>
      <c r="C14" s="50">
        <f>IFERROR(VLOOKUP($B$2&amp;C$9,Grundlagen!$AG:$AJ,3,0)*C10/C9,0)</f>
        <v>0</v>
      </c>
      <c r="D14" s="50">
        <f>IFERROR(VLOOKUP($B$2&amp;D$9,Grundlagen!$AG:$AJ,3,0)*D10/D9,0)</f>
        <v>0</v>
      </c>
      <c r="E14" s="50">
        <f>IFERROR(VLOOKUP($B$2&amp;E$9,Grundlagen!$AG:$AJ,3,0)*E10/E9,0)</f>
        <v>0</v>
      </c>
      <c r="F14" s="50">
        <f>IFERROR(VLOOKUP($B$2&amp;F$9,Grundlagen!$AG:$AJ,3,0)*F10/F9,0)</f>
        <v>0</v>
      </c>
    </row>
    <row r="15" spans="1:17" x14ac:dyDescent="0.2">
      <c r="A15" s="27" t="s">
        <v>256</v>
      </c>
      <c r="B15" s="51">
        <f>IF(C9="",IFERROR(B14*$B$4,0),"")</f>
        <v>0</v>
      </c>
      <c r="C15" s="49">
        <f>IFERROR(C14*$B$4,0)</f>
        <v>0</v>
      </c>
      <c r="D15" s="49">
        <f t="shared" ref="D15:F15" si="1">IFERROR(D14*$B$4,0)</f>
        <v>0</v>
      </c>
      <c r="E15" s="49">
        <f t="shared" si="1"/>
        <v>0</v>
      </c>
      <c r="F15" s="49">
        <f t="shared" si="1"/>
        <v>0</v>
      </c>
    </row>
    <row r="16" spans="1:17" ht="15" x14ac:dyDescent="0.2">
      <c r="A16" s="27" t="s">
        <v>261</v>
      </c>
      <c r="B16" s="56">
        <f>IFERROR(IF(C9="",$B$7*B10/B9,""),0)</f>
        <v>0</v>
      </c>
      <c r="C16" s="56">
        <f>IFERROR($B$7*C10/C9,0)</f>
        <v>0</v>
      </c>
      <c r="D16" s="56">
        <f t="shared" ref="D16:F16" si="2">IFERROR($B$7*D10/D9,0)</f>
        <v>0</v>
      </c>
      <c r="E16" s="56">
        <f t="shared" si="2"/>
        <v>0</v>
      </c>
      <c r="F16" s="56">
        <f t="shared" si="2"/>
        <v>0</v>
      </c>
      <c r="I16" s="2"/>
    </row>
    <row r="17" spans="1:16" x14ac:dyDescent="0.2">
      <c r="A17" s="27" t="s">
        <v>262</v>
      </c>
      <c r="B17" s="57">
        <f>IFERROR(B14*B16/B15,0)</f>
        <v>0</v>
      </c>
      <c r="C17" s="57">
        <f>IFERROR(C14*C16/C15,0)</f>
        <v>0</v>
      </c>
      <c r="D17" s="57">
        <f t="shared" ref="D17:F17" si="3">IFERROR(D14*D16/D15,0)</f>
        <v>0</v>
      </c>
      <c r="E17" s="57">
        <f t="shared" si="3"/>
        <v>0</v>
      </c>
      <c r="F17" s="57">
        <f t="shared" si="3"/>
        <v>0</v>
      </c>
    </row>
    <row r="18" spans="1:16" x14ac:dyDescent="0.2">
      <c r="A18" s="27" t="s">
        <v>257</v>
      </c>
      <c r="B18" s="52">
        <f>IF(C9="",IFERROR(B10/B9-B13-B14,0),"")</f>
        <v>0</v>
      </c>
      <c r="C18" s="50">
        <f>IFERROR(C10/C9-C13-C14,0)</f>
        <v>0</v>
      </c>
      <c r="D18" s="50">
        <f>IFERROR(D10/D9-D13-D14,0)</f>
        <v>0</v>
      </c>
      <c r="E18" s="50">
        <f t="shared" ref="E18:F18" si="4">IFERROR(E10/E9-E13-E14,0)</f>
        <v>0</v>
      </c>
      <c r="F18" s="50">
        <f t="shared" si="4"/>
        <v>0</v>
      </c>
    </row>
    <row r="19" spans="1:16" x14ac:dyDescent="0.2">
      <c r="A19" s="27" t="s">
        <v>258</v>
      </c>
      <c r="B19" s="51">
        <f>IF(C9="",B18*$B$4,"")</f>
        <v>0</v>
      </c>
      <c r="C19" s="49">
        <f>+C18*$B$4</f>
        <v>0</v>
      </c>
      <c r="D19" s="49">
        <f>+D18*$B$4</f>
        <v>0</v>
      </c>
      <c r="E19" s="49">
        <f t="shared" ref="E19:F19" si="5">+E18*$B$4</f>
        <v>0</v>
      </c>
      <c r="F19" s="49">
        <f t="shared" si="5"/>
        <v>0</v>
      </c>
    </row>
    <row r="20" spans="1:16" x14ac:dyDescent="0.2">
      <c r="A20" s="27" t="s">
        <v>259</v>
      </c>
      <c r="B20" s="51"/>
      <c r="C20" s="49">
        <f>IFERROR(C11/C9*$B$8,0)</f>
        <v>0</v>
      </c>
      <c r="D20" s="49">
        <f t="shared" ref="D20:F20" si="6">IFERROR(D11/D9*$B$8,0)</f>
        <v>0</v>
      </c>
      <c r="E20" s="49">
        <f t="shared" si="6"/>
        <v>0</v>
      </c>
      <c r="F20" s="49">
        <f t="shared" si="6"/>
        <v>0</v>
      </c>
    </row>
    <row r="21" spans="1:16" x14ac:dyDescent="0.2">
      <c r="A21" s="27" t="s">
        <v>260</v>
      </c>
      <c r="B21" s="51"/>
      <c r="C21" s="50">
        <f>IFERROR(C20/$B$4,0)</f>
        <v>0</v>
      </c>
      <c r="D21" s="50">
        <f t="shared" ref="D21:F21" si="7">IFERROR(D20/$B$4,0)</f>
        <v>0</v>
      </c>
      <c r="E21" s="50">
        <f t="shared" si="7"/>
        <v>0</v>
      </c>
      <c r="F21" s="50">
        <f t="shared" si="7"/>
        <v>0</v>
      </c>
    </row>
    <row r="23" spans="1:16" x14ac:dyDescent="0.2">
      <c r="A23" s="27" t="s">
        <v>201</v>
      </c>
      <c r="B23" s="71">
        <f>IFERROR((B4-B7)/IF(IFERROR(HLOOKUP(B2,Dropdowns!G1:I1,1,0),TRUE)=TRUE,B9,Aufgabenplanung!$B$25),0)</f>
        <v>0</v>
      </c>
      <c r="C23" s="32"/>
    </row>
    <row r="24" spans="1:16" x14ac:dyDescent="0.2">
      <c r="A24" s="27" t="s">
        <v>243</v>
      </c>
      <c r="B24" s="23">
        <f>IFERROR((B4-B7)/IF(IFERROR(HLOOKUP(B2,Dropdowns!G1:I1,1,0),TRUE)=TRUE,B9,22),0)</f>
        <v>0</v>
      </c>
      <c r="C24" s="32"/>
    </row>
    <row r="25" spans="1:16" x14ac:dyDescent="0.2">
      <c r="A25" s="30"/>
      <c r="B25" s="9"/>
    </row>
    <row r="26" spans="1:16" ht="38.25" x14ac:dyDescent="0.2">
      <c r="A26" s="10" t="s">
        <v>134</v>
      </c>
      <c r="B26" s="293" t="s">
        <v>306</v>
      </c>
      <c r="C26" s="11" t="s">
        <v>135</v>
      </c>
      <c r="D26" s="11" t="s">
        <v>136</v>
      </c>
      <c r="E26" s="11" t="s">
        <v>137</v>
      </c>
      <c r="F26" s="54" t="s">
        <v>252</v>
      </c>
      <c r="G26" s="54" t="s">
        <v>265</v>
      </c>
      <c r="H26" s="32"/>
      <c r="I26" s="54" t="s">
        <v>277</v>
      </c>
      <c r="J26" s="54" t="s">
        <v>278</v>
      </c>
      <c r="L26" s="384" t="s">
        <v>138</v>
      </c>
      <c r="M26" s="384"/>
      <c r="N26" s="384" t="s">
        <v>324</v>
      </c>
      <c r="O26" s="384" t="s">
        <v>312</v>
      </c>
      <c r="P26" s="384"/>
    </row>
    <row r="27" spans="1:16" ht="15" x14ac:dyDescent="0.2">
      <c r="A27" s="4" t="s">
        <v>138</v>
      </c>
      <c r="B27" s="14">
        <f>SUM(B13:F13)</f>
        <v>0</v>
      </c>
      <c r="C27" s="12">
        <f>B27*$B$4</f>
        <v>0</v>
      </c>
      <c r="D27" s="47">
        <f>IFERROR(C27/$B5,0)</f>
        <v>0</v>
      </c>
      <c r="E27" s="48">
        <v>0</v>
      </c>
      <c r="F27" s="55">
        <f>IFERROR(C27/SUM($C$27:$C$29),0)</f>
        <v>0</v>
      </c>
      <c r="G27" s="65">
        <f>SUM(C10:F10)</f>
        <v>0</v>
      </c>
      <c r="H27" s="23"/>
      <c r="I27" s="70">
        <f>+D27/24/5</f>
        <v>0</v>
      </c>
      <c r="J27" s="70">
        <f t="shared" ref="J27:J29" si="8">+E27/24/5</f>
        <v>0</v>
      </c>
      <c r="L27" s="70"/>
      <c r="M27" s="70"/>
      <c r="N27" s="70"/>
      <c r="O27" s="70"/>
      <c r="P27" s="70"/>
    </row>
    <row r="28" spans="1:16" ht="15" x14ac:dyDescent="0.2">
      <c r="A28" s="27" t="s">
        <v>251</v>
      </c>
      <c r="B28" s="14">
        <f>SUM(B18:F18)</f>
        <v>0</v>
      </c>
      <c r="C28" s="66">
        <f>B28*$B$4</f>
        <v>0</v>
      </c>
      <c r="D28" s="47">
        <f>IFERROR(($B$4*$B$5/SUM($B$5:$B$6)*$B$10/$B$9-$C$27)
*B28/SUM($B$28:$B$29)/$B$5,0)</f>
        <v>0</v>
      </c>
      <c r="E28" s="48">
        <f t="shared" ref="E28:E33" si="9">IFERROR(($B$4*$B$6/SUM($B$5:$B$6)*$B$10/$B$9)
*B28/SUM($B$28:$B$29)/$B$6,0)</f>
        <v>0</v>
      </c>
      <c r="F28" s="55">
        <f t="shared" ref="F28:F33" si="10">IFERROR(C28/SUM($C$27:$C$29),0)</f>
        <v>0</v>
      </c>
      <c r="G28" s="65">
        <f>SUM(C10:F10)</f>
        <v>0</v>
      </c>
      <c r="H28" s="23"/>
      <c r="I28" s="70">
        <f t="shared" ref="I28" si="11">+D28/24/5</f>
        <v>0</v>
      </c>
      <c r="J28" s="70">
        <f t="shared" si="8"/>
        <v>0</v>
      </c>
      <c r="L28" s="70"/>
      <c r="M28" s="70"/>
      <c r="N28" s="70"/>
      <c r="O28" s="70"/>
      <c r="P28" s="70"/>
    </row>
    <row r="29" spans="1:16" ht="15" x14ac:dyDescent="0.2">
      <c r="A29" s="67" t="s">
        <v>274</v>
      </c>
      <c r="B29" s="58">
        <f>SUM(B14:F14)-SUM(B17:F17)</f>
        <v>0</v>
      </c>
      <c r="C29" s="59">
        <f>B29*$B$4</f>
        <v>0</v>
      </c>
      <c r="D29" s="47">
        <f t="shared" ref="D29:D33" si="12">IFERROR(($B$4*$B$5/SUM($B$5:$B$6)*$B$10/$B$9-$C$27)
*B29/SUM($B$28:$B$29)/$B$5,0)</f>
        <v>0</v>
      </c>
      <c r="E29" s="60">
        <f t="shared" si="9"/>
        <v>0</v>
      </c>
      <c r="F29" s="55">
        <f t="shared" si="10"/>
        <v>0</v>
      </c>
      <c r="G29" s="65">
        <f>SUM(C10:F10)</f>
        <v>0</v>
      </c>
      <c r="H29" s="31"/>
      <c r="I29" s="70">
        <f>+D29/24/5</f>
        <v>0</v>
      </c>
      <c r="J29" s="70">
        <f t="shared" si="8"/>
        <v>0</v>
      </c>
      <c r="L29" s="70"/>
      <c r="M29" s="70"/>
      <c r="N29" s="70"/>
      <c r="O29" s="70"/>
      <c r="P29" s="70"/>
    </row>
    <row r="30" spans="1:16" ht="15" x14ac:dyDescent="0.2">
      <c r="A30" s="63" t="str">
        <f>+C9</f>
        <v/>
      </c>
      <c r="B30" s="64">
        <f>+C14-C17</f>
        <v>0</v>
      </c>
      <c r="C30" s="59">
        <f t="shared" ref="C30:C33" si="13">B30*$B$4</f>
        <v>0</v>
      </c>
      <c r="D30" s="47">
        <f t="shared" si="12"/>
        <v>0</v>
      </c>
      <c r="E30" s="60">
        <f t="shared" si="9"/>
        <v>0</v>
      </c>
      <c r="F30" s="55">
        <f t="shared" si="10"/>
        <v>0</v>
      </c>
      <c r="G30" s="65">
        <f>C10</f>
        <v>0</v>
      </c>
      <c r="H30" s="23"/>
      <c r="I30" s="70">
        <f t="shared" ref="I30:I33" si="14">+D30/24/5</f>
        <v>0</v>
      </c>
      <c r="J30" s="70">
        <f t="shared" ref="J30:J33" si="15">+E30/24/5</f>
        <v>0</v>
      </c>
      <c r="L30" s="70">
        <f>+C10*45/60/24/5</f>
        <v>0</v>
      </c>
      <c r="M30" s="70">
        <v>0</v>
      </c>
      <c r="N30" s="70">
        <f>IF(C9="",0,C10/C9*42/24/5)</f>
        <v>0</v>
      </c>
      <c r="O30" s="70">
        <f>+$N30-L30-I30</f>
        <v>0</v>
      </c>
      <c r="P30" s="70">
        <f t="shared" ref="P30:P33" si="16">+$N30-M30-J30</f>
        <v>0</v>
      </c>
    </row>
    <row r="31" spans="1:16" ht="15" x14ac:dyDescent="0.2">
      <c r="A31" s="63" t="str">
        <f>+D9</f>
        <v/>
      </c>
      <c r="B31" s="64">
        <f>+D14-D17</f>
        <v>0</v>
      </c>
      <c r="C31" s="59">
        <f t="shared" si="13"/>
        <v>0</v>
      </c>
      <c r="D31" s="47">
        <f t="shared" si="12"/>
        <v>0</v>
      </c>
      <c r="E31" s="60">
        <f t="shared" si="9"/>
        <v>0</v>
      </c>
      <c r="F31" s="55">
        <f t="shared" si="10"/>
        <v>0</v>
      </c>
      <c r="G31" s="65">
        <f>D10</f>
        <v>0</v>
      </c>
      <c r="H31" s="23"/>
      <c r="I31" s="70">
        <f t="shared" si="14"/>
        <v>0</v>
      </c>
      <c r="J31" s="70">
        <f t="shared" si="15"/>
        <v>0</v>
      </c>
      <c r="L31" s="70">
        <f>+D10*45/60/24/5</f>
        <v>0</v>
      </c>
      <c r="M31" s="70">
        <v>0</v>
      </c>
      <c r="N31" s="70">
        <f>IF(D9="",0,D10/D9*42/24/5)</f>
        <v>0</v>
      </c>
      <c r="O31" s="70">
        <f t="shared" ref="O31:O33" si="17">+$N31-L31-I31</f>
        <v>0</v>
      </c>
      <c r="P31" s="70">
        <f t="shared" si="16"/>
        <v>0</v>
      </c>
    </row>
    <row r="32" spans="1:16" ht="15" x14ac:dyDescent="0.2">
      <c r="A32" s="63" t="str">
        <f>+E9</f>
        <v/>
      </c>
      <c r="B32" s="64">
        <f>+E14-E17</f>
        <v>0</v>
      </c>
      <c r="C32" s="59">
        <f t="shared" si="13"/>
        <v>0</v>
      </c>
      <c r="D32" s="47">
        <f t="shared" si="12"/>
        <v>0</v>
      </c>
      <c r="E32" s="60">
        <f t="shared" si="9"/>
        <v>0</v>
      </c>
      <c r="F32" s="55">
        <f t="shared" si="10"/>
        <v>0</v>
      </c>
      <c r="G32" s="65">
        <f>E10</f>
        <v>0</v>
      </c>
      <c r="H32" s="23"/>
      <c r="I32" s="70">
        <f t="shared" si="14"/>
        <v>0</v>
      </c>
      <c r="J32" s="70">
        <f t="shared" si="15"/>
        <v>0</v>
      </c>
      <c r="L32" s="70">
        <f>+E10*45/60/24/5</f>
        <v>0</v>
      </c>
      <c r="M32" s="70">
        <v>0</v>
      </c>
      <c r="N32" s="70">
        <f>IF(E9="",0,E10/E9*42/24/5)</f>
        <v>0</v>
      </c>
      <c r="O32" s="70">
        <f t="shared" si="17"/>
        <v>0</v>
      </c>
      <c r="P32" s="70">
        <f t="shared" si="16"/>
        <v>0</v>
      </c>
    </row>
    <row r="33" spans="1:16" ht="15" x14ac:dyDescent="0.2">
      <c r="A33" s="63" t="str">
        <f>+F9</f>
        <v/>
      </c>
      <c r="B33" s="64">
        <f>+F14-F17</f>
        <v>0</v>
      </c>
      <c r="C33" s="59">
        <f t="shared" si="13"/>
        <v>0</v>
      </c>
      <c r="D33" s="47">
        <f t="shared" si="12"/>
        <v>0</v>
      </c>
      <c r="E33" s="60">
        <f t="shared" si="9"/>
        <v>0</v>
      </c>
      <c r="F33" s="55">
        <f t="shared" si="10"/>
        <v>0</v>
      </c>
      <c r="G33" s="65">
        <f>F10</f>
        <v>0</v>
      </c>
      <c r="H33" s="23"/>
      <c r="I33" s="70">
        <f t="shared" si="14"/>
        <v>0</v>
      </c>
      <c r="J33" s="70">
        <f t="shared" si="15"/>
        <v>0</v>
      </c>
      <c r="L33" s="70">
        <f>+F10*45/60/24/5</f>
        <v>0</v>
      </c>
      <c r="M33" s="70">
        <v>0</v>
      </c>
      <c r="N33" s="70">
        <f>IF(F9="",0,F10/F9*42/24/5)</f>
        <v>0</v>
      </c>
      <c r="O33" s="70">
        <f t="shared" si="17"/>
        <v>0</v>
      </c>
      <c r="P33" s="70">
        <f t="shared" si="16"/>
        <v>0</v>
      </c>
    </row>
    <row r="34" spans="1:16" ht="15" x14ac:dyDescent="0.2">
      <c r="C34" s="61" t="s">
        <v>139</v>
      </c>
      <c r="D34" s="62">
        <f>SUM(D27:D29)</f>
        <v>0</v>
      </c>
      <c r="E34" s="62">
        <f>SUM(E27:E29)</f>
        <v>0</v>
      </c>
      <c r="F34" s="28" t="s">
        <v>15</v>
      </c>
      <c r="G34" s="28"/>
      <c r="H34" s="23"/>
    </row>
    <row r="35" spans="1:16" ht="15" x14ac:dyDescent="0.2">
      <c r="C35" s="4" t="s">
        <v>140</v>
      </c>
      <c r="D35" s="15">
        <f>D34*$B$5</f>
        <v>0</v>
      </c>
      <c r="E35" s="15">
        <f>+E34*B6</f>
        <v>0</v>
      </c>
      <c r="F35" s="15">
        <f>SUM(D35:E35)</f>
        <v>0</v>
      </c>
      <c r="I35" s="53"/>
    </row>
    <row r="36" spans="1:16" ht="15" x14ac:dyDescent="0.2">
      <c r="A36" s="25" t="s">
        <v>193</v>
      </c>
      <c r="B36" s="24">
        <f>IFERROR(C36/B4,0)</f>
        <v>0</v>
      </c>
      <c r="C36" s="13">
        <f>IF(C9="",IF(B9=0,0,+B11*B8/B9),SUM(C20:F20))</f>
        <v>0</v>
      </c>
      <c r="D36" s="13">
        <f>IFERROR($C$36/SUM($B$5:$B$6),0)</f>
        <v>0</v>
      </c>
      <c r="E36" s="13">
        <f>IFERROR($C$36/SUM($B$5:$B$6),0)</f>
        <v>0</v>
      </c>
      <c r="G36" s="29"/>
      <c r="H36" s="29"/>
      <c r="I36" s="70">
        <f>+D36/24/5</f>
        <v>0</v>
      </c>
      <c r="J36" s="70">
        <f>+E36/24/5</f>
        <v>0</v>
      </c>
    </row>
    <row r="37" spans="1:16" ht="15" x14ac:dyDescent="0.2">
      <c r="B37" s="27" t="s">
        <v>194</v>
      </c>
      <c r="C37" s="4"/>
      <c r="D37" s="15">
        <f>+D34+D36</f>
        <v>0</v>
      </c>
      <c r="E37" s="15">
        <f>+E34+E36</f>
        <v>0</v>
      </c>
      <c r="F37" s="28" t="s">
        <v>15</v>
      </c>
      <c r="G37" s="26"/>
    </row>
    <row r="38" spans="1:16" ht="15" x14ac:dyDescent="0.2">
      <c r="B38" s="27" t="s">
        <v>195</v>
      </c>
      <c r="C38" s="4"/>
      <c r="D38" s="15">
        <f>D37*$B$5</f>
        <v>0</v>
      </c>
      <c r="E38" s="15">
        <f>E37*$B$6</f>
        <v>0</v>
      </c>
      <c r="F38" s="15">
        <f>SUM(D38:E38)</f>
        <v>0</v>
      </c>
      <c r="H38" s="17"/>
      <c r="J38" s="69"/>
      <c r="K38" s="69"/>
    </row>
    <row r="39" spans="1:16" ht="15" x14ac:dyDescent="0.2">
      <c r="A39" s="2"/>
      <c r="B39" s="2"/>
      <c r="C39" s="2"/>
      <c r="D39" s="2"/>
      <c r="E39" s="2"/>
    </row>
    <row r="40" spans="1:16" ht="15" x14ac:dyDescent="0.2">
      <c r="A40" s="2"/>
      <c r="B40" s="2"/>
      <c r="C40" s="2"/>
      <c r="D40" s="2"/>
      <c r="E40" s="2"/>
    </row>
    <row r="41" spans="1:16" ht="15.75" x14ac:dyDescent="0.2">
      <c r="A41" s="68" t="s">
        <v>263</v>
      </c>
      <c r="B41" s="16"/>
      <c r="C41" s="16" t="s">
        <v>25</v>
      </c>
      <c r="D41" s="16" t="s">
        <v>26</v>
      </c>
      <c r="E41" s="16" t="s">
        <v>141</v>
      </c>
    </row>
    <row r="42" spans="1:16" ht="15" x14ac:dyDescent="0.2">
      <c r="A42" s="21">
        <f>IFERROR(Aufgabenplanung!B20*B10/B9,0)</f>
        <v>0</v>
      </c>
      <c r="B42" s="16" t="s">
        <v>142</v>
      </c>
      <c r="C42" s="18">
        <f>IF(Aufgabenplanung!$B$16=0,0,+C27*(Aufgabenplanung!$B$20+Aufgabenplanung!$B$17)/Aufgabenplanung!$B$16)</f>
        <v>0</v>
      </c>
      <c r="D42" s="18">
        <f>IF(Aufgabenplanung!$B$16=0,0,+C28*(Aufgabenplanung!$B$20+Aufgabenplanung!$B$17)/Aufgabenplanung!$B$16)</f>
        <v>0</v>
      </c>
      <c r="E42" s="18">
        <f>IF(Aufgabenplanung!$B$16=0,0,+C29*(Aufgabenplanung!$B$20+Aufgabenplanung!$B$17)/Aufgabenplanung!$B$16)</f>
        <v>0</v>
      </c>
    </row>
    <row r="43" spans="1:16" ht="15" x14ac:dyDescent="0.2">
      <c r="A43" s="19">
        <f>SUM(C43:E43)</f>
        <v>0</v>
      </c>
      <c r="B43" s="16" t="s">
        <v>143</v>
      </c>
      <c r="C43" s="20">
        <f>IFERROR(C42/SUM($C$42:$E$42),0)</f>
        <v>0</v>
      </c>
      <c r="D43" s="20">
        <f>IFERROR(D42/SUM($C$42:$E$42),0)</f>
        <v>0</v>
      </c>
      <c r="E43" s="20">
        <f>IFERROR(E42/SUM($C$42:$E$42),0)</f>
        <v>0</v>
      </c>
    </row>
    <row r="44" spans="1:16" ht="15" x14ac:dyDescent="0.2">
      <c r="A44" s="2"/>
      <c r="B44" s="2"/>
      <c r="C44" s="2"/>
      <c r="D44" s="2"/>
      <c r="E44" s="2"/>
    </row>
    <row r="47" spans="1:16" x14ac:dyDescent="0.2">
      <c r="C47" s="17"/>
      <c r="D47" s="17"/>
      <c r="E47" s="17"/>
    </row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1">
    <tabColor theme="7" tint="0.39997558519241921"/>
  </sheetPr>
  <dimension ref="A1:L92"/>
  <sheetViews>
    <sheetView tabSelected="1" zoomScaleNormal="100" zoomScaleSheetLayoutView="100" workbookViewId="0"/>
  </sheetViews>
  <sheetFormatPr baseColWidth="10" defaultColWidth="9.77734375" defaultRowHeight="15" x14ac:dyDescent="0.2"/>
  <cols>
    <col min="1" max="1" width="43.109375" style="270" customWidth="1"/>
    <col min="2" max="2" width="13.6640625" style="271" customWidth="1"/>
    <col min="3" max="3" width="15.21875" style="270" customWidth="1"/>
    <col min="4" max="4" width="7.109375" style="272" customWidth="1"/>
    <col min="5" max="7" width="9.77734375" style="270"/>
    <col min="8" max="8" width="11" style="270" bestFit="1" customWidth="1"/>
    <col min="9" max="9" width="31.21875" style="270" bestFit="1" customWidth="1"/>
    <col min="10" max="16384" width="9.77734375" style="270"/>
  </cols>
  <sheetData>
    <row r="1" spans="1:12" s="182" customFormat="1" ht="18.75" customHeight="1" x14ac:dyDescent="0.2">
      <c r="A1" s="177" t="s">
        <v>77</v>
      </c>
      <c r="B1" s="178"/>
      <c r="C1" s="179"/>
      <c r="D1" s="180"/>
      <c r="E1" s="181"/>
      <c r="F1" s="181"/>
      <c r="G1" s="181"/>
      <c r="H1" s="181"/>
      <c r="I1" s="181"/>
    </row>
    <row r="2" spans="1:12" s="187" customFormat="1" ht="29.25" customHeight="1" x14ac:dyDescent="0.2">
      <c r="A2" s="183"/>
      <c r="B2" s="184"/>
      <c r="C2" s="183"/>
      <c r="D2" s="185"/>
      <c r="E2" s="186" t="s">
        <v>212</v>
      </c>
      <c r="F2" s="186" t="s">
        <v>210</v>
      </c>
      <c r="G2" s="186" t="s">
        <v>281</v>
      </c>
      <c r="H2" s="186" t="s">
        <v>282</v>
      </c>
      <c r="I2" s="183"/>
    </row>
    <row r="3" spans="1:12" s="187" customFormat="1" ht="18.75" customHeight="1" x14ac:dyDescent="0.2">
      <c r="A3" s="188" t="s">
        <v>78</v>
      </c>
      <c r="B3" s="189"/>
      <c r="C3" s="190"/>
      <c r="D3" s="183"/>
      <c r="E3" s="191" t="s">
        <v>15</v>
      </c>
      <c r="F3" s="192">
        <f t="array" ref="F3">IFERROR(ROUND(SUMPRODUCT(IFERROR($E$4:$E$7^-1,0),F4:F7)*B25,2),"")</f>
        <v>0</v>
      </c>
      <c r="G3" s="193">
        <f t="array" ref="G3">IFERROR(ROUND(SUMPRODUCT(IFERROR($E$4:$E$7^-1,0),G4:G7)*B25,2),"")</f>
        <v>0</v>
      </c>
      <c r="H3" s="193">
        <f t="array" ref="H3">IFERROR(ROUND(SUMPRODUCT(IFERROR($E$4:$E$7^-1,0),H4:H7)*B25,2),"")</f>
        <v>0</v>
      </c>
      <c r="I3" s="194" t="s">
        <v>291</v>
      </c>
    </row>
    <row r="4" spans="1:12" s="187" customFormat="1" ht="18.75" customHeight="1" x14ac:dyDescent="0.2">
      <c r="A4" s="195" t="s">
        <v>79</v>
      </c>
      <c r="B4" s="400"/>
      <c r="C4" s="401"/>
      <c r="D4" s="183"/>
      <c r="E4" s="196" t="str">
        <f>IFERROR(IF(HLOOKUP(B4:B4,Dropdowns!1:5,2,0)=0,"",HLOOKUP(B4:B4,Dropdowns!1:5,2,0)),"")</f>
        <v/>
      </c>
      <c r="F4" s="197"/>
      <c r="G4" s="197"/>
      <c r="H4" s="197"/>
      <c r="I4" s="183"/>
    </row>
    <row r="5" spans="1:12" s="187" customFormat="1" ht="18.75" customHeight="1" x14ac:dyDescent="0.2">
      <c r="A5" s="195" t="s">
        <v>80</v>
      </c>
      <c r="B5" s="400"/>
      <c r="C5" s="400"/>
      <c r="D5" s="185"/>
      <c r="E5" s="196" t="str">
        <f>IFERROR(IF(HLOOKUP(B4:B4,Dropdowns!1:5,3,0)=0,"",HLOOKUP(B4:B4,Dropdowns!1:5,3,0)),"")</f>
        <v/>
      </c>
      <c r="F5" s="197"/>
      <c r="G5" s="197"/>
      <c r="H5" s="197"/>
      <c r="I5" s="183"/>
    </row>
    <row r="6" spans="1:12" s="187" customFormat="1" ht="18.75" customHeight="1" x14ac:dyDescent="0.2">
      <c r="A6" s="195" t="s">
        <v>81</v>
      </c>
      <c r="B6" s="402" t="str">
        <f>+Grundlagen!B2</f>
        <v>2026/2027</v>
      </c>
      <c r="C6" s="403"/>
      <c r="D6" s="198"/>
      <c r="E6" s="196" t="str">
        <f>IFERROR(IF(HLOOKUP(B4:B4,Dropdowns!1:5,4,0)=0,"",HLOOKUP(B4:B4,Dropdowns!1:5,4,0)),"")</f>
        <v/>
      </c>
      <c r="F6" s="199"/>
      <c r="G6" s="199"/>
      <c r="H6" s="199"/>
      <c r="I6" s="183"/>
      <c r="K6" s="291"/>
    </row>
    <row r="7" spans="1:12" s="187" customFormat="1" ht="18.75" customHeight="1" x14ac:dyDescent="0.2">
      <c r="A7" s="183"/>
      <c r="B7" s="183"/>
      <c r="C7" s="183"/>
      <c r="D7" s="185"/>
      <c r="E7" s="196" t="str">
        <f>IFERROR(IF(HLOOKUP(B4:B4,Dropdowns!1:5,5,0)=0,"",HLOOKUP(B4:B4,Dropdowns!1:5,5,0)),"")</f>
        <v/>
      </c>
      <c r="F7" s="197"/>
      <c r="G7" s="197"/>
      <c r="H7" s="197"/>
      <c r="I7" s="183"/>
      <c r="K7" s="291"/>
    </row>
    <row r="8" spans="1:12" s="187" customFormat="1" ht="18.75" customHeight="1" x14ac:dyDescent="0.2">
      <c r="A8" s="188" t="s">
        <v>82</v>
      </c>
      <c r="B8" s="189"/>
      <c r="C8" s="190"/>
      <c r="D8" s="185"/>
      <c r="E8" s="183"/>
      <c r="F8" s="183"/>
      <c r="G8" s="183"/>
      <c r="H8" s="183"/>
      <c r="I8" s="183"/>
      <c r="K8" s="291"/>
    </row>
    <row r="9" spans="1:12" s="187" customFormat="1" ht="18.75" customHeight="1" x14ac:dyDescent="0.2">
      <c r="A9" s="195" t="s">
        <v>83</v>
      </c>
      <c r="B9" s="404"/>
      <c r="C9" s="404"/>
      <c r="D9" s="198"/>
      <c r="E9" s="183"/>
      <c r="F9" s="183"/>
      <c r="G9" s="183"/>
      <c r="H9" s="183"/>
      <c r="I9" s="200"/>
      <c r="K9" s="291"/>
    </row>
    <row r="10" spans="1:12" s="187" customFormat="1" ht="18.75" customHeight="1" x14ac:dyDescent="0.2">
      <c r="A10" s="195" t="s">
        <v>84</v>
      </c>
      <c r="B10" s="404"/>
      <c r="C10" s="404"/>
      <c r="D10" s="185"/>
      <c r="E10" s="183"/>
      <c r="F10" s="183"/>
      <c r="G10" s="183"/>
      <c r="H10" s="183"/>
      <c r="I10" s="183"/>
      <c r="K10" s="291"/>
    </row>
    <row r="11" spans="1:12" s="187" customFormat="1" ht="18.75" customHeight="1" x14ac:dyDescent="0.2">
      <c r="A11" s="195" t="s">
        <v>85</v>
      </c>
      <c r="B11" s="399"/>
      <c r="C11" s="399"/>
      <c r="D11" s="185"/>
      <c r="E11" s="183"/>
      <c r="F11" s="201"/>
      <c r="G11" s="183"/>
      <c r="H11" s="183"/>
      <c r="I11" s="183"/>
      <c r="K11" s="291"/>
    </row>
    <row r="12" spans="1:12" s="187" customFormat="1" ht="18.75" customHeight="1" x14ac:dyDescent="0.2">
      <c r="A12" s="202"/>
      <c r="B12" s="203"/>
      <c r="C12" s="204"/>
      <c r="D12" s="185"/>
      <c r="E12" s="183"/>
      <c r="F12" s="201"/>
      <c r="G12" s="183"/>
      <c r="H12" s="183"/>
      <c r="I12" s="183"/>
      <c r="K12" s="291"/>
    </row>
    <row r="13" spans="1:12" s="187" customFormat="1" ht="18.75" customHeight="1" x14ac:dyDescent="0.2">
      <c r="A13" s="188" t="s">
        <v>86</v>
      </c>
      <c r="B13" s="189"/>
      <c r="C13" s="190"/>
      <c r="D13" s="198"/>
      <c r="E13" s="183"/>
      <c r="F13" s="201"/>
      <c r="G13" s="183"/>
      <c r="H13" s="183"/>
      <c r="I13" s="183"/>
      <c r="K13" s="291"/>
    </row>
    <row r="14" spans="1:12" s="187" customFormat="1" ht="18.75" customHeight="1" x14ac:dyDescent="0.2">
      <c r="A14" s="195" t="s">
        <v>0</v>
      </c>
      <c r="B14" s="205">
        <f>IF(B6="",0,(Grundlagen!C2))</f>
        <v>2108.4</v>
      </c>
      <c r="C14" s="183"/>
      <c r="D14" s="198"/>
      <c r="E14" s="183"/>
      <c r="F14" s="201"/>
      <c r="G14" s="183"/>
      <c r="H14" s="183"/>
      <c r="I14" s="183"/>
      <c r="L14" s="289"/>
    </row>
    <row r="15" spans="1:12" s="187" customFormat="1" ht="18.75" customHeight="1" x14ac:dyDescent="0.2">
      <c r="A15" s="195" t="s">
        <v>87</v>
      </c>
      <c r="B15" s="206">
        <f>IF(B14=0,0,25*8.4)</f>
        <v>210</v>
      </c>
      <c r="C15" s="183"/>
      <c r="D15" s="198"/>
      <c r="E15" s="183"/>
      <c r="F15" s="201"/>
      <c r="G15" s="183"/>
      <c r="H15" s="183"/>
      <c r="I15" s="183"/>
    </row>
    <row r="16" spans="1:12" s="187" customFormat="1" ht="18.75" customHeight="1" x14ac:dyDescent="0.2">
      <c r="A16" s="195" t="s">
        <v>88</v>
      </c>
      <c r="B16" s="206">
        <f>+B14-B15</f>
        <v>1898.4</v>
      </c>
      <c r="C16" s="207"/>
      <c r="D16" s="198"/>
      <c r="E16" s="183"/>
      <c r="F16" s="201"/>
      <c r="G16" s="183"/>
      <c r="H16" s="183"/>
      <c r="I16" s="183"/>
    </row>
    <row r="17" spans="1:9" s="187" customFormat="1" ht="18.75" customHeight="1" x14ac:dyDescent="0.2">
      <c r="A17" s="195" t="str">
        <f>IF(B17="","Altersabhängige Ferien","Altersabhängige Ferientage in h ("&amp;TEXT(B17/8.4,"0.0")&amp;" Ferientage)")</f>
        <v>Altersabhängige Ferientage in h (0.0 Ferientage)</v>
      </c>
      <c r="B17" s="292">
        <f>IF(OR(B11="",B6=""),0,IF(OR(B11="",B6=""),0,(VLOOKUP(DATEDIF(B11+1,DATE(YEAR(DATE(LEFT(B6,4),8,1)),1,1),"y")+1,Grundlagen!$AB$4:$AD$6,3,1)*8.4*5/12+VLOOKUP(DATEDIF(B11+1,DATE(YEAR(DATE(RIGHT(B6,4),1,1)),1,1),"y")+1,Grundlagen!$AB$4:$AD$6,3,1)*8.4*7/12)-B15))</f>
        <v>0</v>
      </c>
      <c r="C17" s="183"/>
      <c r="D17" s="198"/>
      <c r="E17" s="183"/>
      <c r="F17" s="183"/>
      <c r="G17" s="183"/>
      <c r="H17" s="183"/>
      <c r="I17" s="183"/>
    </row>
    <row r="18" spans="1:9" s="187" customFormat="1" ht="18.75" customHeight="1" x14ac:dyDescent="0.2">
      <c r="A18" s="195" t="s">
        <v>89</v>
      </c>
      <c r="B18" s="197"/>
      <c r="C18" s="204"/>
      <c r="D18" s="198"/>
      <c r="E18" s="183"/>
      <c r="F18" s="183"/>
      <c r="G18" s="183"/>
      <c r="H18" s="183"/>
      <c r="I18" s="183"/>
    </row>
    <row r="19" spans="1:9" s="187" customFormat="1" ht="18.75" customHeight="1" x14ac:dyDescent="0.2">
      <c r="A19" s="195" t="s">
        <v>90</v>
      </c>
      <c r="B19" s="197"/>
      <c r="C19" s="204"/>
      <c r="D19" s="198"/>
      <c r="E19" s="183"/>
      <c r="F19" s="183"/>
      <c r="G19" s="183"/>
      <c r="H19" s="183"/>
      <c r="I19" s="183"/>
    </row>
    <row r="20" spans="1:9" s="187" customFormat="1" ht="18.75" customHeight="1" x14ac:dyDescent="0.2">
      <c r="A20" s="195" t="s">
        <v>91</v>
      </c>
      <c r="B20" s="208">
        <f>SUM(B16)-SUM(B17)-SUM(B18:B19)*42</f>
        <v>1898.4</v>
      </c>
      <c r="C20" s="183"/>
      <c r="D20" s="198"/>
      <c r="E20" s="209"/>
      <c r="F20" s="183"/>
      <c r="G20" s="183"/>
      <c r="H20" s="183"/>
      <c r="I20" s="183"/>
    </row>
    <row r="21" spans="1:9" s="187" customFormat="1" ht="18.75" customHeight="1" x14ac:dyDescent="0.2">
      <c r="A21" s="183"/>
      <c r="B21" s="183"/>
      <c r="C21" s="183"/>
      <c r="D21" s="198"/>
      <c r="E21" s="183"/>
      <c r="F21" s="183"/>
      <c r="G21" s="183"/>
      <c r="H21" s="183"/>
      <c r="I21" s="183"/>
    </row>
    <row r="22" spans="1:9" s="187" customFormat="1" ht="18.75" customHeight="1" x14ac:dyDescent="0.2">
      <c r="A22" s="188" t="s">
        <v>92</v>
      </c>
      <c r="B22" s="189"/>
      <c r="C22" s="190"/>
      <c r="D22" s="198"/>
      <c r="E22" s="183"/>
      <c r="F22" s="183"/>
      <c r="G22" s="183"/>
      <c r="H22" s="183"/>
      <c r="I22" s="183"/>
    </row>
    <row r="23" spans="1:9" s="187" customFormat="1" ht="18.75" customHeight="1" x14ac:dyDescent="0.2">
      <c r="A23" s="210"/>
      <c r="B23" s="210"/>
      <c r="C23" s="183"/>
      <c r="D23" s="198"/>
      <c r="E23" s="183"/>
      <c r="F23" s="183"/>
      <c r="G23" s="183"/>
      <c r="H23" s="183"/>
      <c r="I23" s="183"/>
    </row>
    <row r="24" spans="1:9" s="187" customFormat="1" ht="18.75" customHeight="1" x14ac:dyDescent="0.2">
      <c r="A24" s="207"/>
      <c r="B24" s="211" t="s">
        <v>93</v>
      </c>
      <c r="C24" s="195" t="s">
        <v>94</v>
      </c>
      <c r="D24" s="198"/>
      <c r="E24" s="183"/>
      <c r="F24" s="183"/>
      <c r="G24" s="183"/>
      <c r="H24" s="183"/>
      <c r="I24" s="183"/>
    </row>
    <row r="25" spans="1:9" s="187" customFormat="1" ht="18.75" customHeight="1" x14ac:dyDescent="0.2">
      <c r="A25" s="195" t="s">
        <v>225</v>
      </c>
      <c r="B25" s="212">
        <f>IF(COUNTIFS(F4:F7,"&gt;0")=0,IFERROR(VLOOKUP(B4,Grundlagen!AE:AJ,2,0),0),IF(COUNTIFS(F4:F7,"&gt;0")=1,INDEX(E4:E7,IFERROR(MATCH(SUM(F4:F7),F4:F7,0),1)),IF(F4&gt;0,E4,IF(F5&gt;0,E5,IF(F6&gt;0,E6,IF(F7&gt;0,E7,E4))))))</f>
        <v>0</v>
      </c>
      <c r="C25" s="207"/>
      <c r="D25" s="198"/>
      <c r="E25" s="183"/>
      <c r="F25" s="183"/>
      <c r="G25" s="183"/>
      <c r="H25" s="183"/>
      <c r="I25" s="183"/>
    </row>
    <row r="26" spans="1:9" s="187" customFormat="1" ht="18.75" customHeight="1" x14ac:dyDescent="0.2">
      <c r="A26" s="213" t="s">
        <v>96</v>
      </c>
      <c r="B26" s="197"/>
      <c r="C26" s="214">
        <f>IFERROR(B26/B25,0)</f>
        <v>0</v>
      </c>
      <c r="D26" s="215" t="str">
        <f>IF(AND(F3&lt;&gt;"",ROUND(B26,2)&lt;&gt;ROUND(F3,2)),"Wert entspricht nicht dem Wert in Zelle F3","")</f>
        <v/>
      </c>
      <c r="E26" s="183"/>
      <c r="F26" s="183"/>
      <c r="G26" s="183"/>
      <c r="H26" s="183"/>
      <c r="I26" s="183"/>
    </row>
    <row r="27" spans="1:9" s="187" customFormat="1" ht="18.75" customHeight="1" x14ac:dyDescent="0.2">
      <c r="A27" s="216" t="s">
        <v>280</v>
      </c>
      <c r="B27" s="197"/>
      <c r="C27" s="214">
        <f>IFERROR(B27/B25,0)</f>
        <v>0</v>
      </c>
      <c r="D27" s="215" t="str">
        <f>IF(AND(G3&lt;&gt;"",B27&lt;&gt;G3),"Wert entspricht nicht dem Wert in Zelle g3","")</f>
        <v/>
      </c>
      <c r="E27" s="183"/>
      <c r="F27" s="183"/>
      <c r="G27" s="183"/>
      <c r="H27" s="183"/>
      <c r="I27" s="183"/>
    </row>
    <row r="28" spans="1:9" s="187" customFormat="1" ht="18.75" customHeight="1" x14ac:dyDescent="0.2">
      <c r="A28" s="285" t="s">
        <v>283</v>
      </c>
      <c r="B28" s="197"/>
      <c r="C28" s="214">
        <f>IFERROR(B28/B25,0)</f>
        <v>0</v>
      </c>
      <c r="D28" s="215" t="str">
        <f>IF(AND(H3&lt;&gt;"",B28&lt;&gt;H3),"Wert entspricht nicht dem Wert in Zelle H3","")</f>
        <v/>
      </c>
      <c r="E28" s="183"/>
      <c r="F28" s="183"/>
      <c r="G28" s="183"/>
      <c r="H28" s="183"/>
      <c r="I28" s="183"/>
    </row>
    <row r="29" spans="1:9" s="187" customFormat="1" ht="18.75" customHeight="1" x14ac:dyDescent="0.2">
      <c r="A29" s="217" t="s">
        <v>98</v>
      </c>
      <c r="B29" s="218">
        <f>IFERROR(B20/B25*B26,0)</f>
        <v>0</v>
      </c>
      <c r="C29" s="219">
        <f>IFERROR(B26/B25,0)</f>
        <v>0</v>
      </c>
      <c r="D29" s="198"/>
      <c r="E29" s="183"/>
      <c r="F29" s="183"/>
      <c r="G29" s="183"/>
      <c r="H29" s="387"/>
      <c r="I29" s="183"/>
    </row>
    <row r="30" spans="1:9" s="187" customFormat="1" ht="18.75" customHeight="1" x14ac:dyDescent="0.2">
      <c r="A30" s="213" t="s">
        <v>305</v>
      </c>
      <c r="B30" s="220">
        <f>+'Berechnungen BA'!D42</f>
        <v>0</v>
      </c>
      <c r="C30" s="221">
        <f>IF(B29=0,0,B30/$B$29)</f>
        <v>0</v>
      </c>
      <c r="D30" s="198"/>
      <c r="E30" s="183"/>
      <c r="F30" s="183"/>
      <c r="G30" s="183"/>
      <c r="H30" s="183"/>
      <c r="I30" s="183"/>
    </row>
    <row r="31" spans="1:9" s="187" customFormat="1" ht="18.75" customHeight="1" x14ac:dyDescent="0.2">
      <c r="A31" s="213" t="str">
        <f>"Davon Bereich C/D/E"</f>
        <v>Davon Bereich C/D/E</v>
      </c>
      <c r="B31" s="220">
        <f>+'Berechnungen BA'!E42</f>
        <v>0</v>
      </c>
      <c r="C31" s="221">
        <f>IF(B29=0,0,B31/$B$29)</f>
        <v>0</v>
      </c>
      <c r="D31" s="198"/>
      <c r="E31" s="183"/>
      <c r="F31" s="183"/>
      <c r="G31" s="222"/>
      <c r="H31" s="387"/>
      <c r="I31" s="183"/>
    </row>
    <row r="32" spans="1:9" s="187" customFormat="1" ht="18.75" customHeight="1" x14ac:dyDescent="0.2">
      <c r="A32" s="183"/>
      <c r="B32" s="183"/>
      <c r="C32" s="183"/>
      <c r="D32" s="198"/>
      <c r="E32" s="183"/>
      <c r="F32" s="183"/>
      <c r="G32" s="183"/>
      <c r="H32" s="183"/>
      <c r="I32" s="183"/>
    </row>
    <row r="33" spans="1:9" s="187" customFormat="1" ht="18.75" customHeight="1" x14ac:dyDescent="0.2">
      <c r="A33" s="223" t="s">
        <v>99</v>
      </c>
      <c r="B33" s="224"/>
      <c r="C33" s="224"/>
      <c r="D33" s="185"/>
      <c r="E33" s="183"/>
      <c r="F33" s="183"/>
      <c r="G33" s="183"/>
      <c r="H33" s="183"/>
      <c r="I33" s="183"/>
    </row>
    <row r="34" spans="1:9" s="187" customFormat="1" ht="18.75" customHeight="1" x14ac:dyDescent="0.2">
      <c r="A34" s="202"/>
      <c r="B34" s="225"/>
      <c r="C34" s="203"/>
      <c r="D34" s="198"/>
      <c r="E34" s="183"/>
      <c r="F34" s="183"/>
      <c r="G34" s="183"/>
      <c r="H34" s="183"/>
      <c r="I34" s="183"/>
    </row>
    <row r="35" spans="1:9" s="187" customFormat="1" ht="18.75" customHeight="1" x14ac:dyDescent="0.2">
      <c r="A35" s="226" t="s">
        <v>101</v>
      </c>
      <c r="B35" s="227" t="s">
        <v>102</v>
      </c>
      <c r="C35" s="228" t="s">
        <v>103</v>
      </c>
      <c r="D35" s="198" t="s">
        <v>104</v>
      </c>
      <c r="E35" s="183"/>
      <c r="F35" s="183"/>
      <c r="G35" s="183"/>
      <c r="H35" s="183"/>
      <c r="I35" s="183"/>
    </row>
    <row r="36" spans="1:9" s="187" customFormat="1" ht="18.75" customHeight="1" x14ac:dyDescent="0.2">
      <c r="A36" s="229" t="s">
        <v>111</v>
      </c>
      <c r="B36" s="230"/>
      <c r="C36" s="231" t="s">
        <v>112</v>
      </c>
      <c r="D36" s="232">
        <f>ROUND(B31-IF(C36="Stunden",B36,IF(C36="Jahreslektionen",B36*Jahreslektion)),1)</f>
        <v>0</v>
      </c>
      <c r="E36" s="183"/>
      <c r="F36" s="183"/>
      <c r="G36" s="183"/>
      <c r="H36" s="183"/>
      <c r="I36" s="183"/>
    </row>
    <row r="37" spans="1:9" s="187" customFormat="1" ht="18.75" customHeight="1" x14ac:dyDescent="0.2">
      <c r="A37" s="229" t="s">
        <v>111</v>
      </c>
      <c r="B37" s="230"/>
      <c r="C37" s="231" t="s">
        <v>112</v>
      </c>
      <c r="D37" s="232">
        <f t="shared" ref="D37:D44" si="0">ROUND(D36-IF(C37="Stunden",B37,IF(C37="Jahreslektionen",B37*Jahreslektion)),1)</f>
        <v>0</v>
      </c>
      <c r="E37" s="183"/>
      <c r="F37" s="183"/>
      <c r="G37" s="183"/>
      <c r="H37" s="183"/>
      <c r="I37" s="183"/>
    </row>
    <row r="38" spans="1:9" s="187" customFormat="1" ht="18.75" customHeight="1" x14ac:dyDescent="0.2">
      <c r="A38" s="229" t="s">
        <v>111</v>
      </c>
      <c r="B38" s="230"/>
      <c r="C38" s="231" t="s">
        <v>112</v>
      </c>
      <c r="D38" s="232">
        <f t="shared" si="0"/>
        <v>0</v>
      </c>
      <c r="E38" s="183"/>
      <c r="F38" s="183"/>
      <c r="G38" s="183"/>
      <c r="H38" s="183"/>
      <c r="I38" s="183"/>
    </row>
    <row r="39" spans="1:9" s="187" customFormat="1" ht="18.75" customHeight="1" x14ac:dyDescent="0.2">
      <c r="A39" s="229" t="s">
        <v>111</v>
      </c>
      <c r="B39" s="230"/>
      <c r="C39" s="231" t="s">
        <v>112</v>
      </c>
      <c r="D39" s="232">
        <f t="shared" si="0"/>
        <v>0</v>
      </c>
      <c r="E39" s="183"/>
      <c r="F39" s="183"/>
      <c r="G39" s="183"/>
      <c r="H39" s="183"/>
      <c r="I39" s="183"/>
    </row>
    <row r="40" spans="1:9" s="187" customFormat="1" ht="18.75" customHeight="1" x14ac:dyDescent="0.2">
      <c r="A40" s="229" t="s">
        <v>111</v>
      </c>
      <c r="B40" s="230"/>
      <c r="C40" s="231" t="s">
        <v>112</v>
      </c>
      <c r="D40" s="232">
        <f t="shared" si="0"/>
        <v>0</v>
      </c>
      <c r="E40" s="183"/>
      <c r="F40" s="183"/>
      <c r="G40" s="183"/>
      <c r="H40" s="183"/>
      <c r="I40" s="183"/>
    </row>
    <row r="41" spans="1:9" s="187" customFormat="1" ht="18.75" customHeight="1" x14ac:dyDescent="0.2">
      <c r="A41" s="229" t="s">
        <v>111</v>
      </c>
      <c r="B41" s="230"/>
      <c r="C41" s="231" t="s">
        <v>112</v>
      </c>
      <c r="D41" s="232">
        <f t="shared" si="0"/>
        <v>0</v>
      </c>
      <c r="E41" s="183"/>
      <c r="F41" s="183"/>
      <c r="G41" s="183"/>
      <c r="H41" s="183"/>
      <c r="I41" s="183"/>
    </row>
    <row r="42" spans="1:9" s="187" customFormat="1" ht="18.75" customHeight="1" x14ac:dyDescent="0.2">
      <c r="A42" s="229" t="s">
        <v>111</v>
      </c>
      <c r="B42" s="230"/>
      <c r="C42" s="231" t="s">
        <v>112</v>
      </c>
      <c r="D42" s="232">
        <f t="shared" si="0"/>
        <v>0</v>
      </c>
      <c r="E42" s="183"/>
      <c r="F42" s="183"/>
      <c r="G42" s="183"/>
      <c r="H42" s="183"/>
      <c r="I42" s="183"/>
    </row>
    <row r="43" spans="1:9" s="187" customFormat="1" ht="18.75" customHeight="1" x14ac:dyDescent="0.2">
      <c r="A43" s="229" t="s">
        <v>111</v>
      </c>
      <c r="B43" s="233"/>
      <c r="C43" s="231" t="s">
        <v>112</v>
      </c>
      <c r="D43" s="232">
        <f t="shared" si="0"/>
        <v>0</v>
      </c>
      <c r="E43" s="183"/>
      <c r="F43" s="183"/>
      <c r="G43" s="183"/>
      <c r="H43" s="183"/>
      <c r="I43" s="183"/>
    </row>
    <row r="44" spans="1:9" s="187" customFormat="1" ht="18.75" customHeight="1" x14ac:dyDescent="0.2">
      <c r="A44" s="229" t="s">
        <v>111</v>
      </c>
      <c r="B44" s="233"/>
      <c r="C44" s="231" t="s">
        <v>112</v>
      </c>
      <c r="D44" s="232">
        <f t="shared" si="0"/>
        <v>0</v>
      </c>
      <c r="E44" s="183"/>
      <c r="F44" s="183"/>
      <c r="G44" s="183"/>
      <c r="H44" s="183"/>
      <c r="I44" s="183"/>
    </row>
    <row r="45" spans="1:9" s="187" customFormat="1" ht="18.75" customHeight="1" x14ac:dyDescent="0.2">
      <c r="A45" s="229" t="s">
        <v>111</v>
      </c>
      <c r="B45" s="233"/>
      <c r="C45" s="231" t="s">
        <v>112</v>
      </c>
      <c r="D45" s="232">
        <f t="shared" ref="D45:D55" si="1">ROUND(D44-IF(C45="Stunden",B45,IF(C45="Jahreslektionen",B45*Jahreslektion)),1)</f>
        <v>0</v>
      </c>
      <c r="E45" s="183"/>
      <c r="F45" s="183"/>
      <c r="G45" s="183"/>
      <c r="H45" s="183"/>
      <c r="I45" s="183"/>
    </row>
    <row r="46" spans="1:9" s="187" customFormat="1" ht="18.75" customHeight="1" x14ac:dyDescent="0.2">
      <c r="A46" s="229" t="s">
        <v>111</v>
      </c>
      <c r="B46" s="233"/>
      <c r="C46" s="231" t="s">
        <v>112</v>
      </c>
      <c r="D46" s="232">
        <f t="shared" si="1"/>
        <v>0</v>
      </c>
      <c r="E46" s="183"/>
      <c r="F46" s="183"/>
      <c r="G46" s="183"/>
      <c r="H46" s="183"/>
      <c r="I46" s="183"/>
    </row>
    <row r="47" spans="1:9" s="187" customFormat="1" ht="18.75" customHeight="1" x14ac:dyDescent="0.2">
      <c r="A47" s="229" t="s">
        <v>111</v>
      </c>
      <c r="B47" s="233"/>
      <c r="C47" s="231" t="s">
        <v>112</v>
      </c>
      <c r="D47" s="232">
        <f t="shared" si="1"/>
        <v>0</v>
      </c>
      <c r="E47" s="183"/>
      <c r="F47" s="183"/>
      <c r="G47" s="183"/>
      <c r="H47" s="183"/>
      <c r="I47" s="183"/>
    </row>
    <row r="48" spans="1:9" s="187" customFormat="1" ht="18.75" customHeight="1" x14ac:dyDescent="0.2">
      <c r="A48" s="229" t="s">
        <v>111</v>
      </c>
      <c r="B48" s="233"/>
      <c r="C48" s="231" t="s">
        <v>112</v>
      </c>
      <c r="D48" s="232">
        <f t="shared" si="1"/>
        <v>0</v>
      </c>
      <c r="E48" s="183"/>
      <c r="F48" s="183"/>
      <c r="G48" s="183"/>
      <c r="H48" s="183"/>
      <c r="I48" s="183"/>
    </row>
    <row r="49" spans="1:9" s="187" customFormat="1" ht="18.75" customHeight="1" x14ac:dyDescent="0.2">
      <c r="A49" s="229" t="s">
        <v>111</v>
      </c>
      <c r="B49" s="233"/>
      <c r="C49" s="231" t="s">
        <v>112</v>
      </c>
      <c r="D49" s="232">
        <f t="shared" si="1"/>
        <v>0</v>
      </c>
      <c r="E49" s="183"/>
      <c r="F49" s="183"/>
      <c r="G49" s="183"/>
      <c r="H49" s="183"/>
      <c r="I49" s="183"/>
    </row>
    <row r="50" spans="1:9" s="187" customFormat="1" ht="18.75" customHeight="1" x14ac:dyDescent="0.2">
      <c r="A50" s="229" t="s">
        <v>111</v>
      </c>
      <c r="B50" s="233"/>
      <c r="C50" s="231" t="s">
        <v>112</v>
      </c>
      <c r="D50" s="232">
        <f t="shared" si="1"/>
        <v>0</v>
      </c>
      <c r="E50" s="183"/>
      <c r="F50" s="183"/>
      <c r="G50" s="183"/>
      <c r="H50" s="183"/>
      <c r="I50" s="183"/>
    </row>
    <row r="51" spans="1:9" s="187" customFormat="1" ht="18.75" customHeight="1" x14ac:dyDescent="0.2">
      <c r="A51" s="229" t="s">
        <v>111</v>
      </c>
      <c r="B51" s="233"/>
      <c r="C51" s="231" t="s">
        <v>112</v>
      </c>
      <c r="D51" s="232">
        <f t="shared" si="1"/>
        <v>0</v>
      </c>
      <c r="E51" s="183"/>
      <c r="F51" s="183"/>
      <c r="G51" s="183"/>
      <c r="H51" s="183"/>
      <c r="I51" s="183"/>
    </row>
    <row r="52" spans="1:9" s="187" customFormat="1" ht="18.75" customHeight="1" x14ac:dyDescent="0.2">
      <c r="A52" s="229" t="s">
        <v>111</v>
      </c>
      <c r="B52" s="233"/>
      <c r="C52" s="231" t="s">
        <v>112</v>
      </c>
      <c r="D52" s="232">
        <f t="shared" si="1"/>
        <v>0</v>
      </c>
      <c r="E52" s="183"/>
      <c r="F52" s="183"/>
      <c r="G52" s="183"/>
      <c r="H52" s="183"/>
      <c r="I52" s="183"/>
    </row>
    <row r="53" spans="1:9" s="187" customFormat="1" ht="18.75" customHeight="1" x14ac:dyDescent="0.2">
      <c r="A53" s="229" t="s">
        <v>111</v>
      </c>
      <c r="B53" s="233"/>
      <c r="C53" s="231" t="s">
        <v>112</v>
      </c>
      <c r="D53" s="232">
        <f t="shared" si="1"/>
        <v>0</v>
      </c>
      <c r="E53" s="183"/>
      <c r="F53" s="183"/>
      <c r="G53" s="183"/>
      <c r="H53" s="183"/>
      <c r="I53" s="183"/>
    </row>
    <row r="54" spans="1:9" s="187" customFormat="1" ht="18.75" customHeight="1" x14ac:dyDescent="0.2">
      <c r="A54" s="229" t="s">
        <v>111</v>
      </c>
      <c r="B54" s="233"/>
      <c r="C54" s="231" t="s">
        <v>112</v>
      </c>
      <c r="D54" s="232">
        <f t="shared" si="1"/>
        <v>0</v>
      </c>
      <c r="E54" s="183"/>
      <c r="F54" s="183"/>
      <c r="G54" s="183"/>
      <c r="H54" s="183"/>
      <c r="I54" s="183"/>
    </row>
    <row r="55" spans="1:9" s="187" customFormat="1" ht="18.75" customHeight="1" x14ac:dyDescent="0.2">
      <c r="A55" s="229" t="s">
        <v>111</v>
      </c>
      <c r="B55" s="233"/>
      <c r="C55" s="231" t="s">
        <v>112</v>
      </c>
      <c r="D55" s="232">
        <f t="shared" si="1"/>
        <v>0</v>
      </c>
      <c r="E55" s="183"/>
      <c r="F55" s="183"/>
      <c r="G55" s="183"/>
      <c r="H55" s="183"/>
      <c r="I55" s="183"/>
    </row>
    <row r="56" spans="1:9" s="187" customFormat="1" ht="18.75" customHeight="1" x14ac:dyDescent="0.2">
      <c r="A56" s="234" t="s">
        <v>113</v>
      </c>
      <c r="B56" s="235">
        <f t="array" ref="B56">SUMPRODUCT(B36:B55,IF(C36:C55="Stunden",1,IF(C36:C55="Jahreslektionen",Jahreslektion)))</f>
        <v>0</v>
      </c>
      <c r="C56" s="236" t="s">
        <v>105</v>
      </c>
      <c r="D56" s="232"/>
      <c r="E56" s="183"/>
      <c r="F56" s="183"/>
      <c r="G56" s="183"/>
      <c r="H56" s="183"/>
      <c r="I56" s="183"/>
    </row>
    <row r="57" spans="1:9" s="187" customFormat="1" ht="18.75" customHeight="1" x14ac:dyDescent="0.2">
      <c r="A57" s="204"/>
      <c r="B57" s="237"/>
      <c r="C57" s="237"/>
      <c r="D57" s="198"/>
      <c r="E57" s="183"/>
      <c r="F57" s="183"/>
      <c r="G57" s="183"/>
      <c r="H57" s="183"/>
      <c r="I57" s="183"/>
    </row>
    <row r="58" spans="1:9" s="187" customFormat="1" ht="18.75" customHeight="1" x14ac:dyDescent="0.2">
      <c r="A58" s="226" t="str">
        <f>"Bereich E: Weiterbildung  (im Mehrjahresdurchschn. mind. "&amp;TEXT(0.02*B29,"0.0")&amp;" Stunden)"</f>
        <v>Bereich E: Weiterbildung  (im Mehrjahresdurchschn. mind. 0.0 Stunden)</v>
      </c>
      <c r="B58" s="227"/>
      <c r="C58" s="238"/>
      <c r="D58" s="198"/>
      <c r="E58" s="183"/>
      <c r="F58" s="183"/>
      <c r="G58" s="183"/>
      <c r="H58" s="183"/>
      <c r="I58" s="183"/>
    </row>
    <row r="59" spans="1:9" s="187" customFormat="1" ht="18.75" customHeight="1" x14ac:dyDescent="0.2">
      <c r="A59" s="239" t="s">
        <v>122</v>
      </c>
      <c r="B59" s="233"/>
      <c r="C59" s="231" t="s">
        <v>112</v>
      </c>
      <c r="D59" s="232">
        <f>ROUND(D55-IF(C59="Stunden",B59,IF(C59="Jahreslektionen",B59*Jahreslektion)),1)</f>
        <v>0</v>
      </c>
      <c r="E59" s="183"/>
      <c r="F59" s="183"/>
      <c r="G59" s="183"/>
      <c r="H59" s="183"/>
      <c r="I59" s="183"/>
    </row>
    <row r="60" spans="1:9" s="187" customFormat="1" ht="18.75" customHeight="1" x14ac:dyDescent="0.2">
      <c r="A60" s="239" t="s">
        <v>122</v>
      </c>
      <c r="B60" s="233"/>
      <c r="C60" s="231" t="s">
        <v>112</v>
      </c>
      <c r="D60" s="232">
        <f>ROUND(D59-IF(C60="Stunden",B60,IF(C60="Jahreslektionen",B60*Jahreslektion)),1)</f>
        <v>0</v>
      </c>
      <c r="E60" s="183"/>
      <c r="F60" s="183"/>
      <c r="G60" s="183"/>
      <c r="H60" s="183"/>
      <c r="I60" s="183"/>
    </row>
    <row r="61" spans="1:9" s="187" customFormat="1" ht="18.75" customHeight="1" x14ac:dyDescent="0.2">
      <c r="A61" s="239" t="s">
        <v>122</v>
      </c>
      <c r="B61" s="233"/>
      <c r="C61" s="231" t="s">
        <v>112</v>
      </c>
      <c r="D61" s="232">
        <f>ROUND(D60-IF(C61="Stunden",B61,IF(C61="Jahreslektionen",B61*Jahreslektion)),1)</f>
        <v>0</v>
      </c>
      <c r="E61" s="183"/>
      <c r="F61" s="183"/>
      <c r="G61" s="183"/>
      <c r="H61" s="183"/>
      <c r="I61" s="183"/>
    </row>
    <row r="62" spans="1:9" s="187" customFormat="1" ht="18.75" customHeight="1" x14ac:dyDescent="0.2">
      <c r="A62" s="239" t="s">
        <v>122</v>
      </c>
      <c r="B62" s="233"/>
      <c r="C62" s="231" t="s">
        <v>112</v>
      </c>
      <c r="D62" s="232">
        <f>ROUND(D61-IF(C62="Stunden",B62,IF(C62="Jahreslektionen",B62*Jahreslektion)),1)</f>
        <v>0</v>
      </c>
      <c r="E62" s="183"/>
      <c r="F62" s="183"/>
      <c r="G62" s="183"/>
      <c r="H62" s="183"/>
      <c r="I62" s="183"/>
    </row>
    <row r="63" spans="1:9" s="187" customFormat="1" ht="18.75" customHeight="1" x14ac:dyDescent="0.2">
      <c r="A63" s="239" t="s">
        <v>122</v>
      </c>
      <c r="B63" s="233"/>
      <c r="C63" s="231" t="s">
        <v>112</v>
      </c>
      <c r="D63" s="232">
        <f>ROUND(D62-IF(C63="Stunden",B63,IF(C63="Jahreslektionen",B63*Jahreslektion)),1)</f>
        <v>0</v>
      </c>
      <c r="E63" s="183"/>
      <c r="F63" s="183"/>
      <c r="G63" s="183"/>
      <c r="H63" s="183"/>
      <c r="I63" s="183"/>
    </row>
    <row r="64" spans="1:9" s="187" customFormat="1" ht="18.75" customHeight="1" x14ac:dyDescent="0.2">
      <c r="A64" s="234" t="s">
        <v>114</v>
      </c>
      <c r="B64" s="235">
        <f t="array" ref="B64">SUMPRODUCT(B59:B63,IF(C59:C63="Stunden",1,IF(C59:C63="Jahreslektionen",Jahreslektion)))</f>
        <v>0</v>
      </c>
      <c r="C64" s="236" t="s">
        <v>105</v>
      </c>
      <c r="D64" s="240"/>
      <c r="E64" s="183"/>
      <c r="F64" s="183"/>
      <c r="G64" s="183"/>
      <c r="H64" s="183"/>
      <c r="I64" s="183"/>
    </row>
    <row r="65" spans="1:9" s="187" customFormat="1" ht="18.75" customHeight="1" x14ac:dyDescent="0.2">
      <c r="A65" s="204"/>
      <c r="B65" s="204"/>
      <c r="C65" s="241"/>
      <c r="D65" s="198"/>
      <c r="E65" s="183"/>
      <c r="F65" s="183"/>
      <c r="G65" s="183"/>
      <c r="H65" s="183"/>
      <c r="I65" s="183"/>
    </row>
    <row r="66" spans="1:9" s="245" customFormat="1" ht="18.75" customHeight="1" x14ac:dyDescent="0.2">
      <c r="A66" s="226" t="s">
        <v>115</v>
      </c>
      <c r="B66" s="242">
        <f>SUM(B56,B64)</f>
        <v>0</v>
      </c>
      <c r="C66" s="243">
        <f>IF(B29=0,0,B66/$B$29)</f>
        <v>0</v>
      </c>
      <c r="D66" s="244"/>
      <c r="E66" s="202"/>
      <c r="F66" s="202"/>
      <c r="G66" s="202"/>
      <c r="H66" s="202"/>
      <c r="I66" s="202"/>
    </row>
    <row r="67" spans="1:9" s="187" customFormat="1" ht="18.75" customHeight="1" x14ac:dyDescent="0.2">
      <c r="A67" s="183"/>
      <c r="B67" s="183"/>
      <c r="C67" s="183"/>
      <c r="D67" s="180"/>
      <c r="E67" s="183"/>
      <c r="F67" s="183"/>
      <c r="G67" s="183"/>
      <c r="H67" s="183"/>
      <c r="I67" s="183"/>
    </row>
    <row r="68" spans="1:9" s="245" customFormat="1" ht="18.75" customHeight="1" x14ac:dyDescent="0.2">
      <c r="A68" s="234" t="s">
        <v>234</v>
      </c>
      <c r="B68" s="230"/>
      <c r="C68" s="236" t="s">
        <v>105</v>
      </c>
      <c r="D68" s="244"/>
      <c r="E68" s="202"/>
      <c r="F68" s="202"/>
      <c r="G68" s="202"/>
      <c r="H68" s="202"/>
      <c r="I68" s="202"/>
    </row>
    <row r="69" spans="1:9" s="187" customFormat="1" ht="18.75" customHeight="1" x14ac:dyDescent="0.2">
      <c r="A69" s="183"/>
      <c r="B69" s="183"/>
      <c r="C69" s="183"/>
      <c r="D69" s="180"/>
      <c r="E69" s="183"/>
      <c r="F69" s="183"/>
      <c r="G69" s="183"/>
      <c r="H69" s="183"/>
      <c r="I69" s="183"/>
    </row>
    <row r="70" spans="1:9" s="187" customFormat="1" ht="18.75" customHeight="1" x14ac:dyDescent="0.2">
      <c r="A70" s="246" t="s">
        <v>116</v>
      </c>
      <c r="B70" s="247"/>
      <c r="C70" s="248"/>
      <c r="D70" s="180"/>
      <c r="E70" s="183"/>
      <c r="F70" s="183"/>
      <c r="G70" s="183"/>
      <c r="H70" s="183"/>
      <c r="I70" s="183"/>
    </row>
    <row r="71" spans="1:9" s="187" customFormat="1" ht="18.75" customHeight="1" x14ac:dyDescent="0.2">
      <c r="A71" s="215"/>
      <c r="B71" s="225"/>
      <c r="C71" s="203"/>
      <c r="D71" s="180"/>
      <c r="E71" s="183"/>
      <c r="F71" s="183"/>
      <c r="G71" s="183"/>
      <c r="H71" s="183"/>
      <c r="I71" s="183"/>
    </row>
    <row r="72" spans="1:9" s="187" customFormat="1" ht="18.75" customHeight="1" x14ac:dyDescent="0.2">
      <c r="A72" s="249" t="s">
        <v>117</v>
      </c>
      <c r="B72" s="250" t="s">
        <v>102</v>
      </c>
      <c r="C72" s="251" t="s">
        <v>103</v>
      </c>
      <c r="D72" s="180" t="s">
        <v>292</v>
      </c>
      <c r="E72" s="183"/>
      <c r="F72" s="183"/>
      <c r="G72" s="183"/>
      <c r="H72" s="183"/>
      <c r="I72" s="183"/>
    </row>
    <row r="73" spans="1:9" s="187" customFormat="1" ht="18.75" customHeight="1" x14ac:dyDescent="0.2">
      <c r="A73" s="277" t="s">
        <v>118</v>
      </c>
      <c r="B73" s="278">
        <f>+B27</f>
        <v>0</v>
      </c>
      <c r="C73" s="279" t="s">
        <v>119</v>
      </c>
      <c r="D73" s="232">
        <f>ROUND(IFERROR((SUM(B27:B28)*Jahreslektion_EA)-IF(C73="Stunden",B73,IF(C73="Jahreslektionen",B73*Jahreslektion_EA)),0),1)</f>
        <v>0</v>
      </c>
      <c r="E73" s="183"/>
      <c r="F73" s="183"/>
      <c r="G73" s="183"/>
      <c r="H73" s="183"/>
      <c r="I73" s="183"/>
    </row>
    <row r="74" spans="1:9" s="187" customFormat="1" ht="18.75" customHeight="1" x14ac:dyDescent="0.2">
      <c r="A74" s="239" t="s">
        <v>111</v>
      </c>
      <c r="B74" s="230"/>
      <c r="C74" s="231" t="s">
        <v>112</v>
      </c>
      <c r="D74" s="232">
        <f>ROUND(D73-IF(C74="Stunden",B74,IF(C74="Jahreslektionen",B74*Jahreslektion_EA)),1)</f>
        <v>0</v>
      </c>
      <c r="E74" s="183"/>
      <c r="F74" s="183"/>
      <c r="G74" s="183"/>
      <c r="H74" s="183"/>
      <c r="I74" s="183"/>
    </row>
    <row r="75" spans="1:9" s="187" customFormat="1" ht="18.75" customHeight="1" x14ac:dyDescent="0.2">
      <c r="A75" s="239" t="s">
        <v>111</v>
      </c>
      <c r="B75" s="230"/>
      <c r="C75" s="231" t="s">
        <v>112</v>
      </c>
      <c r="D75" s="232">
        <f>ROUND(D74-IF(C75="Stunden",B75,IF(C75="Jahreslektionen",B75*Jahreslektion_EA)),1)</f>
        <v>0</v>
      </c>
      <c r="E75" s="183"/>
      <c r="F75" s="183"/>
      <c r="G75" s="183"/>
      <c r="H75" s="183"/>
      <c r="I75" s="183"/>
    </row>
    <row r="76" spans="1:9" s="187" customFormat="1" ht="18.75" customHeight="1" x14ac:dyDescent="0.2">
      <c r="A76" s="239" t="s">
        <v>111</v>
      </c>
      <c r="B76" s="230"/>
      <c r="C76" s="231" t="s">
        <v>112</v>
      </c>
      <c r="D76" s="232">
        <f>ROUND(D75-IF(C76="Stunden",B76,IF(C76="Jahreslektionen",B76*Jahreslektion_EA)),1)</f>
        <v>0</v>
      </c>
      <c r="E76" s="183"/>
      <c r="F76" s="183"/>
      <c r="G76" s="183"/>
      <c r="H76" s="183"/>
      <c r="I76" s="183"/>
    </row>
    <row r="77" spans="1:9" s="187" customFormat="1" ht="18.75" customHeight="1" x14ac:dyDescent="0.2">
      <c r="A77" s="249" t="s">
        <v>120</v>
      </c>
      <c r="B77" s="252">
        <f t="array" ref="B77">IFERROR(SUMPRODUCT(B73:B76,IF(C73:C76="Stunden",1,IF(C73:C76="Jahreslektionen",Jahreslektion))),0)</f>
        <v>0</v>
      </c>
      <c r="C77" s="251" t="s">
        <v>105</v>
      </c>
      <c r="D77" s="180"/>
      <c r="E77" s="253"/>
      <c r="F77" s="183"/>
      <c r="G77" s="183"/>
      <c r="H77" s="183"/>
      <c r="I77" s="183"/>
    </row>
    <row r="78" spans="1:9" s="187" customFormat="1" ht="18.75" customHeight="1" x14ac:dyDescent="0.2">
      <c r="A78" s="183"/>
      <c r="B78" s="183"/>
      <c r="C78" s="183"/>
      <c r="D78" s="180"/>
      <c r="E78" s="183"/>
      <c r="F78" s="183"/>
      <c r="G78" s="183"/>
      <c r="H78" s="183"/>
      <c r="I78" s="183"/>
    </row>
    <row r="79" spans="1:9" s="187" customFormat="1" ht="18.75" customHeight="1" x14ac:dyDescent="0.2">
      <c r="A79" s="249" t="s">
        <v>121</v>
      </c>
      <c r="B79" s="250" t="s">
        <v>102</v>
      </c>
      <c r="C79" s="251" t="s">
        <v>103</v>
      </c>
      <c r="D79" s="180"/>
      <c r="E79" s="183"/>
      <c r="F79" s="183"/>
      <c r="G79" s="183"/>
      <c r="H79" s="183"/>
      <c r="I79" s="183"/>
    </row>
    <row r="80" spans="1:9" s="187" customFormat="1" ht="18.75" customHeight="1" x14ac:dyDescent="0.2">
      <c r="A80" s="239" t="s">
        <v>122</v>
      </c>
      <c r="B80" s="230"/>
      <c r="C80" s="231" t="s">
        <v>112</v>
      </c>
      <c r="D80" s="232">
        <f>ROUND(D76-IF(C80="Stunden",B80,IF(C80="Jahreslektionen",B80*Jahreslektion_EA)),1)</f>
        <v>0</v>
      </c>
      <c r="E80" s="183"/>
      <c r="F80" s="183"/>
      <c r="G80" s="183"/>
      <c r="H80" s="183"/>
      <c r="I80" s="183"/>
    </row>
    <row r="81" spans="1:9" s="187" customFormat="1" ht="18.75" customHeight="1" x14ac:dyDescent="0.2">
      <c r="A81" s="239" t="s">
        <v>122</v>
      </c>
      <c r="B81" s="230"/>
      <c r="C81" s="231" t="s">
        <v>112</v>
      </c>
      <c r="D81" s="232">
        <f>ROUND(D80-IF(C81="Stunden",B81,IF(C81="Jahreslektionen",B81*Jahreslektion_EA)),1)</f>
        <v>0</v>
      </c>
      <c r="E81" s="183"/>
      <c r="F81" s="183"/>
      <c r="G81" s="183"/>
      <c r="H81" s="183"/>
      <c r="I81" s="183"/>
    </row>
    <row r="82" spans="1:9" s="187" customFormat="1" ht="18.75" customHeight="1" x14ac:dyDescent="0.2">
      <c r="A82" s="249" t="s">
        <v>123</v>
      </c>
      <c r="B82" s="252">
        <f t="array" ref="B82">SUMPRODUCT(B80:B81,IF(C80:C81="Stunden",1,IF(C80:C81="Jahreslektionen",Jahreslektion)))</f>
        <v>0</v>
      </c>
      <c r="C82" s="251" t="s">
        <v>105</v>
      </c>
      <c r="D82" s="180"/>
      <c r="E82" s="183"/>
      <c r="F82" s="183"/>
      <c r="G82" s="183"/>
      <c r="H82" s="183"/>
      <c r="I82" s="183"/>
    </row>
    <row r="83" spans="1:9" s="187" customFormat="1" ht="18.75" customHeight="1" x14ac:dyDescent="0.2">
      <c r="A83" s="183"/>
      <c r="B83" s="183"/>
      <c r="C83" s="183"/>
      <c r="D83" s="180"/>
      <c r="E83" s="183"/>
      <c r="F83" s="183"/>
      <c r="G83" s="183"/>
      <c r="H83" s="183"/>
      <c r="I83" s="183"/>
    </row>
    <row r="84" spans="1:9" s="187" customFormat="1" ht="18.75" customHeight="1" x14ac:dyDescent="0.2">
      <c r="A84" s="183"/>
      <c r="B84" s="254" t="s">
        <v>105</v>
      </c>
      <c r="C84" s="254" t="s">
        <v>94</v>
      </c>
      <c r="D84" s="180"/>
      <c r="E84" s="183"/>
      <c r="F84" s="183"/>
      <c r="G84" s="183"/>
      <c r="H84" s="183"/>
      <c r="I84" s="183"/>
    </row>
    <row r="85" spans="1:9" s="187" customFormat="1" ht="18.75" customHeight="1" x14ac:dyDescent="0.2">
      <c r="A85" s="246" t="s">
        <v>124</v>
      </c>
      <c r="B85" s="255">
        <f>SUM(B82,B77)</f>
        <v>0</v>
      </c>
      <c r="C85" s="256">
        <f>IF(B20=0,0,B85/B20)</f>
        <v>0</v>
      </c>
      <c r="D85" s="257"/>
      <c r="E85" s="183"/>
      <c r="F85" s="183"/>
      <c r="G85" s="183"/>
      <c r="H85" s="183"/>
      <c r="I85" s="183"/>
    </row>
    <row r="86" spans="1:9" s="187" customFormat="1" ht="18.75" customHeight="1" x14ac:dyDescent="0.2">
      <c r="A86" s="294" t="str">
        <f>IF(AND($C$87&gt;1.0049999,SUM(B18:B19)&gt;0),"Pensum von 100% wird als überschritten ausgewiesen, da die unbezahlte Abwesenheit rechnerisch im EA1 und EA2 nicht berücksichtigt wird.",IF($C$87&gt;1.0049999,"Information: Anstellungsgrad von 100% überschritten.",""))</f>
        <v/>
      </c>
      <c r="B86" s="183"/>
      <c r="C86" s="258"/>
      <c r="D86" s="180"/>
      <c r="E86" s="183"/>
      <c r="F86" s="183"/>
      <c r="G86" s="183"/>
      <c r="H86" s="183"/>
      <c r="I86" s="183"/>
    </row>
    <row r="87" spans="1:9" s="187" customFormat="1" ht="18.75" customHeight="1" x14ac:dyDescent="0.2">
      <c r="A87" s="259" t="s">
        <v>125</v>
      </c>
      <c r="B87" s="260">
        <f>B85+B29</f>
        <v>0</v>
      </c>
      <c r="C87" s="261">
        <f>C29+C85</f>
        <v>0</v>
      </c>
      <c r="D87" s="257"/>
      <c r="E87" s="183"/>
      <c r="F87" s="183"/>
      <c r="G87" s="183"/>
      <c r="H87" s="183"/>
      <c r="I87" s="183"/>
    </row>
    <row r="88" spans="1:9" s="187" customFormat="1" ht="18.75" customHeight="1" x14ac:dyDescent="0.2">
      <c r="A88" s="201"/>
      <c r="B88" s="201"/>
      <c r="C88" s="201"/>
      <c r="D88" s="262"/>
      <c r="E88" s="183"/>
      <c r="F88" s="183"/>
      <c r="G88" s="183"/>
      <c r="H88" s="183"/>
      <c r="I88" s="183"/>
    </row>
    <row r="89" spans="1:9" s="187" customFormat="1" ht="18.75" customHeight="1" x14ac:dyDescent="0.2">
      <c r="A89" s="263" t="s">
        <v>100</v>
      </c>
      <c r="B89" s="264"/>
      <c r="C89" s="264"/>
      <c r="D89" s="180"/>
      <c r="E89" s="183"/>
      <c r="F89" s="183"/>
      <c r="G89" s="183"/>
      <c r="H89" s="183"/>
      <c r="I89" s="183"/>
    </row>
    <row r="90" spans="1:9" s="245" customFormat="1" ht="18.75" customHeight="1" x14ac:dyDescent="0.2">
      <c r="A90" s="265" t="s">
        <v>126</v>
      </c>
      <c r="B90" s="266"/>
      <c r="C90" s="266"/>
      <c r="D90" s="180"/>
      <c r="E90" s="202"/>
      <c r="F90" s="202"/>
      <c r="G90" s="202"/>
      <c r="H90" s="202"/>
      <c r="I90" s="202"/>
    </row>
    <row r="91" spans="1:9" s="187" customFormat="1" ht="18.75" customHeight="1" x14ac:dyDescent="0.2">
      <c r="A91" s="267" t="s">
        <v>127</v>
      </c>
      <c r="B91" s="268" t="s">
        <v>128</v>
      </c>
      <c r="C91" s="268"/>
      <c r="D91" s="180"/>
      <c r="E91" s="183"/>
      <c r="F91" s="183"/>
      <c r="G91" s="183"/>
      <c r="H91" s="183"/>
      <c r="I91" s="183"/>
    </row>
    <row r="92" spans="1:9" s="187" customFormat="1" ht="18.75" customHeight="1" x14ac:dyDescent="0.2">
      <c r="A92" s="183"/>
      <c r="B92" s="183"/>
      <c r="C92" s="183"/>
      <c r="D92" s="269"/>
    </row>
  </sheetData>
  <sheetProtection sheet="1" objects="1" scenarios="1"/>
  <mergeCells count="6">
    <mergeCell ref="B11:C11"/>
    <mergeCell ref="B4:C4"/>
    <mergeCell ref="B5:C5"/>
    <mergeCell ref="B6:C6"/>
    <mergeCell ref="B9:C9"/>
    <mergeCell ref="B10:C10"/>
  </mergeCells>
  <conditionalFormatting sqref="B11">
    <cfRule type="expression" dxfId="52" priority="79">
      <formula>$B$11=""</formula>
    </cfRule>
  </conditionalFormatting>
  <conditionalFormatting sqref="D36:D56">
    <cfRule type="expression" dxfId="51" priority="77">
      <formula>AND(D36&lt;-0.05,D36&lt;&gt;-16.8)</formula>
    </cfRule>
  </conditionalFormatting>
  <conditionalFormatting sqref="D64">
    <cfRule type="expression" dxfId="50" priority="76">
      <formula>D64&lt;0</formula>
    </cfRule>
  </conditionalFormatting>
  <conditionalFormatting sqref="D59:D63">
    <cfRule type="expression" dxfId="49" priority="74">
      <formula>AND(D59&lt;-0.05,D36&lt;&gt;-16.8)</formula>
    </cfRule>
  </conditionalFormatting>
  <conditionalFormatting sqref="D73">
    <cfRule type="expression" dxfId="48" priority="73">
      <formula>D73&lt;-0.05</formula>
    </cfRule>
  </conditionalFormatting>
  <conditionalFormatting sqref="D74:D76">
    <cfRule type="expression" dxfId="47" priority="72">
      <formula>D74&lt;-0.05</formula>
    </cfRule>
  </conditionalFormatting>
  <conditionalFormatting sqref="D80">
    <cfRule type="expression" dxfId="46" priority="70">
      <formula>D80&lt;-0.05</formula>
    </cfRule>
  </conditionalFormatting>
  <conditionalFormatting sqref="D81">
    <cfRule type="expression" dxfId="45" priority="69">
      <formula>D81&lt;-0.05</formula>
    </cfRule>
  </conditionalFormatting>
  <conditionalFormatting sqref="C87">
    <cfRule type="cellIs" dxfId="44" priority="58" operator="greaterThan">
      <formula>1.00499999</formula>
    </cfRule>
  </conditionalFormatting>
  <conditionalFormatting sqref="A59:A63">
    <cfRule type="expression" dxfId="43" priority="49">
      <formula>$A59="Bitte angeben"</formula>
    </cfRule>
  </conditionalFormatting>
  <conditionalFormatting sqref="A45">
    <cfRule type="expression" dxfId="42" priority="45">
      <formula>$A45="Mögliche Auswahl"</formula>
    </cfRule>
  </conditionalFormatting>
  <conditionalFormatting sqref="C41:C44">
    <cfRule type="expression" dxfId="41" priority="42">
      <formula>OR($A41="",$A41="Mögliche Auswahl",$A41="Bitte angeben")</formula>
    </cfRule>
  </conditionalFormatting>
  <conditionalFormatting sqref="C59:C63">
    <cfRule type="expression" dxfId="40" priority="41">
      <formula>OR($A59="",$A59="Mögliche Auswahl",$A59="Bitte angeben")</formula>
    </cfRule>
  </conditionalFormatting>
  <conditionalFormatting sqref="C73:C76">
    <cfRule type="expression" dxfId="39" priority="40">
      <formula>OR($A73="",$A73="Mögliche Auswahl",$A73="Bitte angeben")</formula>
    </cfRule>
  </conditionalFormatting>
  <conditionalFormatting sqref="C80:C81">
    <cfRule type="expression" dxfId="38" priority="39">
      <formula>OR($A80="",$A80="Mögliche Auswahl",$A80="Bitte angeben")</formula>
    </cfRule>
  </conditionalFormatting>
  <conditionalFormatting sqref="A80:A81">
    <cfRule type="expression" dxfId="37" priority="38">
      <formula>$A80="Bitte angeben"</formula>
    </cfRule>
  </conditionalFormatting>
  <conditionalFormatting sqref="A76">
    <cfRule type="expression" dxfId="36" priority="37">
      <formula>$A76="Mögliche Auswahl"</formula>
    </cfRule>
  </conditionalFormatting>
  <conditionalFormatting sqref="E3:G5 H3 E6:H7">
    <cfRule type="expression" dxfId="35" priority="34">
      <formula>AND($E3="",$E2="")</formula>
    </cfRule>
  </conditionalFormatting>
  <conditionalFormatting sqref="E4:G5 E6:H7">
    <cfRule type="expression" dxfId="34" priority="33">
      <formula>AND($E4="",$E3&lt;&gt;"")</formula>
    </cfRule>
  </conditionalFormatting>
  <conditionalFormatting sqref="F3:H3">
    <cfRule type="expression" dxfId="33" priority="31">
      <formula>AND($E3="",$E2&lt;&gt;"")</formula>
    </cfRule>
  </conditionalFormatting>
  <conditionalFormatting sqref="C37:C40">
    <cfRule type="expression" dxfId="32" priority="25">
      <formula>OR($A37="",$A37="Mögliche Auswahl",$A37="Bitte angeben")</formula>
    </cfRule>
  </conditionalFormatting>
  <conditionalFormatting sqref="A75">
    <cfRule type="expression" dxfId="31" priority="21">
      <formula>$A75="Mögliche Auswahl"</formula>
    </cfRule>
  </conditionalFormatting>
  <conditionalFormatting sqref="A37:A44">
    <cfRule type="expression" dxfId="30" priority="20">
      <formula>$A37="Mögliche Auswahl"</formula>
    </cfRule>
  </conditionalFormatting>
  <conditionalFormatting sqref="A73">
    <cfRule type="expression" dxfId="29" priority="19">
      <formula>$A73="Mögliche Auswahl"</formula>
    </cfRule>
  </conditionalFormatting>
  <conditionalFormatting sqref="B85">
    <cfRule type="expression" dxfId="28" priority="82">
      <formula>ABS($D$81)&gt;0.1</formula>
    </cfRule>
  </conditionalFormatting>
  <conditionalFormatting sqref="H4:H5">
    <cfRule type="expression" dxfId="27" priority="18">
      <formula>AND($E4="",$E3="")</formula>
    </cfRule>
  </conditionalFormatting>
  <conditionalFormatting sqref="H4:H5">
    <cfRule type="expression" dxfId="26" priority="17">
      <formula>AND($E4="",$E3&lt;&gt;"")</formula>
    </cfRule>
  </conditionalFormatting>
  <conditionalFormatting sqref="A74">
    <cfRule type="expression" dxfId="25" priority="13">
      <formula>$A74="Mögliche Auswahl"</formula>
    </cfRule>
  </conditionalFormatting>
  <conditionalFormatting sqref="A46:A55">
    <cfRule type="expression" dxfId="24" priority="9">
      <formula>$A46="Mögliche Auswahl"</formula>
    </cfRule>
  </conditionalFormatting>
  <conditionalFormatting sqref="C45:C55">
    <cfRule type="expression" dxfId="23" priority="7">
      <formula>OR($A45="",$A45="Mögliche Auswahl",$A45="Bitte angeben")</formula>
    </cfRule>
  </conditionalFormatting>
  <conditionalFormatting sqref="A86">
    <cfRule type="containsText" dxfId="22" priority="3" operator="containsText" text="Pensum von 100% wird als überschritten ausgewiesen, da die unbezahlte Abwesenheit rechnerisch im EA1 und EA2 nicht berücksichtigt wird.">
      <formula>NOT(ISERROR(SEARCH("Pensum von 100% wird als überschritten ausgewiesen, da die unbezahlte Abwesenheit rechnerisch im EA1 und EA2 nicht berücksichtigt wird.",A86)))</formula>
    </cfRule>
  </conditionalFormatting>
  <conditionalFormatting sqref="A36">
    <cfRule type="expression" dxfId="21" priority="2">
      <formula>$A36="Mögliche Auswahl"</formula>
    </cfRule>
  </conditionalFormatting>
  <conditionalFormatting sqref="C36">
    <cfRule type="expression" dxfId="20" priority="1">
      <formula>OR($A36="",$A36="Mögliche Auswahl",$A36="Bitte angeben")</formula>
    </cfRule>
  </conditionalFormatting>
  <dataValidations count="8">
    <dataValidation type="list" allowBlank="1" showInputMessage="1" showErrorMessage="1" sqref="B4:C4" xr:uid="{00000000-0002-0000-0300-000000000000}">
      <formula1>DD_Schulstufen</formula1>
    </dataValidation>
    <dataValidation allowBlank="1" showInputMessage="1" sqref="A80:A81 A59:A63" xr:uid="{00000000-0002-0000-0300-000001000000}"/>
    <dataValidation type="list" allowBlank="1" showInputMessage="1" sqref="A73" xr:uid="{00000000-0002-0000-0300-000002000000}">
      <formula1>IF(OR($B$4="Psychomotorik und Logopädie",$B$4="Musikschule"),"",IF($B$4="Berufsfachschulen und schulische Module Brückenangebote",EA1_SekII_BFS,IF($B$4="Primarschule",EA1_PS,IF($B$4="Sekundarschule",EA1_SekI,EA1_SekII))))</formula1>
    </dataValidation>
    <dataValidation type="list" allowBlank="1" showInputMessage="1" showErrorMessage="1" sqref="C74:C76 C80:C81 C59:C63 C36:C55" xr:uid="{00000000-0002-0000-0300-000003000000}">
      <formula1>"Stunden,Jahreslektionen"</formula1>
    </dataValidation>
    <dataValidation type="list" allowBlank="1" showInputMessage="1" sqref="A36:A55" xr:uid="{00000000-0002-0000-0300-000004000000}">
      <formula1>DD_Bereich_C</formula1>
    </dataValidation>
    <dataValidation type="date" operator="greaterThan" allowBlank="1" showInputMessage="1" showErrorMessage="1" sqref="B11:C11" xr:uid="{00000000-0002-0000-0300-000005000000}">
      <formula1>366</formula1>
    </dataValidation>
    <dataValidation type="list" allowBlank="1" showInputMessage="1" sqref="A74:A76" xr:uid="{00000000-0002-0000-0300-000006000000}">
      <formula1>IF($B$4="Psychomotorik und Logopädie","",IF($B$4="Berufsfachschulen und schulische Module Brückenangebote",EA1_SekII_BFS,IF($B$4="Primarschule",EA1_PS,IF($B$4="Kindergarten",EA1_KG,IF($B$4="Sekundarschule",EA1_SekI,EA1_SekII)))))</formula1>
    </dataValidation>
    <dataValidation type="decimal" allowBlank="1" showInputMessage="1" showErrorMessage="1" sqref="B26:B28" xr:uid="{00000000-0002-0000-0300-000007000000}">
      <formula1>0.001</formula1>
      <formula2>100</formula2>
    </dataValidation>
  </dataValidations>
  <pageMargins left="0.7" right="0.7" top="0.78740157499999996" bottom="0.78740157499999996" header="0.3" footer="0.3"/>
  <pageSetup paperSize="9" scale="66" orientation="portrait" r:id="rId1"/>
  <rowBreaks count="1" manualBreakCount="1">
    <brk id="32" max="16383" man="1"/>
  </rowBreaks>
  <customProperties>
    <customPr name="_pios_id" r:id="rId2"/>
  </customPropertie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2" id="{7AB7A86F-BA07-44E6-90B9-CF3B6E46F874}">
            <xm:f>IFERROR(HLOOKUP($B$4,Dropdowns!$G$1:$I$1,1,0),TRUE)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E2:E7 E2:G3 I2:I3 H3</xm:sqref>
        </x14:conditionalFormatting>
        <x14:conditionalFormatting xmlns:xm="http://schemas.microsoft.com/office/excel/2006/main">
          <x14:cfRule type="expression" priority="30" id="{7FA80C36-D6B7-43C9-8BDA-0AC705286A4A}">
            <xm:f>IFERROR(HLOOKUP($B$4,Dropdowns!$G$1:$I$1,1,0),TRUE)</xm:f>
            <x14:dxf>
              <font>
                <color theme="0"/>
              </font>
            </x14:dxf>
          </x14:cfRule>
          <xm:sqref>D26:D28</xm:sqref>
        </x14:conditionalFormatting>
        <x14:conditionalFormatting xmlns:xm="http://schemas.microsoft.com/office/excel/2006/main">
          <x14:cfRule type="expression" priority="14" id="{264F5F38-99DE-44F7-ABD7-50456BF69CF4}">
            <xm:f>IFERROR(HLOOKUP($B$4,Dropdowns!$G$1:$I$1,1,0),TRUE)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H2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8000000}">
          <x14:formula1>
            <xm:f>OFFSET(Dropdowns!$G$1,1,MATCH(B4,Dropdowns!$G$1:$I$1,0)-1,COUNT(OFFSET(Dropdowns!$G$1,1,MATCH(B4,Dropdowns!$G$1:$I$1,0)-1,4,1)),1)</xm:f>
          </x14:formula1>
          <xm:sqref>D4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>
    <tabColor theme="4" tint="0.39997558519241921"/>
    <pageSetUpPr fitToPage="1"/>
  </sheetPr>
  <dimension ref="A1:Z45"/>
  <sheetViews>
    <sheetView zoomScale="115" zoomScaleNormal="115" workbookViewId="0"/>
  </sheetViews>
  <sheetFormatPr baseColWidth="10" defaultColWidth="10.6640625" defaultRowHeight="15" x14ac:dyDescent="0.2"/>
  <cols>
    <col min="1" max="1" width="2.6640625" style="72" customWidth="1"/>
    <col min="2" max="2" width="11.21875" style="72" customWidth="1"/>
    <col min="3" max="5" width="9.6640625" style="72" customWidth="1"/>
    <col min="6" max="6" width="1.33203125" style="72" customWidth="1"/>
    <col min="7" max="12" width="9.6640625" style="72" customWidth="1"/>
    <col min="13" max="13" width="2.33203125" style="72" customWidth="1"/>
    <col min="14" max="16" width="9.6640625" style="72" customWidth="1"/>
    <col min="17" max="23" width="10.6640625" style="82" hidden="1" customWidth="1"/>
    <col min="24" max="26" width="11.21875" style="82" hidden="1" customWidth="1"/>
    <col min="27" max="16384" width="10.6640625" style="72"/>
  </cols>
  <sheetData>
    <row r="1" spans="1:26" s="142" customFormat="1" ht="20.25" x14ac:dyDescent="0.3">
      <c r="B1" s="142" t="s">
        <v>76</v>
      </c>
      <c r="Q1" s="143"/>
      <c r="R1" s="143"/>
      <c r="S1" s="143"/>
      <c r="T1" s="143"/>
      <c r="U1" s="143"/>
      <c r="V1" s="143"/>
      <c r="W1" s="143"/>
      <c r="X1" s="143"/>
      <c r="Y1" s="143"/>
      <c r="Z1" s="143"/>
    </row>
    <row r="2" spans="1:26" s="142" customFormat="1" ht="10.15" customHeight="1" x14ac:dyDescent="0.3">
      <c r="Q2" s="143"/>
      <c r="R2" s="143"/>
      <c r="S2" s="143"/>
      <c r="T2" s="143"/>
      <c r="U2" s="143"/>
      <c r="V2" s="143"/>
      <c r="W2" s="143"/>
      <c r="X2" s="143"/>
      <c r="Y2" s="143"/>
      <c r="Z2" s="143"/>
    </row>
    <row r="3" spans="1:26" ht="6" customHeight="1" x14ac:dyDescent="0.2"/>
    <row r="4" spans="1:26" ht="18" customHeight="1" thickBot="1" x14ac:dyDescent="0.3">
      <c r="A4" s="144">
        <v>1</v>
      </c>
      <c r="B4" s="122" t="s">
        <v>6</v>
      </c>
    </row>
    <row r="5" spans="1:26" ht="15" customHeight="1" thickBot="1" x14ac:dyDescent="0.25">
      <c r="C5" s="145" t="s">
        <v>7</v>
      </c>
      <c r="D5" s="146">
        <f>+Aufgabenplanung!B10</f>
        <v>0</v>
      </c>
    </row>
    <row r="6" spans="1:26" ht="15.75" thickBot="1" x14ac:dyDescent="0.25">
      <c r="C6" s="147" t="s">
        <v>8</v>
      </c>
      <c r="D6" s="146">
        <f>+Aufgabenplanung!B9</f>
        <v>0</v>
      </c>
    </row>
    <row r="7" spans="1:26" ht="15.75" thickBot="1" x14ac:dyDescent="0.25">
      <c r="C7" s="148" t="s">
        <v>9</v>
      </c>
      <c r="D7" s="286" t="str">
        <f>IF(Aufgabenplanung!B11="","",Aufgabenplanung!B11)</f>
        <v/>
      </c>
    </row>
    <row r="8" spans="1:26" ht="6" customHeight="1" x14ac:dyDescent="0.2">
      <c r="C8" s="149"/>
      <c r="D8" s="149"/>
    </row>
    <row r="9" spans="1:26" ht="18" customHeight="1" thickBot="1" x14ac:dyDescent="0.3">
      <c r="A9" s="144">
        <v>2</v>
      </c>
      <c r="B9" s="122" t="s">
        <v>173</v>
      </c>
      <c r="D9" s="135"/>
      <c r="H9" s="122" t="s">
        <v>208</v>
      </c>
    </row>
    <row r="10" spans="1:26" ht="15.75" customHeight="1" thickBot="1" x14ac:dyDescent="0.25">
      <c r="C10" s="405" t="s">
        <v>165</v>
      </c>
      <c r="D10" s="150" t="s">
        <v>25</v>
      </c>
      <c r="E10" s="151" t="s">
        <v>167</v>
      </c>
      <c r="H10" s="150"/>
      <c r="I10" s="150" t="s">
        <v>2</v>
      </c>
      <c r="J10" s="150" t="s">
        <v>3</v>
      </c>
    </row>
    <row r="11" spans="1:26" ht="15.75" thickBot="1" x14ac:dyDescent="0.25">
      <c r="C11" s="406"/>
      <c r="D11" s="152" t="s">
        <v>26</v>
      </c>
      <c r="E11" s="153" t="s">
        <v>209</v>
      </c>
      <c r="G11" s="135"/>
      <c r="H11" s="152">
        <v>1</v>
      </c>
      <c r="I11" s="163"/>
      <c r="J11" s="163"/>
    </row>
    <row r="12" spans="1:26" ht="15.75" thickBot="1" x14ac:dyDescent="0.25">
      <c r="C12" s="406"/>
      <c r="D12" s="152" t="s">
        <v>141</v>
      </c>
      <c r="E12" s="153" t="s">
        <v>209</v>
      </c>
      <c r="H12" s="152">
        <v>2</v>
      </c>
      <c r="I12" s="163"/>
      <c r="J12" s="163"/>
    </row>
    <row r="13" spans="1:26" ht="15.75" thickBot="1" x14ac:dyDescent="0.25">
      <c r="C13" s="407"/>
      <c r="D13" s="152" t="s">
        <v>166</v>
      </c>
      <c r="E13" s="153" t="s">
        <v>209</v>
      </c>
      <c r="H13" s="152">
        <v>3</v>
      </c>
      <c r="I13" s="163"/>
      <c r="J13" s="163"/>
    </row>
    <row r="15" spans="1:26" ht="18" customHeight="1" thickBot="1" x14ac:dyDescent="0.3">
      <c r="A15" s="144">
        <v>3</v>
      </c>
      <c r="B15" s="122" t="s">
        <v>205</v>
      </c>
      <c r="H15" s="122" t="s">
        <v>264</v>
      </c>
    </row>
    <row r="16" spans="1:26" ht="18" customHeight="1" thickBot="1" x14ac:dyDescent="0.3">
      <c r="A16" s="144"/>
      <c r="B16" s="122"/>
      <c r="C16" s="154" t="s">
        <v>232</v>
      </c>
      <c r="D16" s="155"/>
      <c r="E16" s="146">
        <f>+Aufgabenplanung!B25</f>
        <v>0</v>
      </c>
      <c r="H16" s="156" t="s">
        <v>275</v>
      </c>
      <c r="I16" s="156" t="s">
        <v>276</v>
      </c>
      <c r="J16" s="156" t="s">
        <v>166</v>
      </c>
    </row>
    <row r="17" spans="1:26" ht="15.75" thickBot="1" x14ac:dyDescent="0.25">
      <c r="C17" s="154" t="s">
        <v>206</v>
      </c>
      <c r="D17" s="155"/>
      <c r="E17" s="146">
        <f>+Aufgabenplanung!B26</f>
        <v>0</v>
      </c>
      <c r="F17" s="157"/>
      <c r="H17" s="155">
        <f>IF('Berechnungen BA'!$C$9="",'Berechnungen BA'!$B$9,'Berechnungen BA'!C9)</f>
        <v>0</v>
      </c>
      <c r="I17" s="146">
        <f>IF('Berechnungen BA'!$C$9="",'Berechnungen BA'!$B$10,'Berechnungen BA'!C10)</f>
        <v>0</v>
      </c>
      <c r="J17" s="146">
        <f>IF('Berechnungen BA'!$C$9="",'Berechnungen BA'!$B$11,'Berechnungen BA'!C11)</f>
        <v>0</v>
      </c>
      <c r="O17" s="408" t="s">
        <v>221</v>
      </c>
    </row>
    <row r="18" spans="1:26" ht="15.75" thickBot="1" x14ac:dyDescent="0.25">
      <c r="C18" s="287" t="s">
        <v>207</v>
      </c>
      <c r="D18" s="155"/>
      <c r="E18" s="146">
        <f>SUM(Aufgabenplanung!B27:B28)</f>
        <v>0</v>
      </c>
      <c r="F18" s="157"/>
      <c r="H18" s="155" t="str">
        <f>IF('Berechnungen BA'!$C$9="","",'Berechnungen BA'!D9)</f>
        <v/>
      </c>
      <c r="I18" s="146" t="str">
        <f>IF('Berechnungen BA'!$C$9="","",'Berechnungen BA'!D10)</f>
        <v/>
      </c>
      <c r="J18" s="146" t="str">
        <f>IF('Berechnungen BA'!$C$9="","",'Berechnungen BA'!D11)</f>
        <v/>
      </c>
      <c r="O18" s="408"/>
    </row>
    <row r="19" spans="1:26" ht="17.45" customHeight="1" thickBot="1" x14ac:dyDescent="0.25">
      <c r="H19" s="155" t="str">
        <f>IF('Berechnungen BA'!$C$9="","",'Berechnungen BA'!E9)</f>
        <v/>
      </c>
      <c r="I19" s="146" t="str">
        <f>IF('Berechnungen BA'!$C$9="","",'Berechnungen BA'!E10)</f>
        <v/>
      </c>
      <c r="J19" s="146" t="str">
        <f>IF('Berechnungen BA'!$C$9="","",'Berechnungen BA'!E11)</f>
        <v/>
      </c>
      <c r="O19" s="408"/>
    </row>
    <row r="20" spans="1:26" ht="16.5" thickBot="1" x14ac:dyDescent="0.3">
      <c r="A20" s="144">
        <v>4</v>
      </c>
      <c r="B20" s="122" t="s">
        <v>172</v>
      </c>
      <c r="H20" s="155" t="str">
        <f>IF('Berechnungen BA'!$C$9="","",'Berechnungen BA'!F9)</f>
        <v/>
      </c>
      <c r="I20" s="146" t="str">
        <f>IF('Berechnungen BA'!$C$9="","",'Berechnungen BA'!F10)</f>
        <v/>
      </c>
      <c r="J20" s="146" t="str">
        <f>IF('Berechnungen BA'!$C$9="","",'Berechnungen BA'!F11)</f>
        <v/>
      </c>
      <c r="O20" s="408"/>
    </row>
    <row r="21" spans="1:26" ht="49.5" thickBot="1" x14ac:dyDescent="0.3">
      <c r="C21" s="158" t="s">
        <v>2</v>
      </c>
      <c r="D21" s="158" t="s">
        <v>3</v>
      </c>
      <c r="E21" s="159" t="s">
        <v>224</v>
      </c>
      <c r="F21" s="158"/>
      <c r="G21" s="160" t="s">
        <v>15</v>
      </c>
      <c r="H21" s="161" t="s">
        <v>16</v>
      </c>
      <c r="I21" s="161" t="s">
        <v>17</v>
      </c>
      <c r="J21" s="161" t="s">
        <v>18</v>
      </c>
      <c r="K21" s="161" t="s">
        <v>19</v>
      </c>
      <c r="L21" s="161" t="s">
        <v>20</v>
      </c>
      <c r="M21" s="158"/>
      <c r="N21" s="160" t="s">
        <v>166</v>
      </c>
      <c r="O21" s="408"/>
      <c r="Q21" s="162" t="s">
        <v>244</v>
      </c>
      <c r="R21" s="162" t="s">
        <v>247</v>
      </c>
      <c r="S21" s="162" t="s">
        <v>245</v>
      </c>
      <c r="T21" s="162" t="s">
        <v>246</v>
      </c>
      <c r="U21" s="162" t="s">
        <v>266</v>
      </c>
      <c r="V21" s="162" t="s">
        <v>248</v>
      </c>
      <c r="W21" s="162" t="s">
        <v>267</v>
      </c>
      <c r="X21" s="162" t="s">
        <v>268</v>
      </c>
      <c r="Y21" s="162" t="s">
        <v>249</v>
      </c>
      <c r="Z21" s="162" t="s">
        <v>250</v>
      </c>
    </row>
    <row r="22" spans="1:26" ht="16.5" thickBot="1" x14ac:dyDescent="0.3">
      <c r="B22" s="281">
        <v>1</v>
      </c>
      <c r="C22" s="288"/>
      <c r="D22" s="288"/>
      <c r="E22" s="282"/>
      <c r="G22" s="164">
        <f>SUM(H22:L22,N22)</f>
        <v>0</v>
      </c>
      <c r="H22" s="165"/>
      <c r="I22" s="165"/>
      <c r="J22" s="165"/>
      <c r="K22" s="165"/>
      <c r="L22" s="165"/>
      <c r="M22" s="166"/>
      <c r="N22" s="280"/>
      <c r="O22" s="167" t="str">
        <f>IF(OR(C22="",D22=""),"",IF(AND(C22&lt;&gt;"",D22&lt;&gt;"",E22=""),"Bitte Lekt. bei Vollpens. angeben",G22/E22))</f>
        <v/>
      </c>
      <c r="Q22" s="168">
        <f>IF(Aufgabenplanung!$B$26=0,0,SUM($H22:$L22)*0.75/24/5)</f>
        <v>0</v>
      </c>
      <c r="R22" s="168">
        <v>0</v>
      </c>
      <c r="S22" s="168">
        <f>IF(E22="",0,IF(SUM(Aufgabenplanung!$B$27:$B$28)=0,0,'Berechnungen BA'!$D$36/5*'ZD Vorerfassung'!$N22/SUM(Aufgabenplanung!$B$27:$B$28)/24*'Berechnungen BA'!$B$9/E22))</f>
        <v>0</v>
      </c>
      <c r="T22" s="168">
        <f>IF(E22="",0,IF(SUM(Aufgabenplanung!$B$27:$B$28)=0,0,'Berechnungen BA'!$D$36/5*'ZD Vorerfassung'!$N22/SUM(Aufgabenplanung!$B$27:$B$28)/24*'Berechnungen BA'!$B$9/E22))</f>
        <v>0</v>
      </c>
      <c r="U22" s="169">
        <f>IFERROR(IF($E22="",0,IF('Berechnungen BA'!$C$9="",
'Berechnungen BA'!$D$29/5/24*SUM($H22:$L22)/'Berechnungen BA'!$B$10,
(VLOOKUP($E22,'Berechnungen BA'!$A$30:$G$33,4,0)/5/24)*SUM($H22:$L22)/HLOOKUP($E22,'Berechnungen BA'!$C$9:$F$11,2,0))),0)</f>
        <v>0</v>
      </c>
      <c r="V22" s="169">
        <f>IFERROR(IF($E22="",0,IF('Berechnungen BA'!$C$9="",
'Berechnungen BA'!$E$29/5/24*SUM($H22:$L22)/'Berechnungen BA'!$B$10,
(VLOOKUP($E22,'Berechnungen BA'!$A$30:$G$33,5,0)/5/24)*SUM($H22:$L22)/HLOOKUP($E22,'Berechnungen BA'!$C$9:$F$11,2,0))),0)</f>
        <v>0</v>
      </c>
      <c r="W22" s="168">
        <f>+Y22-U22-S22-Q22</f>
        <v>0</v>
      </c>
      <c r="X22" s="168">
        <f>+Z22-V22-T22-R22</f>
        <v>0</v>
      </c>
      <c r="Y22" s="168">
        <f>IFERROR(IF(SUM(H22:N22)=0,0,42/24/5*SUM(H22:N22)/E22),0)</f>
        <v>0</v>
      </c>
      <c r="Z22" s="168">
        <f>IFERROR(IF(SUM(H22:N22)=0,0,42/24/5*SUM(H22:N22)/E22),0)</f>
        <v>0</v>
      </c>
    </row>
    <row r="23" spans="1:26" ht="16.5" thickBot="1" x14ac:dyDescent="0.3">
      <c r="B23" s="72">
        <v>2</v>
      </c>
      <c r="C23" s="288"/>
      <c r="D23" s="288"/>
      <c r="E23" s="282" t="str">
        <f>IF(D23="","",Aufgabenplanung!$B$25)</f>
        <v/>
      </c>
      <c r="G23" s="164">
        <f t="shared" ref="G23:G36" si="0">SUM(H23:L23,N23)</f>
        <v>0</v>
      </c>
      <c r="H23" s="165"/>
      <c r="I23" s="165"/>
      <c r="J23" s="165"/>
      <c r="K23" s="165"/>
      <c r="L23" s="165"/>
      <c r="M23" s="166"/>
      <c r="N23" s="280"/>
      <c r="O23" s="167" t="str">
        <f t="shared" ref="O23:O36" si="1">IF(OR(C23="",D23=""),"",IF(AND(C23&lt;&gt;"",D23&lt;&gt;"",E23=""),"Bitte Lekt. bei Vollpens. angeben",G23/E23))</f>
        <v/>
      </c>
      <c r="Q23" s="168">
        <f>IF(Aufgabenplanung!$B$26=0,0,SUM($H23:$L23)*0.75/24/5)</f>
        <v>0</v>
      </c>
      <c r="R23" s="168">
        <v>0</v>
      </c>
      <c r="S23" s="168">
        <f t="array" ref="S23">IF(E23="",0,IF(SUM(Aufgabenplanung!$B$27:$B$28)=0,0,'Berechnungen BA'!$D$36/5*'ZD Vorerfassung'!$N23/SUM(Aufgabenplanung!$B$27:$B$28)/24*'Berechnungen BA'!$B$9/E23))</f>
        <v>0</v>
      </c>
      <c r="T23" s="168">
        <f>IF(E23="",0,IF(SUM(Aufgabenplanung!$B$27:$B$28)=0,0,'Berechnungen BA'!$D$36/5*'ZD Vorerfassung'!$N23/SUM(Aufgabenplanung!$B$27:$B$28)/24*'Berechnungen BA'!$B$9/E23))</f>
        <v>0</v>
      </c>
      <c r="U23" s="169">
        <f>IFERROR(IF($E23="",0,IF('Berechnungen BA'!$C$9="",
'Berechnungen BA'!$D$29/5/24*SUM($H23:$L23)/'Berechnungen BA'!$B$10,
(VLOOKUP($E23,'Berechnungen BA'!$A$30:$G$33,4,0)/5/24)*SUM($H23:$L23)/HLOOKUP($E23,'Berechnungen BA'!$C$9:$F$11,2,0))),0)</f>
        <v>0</v>
      </c>
      <c r="V23" s="169">
        <f>IFERROR(IF($E23="",0,IF('Berechnungen BA'!$C$9="",
'Berechnungen BA'!$E$29/5/24*SUM($H23:$L23)/'Berechnungen BA'!$B$10,
(VLOOKUP($E23,'Berechnungen BA'!$A$30:$G$33,5,0)/5/24)*SUM($H23:$L23)/HLOOKUP($E23,'Berechnungen BA'!$C$9:$F$11,2,0))),0)</f>
        <v>0</v>
      </c>
      <c r="W23" s="168">
        <f t="shared" ref="W23:W36" si="2">+Y23-U23-S23-Q23</f>
        <v>0</v>
      </c>
      <c r="X23" s="168">
        <f t="shared" ref="X23:X36" si="3">+Z23-V23-T23-R23</f>
        <v>0</v>
      </c>
      <c r="Y23" s="168">
        <f t="shared" ref="Y23:Y36" si="4">IFERROR(IF(SUM(H23:N23)=0,0,42/24/5*SUM(H23:N23)/E23),0)</f>
        <v>0</v>
      </c>
      <c r="Z23" s="168">
        <f t="shared" ref="Z23:Z36" si="5">IFERROR(IF(SUM(H23:N23)=0,0,42/24/5*SUM(H23:N23)/E23),0)</f>
        <v>0</v>
      </c>
    </row>
    <row r="24" spans="1:26" ht="16.5" thickBot="1" x14ac:dyDescent="0.3">
      <c r="B24" s="72">
        <v>3</v>
      </c>
      <c r="C24" s="288"/>
      <c r="D24" s="288"/>
      <c r="E24" s="282" t="str">
        <f>IF(D24="","",Aufgabenplanung!$B$25)</f>
        <v/>
      </c>
      <c r="G24" s="164">
        <f t="shared" si="0"/>
        <v>0</v>
      </c>
      <c r="H24" s="165"/>
      <c r="I24" s="165"/>
      <c r="J24" s="165"/>
      <c r="K24" s="165"/>
      <c r="L24" s="165"/>
      <c r="M24" s="166"/>
      <c r="N24" s="280"/>
      <c r="O24" s="167" t="str">
        <f t="shared" si="1"/>
        <v/>
      </c>
      <c r="Q24" s="168">
        <f>IF(Aufgabenplanung!$B$26=0,0,SUM($H24:$L24)*0.75/24/5)</f>
        <v>0</v>
      </c>
      <c r="R24" s="168">
        <v>0</v>
      </c>
      <c r="S24" s="168">
        <f t="array" ref="S24">IF(E24="",0,IF(SUM(Aufgabenplanung!$B$27:$B$28)=0,0,'Berechnungen BA'!$D$36/5*'ZD Vorerfassung'!$N24/SUM(Aufgabenplanung!$B$27:$B$28)/24*'Berechnungen BA'!$B$9/E24))</f>
        <v>0</v>
      </c>
      <c r="T24" s="168">
        <f>IF(E24="",0,IF(SUM(Aufgabenplanung!$B$27:$B$28)=0,0,'Berechnungen BA'!$D$36/5*'ZD Vorerfassung'!$N24/SUM(Aufgabenplanung!$B$27:$B$28)/24*'Berechnungen BA'!$B$9/E24))</f>
        <v>0</v>
      </c>
      <c r="U24" s="169">
        <f>IFERROR(IF($E24="",0,IF('Berechnungen BA'!$C$9="",
'Berechnungen BA'!$D$29/5/24*SUM($H24:$L24)/'Berechnungen BA'!$B$10,
(VLOOKUP($E24,'Berechnungen BA'!$A$30:$G$33,4,0)/5/24)*SUM($H24:$L24)/HLOOKUP($E24,'Berechnungen BA'!$C$9:$F$11,2,0))),0)</f>
        <v>0</v>
      </c>
      <c r="V24" s="169">
        <f>IFERROR(IF($E24="",0,IF('Berechnungen BA'!$C$9="",
'Berechnungen BA'!$E$29/5/24*SUM($H24:$L24)/'Berechnungen BA'!$B$10,
(VLOOKUP($E24,'Berechnungen BA'!$A$30:$G$33,5,0)/5/24)*SUM($H24:$L24)/HLOOKUP($E24,'Berechnungen BA'!$C$9:$F$11,2,0))),0)</f>
        <v>0</v>
      </c>
      <c r="W24" s="168">
        <f t="shared" si="2"/>
        <v>0</v>
      </c>
      <c r="X24" s="168">
        <f t="shared" si="3"/>
        <v>0</v>
      </c>
      <c r="Y24" s="168">
        <f t="shared" si="4"/>
        <v>0</v>
      </c>
      <c r="Z24" s="168">
        <f t="shared" si="5"/>
        <v>0</v>
      </c>
    </row>
    <row r="25" spans="1:26" ht="16.5" thickBot="1" x14ac:dyDescent="0.3">
      <c r="B25" s="72">
        <v>4</v>
      </c>
      <c r="C25" s="288"/>
      <c r="D25" s="288"/>
      <c r="E25" s="282" t="str">
        <f>IF(D25="","",Aufgabenplanung!$B$25)</f>
        <v/>
      </c>
      <c r="G25" s="164">
        <f t="shared" si="0"/>
        <v>0</v>
      </c>
      <c r="H25" s="165"/>
      <c r="I25" s="165"/>
      <c r="J25" s="165"/>
      <c r="K25" s="165"/>
      <c r="L25" s="165"/>
      <c r="M25" s="166"/>
      <c r="N25" s="280"/>
      <c r="O25" s="167" t="str">
        <f t="shared" si="1"/>
        <v/>
      </c>
      <c r="Q25" s="168">
        <f>IF(Aufgabenplanung!$B$26=0,0,SUM($H25:$L25)*0.75/24/5)</f>
        <v>0</v>
      </c>
      <c r="R25" s="168">
        <v>0</v>
      </c>
      <c r="S25" s="168">
        <f t="array" ref="S25">IF(E25="",0,IF(SUM(Aufgabenplanung!$B$27:$B$28)=0,0,'Berechnungen BA'!$D$36/5*'ZD Vorerfassung'!$N25/SUM(Aufgabenplanung!$B$27:$B$28)/24*'Berechnungen BA'!$B$9/E25))</f>
        <v>0</v>
      </c>
      <c r="T25" s="168">
        <f>IF(E25="",0,IF(SUM(Aufgabenplanung!$B$27:$B$28)=0,0,'Berechnungen BA'!$D$36/5*'ZD Vorerfassung'!$N25/SUM(Aufgabenplanung!$B$27:$B$28)/24*'Berechnungen BA'!$B$9/E25))</f>
        <v>0</v>
      </c>
      <c r="U25" s="169">
        <f>IFERROR(IF($E25="",0,IF('Berechnungen BA'!$C$9="",
'Berechnungen BA'!$D$29/5/24*SUM($H25:$L25)/'Berechnungen BA'!$B$10,
(VLOOKUP($E25,'Berechnungen BA'!$A$30:$G$33,4,0)/5/24)*SUM($H25:$L25)/HLOOKUP($E25,'Berechnungen BA'!$C$9:$F$11,2,0))),0)</f>
        <v>0</v>
      </c>
      <c r="V25" s="169">
        <f>IFERROR(IF($E25="",0,IF('Berechnungen BA'!$C$9="",
'Berechnungen BA'!$E$29/5/24*SUM($H25:$L25)/'Berechnungen BA'!$B$10,
(VLOOKUP($E25,'Berechnungen BA'!$A$30:$G$33,5,0)/5/24)*SUM($H25:$L25)/HLOOKUP($E25,'Berechnungen BA'!$C$9:$F$11,2,0))),0)</f>
        <v>0</v>
      </c>
      <c r="W25" s="168">
        <f t="shared" si="2"/>
        <v>0</v>
      </c>
      <c r="X25" s="168">
        <f t="shared" si="3"/>
        <v>0</v>
      </c>
      <c r="Y25" s="168">
        <f t="shared" si="4"/>
        <v>0</v>
      </c>
      <c r="Z25" s="168">
        <f t="shared" si="5"/>
        <v>0</v>
      </c>
    </row>
    <row r="26" spans="1:26" ht="16.5" thickBot="1" x14ac:dyDescent="0.3">
      <c r="B26" s="281">
        <v>5</v>
      </c>
      <c r="C26" s="288"/>
      <c r="D26" s="288"/>
      <c r="E26" s="282" t="str">
        <f>IF(D26="","",Aufgabenplanung!$B$25)</f>
        <v/>
      </c>
      <c r="G26" s="164">
        <f t="shared" si="0"/>
        <v>0</v>
      </c>
      <c r="H26" s="165"/>
      <c r="I26" s="165"/>
      <c r="J26" s="165"/>
      <c r="K26" s="165"/>
      <c r="L26" s="165"/>
      <c r="M26" s="166"/>
      <c r="N26" s="280"/>
      <c r="O26" s="167" t="str">
        <f t="shared" si="1"/>
        <v/>
      </c>
      <c r="Q26" s="168">
        <f>IF(Aufgabenplanung!$B$26=0,0,SUM($H26:$L26)*0.75/24/5)</f>
        <v>0</v>
      </c>
      <c r="R26" s="168">
        <v>0</v>
      </c>
      <c r="S26" s="168">
        <f t="array" ref="S26">IF(E26="",0,IF(SUM(Aufgabenplanung!$B$27:$B$28)=0,0,'Berechnungen BA'!$D$36/5*'ZD Vorerfassung'!$N26/SUM(Aufgabenplanung!$B$27:$B$28)/24*'Berechnungen BA'!$B$9/E26))</f>
        <v>0</v>
      </c>
      <c r="T26" s="168">
        <f>IF(E26="",0,IF(SUM(Aufgabenplanung!$B$27:$B$28)=0,0,'Berechnungen BA'!$D$36/5*'ZD Vorerfassung'!$N26/SUM(Aufgabenplanung!$B$27:$B$28)/24*'Berechnungen BA'!$B$9/E26))</f>
        <v>0</v>
      </c>
      <c r="U26" s="169">
        <f>IFERROR(IF($E26="",0,IF('Berechnungen BA'!$C$9="",
'Berechnungen BA'!$D$29/5/24*SUM($H26:$L26)/'Berechnungen BA'!$B$10,
(VLOOKUP($E26,'Berechnungen BA'!$A$30:$G$33,4,0)/5/24)*SUM($H26:$L26)/HLOOKUP($E26,'Berechnungen BA'!$C$9:$F$11,2,0))),0)</f>
        <v>0</v>
      </c>
      <c r="V26" s="169">
        <f>IFERROR(IF($E26="",0,IF('Berechnungen BA'!$C$9="",
'Berechnungen BA'!$E$29/5/24*SUM($H26:$L26)/'Berechnungen BA'!$B$10,
(VLOOKUP($E26,'Berechnungen BA'!$A$30:$G$33,5,0)/5/24)*SUM($H26:$L26)/HLOOKUP($E26,'Berechnungen BA'!$C$9:$F$11,2,0))),0)</f>
        <v>0</v>
      </c>
      <c r="W26" s="168">
        <f t="shared" si="2"/>
        <v>0</v>
      </c>
      <c r="X26" s="168">
        <f t="shared" si="3"/>
        <v>0</v>
      </c>
      <c r="Y26" s="168">
        <f t="shared" si="4"/>
        <v>0</v>
      </c>
      <c r="Z26" s="168">
        <f t="shared" si="5"/>
        <v>0</v>
      </c>
    </row>
    <row r="27" spans="1:26" ht="16.5" thickBot="1" x14ac:dyDescent="0.3">
      <c r="B27" s="281">
        <v>6</v>
      </c>
      <c r="C27" s="288"/>
      <c r="D27" s="288"/>
      <c r="E27" s="282" t="str">
        <f>IF(D27="","",Aufgabenplanung!$B$25)</f>
        <v/>
      </c>
      <c r="F27" s="170"/>
      <c r="G27" s="164">
        <f t="shared" si="0"/>
        <v>0</v>
      </c>
      <c r="H27" s="165"/>
      <c r="I27" s="165"/>
      <c r="J27" s="165"/>
      <c r="K27" s="165"/>
      <c r="L27" s="165"/>
      <c r="M27" s="166"/>
      <c r="N27" s="280"/>
      <c r="O27" s="167" t="str">
        <f t="shared" si="1"/>
        <v/>
      </c>
      <c r="Q27" s="168">
        <f>IF(Aufgabenplanung!$B$26=0,0,SUM($H27:$L27)*0.75/24/5)</f>
        <v>0</v>
      </c>
      <c r="R27" s="168">
        <v>0</v>
      </c>
      <c r="S27" s="168">
        <f t="array" ref="S27">IF(E27="",0,IF(SUM(Aufgabenplanung!$B$27:$B$28)=0,0,'Berechnungen BA'!$D$36/5*'ZD Vorerfassung'!$N27/SUM(Aufgabenplanung!$B$27:$B$28)/24*'Berechnungen BA'!$B$9/E27))</f>
        <v>0</v>
      </c>
      <c r="T27" s="168">
        <f>IF(E27="",0,IF(SUM(Aufgabenplanung!$B$27:$B$28)=0,0,'Berechnungen BA'!$D$36/5*'ZD Vorerfassung'!$N27/SUM(Aufgabenplanung!$B$27:$B$28)/24*'Berechnungen BA'!$B$9/E27))</f>
        <v>0</v>
      </c>
      <c r="U27" s="169">
        <f>IFERROR(IF($E27="",0,IF('Berechnungen BA'!$C$9="",
'Berechnungen BA'!$D$29/5/24*SUM($H27:$L27)/'Berechnungen BA'!$B$10,
(VLOOKUP($E27,'Berechnungen BA'!$A$30:$G$33,4,0)/5/24)*SUM($H27:$L27)/HLOOKUP($E27,'Berechnungen BA'!$C$9:$F$11,2,0))),0)</f>
        <v>0</v>
      </c>
      <c r="V27" s="169">
        <f>IFERROR(IF($E27="",0,IF('Berechnungen BA'!$C$9="",
'Berechnungen BA'!$E$29/5/24*SUM($H27:$L27)/'Berechnungen BA'!$B$10,
(VLOOKUP($E27,'Berechnungen BA'!$A$30:$G$33,5,0)/5/24)*SUM($H27:$L27)/HLOOKUP($E27,'Berechnungen BA'!$C$9:$F$11,2,0))),0)</f>
        <v>0</v>
      </c>
      <c r="W27" s="168">
        <f t="shared" si="2"/>
        <v>0</v>
      </c>
      <c r="X27" s="168">
        <f t="shared" si="3"/>
        <v>0</v>
      </c>
      <c r="Y27" s="168">
        <f t="shared" si="4"/>
        <v>0</v>
      </c>
      <c r="Z27" s="168">
        <f t="shared" si="5"/>
        <v>0</v>
      </c>
    </row>
    <row r="28" spans="1:26" ht="16.5" thickBot="1" x14ac:dyDescent="0.3">
      <c r="B28" s="281">
        <v>7</v>
      </c>
      <c r="C28" s="288"/>
      <c r="D28" s="288"/>
      <c r="E28" s="282" t="str">
        <f>IF(D28="","",Aufgabenplanung!$B$25)</f>
        <v/>
      </c>
      <c r="F28" s="170"/>
      <c r="G28" s="164">
        <f t="shared" si="0"/>
        <v>0</v>
      </c>
      <c r="H28" s="165"/>
      <c r="I28" s="165"/>
      <c r="J28" s="165"/>
      <c r="K28" s="165"/>
      <c r="L28" s="165"/>
      <c r="M28" s="166"/>
      <c r="N28" s="280"/>
      <c r="O28" s="167" t="str">
        <f t="shared" si="1"/>
        <v/>
      </c>
      <c r="Q28" s="168">
        <f>IF(Aufgabenplanung!$B$26=0,0,SUM($H28:$L28)*0.75/24/5)</f>
        <v>0</v>
      </c>
      <c r="R28" s="168">
        <v>0</v>
      </c>
      <c r="S28" s="168">
        <f t="array" ref="S28">IF(E28="",0,IF(SUM(Aufgabenplanung!$B$27:$B$28)=0,0,'Berechnungen BA'!$D$36/5*'ZD Vorerfassung'!$N28/SUM(Aufgabenplanung!$B$27:$B$28)/24*'Berechnungen BA'!$B$9/E28))</f>
        <v>0</v>
      </c>
      <c r="T28" s="168">
        <f>IF(E28="",0,IF(SUM(Aufgabenplanung!$B$27:$B$28)=0,0,'Berechnungen BA'!$D$36/5*'ZD Vorerfassung'!$N28/SUM(Aufgabenplanung!$B$27:$B$28)/24*'Berechnungen BA'!$B$9/E28))</f>
        <v>0</v>
      </c>
      <c r="U28" s="169">
        <f>IFERROR(IF($E28="",0,IF('Berechnungen BA'!$C$9="",
'Berechnungen BA'!$D$29/5/24*SUM($H28:$L28)/'Berechnungen BA'!$B$10,
(VLOOKUP($E28,'Berechnungen BA'!$A$30:$G$33,4,0)/5/24)*SUM($H28:$L28)/HLOOKUP($E28,'Berechnungen BA'!$C$9:$F$11,2,0))),0)</f>
        <v>0</v>
      </c>
      <c r="V28" s="169">
        <f>IFERROR(IF($E28="",0,IF('Berechnungen BA'!$C$9="",
'Berechnungen BA'!$E$29/5/24*SUM($H28:$L28)/'Berechnungen BA'!$B$10,
(VLOOKUP($E28,'Berechnungen BA'!$A$30:$G$33,5,0)/5/24)*SUM($H28:$L28)/HLOOKUP($E28,'Berechnungen BA'!$C$9:$F$11,2,0))),0)</f>
        <v>0</v>
      </c>
      <c r="W28" s="168">
        <f t="shared" si="2"/>
        <v>0</v>
      </c>
      <c r="X28" s="168">
        <f t="shared" si="3"/>
        <v>0</v>
      </c>
      <c r="Y28" s="168">
        <f t="shared" si="4"/>
        <v>0</v>
      </c>
      <c r="Z28" s="168">
        <f t="shared" si="5"/>
        <v>0</v>
      </c>
    </row>
    <row r="29" spans="1:26" ht="16.5" thickBot="1" x14ac:dyDescent="0.3">
      <c r="B29" s="281">
        <v>8</v>
      </c>
      <c r="C29" s="288"/>
      <c r="D29" s="288"/>
      <c r="E29" s="282" t="str">
        <f>IF(D29="","",Aufgabenplanung!$B$25)</f>
        <v/>
      </c>
      <c r="F29" s="171"/>
      <c r="G29" s="164">
        <f t="shared" si="0"/>
        <v>0</v>
      </c>
      <c r="H29" s="165"/>
      <c r="I29" s="165"/>
      <c r="J29" s="165"/>
      <c r="K29" s="165"/>
      <c r="L29" s="165"/>
      <c r="M29" s="166"/>
      <c r="N29" s="280"/>
      <c r="O29" s="167" t="str">
        <f t="shared" si="1"/>
        <v/>
      </c>
      <c r="Q29" s="168">
        <f>IF(Aufgabenplanung!$B$26=0,0,SUM($H29:$L29)*0.75/24/5)</f>
        <v>0</v>
      </c>
      <c r="R29" s="168">
        <v>0</v>
      </c>
      <c r="S29" s="168">
        <f t="array" ref="S29">IF(E29="",0,IF(SUM(Aufgabenplanung!$B$27:$B$28)=0,0,'Berechnungen BA'!$D$36/5*'ZD Vorerfassung'!$N29/SUM(Aufgabenplanung!$B$27:$B$28)/24*'Berechnungen BA'!$B$9/E29))</f>
        <v>0</v>
      </c>
      <c r="T29" s="168">
        <f>IF(E29="",0,IF(SUM(Aufgabenplanung!$B$27:$B$28)=0,0,'Berechnungen BA'!$D$36/5*'ZD Vorerfassung'!$N29/SUM(Aufgabenplanung!$B$27:$B$28)/24*'Berechnungen BA'!$B$9/E29))</f>
        <v>0</v>
      </c>
      <c r="U29" s="169">
        <f>IFERROR(IF($E29="",0,IF('Berechnungen BA'!$C$9="",
'Berechnungen BA'!$D$29/5/24*SUM($H29:$L29)/'Berechnungen BA'!$B$10,
(VLOOKUP($E29,'Berechnungen BA'!$A$30:$G$33,4,0)/5/24)*SUM($H29:$L29)/HLOOKUP($E29,'Berechnungen BA'!$C$9:$F$11,2,0))),0)</f>
        <v>0</v>
      </c>
      <c r="V29" s="169">
        <f>IFERROR(IF($E29="",0,IF('Berechnungen BA'!$C$9="",
'Berechnungen BA'!$E$29/5/24*SUM($H29:$L29)/'Berechnungen BA'!$B$10,
(VLOOKUP($E29,'Berechnungen BA'!$A$30:$G$33,5,0)/5/24)*SUM($H29:$L29)/HLOOKUP($E29,'Berechnungen BA'!$C$9:$F$11,2,0))),0)</f>
        <v>0</v>
      </c>
      <c r="W29" s="168">
        <f t="shared" si="2"/>
        <v>0</v>
      </c>
      <c r="X29" s="168">
        <f t="shared" si="3"/>
        <v>0</v>
      </c>
      <c r="Y29" s="168">
        <f t="shared" si="4"/>
        <v>0</v>
      </c>
      <c r="Z29" s="168">
        <f t="shared" si="5"/>
        <v>0</v>
      </c>
    </row>
    <row r="30" spans="1:26" ht="16.5" thickBot="1" x14ac:dyDescent="0.3">
      <c r="B30" s="281">
        <v>9</v>
      </c>
      <c r="C30" s="288"/>
      <c r="D30" s="288"/>
      <c r="E30" s="282" t="str">
        <f>IF(D30="","",Aufgabenplanung!$B$25)</f>
        <v/>
      </c>
      <c r="F30" s="170"/>
      <c r="G30" s="164">
        <f t="shared" si="0"/>
        <v>0</v>
      </c>
      <c r="H30" s="165"/>
      <c r="I30" s="165"/>
      <c r="J30" s="165"/>
      <c r="K30" s="165"/>
      <c r="L30" s="165"/>
      <c r="M30" s="166"/>
      <c r="N30" s="280"/>
      <c r="O30" s="167" t="str">
        <f t="shared" si="1"/>
        <v/>
      </c>
      <c r="Q30" s="168">
        <f>IF(Aufgabenplanung!$B$26=0,0,SUM($H30:$L30)*0.75/24/5)</f>
        <v>0</v>
      </c>
      <c r="R30" s="168">
        <v>0</v>
      </c>
      <c r="S30" s="168">
        <f t="array" ref="S30">IF(E30="",0,IF(SUM(Aufgabenplanung!$B$27:$B$28)=0,0,'Berechnungen BA'!$D$36/5*'ZD Vorerfassung'!$N30/SUM(Aufgabenplanung!$B$27:$B$28)/24*'Berechnungen BA'!$B$9/E30))</f>
        <v>0</v>
      </c>
      <c r="T30" s="168">
        <f>IF(E30="",0,IF(SUM(Aufgabenplanung!$B$27:$B$28)=0,0,'Berechnungen BA'!$D$36/5*'ZD Vorerfassung'!$N30/SUM(Aufgabenplanung!$B$27:$B$28)/24*'Berechnungen BA'!$B$9/E30))</f>
        <v>0</v>
      </c>
      <c r="U30" s="169">
        <f>IFERROR(IF($E30="",0,IF('Berechnungen BA'!$C$9="",
'Berechnungen BA'!$D$29/5/24*SUM($H30:$L30)/'Berechnungen BA'!$B$10,
(VLOOKUP($E30,'Berechnungen BA'!$A$30:$G$33,4,0)/5/24)*SUM($H30:$L30)/HLOOKUP($E30,'Berechnungen BA'!$C$9:$F$11,2,0))),0)</f>
        <v>0</v>
      </c>
      <c r="V30" s="169">
        <f>IFERROR(IF($E30="",0,IF('Berechnungen BA'!$C$9="",
'Berechnungen BA'!$E$29/5/24*SUM($H30:$L30)/'Berechnungen BA'!$B$10,
(VLOOKUP($E30,'Berechnungen BA'!$A$30:$G$33,5,0)/5/24)*SUM($H30:$L30)/HLOOKUP($E30,'Berechnungen BA'!$C$9:$F$11,2,0))),0)</f>
        <v>0</v>
      </c>
      <c r="W30" s="168">
        <f t="shared" si="2"/>
        <v>0</v>
      </c>
      <c r="X30" s="168">
        <f t="shared" si="3"/>
        <v>0</v>
      </c>
      <c r="Y30" s="168">
        <f t="shared" si="4"/>
        <v>0</v>
      </c>
      <c r="Z30" s="168">
        <f t="shared" si="5"/>
        <v>0</v>
      </c>
    </row>
    <row r="31" spans="1:26" ht="16.5" thickBot="1" x14ac:dyDescent="0.3">
      <c r="B31" s="281">
        <v>10</v>
      </c>
      <c r="C31" s="288"/>
      <c r="D31" s="288"/>
      <c r="E31" s="282" t="str">
        <f>IF(D31="","",Aufgabenplanung!$B$25)</f>
        <v/>
      </c>
      <c r="F31" s="170"/>
      <c r="G31" s="164">
        <f t="shared" si="0"/>
        <v>0</v>
      </c>
      <c r="H31" s="165"/>
      <c r="I31" s="165"/>
      <c r="J31" s="165"/>
      <c r="K31" s="165"/>
      <c r="L31" s="165"/>
      <c r="M31" s="166"/>
      <c r="N31" s="280"/>
      <c r="O31" s="167" t="str">
        <f t="shared" si="1"/>
        <v/>
      </c>
      <c r="Q31" s="168">
        <f>IF(Aufgabenplanung!$B$26=0,0,SUM($H31:$L31)*0.75/24/5)</f>
        <v>0</v>
      </c>
      <c r="R31" s="168">
        <v>0</v>
      </c>
      <c r="S31" s="168">
        <f t="array" ref="S31">IF(E31="",0,IF(SUM(Aufgabenplanung!$B$27:$B$28)=0,0,'Berechnungen BA'!$D$36/5*'ZD Vorerfassung'!$N31/SUM(Aufgabenplanung!$B$27:$B$28)/24*'Berechnungen BA'!$B$9/E31))</f>
        <v>0</v>
      </c>
      <c r="T31" s="168">
        <f>IF(E31="",0,IF(SUM(Aufgabenplanung!$B$27:$B$28)=0,0,'Berechnungen BA'!$D$36/5*'ZD Vorerfassung'!$N31/SUM(Aufgabenplanung!$B$27:$B$28)/24*'Berechnungen BA'!$B$9/E31))</f>
        <v>0</v>
      </c>
      <c r="U31" s="169">
        <f>IFERROR(IF($E31="",0,IF('Berechnungen BA'!$C$9="",
'Berechnungen BA'!$D$29/5/24*SUM($H31:$L31)/'Berechnungen BA'!$B$10,
(VLOOKUP($E31,'Berechnungen BA'!$A$30:$G$33,4,0)/5/24)*SUM($H31:$L31)/HLOOKUP($E31,'Berechnungen BA'!$C$9:$F$11,2,0))),0)</f>
        <v>0</v>
      </c>
      <c r="V31" s="169">
        <f>IFERROR(IF($E31="",0,IF('Berechnungen BA'!$C$9="",
'Berechnungen BA'!$E$29/5/24*SUM($H31:$L31)/'Berechnungen BA'!$B$10,
(VLOOKUP($E31,'Berechnungen BA'!$A$30:$G$33,5,0)/5/24)*SUM($H31:$L31)/HLOOKUP($E31,'Berechnungen BA'!$C$9:$F$11,2,0))),0)</f>
        <v>0</v>
      </c>
      <c r="W31" s="168">
        <f t="shared" si="2"/>
        <v>0</v>
      </c>
      <c r="X31" s="168">
        <f t="shared" si="3"/>
        <v>0</v>
      </c>
      <c r="Y31" s="168">
        <f t="shared" si="4"/>
        <v>0</v>
      </c>
      <c r="Z31" s="168">
        <f t="shared" si="5"/>
        <v>0</v>
      </c>
    </row>
    <row r="32" spans="1:26" ht="16.5" thickBot="1" x14ac:dyDescent="0.3">
      <c r="B32" s="281">
        <v>11</v>
      </c>
      <c r="C32" s="288"/>
      <c r="D32" s="288"/>
      <c r="E32" s="282" t="str">
        <f>IF(D32="","",Aufgabenplanung!$B$25)</f>
        <v/>
      </c>
      <c r="F32" s="170"/>
      <c r="G32" s="164">
        <f t="shared" si="0"/>
        <v>0</v>
      </c>
      <c r="H32" s="165"/>
      <c r="I32" s="165"/>
      <c r="J32" s="165"/>
      <c r="K32" s="165"/>
      <c r="L32" s="165"/>
      <c r="M32" s="166"/>
      <c r="N32" s="280"/>
      <c r="O32" s="167" t="str">
        <f t="shared" si="1"/>
        <v/>
      </c>
      <c r="Q32" s="168">
        <f>IF(Aufgabenplanung!$B$26=0,0,SUM($H32:$L32)*0.75/24/5)</f>
        <v>0</v>
      </c>
      <c r="R32" s="168">
        <v>0</v>
      </c>
      <c r="S32" s="168">
        <f t="array" ref="S32">IF(E32="",0,IF(SUM(Aufgabenplanung!$B$27:$B$28)=0,0,'Berechnungen BA'!$D$36/5*'ZD Vorerfassung'!$N32/SUM(Aufgabenplanung!$B$27:$B$28)/24*'Berechnungen BA'!$B$9/E32))</f>
        <v>0</v>
      </c>
      <c r="T32" s="168">
        <f>IF(E32="",0,IF(SUM(Aufgabenplanung!$B$27:$B$28)=0,0,'Berechnungen BA'!$D$36/5*'ZD Vorerfassung'!$N32/SUM(Aufgabenplanung!$B$27:$B$28)/24*'Berechnungen BA'!$B$9/E32))</f>
        <v>0</v>
      </c>
      <c r="U32" s="169">
        <f>IFERROR(IF($E32="",0,IF('Berechnungen BA'!$C$9="",
'Berechnungen BA'!$D$29/5/24*SUM($H32:$L32)/'Berechnungen BA'!$B$10,
(VLOOKUP($E32,'Berechnungen BA'!$A$30:$G$33,4,0)/5/24)*SUM($H32:$L32)/HLOOKUP($E32,'Berechnungen BA'!$C$9:$F$11,2,0))),0)</f>
        <v>0</v>
      </c>
      <c r="V32" s="169">
        <f>IFERROR(IF($E32="",0,IF('Berechnungen BA'!$C$9="",
'Berechnungen BA'!$E$29/5/24*SUM($H32:$L32)/'Berechnungen BA'!$B$10,
(VLOOKUP($E32,'Berechnungen BA'!$A$30:$G$33,5,0)/5/24)*SUM($H32:$L32)/HLOOKUP($E32,'Berechnungen BA'!$C$9:$F$11,2,0))),0)</f>
        <v>0</v>
      </c>
      <c r="W32" s="168">
        <f t="shared" si="2"/>
        <v>0</v>
      </c>
      <c r="X32" s="168">
        <f t="shared" si="3"/>
        <v>0</v>
      </c>
      <c r="Y32" s="168">
        <f t="shared" si="4"/>
        <v>0</v>
      </c>
      <c r="Z32" s="168">
        <f t="shared" si="5"/>
        <v>0</v>
      </c>
    </row>
    <row r="33" spans="2:26" ht="16.5" thickBot="1" x14ac:dyDescent="0.3">
      <c r="B33" s="281">
        <v>12</v>
      </c>
      <c r="C33" s="288"/>
      <c r="D33" s="288"/>
      <c r="E33" s="282" t="str">
        <f>IF(D33="","",Aufgabenplanung!$B$25)</f>
        <v/>
      </c>
      <c r="F33" s="170"/>
      <c r="G33" s="164">
        <f t="shared" si="0"/>
        <v>0</v>
      </c>
      <c r="H33" s="165"/>
      <c r="I33" s="165"/>
      <c r="J33" s="165"/>
      <c r="K33" s="165"/>
      <c r="L33" s="165"/>
      <c r="M33" s="166"/>
      <c r="N33" s="280"/>
      <c r="O33" s="167" t="str">
        <f t="shared" si="1"/>
        <v/>
      </c>
      <c r="Q33" s="168">
        <f>IF(Aufgabenplanung!$B$26=0,0,SUM($H33:$L33)*0.75/24/5)</f>
        <v>0</v>
      </c>
      <c r="R33" s="168">
        <v>0</v>
      </c>
      <c r="S33" s="168">
        <f t="array" ref="S33">IF(E33="",0,IF(SUM(Aufgabenplanung!$B$27:$B$28)=0,0,'Berechnungen BA'!$D$36/5*'ZD Vorerfassung'!$N33/SUM(Aufgabenplanung!$B$27:$B$28)/24*'Berechnungen BA'!$B$9/E33))</f>
        <v>0</v>
      </c>
      <c r="T33" s="168">
        <f>IF(E33="",0,IF(SUM(Aufgabenplanung!$B$27:$B$28)=0,0,'Berechnungen BA'!$D$36/5*'ZD Vorerfassung'!$N33/SUM(Aufgabenplanung!$B$27:$B$28)/24*'Berechnungen BA'!$B$9/E33))</f>
        <v>0</v>
      </c>
      <c r="U33" s="169">
        <f>IFERROR(IF($E33="",0,IF('Berechnungen BA'!$C$9="",
'Berechnungen BA'!$D$29/5/24*SUM($H33:$L33)/'Berechnungen BA'!$B$10,
(VLOOKUP($E33,'Berechnungen BA'!$A$30:$G$33,4,0)/5/24)*SUM($H33:$L33)/HLOOKUP($E33,'Berechnungen BA'!$C$9:$F$11,2,0))),0)</f>
        <v>0</v>
      </c>
      <c r="V33" s="169">
        <f>IFERROR(IF($E33="",0,IF('Berechnungen BA'!$C$9="",
'Berechnungen BA'!$E$29/5/24*SUM($H33:$L33)/'Berechnungen BA'!$B$10,
(VLOOKUP($E33,'Berechnungen BA'!$A$30:$G$33,5,0)/5/24)*SUM($H33:$L33)/HLOOKUP($E33,'Berechnungen BA'!$C$9:$F$11,2,0))),0)</f>
        <v>0</v>
      </c>
      <c r="W33" s="168">
        <f t="shared" si="2"/>
        <v>0</v>
      </c>
      <c r="X33" s="168">
        <f t="shared" si="3"/>
        <v>0</v>
      </c>
      <c r="Y33" s="168">
        <f t="shared" si="4"/>
        <v>0</v>
      </c>
      <c r="Z33" s="168">
        <f t="shared" si="5"/>
        <v>0</v>
      </c>
    </row>
    <row r="34" spans="2:26" ht="16.5" thickBot="1" x14ac:dyDescent="0.3">
      <c r="B34" s="281">
        <v>13</v>
      </c>
      <c r="C34" s="288"/>
      <c r="D34" s="288"/>
      <c r="E34" s="282" t="str">
        <f>IF(D34="","",Aufgabenplanung!$B$25)</f>
        <v/>
      </c>
      <c r="F34" s="170"/>
      <c r="G34" s="164">
        <f t="shared" si="0"/>
        <v>0</v>
      </c>
      <c r="H34" s="165"/>
      <c r="I34" s="165"/>
      <c r="J34" s="165"/>
      <c r="K34" s="165"/>
      <c r="L34" s="165"/>
      <c r="M34" s="166"/>
      <c r="N34" s="280"/>
      <c r="O34" s="167" t="str">
        <f t="shared" si="1"/>
        <v/>
      </c>
      <c r="Q34" s="168">
        <f>IF(Aufgabenplanung!$B$26=0,0,SUM($H34:$L34)*0.75/24/5)</f>
        <v>0</v>
      </c>
      <c r="R34" s="168">
        <v>0</v>
      </c>
      <c r="S34" s="168">
        <f t="array" ref="S34">IF(E34="",0,IF(SUM(Aufgabenplanung!$B$27:$B$28)=0,0,'Berechnungen BA'!$D$36/5*'ZD Vorerfassung'!$N34/SUM(Aufgabenplanung!$B$27:$B$28)/24*'Berechnungen BA'!$B$9/E34))</f>
        <v>0</v>
      </c>
      <c r="T34" s="168">
        <f>IF(E34="",0,IF(SUM(Aufgabenplanung!$B$27:$B$28)=0,0,'Berechnungen BA'!$D$36/5*'ZD Vorerfassung'!$N34/SUM(Aufgabenplanung!$B$27:$B$28)/24*'Berechnungen BA'!$B$9/E34))</f>
        <v>0</v>
      </c>
      <c r="U34" s="169">
        <f>IFERROR(IF($E34="",0,IF('Berechnungen BA'!$C$9="",
'Berechnungen BA'!$D$29/5/24*SUM($H34:$L34)/'Berechnungen BA'!$B$10,
(VLOOKUP($E34,'Berechnungen BA'!$A$30:$G$33,4,0)/5/24)*SUM($H34:$L34)/HLOOKUP($E34,'Berechnungen BA'!$C$9:$F$11,2,0))),0)</f>
        <v>0</v>
      </c>
      <c r="V34" s="169">
        <f>IFERROR(IF($E34="",0,IF('Berechnungen BA'!$C$9="",
'Berechnungen BA'!$E$29/5/24*SUM($H34:$L34)/'Berechnungen BA'!$B$10,
(VLOOKUP($E34,'Berechnungen BA'!$A$30:$G$33,5,0)/5/24)*SUM($H34:$L34)/HLOOKUP($E34,'Berechnungen BA'!$C$9:$F$11,2,0))),0)</f>
        <v>0</v>
      </c>
      <c r="W34" s="168">
        <f t="shared" si="2"/>
        <v>0</v>
      </c>
      <c r="X34" s="168">
        <f t="shared" si="3"/>
        <v>0</v>
      </c>
      <c r="Y34" s="168">
        <f t="shared" si="4"/>
        <v>0</v>
      </c>
      <c r="Z34" s="168">
        <f t="shared" si="5"/>
        <v>0</v>
      </c>
    </row>
    <row r="35" spans="2:26" ht="16.5" thickBot="1" x14ac:dyDescent="0.3">
      <c r="B35" s="281">
        <v>14</v>
      </c>
      <c r="C35" s="288"/>
      <c r="D35" s="288"/>
      <c r="E35" s="282" t="str">
        <f>IF(D35="","",Aufgabenplanung!$B$25)</f>
        <v/>
      </c>
      <c r="F35" s="170"/>
      <c r="G35" s="164">
        <f t="shared" si="0"/>
        <v>0</v>
      </c>
      <c r="H35" s="165"/>
      <c r="I35" s="165"/>
      <c r="J35" s="165"/>
      <c r="K35" s="165"/>
      <c r="L35" s="165"/>
      <c r="M35" s="166"/>
      <c r="N35" s="280"/>
      <c r="O35" s="167" t="str">
        <f t="shared" si="1"/>
        <v/>
      </c>
      <c r="Q35" s="168">
        <f>IF(Aufgabenplanung!$B$26=0,0,SUM($H35:$L35)*0.75/24/5)</f>
        <v>0</v>
      </c>
      <c r="R35" s="168">
        <v>0</v>
      </c>
      <c r="S35" s="168">
        <f t="array" ref="S35">IF(E35="",0,IF(SUM(Aufgabenplanung!$B$27:$B$28)=0,0,'Berechnungen BA'!$D$36/5*'ZD Vorerfassung'!$N35/SUM(Aufgabenplanung!$B$27:$B$28)/24*'Berechnungen BA'!$B$9/E35))</f>
        <v>0</v>
      </c>
      <c r="T35" s="168">
        <f>IF(E35="",0,IF(SUM(Aufgabenplanung!$B$27:$B$28)=0,0,'Berechnungen BA'!$D$36/5*'ZD Vorerfassung'!$N35/SUM(Aufgabenplanung!$B$27:$B$28)/24*'Berechnungen BA'!$B$9/E35))</f>
        <v>0</v>
      </c>
      <c r="U35" s="169">
        <f>IFERROR(IF($E35="",0,IF('Berechnungen BA'!$C$9="",
'Berechnungen BA'!$D$29/5/24*SUM($H35:$L35)/'Berechnungen BA'!$B$10,
(VLOOKUP($E35,'Berechnungen BA'!$A$30:$G$33,4,0)/5/24)*SUM($H35:$L35)/HLOOKUP($E35,'Berechnungen BA'!$C$9:$F$11,2,0))),0)</f>
        <v>0</v>
      </c>
      <c r="V35" s="169">
        <f>IFERROR(IF($E35="",0,IF('Berechnungen BA'!$C$9="",
'Berechnungen BA'!$E$29/5/24*SUM($H35:$L35)/'Berechnungen BA'!$B$10,
(VLOOKUP($E35,'Berechnungen BA'!$A$30:$G$33,5,0)/5/24)*SUM($H35:$L35)/HLOOKUP($E35,'Berechnungen BA'!$C$9:$F$11,2,0))),0)</f>
        <v>0</v>
      </c>
      <c r="W35" s="168">
        <f t="shared" si="2"/>
        <v>0</v>
      </c>
      <c r="X35" s="168">
        <f t="shared" si="3"/>
        <v>0</v>
      </c>
      <c r="Y35" s="168">
        <f t="shared" si="4"/>
        <v>0</v>
      </c>
      <c r="Z35" s="168">
        <f t="shared" si="5"/>
        <v>0</v>
      </c>
    </row>
    <row r="36" spans="2:26" ht="16.5" thickBot="1" x14ac:dyDescent="0.3">
      <c r="B36" s="281">
        <v>15</v>
      </c>
      <c r="C36" s="288"/>
      <c r="D36" s="288"/>
      <c r="E36" s="282" t="str">
        <f>IF(D36="","",Aufgabenplanung!$B$25)</f>
        <v/>
      </c>
      <c r="F36" s="170"/>
      <c r="G36" s="164">
        <f t="shared" si="0"/>
        <v>0</v>
      </c>
      <c r="H36" s="165"/>
      <c r="I36" s="165"/>
      <c r="J36" s="165"/>
      <c r="K36" s="165"/>
      <c r="L36" s="165"/>
      <c r="M36" s="166"/>
      <c r="N36" s="280"/>
      <c r="O36" s="167" t="str">
        <f t="shared" si="1"/>
        <v/>
      </c>
      <c r="Q36" s="168">
        <f>IF(Aufgabenplanung!$B$26=0,0,SUM($H36:$L36)*0.75/24/5)</f>
        <v>0</v>
      </c>
      <c r="R36" s="168">
        <v>0</v>
      </c>
      <c r="S36" s="168">
        <f t="array" ref="S36">IF(E36="",0,IF(SUM(Aufgabenplanung!$B$27:$B$28)=0,0,'Berechnungen BA'!$D$36/5*'ZD Vorerfassung'!$N36/SUM(Aufgabenplanung!$B$27:$B$28)/24*'Berechnungen BA'!$B$9/E36))</f>
        <v>0</v>
      </c>
      <c r="T36" s="168">
        <f>IF(E36="",0,IF(SUM(Aufgabenplanung!$B$27:$B$28)=0,0,'Berechnungen BA'!$D$36/5*'ZD Vorerfassung'!$N36/SUM(Aufgabenplanung!$B$27:$B$28)/24*'Berechnungen BA'!$B$9/E36))</f>
        <v>0</v>
      </c>
      <c r="U36" s="169">
        <f>IFERROR(IF($E36="",0,IF('Berechnungen BA'!$C$9="",
'Berechnungen BA'!$D$29/5/24*SUM($H36:$L36)/'Berechnungen BA'!$B$10,
(VLOOKUP($E36,'Berechnungen BA'!$A$30:$G$33,4,0)/5/24)*SUM($H36:$L36)/HLOOKUP($E36,'Berechnungen BA'!$C$9:$F$11,2,0))),0)</f>
        <v>0</v>
      </c>
      <c r="V36" s="169">
        <f>IFERROR(IF($E36="",0,IF('Berechnungen BA'!$C$9="",
'Berechnungen BA'!$E$29/5/24*SUM($H36:$L36)/'Berechnungen BA'!$B$10,
(VLOOKUP($E36,'Berechnungen BA'!$A$30:$G$33,5,0)/5/24)*SUM($H36:$L36)/HLOOKUP($E36,'Berechnungen BA'!$C$9:$F$11,2,0))),0)</f>
        <v>0</v>
      </c>
      <c r="W36" s="168">
        <f t="shared" si="2"/>
        <v>0</v>
      </c>
      <c r="X36" s="168">
        <f t="shared" si="3"/>
        <v>0</v>
      </c>
      <c r="Y36" s="168">
        <f t="shared" si="4"/>
        <v>0</v>
      </c>
      <c r="Z36" s="168">
        <f t="shared" si="5"/>
        <v>0</v>
      </c>
    </row>
    <row r="38" spans="2:26" ht="21.2" customHeight="1" x14ac:dyDescent="0.25">
      <c r="G38" s="172"/>
      <c r="N38" s="172"/>
      <c r="O38" s="172"/>
      <c r="Q38" s="173"/>
      <c r="R38" s="173"/>
      <c r="S38" s="173"/>
      <c r="T38" s="173"/>
    </row>
    <row r="39" spans="2:26" x14ac:dyDescent="0.2">
      <c r="Q39" s="173"/>
      <c r="R39" s="174"/>
      <c r="S39" s="174"/>
      <c r="T39" s="174"/>
    </row>
    <row r="41" spans="2:26" ht="15.75" x14ac:dyDescent="0.25">
      <c r="Q41" s="175"/>
      <c r="R41" s="175"/>
      <c r="S41" s="175"/>
      <c r="T41" s="175"/>
      <c r="U41" s="175"/>
      <c r="V41" s="175"/>
    </row>
    <row r="45" spans="2:26" x14ac:dyDescent="0.2">
      <c r="L45" s="176"/>
    </row>
  </sheetData>
  <sheetProtection sheet="1" objects="1" scenarios="1"/>
  <mergeCells count="2">
    <mergeCell ref="C10:C13"/>
    <mergeCell ref="O17:O21"/>
  </mergeCells>
  <conditionalFormatting sqref="G38">
    <cfRule type="expression" dxfId="16" priority="3">
      <formula>G38="alle Unterrichtslektionen erfasst"</formula>
    </cfRule>
  </conditionalFormatting>
  <conditionalFormatting sqref="N38:O38">
    <cfRule type="expression" dxfId="15" priority="2">
      <formula>N38="alle Unterrichtslektionen erfasst"</formula>
    </cfRule>
  </conditionalFormatting>
  <conditionalFormatting sqref="H18:J20">
    <cfRule type="expression" dxfId="14" priority="1">
      <formula>H18=""</formula>
    </cfRule>
  </conditionalFormatting>
  <dataValidations count="4">
    <dataValidation type="date" operator="greaterThan" allowBlank="1" showInputMessage="1" showErrorMessage="1" errorTitle="Fehler" error="Bitte gültiges Datum eingeben. " sqref="H37:I38" xr:uid="{00000000-0002-0000-0400-000000000000}">
      <formula1>1</formula1>
    </dataValidation>
    <dataValidation type="list" allowBlank="1" showInputMessage="1" showErrorMessage="1" sqref="F11:F13" xr:uid="{00000000-0002-0000-0400-000001000000}">
      <formula1>"automatisch,manuell"</formula1>
    </dataValidation>
    <dataValidation type="list" allowBlank="1" showInputMessage="1" showErrorMessage="1" sqref="E11:E13" xr:uid="{00000000-0002-0000-0400-000002000000}">
      <formula1>manu_auto</formula1>
    </dataValidation>
    <dataValidation type="list" allowBlank="1" showInputMessage="1" showErrorMessage="1" sqref="D37:D38" xr:uid="{00000000-0002-0000-0400-000003000000}">
      <formula1>$N$7:$N$19</formula1>
    </dataValidation>
  </dataValidations>
  <pageMargins left="0.39370078740157499" right="0.39370078740157499" top="0.59055118110236204" bottom="0.59055118110236204" header="0.39370078740157499" footer="0.39370078740157499"/>
  <pageSetup paperSize="9" scale="66" fitToHeight="300" orientation="landscape" r:id="rId1"/>
  <headerFooter>
    <oddFooter>&amp;L&amp;F&amp;C&amp;D&amp;R&amp;P von &amp;N</oddFooter>
  </headerFooter>
  <customProperties>
    <customPr name="_pios_id" r:id="rId2"/>
  </customProperties>
  <ignoredErrors>
    <ignoredError sqref="E23:E36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400-000004000000}">
          <x14:formula1>
            <xm:f>OFFSET(Dropdowns!$G$1,1,MATCH(Aufgabenplanung!$B$4,Dropdowns!$G$1:$I$1,0)-1,COUNT(OFFSET(Dropdowns!$G$1,1,MATCH(Aufgabenplanung!$B$4,Dropdowns!$G$1:$I$1,0)-1,4,1)),1)</xm:f>
          </x14:formula1>
          <xm:sqref>E22:E36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5">
    <tabColor theme="4" tint="0.39997558519241921"/>
    <pageSetUpPr fitToPage="1"/>
  </sheetPr>
  <dimension ref="A1:BB373"/>
  <sheetViews>
    <sheetView zoomScale="82" zoomScaleNormal="100" workbookViewId="0">
      <pane xSplit="5" ySplit="7" topLeftCell="F8" activePane="bottomRight" state="frozen"/>
      <selection activeCell="B11" sqref="B11:C11"/>
      <selection pane="topRight" activeCell="B11" sqref="B11:C11"/>
      <selection pane="bottomLeft" activeCell="B11" sqref="B11:C11"/>
      <selection pane="bottomRight" activeCell="E10" sqref="E10"/>
    </sheetView>
  </sheetViews>
  <sheetFormatPr baseColWidth="10" defaultColWidth="10.6640625" defaultRowHeight="15" x14ac:dyDescent="0.2"/>
  <cols>
    <col min="1" max="1" width="1.6640625" style="72" hidden="1" customWidth="1"/>
    <col min="2" max="2" width="8.88671875" style="72" customWidth="1"/>
    <col min="3" max="3" width="8.88671875" style="118" customWidth="1"/>
    <col min="4" max="4" width="8.88671875" style="72" customWidth="1"/>
    <col min="5" max="5" width="22.5546875" style="72" bestFit="1" customWidth="1"/>
    <col min="6" max="6" width="9.109375" style="119" customWidth="1"/>
    <col min="7" max="44" width="9.109375" style="72" customWidth="1"/>
    <col min="45" max="45" width="11" style="72" customWidth="1"/>
    <col min="46" max="46" width="2.5546875" style="72" customWidth="1"/>
    <col min="47" max="47" width="12.5546875" style="82" hidden="1" customWidth="1"/>
    <col min="48" max="48" width="12.5546875" style="83" hidden="1" customWidth="1"/>
    <col min="49" max="50" width="12.5546875" style="82" hidden="1" customWidth="1"/>
    <col min="51" max="52" width="8.21875" style="82" hidden="1" customWidth="1"/>
    <col min="53" max="53" width="12.5546875" style="83" hidden="1" customWidth="1"/>
    <col min="54" max="16384" width="10.6640625" style="72"/>
  </cols>
  <sheetData>
    <row r="1" spans="1:54" ht="30.75" thickBot="1" x14ac:dyDescent="0.45">
      <c r="B1" s="73" t="str">
        <f>"Zeiterfassung SJ "&amp;Schuljahr</f>
        <v>Zeiterfassung SJ 2026/2027</v>
      </c>
      <c r="C1" s="74"/>
      <c r="D1" s="75"/>
      <c r="E1" s="75"/>
      <c r="F1" s="76" t="str">
        <f>Vorname&amp;" "&amp;Nachname</f>
        <v>0 0</v>
      </c>
      <c r="G1" s="75"/>
      <c r="H1" s="75"/>
      <c r="I1" s="75"/>
      <c r="J1" s="77" t="s">
        <v>27</v>
      </c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9" t="s">
        <v>202</v>
      </c>
      <c r="AK1" s="80"/>
      <c r="AL1" s="80"/>
      <c r="AM1" s="80"/>
      <c r="AN1" s="80"/>
      <c r="AO1" s="80"/>
      <c r="AP1" s="80"/>
      <c r="AQ1" s="81"/>
      <c r="AR1" s="81"/>
      <c r="AS1" s="81"/>
    </row>
    <row r="2" spans="1:54" ht="30.2" customHeight="1" thickBot="1" x14ac:dyDescent="0.4">
      <c r="A2" s="84"/>
      <c r="B2" s="85" t="s">
        <v>226</v>
      </c>
      <c r="C2" s="86"/>
      <c r="D2" s="87"/>
      <c r="E2" s="85"/>
      <c r="F2" s="88"/>
      <c r="G2" s="75"/>
      <c r="H2" s="75"/>
      <c r="I2" s="75"/>
      <c r="J2" s="78"/>
      <c r="K2" s="409" t="str">
        <f>+IF(Aufgabenplanung!A36="","",Aufgabenplanung!A36)</f>
        <v>Mögliche Auswahl</v>
      </c>
      <c r="L2" s="409" t="str">
        <f>+IF(Aufgabenplanung!A37="","",Aufgabenplanung!A37)</f>
        <v>Mögliche Auswahl</v>
      </c>
      <c r="M2" s="409" t="str">
        <f>+IF(Aufgabenplanung!A38="","",Aufgabenplanung!A38)</f>
        <v>Mögliche Auswahl</v>
      </c>
      <c r="N2" s="409" t="str">
        <f>+IF(Aufgabenplanung!A39="","",Aufgabenplanung!A39)</f>
        <v>Mögliche Auswahl</v>
      </c>
      <c r="O2" s="409" t="str">
        <f>+IF(Aufgabenplanung!A40="","",Aufgabenplanung!A40)</f>
        <v>Mögliche Auswahl</v>
      </c>
      <c r="P2" s="409" t="str">
        <f>+IF(Aufgabenplanung!A41="","",Aufgabenplanung!A41)</f>
        <v>Mögliche Auswahl</v>
      </c>
      <c r="Q2" s="409" t="str">
        <f>+IF(Aufgabenplanung!A42="","",Aufgabenplanung!A42)</f>
        <v>Mögliche Auswahl</v>
      </c>
      <c r="R2" s="409" t="str">
        <f>+IF(Aufgabenplanung!A43="","",Aufgabenplanung!A43)</f>
        <v>Mögliche Auswahl</v>
      </c>
      <c r="S2" s="409" t="str">
        <f>+IF(Aufgabenplanung!A44="","",Aufgabenplanung!A44)</f>
        <v>Mögliche Auswahl</v>
      </c>
      <c r="T2" s="409" t="str">
        <f>+IF(Aufgabenplanung!A45="","",Aufgabenplanung!A45)</f>
        <v>Mögliche Auswahl</v>
      </c>
      <c r="U2" s="409" t="str">
        <f>+IF(Aufgabenplanung!A46="","",Aufgabenplanung!A46)</f>
        <v>Mögliche Auswahl</v>
      </c>
      <c r="V2" s="409" t="str">
        <f>+IF(Aufgabenplanung!A47="","",Aufgabenplanung!A47)</f>
        <v>Mögliche Auswahl</v>
      </c>
      <c r="W2" s="409" t="str">
        <f>+IF(Aufgabenplanung!A48="","",Aufgabenplanung!A48)</f>
        <v>Mögliche Auswahl</v>
      </c>
      <c r="X2" s="409" t="str">
        <f>+IF(Aufgabenplanung!A49="","",Aufgabenplanung!A49)</f>
        <v>Mögliche Auswahl</v>
      </c>
      <c r="Y2" s="409" t="str">
        <f>+IF(Aufgabenplanung!A50="","",Aufgabenplanung!A50)</f>
        <v>Mögliche Auswahl</v>
      </c>
      <c r="Z2" s="409" t="str">
        <f>+IF(Aufgabenplanung!A51="","",Aufgabenplanung!A51)</f>
        <v>Mögliche Auswahl</v>
      </c>
      <c r="AA2" s="409" t="str">
        <f>+IF(Aufgabenplanung!A52="","",Aufgabenplanung!A52)</f>
        <v>Mögliche Auswahl</v>
      </c>
      <c r="AB2" s="409" t="str">
        <f>+IF(Aufgabenplanung!A53="","",Aufgabenplanung!A53)</f>
        <v>Mögliche Auswahl</v>
      </c>
      <c r="AC2" s="409" t="str">
        <f>+IF(Aufgabenplanung!A54="","",Aufgabenplanung!A54)</f>
        <v>Mögliche Auswahl</v>
      </c>
      <c r="AD2" s="409" t="str">
        <f>+IF(Aufgabenplanung!A55="","",Aufgabenplanung!A55)</f>
        <v>Mögliche Auswahl</v>
      </c>
      <c r="AE2" s="409" t="str">
        <f>+IF(Aufgabenplanung!A59="","",Aufgabenplanung!A59)</f>
        <v>Bitte angeben</v>
      </c>
      <c r="AF2" s="409" t="str">
        <f>+IF(Aufgabenplanung!A60="","",Aufgabenplanung!A60)</f>
        <v>Bitte angeben</v>
      </c>
      <c r="AG2" s="409" t="str">
        <f>+IF(Aufgabenplanung!A61="","",Aufgabenplanung!A61)</f>
        <v>Bitte angeben</v>
      </c>
      <c r="AH2" s="409" t="str">
        <f>+IF(Aufgabenplanung!A62="","",Aufgabenplanung!A62)</f>
        <v>Bitte angeben</v>
      </c>
      <c r="AI2" s="409" t="str">
        <f>+IF(Aufgabenplanung!A63="","",Aufgabenplanung!A63)</f>
        <v>Bitte angeben</v>
      </c>
      <c r="AJ2" s="80"/>
      <c r="AK2" s="412" t="str">
        <f>+IF(Aufgabenplanung!A73="","",Aufgabenplanung!A73)</f>
        <v>Klassenleitung</v>
      </c>
      <c r="AL2" s="412" t="str">
        <f>+IF(Aufgabenplanung!A74="","",Aufgabenplanung!A74)</f>
        <v>Mögliche Auswahl</v>
      </c>
      <c r="AM2" s="412" t="str">
        <f>+IF(Aufgabenplanung!A75="","",Aufgabenplanung!A75)</f>
        <v>Mögliche Auswahl</v>
      </c>
      <c r="AN2" s="412" t="str">
        <f>+IF(Aufgabenplanung!A76="","",Aufgabenplanung!A76)</f>
        <v>Mögliche Auswahl</v>
      </c>
      <c r="AO2" s="412" t="str">
        <f>+IF(Aufgabenplanung!A80="","",Aufgabenplanung!A80)</f>
        <v>Bitte angeben</v>
      </c>
      <c r="AP2" s="412" t="str">
        <f>+IF(Aufgabenplanung!A81="","",Aufgabenplanung!A81)</f>
        <v>Bitte angeben</v>
      </c>
      <c r="AQ2" s="89"/>
      <c r="AR2" s="89"/>
      <c r="AS2" s="89"/>
    </row>
    <row r="3" spans="1:54" ht="26.45" customHeight="1" thickBot="1" x14ac:dyDescent="0.3">
      <c r="A3" s="84"/>
      <c r="B3" s="90" t="s">
        <v>227</v>
      </c>
      <c r="C3" s="90" t="s">
        <v>228</v>
      </c>
      <c r="D3" s="90" t="s">
        <v>229</v>
      </c>
      <c r="E3" s="90" t="s">
        <v>15</v>
      </c>
      <c r="F3" s="88"/>
      <c r="G3" s="75"/>
      <c r="H3" s="75"/>
      <c r="I3" s="75"/>
      <c r="J3" s="78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10"/>
      <c r="W3" s="410"/>
      <c r="X3" s="410"/>
      <c r="Y3" s="410"/>
      <c r="Z3" s="410"/>
      <c r="AA3" s="410"/>
      <c r="AB3" s="410"/>
      <c r="AC3" s="410"/>
      <c r="AD3" s="410"/>
      <c r="AE3" s="410"/>
      <c r="AF3" s="410"/>
      <c r="AG3" s="410"/>
      <c r="AH3" s="410"/>
      <c r="AI3" s="410"/>
      <c r="AJ3" s="80"/>
      <c r="AK3" s="412"/>
      <c r="AL3" s="412"/>
      <c r="AM3" s="412"/>
      <c r="AN3" s="412"/>
      <c r="AO3" s="412"/>
      <c r="AP3" s="412"/>
      <c r="AQ3" s="89"/>
      <c r="AR3" s="89"/>
      <c r="AS3" s="89"/>
    </row>
    <row r="4" spans="1:54" ht="18.75" thickBot="1" x14ac:dyDescent="0.3">
      <c r="A4" s="84"/>
      <c r="B4" s="91"/>
      <c r="C4" s="91"/>
      <c r="D4" s="92"/>
      <c r="E4" s="93">
        <f>(C4-B4)-D4/24*0.75</f>
        <v>0</v>
      </c>
      <c r="F4" s="88"/>
      <c r="G4" s="75"/>
      <c r="H4" s="75"/>
      <c r="I4" s="75"/>
      <c r="J4" s="77"/>
      <c r="K4" s="410"/>
      <c r="L4" s="410"/>
      <c r="M4" s="410"/>
      <c r="N4" s="410"/>
      <c r="O4" s="410"/>
      <c r="P4" s="410"/>
      <c r="Q4" s="410"/>
      <c r="R4" s="410"/>
      <c r="S4" s="410"/>
      <c r="T4" s="410"/>
      <c r="U4" s="410"/>
      <c r="V4" s="410"/>
      <c r="W4" s="410"/>
      <c r="X4" s="410"/>
      <c r="Y4" s="410"/>
      <c r="Z4" s="410"/>
      <c r="AA4" s="410"/>
      <c r="AB4" s="410"/>
      <c r="AC4" s="410"/>
      <c r="AD4" s="410"/>
      <c r="AE4" s="410"/>
      <c r="AF4" s="410"/>
      <c r="AG4" s="410"/>
      <c r="AH4" s="410"/>
      <c r="AI4" s="410"/>
      <c r="AJ4" s="79"/>
      <c r="AK4" s="412"/>
      <c r="AL4" s="412"/>
      <c r="AM4" s="412"/>
      <c r="AN4" s="412"/>
      <c r="AO4" s="412"/>
      <c r="AP4" s="412"/>
      <c r="AQ4" s="89"/>
      <c r="AR4" s="89"/>
      <c r="AS4" s="89"/>
    </row>
    <row r="5" spans="1:54" ht="30.2" customHeight="1" thickBot="1" x14ac:dyDescent="0.3">
      <c r="A5" s="84"/>
      <c r="B5" s="75"/>
      <c r="C5" s="75"/>
      <c r="D5" s="75"/>
      <c r="E5" s="75"/>
      <c r="F5" s="88"/>
      <c r="G5" s="75"/>
      <c r="H5" s="75"/>
      <c r="I5" s="75"/>
      <c r="J5" s="413" t="str">
        <f>IF('ZD Vorerfassung'!E12="automatisch","","Total")</f>
        <v>Total</v>
      </c>
      <c r="K5" s="410"/>
      <c r="L5" s="410"/>
      <c r="M5" s="410"/>
      <c r="N5" s="410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4" t="str">
        <f>IF('ZD Vorerfassung'!E13="automatisch","","Total")</f>
        <v>Total</v>
      </c>
      <c r="AK5" s="412"/>
      <c r="AL5" s="412"/>
      <c r="AM5" s="412"/>
      <c r="AN5" s="412"/>
      <c r="AO5" s="412"/>
      <c r="AP5" s="412"/>
      <c r="AQ5" s="89"/>
      <c r="AR5" s="89"/>
      <c r="AS5" s="89"/>
    </row>
    <row r="6" spans="1:54" ht="30.2" customHeight="1" thickBot="1" x14ac:dyDescent="0.3">
      <c r="A6" s="84"/>
      <c r="B6" s="81"/>
      <c r="C6" s="94"/>
      <c r="D6" s="81" t="s">
        <v>28</v>
      </c>
      <c r="E6" s="81" t="s">
        <v>29</v>
      </c>
      <c r="F6" s="95" t="s">
        <v>203</v>
      </c>
      <c r="G6" s="96"/>
      <c r="H6" s="96" t="s">
        <v>26</v>
      </c>
      <c r="I6" s="96" t="s">
        <v>26</v>
      </c>
      <c r="J6" s="413"/>
      <c r="K6" s="411"/>
      <c r="L6" s="411"/>
      <c r="M6" s="411"/>
      <c r="N6" s="411"/>
      <c r="O6" s="411"/>
      <c r="P6" s="411"/>
      <c r="Q6" s="411"/>
      <c r="R6" s="411"/>
      <c r="S6" s="411"/>
      <c r="T6" s="411"/>
      <c r="U6" s="411"/>
      <c r="V6" s="411"/>
      <c r="W6" s="411"/>
      <c r="X6" s="411"/>
      <c r="Y6" s="411"/>
      <c r="Z6" s="411"/>
      <c r="AA6" s="411"/>
      <c r="AB6" s="411"/>
      <c r="AC6" s="411"/>
      <c r="AD6" s="411"/>
      <c r="AE6" s="411"/>
      <c r="AF6" s="411"/>
      <c r="AG6" s="411"/>
      <c r="AH6" s="411"/>
      <c r="AI6" s="411"/>
      <c r="AJ6" s="414"/>
      <c r="AK6" s="412"/>
      <c r="AL6" s="412"/>
      <c r="AM6" s="412"/>
      <c r="AN6" s="412"/>
      <c r="AO6" s="412"/>
      <c r="AP6" s="412"/>
      <c r="AQ6" s="89" t="s">
        <v>204</v>
      </c>
      <c r="AR6" s="89"/>
      <c r="AS6" s="89"/>
      <c r="AU6" s="97"/>
      <c r="AW6" s="97"/>
      <c r="AX6" s="97"/>
    </row>
    <row r="7" spans="1:54" ht="18.75" thickBot="1" x14ac:dyDescent="0.3">
      <c r="A7" s="84"/>
      <c r="B7" s="81" t="s">
        <v>198</v>
      </c>
      <c r="C7" s="94"/>
      <c r="D7" s="81"/>
      <c r="E7" s="81"/>
      <c r="F7" s="95" t="s">
        <v>30</v>
      </c>
      <c r="G7" s="81" t="s">
        <v>21</v>
      </c>
      <c r="H7" s="81" t="s">
        <v>21</v>
      </c>
      <c r="I7" s="81" t="s">
        <v>21</v>
      </c>
      <c r="J7" s="81" t="s">
        <v>21</v>
      </c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 t="s">
        <v>21</v>
      </c>
      <c r="AK7" s="81"/>
      <c r="AL7" s="81"/>
      <c r="AM7" s="81"/>
      <c r="AN7" s="81"/>
      <c r="AO7" s="81"/>
      <c r="AP7" s="81"/>
      <c r="AQ7" s="98" t="s">
        <v>22</v>
      </c>
      <c r="AR7" s="98" t="s">
        <v>23</v>
      </c>
      <c r="AS7" s="98" t="s">
        <v>24</v>
      </c>
      <c r="AU7" s="82" t="s">
        <v>174</v>
      </c>
      <c r="AV7" s="83" t="s">
        <v>196</v>
      </c>
      <c r="AW7" s="82" t="s">
        <v>197</v>
      </c>
      <c r="AX7" s="82" t="s">
        <v>176</v>
      </c>
      <c r="AY7" s="82" t="s">
        <v>175</v>
      </c>
      <c r="AZ7" s="82" t="s">
        <v>177</v>
      </c>
      <c r="BA7" s="83" t="s">
        <v>42</v>
      </c>
    </row>
    <row r="8" spans="1:54" ht="19.5" thickTop="1" thickBot="1" x14ac:dyDescent="0.3">
      <c r="A8" s="84"/>
      <c r="B8" s="99">
        <f t="shared" ref="B8:B71" si="0">IF(B7="Datum",DATE(LEFT(Schuljahr,4),8,1),B7+1)</f>
        <v>44773</v>
      </c>
      <c r="C8" s="100">
        <f>B8</f>
        <v>44773</v>
      </c>
      <c r="D8" s="101" t="str">
        <f t="shared" ref="D8" si="1">IF(WEEKDAY(B8,2)&gt;5,"WE",IF(OR(AND(B8&gt;=UU1_start,B8&lt;=UU1_stop),AND(B8&gt;=UU2_start,B8&lt;=UU2_stop),AND(B8&gt;=UU3_start,B8&lt;=UU3_stop)),"UU",
IF(COUNTIF(Data_Feiertage,B8)&gt;0,"FT",
IF(COUNTIF(Data_Feiertage_halb,B8)&gt;0,"FH",
IF(COUNTIF(Data_Schulferien,B8)&gt;0,"SF",
"NR")))))</f>
        <v>WE</v>
      </c>
      <c r="E8" s="102" t="str">
        <f t="shared" ref="E8:E71" si="2">IF(D8="FT",Param8,
IF(D8="FH",Param9,
IF(D8="WE",Param7,
IF(D8="SF",Param2,
IF(D8="NR",Param1,
IF(D8="UU",Param10,
""))))))</f>
        <v>Wochenende</v>
      </c>
      <c r="F8" s="103" t="str">
        <f t="shared" ref="F8" si="3">IF(E8=Param1,AV8,"")</f>
        <v/>
      </c>
      <c r="G8" s="104" t="str">
        <f t="shared" ref="G8" si="4">IF(F8="","",F8*0.75*60/1440)</f>
        <v/>
      </c>
      <c r="H8" s="104">
        <f>IFERROR(IF('ZD Vorerfassung'!$E$11="manuell",SUM(I8),IF(OR(E8="Feiertag",E8="Wochenende"),0,IF('ZD Vorerfassung'!$E$11="automatisch",AX8,IF(D8="UU","UU",IF(E8=Param2,AX8/24,IF(E8=Param9,AX8/48,"")))))),0)</f>
        <v>0</v>
      </c>
      <c r="I8" s="105"/>
      <c r="J8" s="106">
        <f>IF('ZD Vorerfassung'!$E$12="manuell",SUM(K8:AI8),IF(OR(E8="Feiertag",E8="Wochenende"),0,IF('ZD Vorerfassung'!$E$12="automatisch",AY8,IF(D8="UU","UU",IF(E8=Param2,AY8/24,IF(E8=Param9,AY8/48,""))))))</f>
        <v>0</v>
      </c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7">
        <f t="shared" ref="AJ8" si="5">IF(VorsaldoFerien="manuell",SUM(AK8:AP8),IF(OR(E8="Feiertag",E8="Wochenende"),0,IF(VorsaldoFerien="automatisch",AZ8,IF(D8="UU","UU",IF(E8=Param2,AX8/24,IF(E8=Param9,AX8/48,""))))))</f>
        <v>0</v>
      </c>
      <c r="AK8" s="105"/>
      <c r="AL8" s="105"/>
      <c r="AM8" s="105"/>
      <c r="AN8" s="105"/>
      <c r="AO8" s="105"/>
      <c r="AP8" s="105"/>
      <c r="AQ8" s="108">
        <f t="shared" ref="AQ8" si="6">IF(OR(D8="FT",D8="WE",D8="UU"),0,
IF(D8="FH",AU8/2,AU8))</f>
        <v>0</v>
      </c>
      <c r="AR8" s="108">
        <f>IF(E8=Param1,SUM(G8,H8,J8,AJ8),
IF(OR(E8=Param2,E8=Param3,E8=Param7,E8=Param8,E8=Param9),SUM(G8,H8,J8,AJ8),
IF(OR(E8=Param4,E8=Param6),AQ8,
IF(OR(E8=Param5,E8=Param10),0,0))))</f>
        <v>0</v>
      </c>
      <c r="AS8" s="109">
        <f>IF(AND(DAY(B8)=1,MONTH(B8)=8),0+AR8-AQ8,AS7+AR8-AQ8)</f>
        <v>0</v>
      </c>
      <c r="AU8" s="110">
        <f t="shared" ref="AU8:AU71" si="7">SUM(AW8:AZ8)</f>
        <v>0</v>
      </c>
      <c r="AV8" s="111" t="str">
        <f>IF(D8="NR",
IF('ZD Vorerfassung'!$E$22="",0,IF(AND(B8&gt;='ZD Vorerfassung'!$C$22,B8&lt;='ZD Vorerfassung'!$D$22),HLOOKUP(TEXT(C8,"ttt"),'ZD Vorerfassung'!$H$21:$L$36,2,0),0)/'ZD Vorerfassung'!$E$22*Aufgabenplanung!$B$25)+
IF('ZD Vorerfassung'!$E$23="",0,IF(AND(B8&gt;='ZD Vorerfassung'!$C$23,B8&lt;='ZD Vorerfassung'!$D$23),HLOOKUP(TEXT(C8,"ttt"),'ZD Vorerfassung'!$H$21:$L$36,3,0),0)/'ZD Vorerfassung'!$E$23*Aufgabenplanung!$B$25)+
IF('ZD Vorerfassung'!$E$24="",0,IF(AND(B8&gt;='ZD Vorerfassung'!$C$24,B8&lt;='ZD Vorerfassung'!$D$24),HLOOKUP(TEXT(C8,"ttt"),'ZD Vorerfassung'!$H$21:$L$36,4,0),0)/'ZD Vorerfassung'!$E$24*Aufgabenplanung!$B$25)+
IF('ZD Vorerfassung'!$E$25="",0,IF(AND(B8&gt;='ZD Vorerfassung'!$C$25,B8&lt;='ZD Vorerfassung'!$D$25),HLOOKUP(TEXT(C8,"ttt"),'ZD Vorerfassung'!$H$21:$L$36,5,0),0)/'ZD Vorerfassung'!$E$25*Aufgabenplanung!$B$25)+
IF('ZD Vorerfassung'!$E$26="",0,IF(AND(B8&gt;='ZD Vorerfassung'!$C$26,B8&lt;='ZD Vorerfassung'!$D$26),HLOOKUP(TEXT(C8,"ttt"),'ZD Vorerfassung'!$H$21:$L$36,6,0),0)/'ZD Vorerfassung'!$E$26*Aufgabenplanung!$B$25)+
IF('ZD Vorerfassung'!$E$27="",0,IF(AND(B8&gt;='ZD Vorerfassung'!$C$27,B8&lt;='ZD Vorerfassung'!$D$27),HLOOKUP(TEXT(C8,"ttt"),'ZD Vorerfassung'!$H$21:$L$36,7,0),0)/'ZD Vorerfassung'!$E$27*Aufgabenplanung!$B$25)+
IF('ZD Vorerfassung'!$E$28="",0,IF(AND(B8&gt;='ZD Vorerfassung'!$C$28,B8&lt;='ZD Vorerfassung'!$D$28),HLOOKUP(TEXT(C8,"ttt"),'ZD Vorerfassung'!$H$21:$L$36,8,0),0)/'ZD Vorerfassung'!$E$28*Aufgabenplanung!$B$25)+
IF('ZD Vorerfassung'!$E$29="",0,IF(AND(B8&gt;='ZD Vorerfassung'!$C$29,B8&lt;='ZD Vorerfassung'!$D$29),HLOOKUP(TEXT(C8,"ttt"),'ZD Vorerfassung'!$H$21:$L$36,9,0),0)/'ZD Vorerfassung'!$E$29*Aufgabenplanung!$B$25)+
IF('ZD Vorerfassung'!$E$30="",0,IF(AND(B8&gt;='ZD Vorerfassung'!$C$30,B8&lt;='ZD Vorerfassung'!$D$30),HLOOKUP(TEXT(C8,"ttt"),'ZD Vorerfassung'!$H$21:$L$36,10,0),0)/'ZD Vorerfassung'!$E$30*Aufgabenplanung!$B$25)+
IF('ZD Vorerfassung'!$E$31="",0,IF(AND(B8&gt;='ZD Vorerfassung'!$C$31,B8&lt;='ZD Vorerfassung'!$D$31),HLOOKUP(TEXT(C8,"ttt"),'ZD Vorerfassung'!$H$21:$L$36,11,0),0)/'ZD Vorerfassung'!$E$31*Aufgabenplanung!$B$25)+
IF('ZD Vorerfassung'!$E$32="",0,IF(AND(B8&gt;='ZD Vorerfassung'!$C$32,B8&lt;='ZD Vorerfassung'!$D$32),HLOOKUP(TEXT(C8,"ttt"),'ZD Vorerfassung'!$H$21:$L$36,12,0),0)/'ZD Vorerfassung'!$E$32*Aufgabenplanung!$B$25)+
IF('ZD Vorerfassung'!$E$33="",0,IF(AND(B8&gt;='ZD Vorerfassung'!$C$33,B8&lt;='ZD Vorerfassung'!$D$33),HLOOKUP(TEXT(C8,"ttt"),'ZD Vorerfassung'!$H$21:$L$36,13,0),0)/'ZD Vorerfassung'!$E$33*Aufgabenplanung!$B$25)+
IF('ZD Vorerfassung'!$E$34="",0,IF(AND(B8&gt;='ZD Vorerfassung'!$C$34,B8&lt;='ZD Vorerfassung'!$D$34),HLOOKUP(TEXT(C8,"ttt"),'ZD Vorerfassung'!$H$21:$L$36,14,0),0)/'ZD Vorerfassung'!$E$34*Aufgabenplanung!$B$25)+
IF('ZD Vorerfassung'!$E$35="",0,IF(AND(B8&gt;='ZD Vorerfassung'!$C$35,B8&lt;='ZD Vorerfassung'!$D$35),HLOOKUP(TEXT(C8,"ttt"),'ZD Vorerfassung'!$H$21:$L$36,15,0),0)/'ZD Vorerfassung'!$E$35*Aufgabenplanung!$B$25)+
IF('ZD Vorerfassung'!$E$36="",0,IF(AND(B8&gt;='ZD Vorerfassung'!$C$36,B8&lt;='ZD Vorerfassung'!$D$36),HLOOKUP(TEXT(C8,"ttt"),'ZD Vorerfassung'!$H$21:$L$36,16,0),0)/'ZD Vorerfassung'!$E$36*Aufgabenplanung!$B$25),"")</f>
        <v/>
      </c>
      <c r="AW8" s="110">
        <f t="array" ref="AW8">IF(OR(D8="UU",D8="FT",D8="WE"),0,
IF(D8="NR",SUM(IF(B8&gt;=_xlfn.NUMBERVALUE('ZD Vorerfassung'!$C$22:$C$36),1,0)*IF(B8&lt;=_xlfn.NUMBERVALUE('ZD Vorerfassung'!$D$22:$D$36),1,0)*'ZD Vorerfassung'!$Q$22:$Q$36),
IF(OR(D8="SF",D8="FH"),SUM(IF(B8&gt;=_xlfn.NUMBERVALUE('ZD Vorerfassung'!$C$22:$C$36),1,0)*IF(B8&lt;=_xlfn.NUMBERVALUE('ZD Vorerfassung'!$D$22:$D$36),1,0)*'ZD Vorerfassung'!$R$22:$R$36*IF(D8="FH",0.5,1)),
"prüfen")))</f>
        <v>0</v>
      </c>
      <c r="AX8" s="110">
        <f t="array" ref="AX8">IF(OR(D8="UU",D8="FT",D8="WE",E8="Ferien"),0,
IF(D8="NR",SUM(IF(B8&gt;=_xlfn.NUMBERVALUE('ZD Vorerfassung'!$C$22:$C$36),1,0)*IF(B8&lt;=_xlfn.NUMBERVALUE('ZD Vorerfassung'!$D$22:$D$36),1,0)*'ZD Vorerfassung'!$W$22:$W$36),
IF(OR(D8="SF",D8="FH"),SUM(IF(B8&gt;=_xlfn.NUMBERVALUE('ZD Vorerfassung'!$C$22:$C$36),1,0)*IF(B8&lt;=_xlfn.NUMBERVALUE('ZD Vorerfassung'!$D$22:$D$36),1,0)*'ZD Vorerfassung'!$X$22:$X$36*IF(D8="FH",0.5,1)),
"prüfen")))</f>
        <v>0</v>
      </c>
      <c r="AY8" s="110">
        <f t="array" ref="AY8">IF(OR(D8="UU",D8="FT",D8="WE",E8="Ferien"),0,
IF(D8="NR",SUM(IF(B8&gt;=_xlfn.NUMBERVALUE('ZD Vorerfassung'!$C$22:$C$36),1,0)*IF(B8&lt;=_xlfn.NUMBERVALUE('ZD Vorerfassung'!$D$22:$D$36),1,0)*'ZD Vorerfassung'!$U$22:$U$36),
IF(OR(D8="SF",D8="FH"),SUM(IF(B8&gt;=_xlfn.NUMBERVALUE('ZD Vorerfassung'!$C$22:$C$36),1,0)*IF(B8&lt;=_xlfn.NUMBERVALUE('ZD Vorerfassung'!$D$22:$D$36),1,0)*'ZD Vorerfassung'!$V$22:$V$36*IF(D8="FH",0.5,1)),
"prüfen")))</f>
        <v>0</v>
      </c>
      <c r="AZ8" s="110">
        <f t="array" ref="AZ8">IF(OR(D8="UU",D8="FT",D8="WE",E8="Ferien"),0,
IF(D8="NR",SUM(IF(B8&gt;=_xlfn.NUMBERVALUE('ZD Vorerfassung'!$C$22:$C$36),1,0)*IF(B8&lt;=_xlfn.NUMBERVALUE('ZD Vorerfassung'!$D$22:$D$36),1,0)*'ZD Vorerfassung'!$S$22:$S$36),
IF(OR(D8="SF",D8="FH"),SUM(IF(B8&gt;=_xlfn.NUMBERVALUE('ZD Vorerfassung'!$C$22:$C$36),1,0)*IF(B8&lt;=_xlfn.NUMBERVALUE('ZD Vorerfassung'!$D$22:$D$36),1,0)*'ZD Vorerfassung'!$T$22:$T$36*IF(D8="FH",0.5,1)),
"prüfen")))</f>
        <v>0</v>
      </c>
      <c r="BA8" s="112">
        <f t="shared" ref="BA8:BA71" si="8">MONTH(B8)</f>
        <v>8</v>
      </c>
    </row>
    <row r="9" spans="1:54" ht="19.5" thickTop="1" thickBot="1" x14ac:dyDescent="0.3">
      <c r="A9" s="84"/>
      <c r="B9" s="99">
        <f t="shared" si="0"/>
        <v>44774</v>
      </c>
      <c r="C9" s="100">
        <f t="shared" ref="C9:C72" si="9">B9</f>
        <v>44774</v>
      </c>
      <c r="D9" s="101" t="str">
        <f t="shared" ref="D9:D72" si="10">IF(WEEKDAY(B9,2)&gt;5,"WE",IF(OR(AND(B9&gt;=UU1_start,B9&lt;=UU1_stop),AND(B9&gt;=UU2_start,B9&lt;=UU2_stop),AND(B9&gt;=UU3_start,B9&lt;=UU3_stop)),"UU",
IF(COUNTIF(Data_Feiertage,B9)&gt;0,"FT",
IF(COUNTIF(Data_Feiertage_halb,B9)&gt;0,"FH",
IF(COUNTIF(Data_Schulferien,B9)&gt;0,"SF",
"NR")))))</f>
        <v>WE</v>
      </c>
      <c r="E9" s="102" t="str">
        <f t="shared" si="2"/>
        <v>Wochenende</v>
      </c>
      <c r="F9" s="103" t="str">
        <f t="shared" ref="F9:F72" si="11">IF(E9=Param1,AV9,"")</f>
        <v/>
      </c>
      <c r="G9" s="104" t="str">
        <f t="shared" ref="G9:G72" si="12">IF(F9="","",F9*0.75*60/1440)</f>
        <v/>
      </c>
      <c r="H9" s="104">
        <f>IFERROR(IF('ZD Vorerfassung'!$E$11="manuell",SUM(I9),IF(OR(E9="Feiertag",E9="Wochenende"),0,IF('ZD Vorerfassung'!$E$11="automatisch",AX9,IF(D9="UU","UU",IF(E9=Param2,AX9/24,IF(E9=Param9,AX9/48,"")))))),0)</f>
        <v>0</v>
      </c>
      <c r="I9" s="105"/>
      <c r="J9" s="106">
        <f>IF('ZD Vorerfassung'!$E$12="manuell",SUM(K9:AI9),IF(OR(E9="Feiertag",E9="Wochenende"),0,IF('ZD Vorerfassung'!$E$12="automatisch",AY9,IF(D9="UU","UU",IF(E9=Param2,AY9/24,IF(E9=Param9,AY9/48,""))))))</f>
        <v>0</v>
      </c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7">
        <f t="shared" ref="AJ9:AJ72" si="13">IF(VorsaldoFerien="manuell",SUM(AK9:AP9),IF(OR(E9="Feiertag",E9="Wochenende"),0,IF(VorsaldoFerien="automatisch",AZ9,IF(D9="UU","UU",IF(E9=Param2,AX9/24,IF(E9=Param9,AX9/48,""))))))</f>
        <v>0</v>
      </c>
      <c r="AK9" s="105"/>
      <c r="AL9" s="105"/>
      <c r="AM9" s="105"/>
      <c r="AN9" s="105"/>
      <c r="AO9" s="105"/>
      <c r="AP9" s="105"/>
      <c r="AQ9" s="108">
        <f t="shared" ref="AQ9:AQ72" si="14">IF(OR(D9="FT",D9="WE",D9="UU"),0,
IF(D9="FH",AU9/2,AU9))</f>
        <v>0</v>
      </c>
      <c r="AR9" s="108">
        <f t="shared" ref="AR9:AR72" si="15">IF(E9=Param1,SUM(G9,H9,J9,AJ9),
IF(OR(E9=Param2,E9=Param3,E9=Param7,E9=Param8,E9=Param9),SUM(G9,H9,J9,AJ9),
IF(OR(E9=Param4,E9=Param6),AQ9,
IF(OR(E9=Param5,E9=Param10),0,0))))</f>
        <v>0</v>
      </c>
      <c r="AS9" s="109">
        <f t="shared" ref="AS9:AS72" si="16">IF(AND(DAY(B9)=1,MONTH(B9)=8),0+AR9-AQ9,AS8+AR9-AQ9)</f>
        <v>0</v>
      </c>
      <c r="AU9" s="110">
        <f t="shared" si="7"/>
        <v>0</v>
      </c>
      <c r="AV9" s="111" t="str">
        <f>IF(D9="NR",
IF('ZD Vorerfassung'!$E$22="",0,IF(AND(B9&gt;='ZD Vorerfassung'!$C$22,B9&lt;='ZD Vorerfassung'!$D$22),HLOOKUP(TEXT(C9,"ttt"),'ZD Vorerfassung'!$H$21:$L$36,2,0),0)/'ZD Vorerfassung'!$E$22*Aufgabenplanung!$B$25)+
IF('ZD Vorerfassung'!$E$23="",0,IF(AND(B9&gt;='ZD Vorerfassung'!$C$23,B9&lt;='ZD Vorerfassung'!$D$23),HLOOKUP(TEXT(C9,"ttt"),'ZD Vorerfassung'!$H$21:$L$36,3,0),0)/'ZD Vorerfassung'!$E$23*Aufgabenplanung!$B$25)+
IF('ZD Vorerfassung'!$E$24="",0,IF(AND(B9&gt;='ZD Vorerfassung'!$C$24,B9&lt;='ZD Vorerfassung'!$D$24),HLOOKUP(TEXT(C9,"ttt"),'ZD Vorerfassung'!$H$21:$L$36,4,0),0)/'ZD Vorerfassung'!$E$24*Aufgabenplanung!$B$25)+
IF('ZD Vorerfassung'!$E$25="",0,IF(AND(B9&gt;='ZD Vorerfassung'!$C$25,B9&lt;='ZD Vorerfassung'!$D$25),HLOOKUP(TEXT(C9,"ttt"),'ZD Vorerfassung'!$H$21:$L$36,5,0),0)/'ZD Vorerfassung'!$E$25*Aufgabenplanung!$B$25)+
IF('ZD Vorerfassung'!$E$26="",0,IF(AND(B9&gt;='ZD Vorerfassung'!$C$26,B9&lt;='ZD Vorerfassung'!$D$26),HLOOKUP(TEXT(C9,"ttt"),'ZD Vorerfassung'!$H$21:$L$36,6,0),0)/'ZD Vorerfassung'!$E$26*Aufgabenplanung!$B$25)+
IF('ZD Vorerfassung'!$E$27="",0,IF(AND(B9&gt;='ZD Vorerfassung'!$C$27,B9&lt;='ZD Vorerfassung'!$D$27),HLOOKUP(TEXT(C9,"ttt"),'ZD Vorerfassung'!$H$21:$L$36,7,0),0)/'ZD Vorerfassung'!$E$27*Aufgabenplanung!$B$25)+
IF('ZD Vorerfassung'!$E$28="",0,IF(AND(B9&gt;='ZD Vorerfassung'!$C$28,B9&lt;='ZD Vorerfassung'!$D$28),HLOOKUP(TEXT(C9,"ttt"),'ZD Vorerfassung'!$H$21:$L$36,8,0),0)/'ZD Vorerfassung'!$E$28*Aufgabenplanung!$B$25)+
IF('ZD Vorerfassung'!$E$29="",0,IF(AND(B9&gt;='ZD Vorerfassung'!$C$29,B9&lt;='ZD Vorerfassung'!$D$29),HLOOKUP(TEXT(C9,"ttt"),'ZD Vorerfassung'!$H$21:$L$36,9,0),0)/'ZD Vorerfassung'!$E$29*Aufgabenplanung!$B$25)+
IF('ZD Vorerfassung'!$E$30="",0,IF(AND(B9&gt;='ZD Vorerfassung'!$C$30,B9&lt;='ZD Vorerfassung'!$D$30),HLOOKUP(TEXT(C9,"ttt"),'ZD Vorerfassung'!$H$21:$L$36,10,0),0)/'ZD Vorerfassung'!$E$30*Aufgabenplanung!$B$25)+
IF('ZD Vorerfassung'!$E$31="",0,IF(AND(B9&gt;='ZD Vorerfassung'!$C$31,B9&lt;='ZD Vorerfassung'!$D$31),HLOOKUP(TEXT(C9,"ttt"),'ZD Vorerfassung'!$H$21:$L$36,11,0),0)/'ZD Vorerfassung'!$E$31*Aufgabenplanung!$B$25)+
IF('ZD Vorerfassung'!$E$32="",0,IF(AND(B9&gt;='ZD Vorerfassung'!$C$32,B9&lt;='ZD Vorerfassung'!$D$32),HLOOKUP(TEXT(C9,"ttt"),'ZD Vorerfassung'!$H$21:$L$36,12,0),0)/'ZD Vorerfassung'!$E$32*Aufgabenplanung!$B$25)+
IF('ZD Vorerfassung'!$E$33="",0,IF(AND(B9&gt;='ZD Vorerfassung'!$C$33,B9&lt;='ZD Vorerfassung'!$D$33),HLOOKUP(TEXT(C9,"ttt"),'ZD Vorerfassung'!$H$21:$L$36,13,0),0)/'ZD Vorerfassung'!$E$33*Aufgabenplanung!$B$25)+
IF('ZD Vorerfassung'!$E$34="",0,IF(AND(B9&gt;='ZD Vorerfassung'!$C$34,B9&lt;='ZD Vorerfassung'!$D$34),HLOOKUP(TEXT(C9,"ttt"),'ZD Vorerfassung'!$H$21:$L$36,14,0),0)/'ZD Vorerfassung'!$E$34*Aufgabenplanung!$B$25)+
IF('ZD Vorerfassung'!$E$35="",0,IF(AND(B9&gt;='ZD Vorerfassung'!$C$35,B9&lt;='ZD Vorerfassung'!$D$35),HLOOKUP(TEXT(C9,"ttt"),'ZD Vorerfassung'!$H$21:$L$36,15,0),0)/'ZD Vorerfassung'!$E$35*Aufgabenplanung!$B$25)+
IF('ZD Vorerfassung'!$E$36="",0,IF(AND(B9&gt;='ZD Vorerfassung'!$C$36,B9&lt;='ZD Vorerfassung'!$D$36),HLOOKUP(TEXT(C9,"ttt"),'ZD Vorerfassung'!$H$21:$L$36,16,0),0)/'ZD Vorerfassung'!$E$36*Aufgabenplanung!$B$25),"")</f>
        <v/>
      </c>
      <c r="AW9" s="110">
        <f t="array" ref="AW9">IF(OR(D9="UU",D9="FT",D9="WE"),0,
IF(D9="NR",SUM(IF(B9&gt;=_xlfn.NUMBERVALUE('ZD Vorerfassung'!$C$22:$C$36),1,0)*IF(B9&lt;=_xlfn.NUMBERVALUE('ZD Vorerfassung'!$D$22:$D$36),1,0)*'ZD Vorerfassung'!$Q$22:$Q$36),
IF(OR(D9="SF",D9="FH"),SUM(IF(B9&gt;=_xlfn.NUMBERVALUE('ZD Vorerfassung'!$C$22:$C$36),1,0)*IF(B9&lt;=_xlfn.NUMBERVALUE('ZD Vorerfassung'!$D$22:$D$36),1,0)*'ZD Vorerfassung'!$R$22:$R$36*IF(D9="FH",0.5,1)),
"prüfen")))</f>
        <v>0</v>
      </c>
      <c r="AX9" s="110">
        <f t="array" ref="AX9">IF(OR(D9="UU",D9="FT",D9="WE",E9="Ferien"),0,
IF(D9="NR",SUM(IF(B9&gt;=_xlfn.NUMBERVALUE('ZD Vorerfassung'!$C$22:$C$36),1,0)*IF(B9&lt;=_xlfn.NUMBERVALUE('ZD Vorerfassung'!$D$22:$D$36),1,0)*'ZD Vorerfassung'!$W$22:$W$36),
IF(OR(D9="SF",D9="FH"),SUM(IF(B9&gt;=_xlfn.NUMBERVALUE('ZD Vorerfassung'!$C$22:$C$36),1,0)*IF(B9&lt;=_xlfn.NUMBERVALUE('ZD Vorerfassung'!$D$22:$D$36),1,0)*'ZD Vorerfassung'!$X$22:$X$36*IF(D9="FH",0.5,1)),
"prüfen")))</f>
        <v>0</v>
      </c>
      <c r="AY9" s="110">
        <f t="array" ref="AY9">IF(OR(D9="UU",D9="FT",D9="WE",E9="Ferien"),0,
IF(D9="NR",SUM(IF(B9&gt;=_xlfn.NUMBERVALUE('ZD Vorerfassung'!$C$22:$C$36),1,0)*IF(B9&lt;=_xlfn.NUMBERVALUE('ZD Vorerfassung'!$D$22:$D$36),1,0)*'ZD Vorerfassung'!$U$22:$U$36),
IF(OR(D9="SF",D9="FH"),SUM(IF(B9&gt;=_xlfn.NUMBERVALUE('ZD Vorerfassung'!$C$22:$C$36),1,0)*IF(B9&lt;=_xlfn.NUMBERVALUE('ZD Vorerfassung'!$D$22:$D$36),1,0)*'ZD Vorerfassung'!$V$22:$V$36*IF(D9="FH",0.5,1)),
"prüfen")))</f>
        <v>0</v>
      </c>
      <c r="AZ9" s="110">
        <f t="array" ref="AZ9">IF(OR(D9="UU",D9="FT",D9="WE",E9="Ferien"),0,
IF(D9="NR",SUM(IF(B9&gt;=_xlfn.NUMBERVALUE('ZD Vorerfassung'!$C$22:$C$36),1,0)*IF(B9&lt;=_xlfn.NUMBERVALUE('ZD Vorerfassung'!$D$22:$D$36),1,0)*'ZD Vorerfassung'!$S$22:$S$36),
IF(OR(D9="SF",D9="FH"),SUM(IF(B9&gt;=_xlfn.NUMBERVALUE('ZD Vorerfassung'!$C$22:$C$36),1,0)*IF(B9&lt;=_xlfn.NUMBERVALUE('ZD Vorerfassung'!$D$22:$D$36),1,0)*'ZD Vorerfassung'!$T$22:$T$36*IF(D9="FH",0.5,1)),
"prüfen")))</f>
        <v>0</v>
      </c>
      <c r="BA9" s="112">
        <f t="shared" si="8"/>
        <v>8</v>
      </c>
    </row>
    <row r="10" spans="1:54" ht="19.5" thickTop="1" thickBot="1" x14ac:dyDescent="0.3">
      <c r="A10" s="84"/>
      <c r="B10" s="99">
        <f t="shared" si="0"/>
        <v>44775</v>
      </c>
      <c r="C10" s="100">
        <f t="shared" si="9"/>
        <v>44775</v>
      </c>
      <c r="D10" s="101" t="str">
        <f t="shared" si="10"/>
        <v>SF</v>
      </c>
      <c r="E10" s="102" t="str">
        <f t="shared" si="2"/>
        <v>unterrichtsfreie Arbeitszeit</v>
      </c>
      <c r="F10" s="103" t="str">
        <f t="shared" si="11"/>
        <v/>
      </c>
      <c r="G10" s="104" t="str">
        <f t="shared" si="12"/>
        <v/>
      </c>
      <c r="H10" s="104">
        <f>IFERROR(IF('ZD Vorerfassung'!$E$11="manuell",SUM(I10),IF(OR(E10="Feiertag",E10="Wochenende"),0,IF('ZD Vorerfassung'!$E$11="automatisch",AX10,IF(D10="UU","UU",IF(E10=Param2,AX10/24,IF(E10=Param9,AX10/48,"")))))),0)</f>
        <v>0</v>
      </c>
      <c r="I10" s="105"/>
      <c r="J10" s="106">
        <f>IF('ZD Vorerfassung'!$E$12="manuell",SUM(K10:AI10),IF(OR(E10="Feiertag",E10="Wochenende"),0,IF('ZD Vorerfassung'!$E$12="automatisch",AY10,IF(D10="UU","UU",IF(E10=Param2,AY10/24,IF(E10=Param9,AY10/48,""))))))</f>
        <v>0</v>
      </c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7">
        <f t="shared" si="13"/>
        <v>0</v>
      </c>
      <c r="AK10" s="105"/>
      <c r="AL10" s="105"/>
      <c r="AM10" s="105"/>
      <c r="AN10" s="105"/>
      <c r="AO10" s="105"/>
      <c r="AP10" s="105"/>
      <c r="AQ10" s="108">
        <f t="shared" si="14"/>
        <v>0</v>
      </c>
      <c r="AR10" s="108">
        <f t="shared" si="15"/>
        <v>0</v>
      </c>
      <c r="AS10" s="109">
        <f t="shared" si="16"/>
        <v>0</v>
      </c>
      <c r="AU10" s="110">
        <f t="shared" si="7"/>
        <v>0</v>
      </c>
      <c r="AV10" s="111" t="str">
        <f>IF(D10="NR",
IF('ZD Vorerfassung'!$E$22="",0,IF(AND(B10&gt;='ZD Vorerfassung'!$C$22,B10&lt;='ZD Vorerfassung'!$D$22),HLOOKUP(TEXT(C10,"ttt"),'ZD Vorerfassung'!$H$21:$L$36,2,0),0)/'ZD Vorerfassung'!$E$22*Aufgabenplanung!$B$25)+
IF('ZD Vorerfassung'!$E$23="",0,IF(AND(B10&gt;='ZD Vorerfassung'!$C$23,B10&lt;='ZD Vorerfassung'!$D$23),HLOOKUP(TEXT(C10,"ttt"),'ZD Vorerfassung'!$H$21:$L$36,3,0),0)/'ZD Vorerfassung'!$E$23*Aufgabenplanung!$B$25)+
IF('ZD Vorerfassung'!$E$24="",0,IF(AND(B10&gt;='ZD Vorerfassung'!$C$24,B10&lt;='ZD Vorerfassung'!$D$24),HLOOKUP(TEXT(C10,"ttt"),'ZD Vorerfassung'!$H$21:$L$36,4,0),0)/'ZD Vorerfassung'!$E$24*Aufgabenplanung!$B$25)+
IF('ZD Vorerfassung'!$E$25="",0,IF(AND(B10&gt;='ZD Vorerfassung'!$C$25,B10&lt;='ZD Vorerfassung'!$D$25),HLOOKUP(TEXT(C10,"ttt"),'ZD Vorerfassung'!$H$21:$L$36,5,0),0)/'ZD Vorerfassung'!$E$25*Aufgabenplanung!$B$25)+
IF('ZD Vorerfassung'!$E$26="",0,IF(AND(B10&gt;='ZD Vorerfassung'!$C$26,B10&lt;='ZD Vorerfassung'!$D$26),HLOOKUP(TEXT(C10,"ttt"),'ZD Vorerfassung'!$H$21:$L$36,6,0),0)/'ZD Vorerfassung'!$E$26*Aufgabenplanung!$B$25)+
IF('ZD Vorerfassung'!$E$27="",0,IF(AND(B10&gt;='ZD Vorerfassung'!$C$27,B10&lt;='ZD Vorerfassung'!$D$27),HLOOKUP(TEXT(C10,"ttt"),'ZD Vorerfassung'!$H$21:$L$36,7,0),0)/'ZD Vorerfassung'!$E$27*Aufgabenplanung!$B$25)+
IF('ZD Vorerfassung'!$E$28="",0,IF(AND(B10&gt;='ZD Vorerfassung'!$C$28,B10&lt;='ZD Vorerfassung'!$D$28),HLOOKUP(TEXT(C10,"ttt"),'ZD Vorerfassung'!$H$21:$L$36,8,0),0)/'ZD Vorerfassung'!$E$28*Aufgabenplanung!$B$25)+
IF('ZD Vorerfassung'!$E$29="",0,IF(AND(B10&gt;='ZD Vorerfassung'!$C$29,B10&lt;='ZD Vorerfassung'!$D$29),HLOOKUP(TEXT(C10,"ttt"),'ZD Vorerfassung'!$H$21:$L$36,9,0),0)/'ZD Vorerfassung'!$E$29*Aufgabenplanung!$B$25)+
IF('ZD Vorerfassung'!$E$30="",0,IF(AND(B10&gt;='ZD Vorerfassung'!$C$30,B10&lt;='ZD Vorerfassung'!$D$30),HLOOKUP(TEXT(C10,"ttt"),'ZD Vorerfassung'!$H$21:$L$36,10,0),0)/'ZD Vorerfassung'!$E$30*Aufgabenplanung!$B$25)+
IF('ZD Vorerfassung'!$E$31="",0,IF(AND(B10&gt;='ZD Vorerfassung'!$C$31,B10&lt;='ZD Vorerfassung'!$D$31),HLOOKUP(TEXT(C10,"ttt"),'ZD Vorerfassung'!$H$21:$L$36,11,0),0)/'ZD Vorerfassung'!$E$31*Aufgabenplanung!$B$25)+
IF('ZD Vorerfassung'!$E$32="",0,IF(AND(B10&gt;='ZD Vorerfassung'!$C$32,B10&lt;='ZD Vorerfassung'!$D$32),HLOOKUP(TEXT(C10,"ttt"),'ZD Vorerfassung'!$H$21:$L$36,12,0),0)/'ZD Vorerfassung'!$E$32*Aufgabenplanung!$B$25)+
IF('ZD Vorerfassung'!$E$33="",0,IF(AND(B10&gt;='ZD Vorerfassung'!$C$33,B10&lt;='ZD Vorerfassung'!$D$33),HLOOKUP(TEXT(C10,"ttt"),'ZD Vorerfassung'!$H$21:$L$36,13,0),0)/'ZD Vorerfassung'!$E$33*Aufgabenplanung!$B$25)+
IF('ZD Vorerfassung'!$E$34="",0,IF(AND(B10&gt;='ZD Vorerfassung'!$C$34,B10&lt;='ZD Vorerfassung'!$D$34),HLOOKUP(TEXT(C10,"ttt"),'ZD Vorerfassung'!$H$21:$L$36,14,0),0)/'ZD Vorerfassung'!$E$34*Aufgabenplanung!$B$25)+
IF('ZD Vorerfassung'!$E$35="",0,IF(AND(B10&gt;='ZD Vorerfassung'!$C$35,B10&lt;='ZD Vorerfassung'!$D$35),HLOOKUP(TEXT(C10,"ttt"),'ZD Vorerfassung'!$H$21:$L$36,15,0),0)/'ZD Vorerfassung'!$E$35*Aufgabenplanung!$B$25)+
IF('ZD Vorerfassung'!$E$36="",0,IF(AND(B10&gt;='ZD Vorerfassung'!$C$36,B10&lt;='ZD Vorerfassung'!$D$36),HLOOKUP(TEXT(C10,"ttt"),'ZD Vorerfassung'!$H$21:$L$36,16,0),0)/'ZD Vorerfassung'!$E$36*Aufgabenplanung!$B$25),"")</f>
        <v/>
      </c>
      <c r="AW10" s="110">
        <f t="array" ref="AW10">IF(OR(D10="UU",D10="FT",D10="WE"),0,
IF(D10="NR",SUM(IF(B10&gt;=_xlfn.NUMBERVALUE('ZD Vorerfassung'!$C$22:$C$36),1,0)*IF(B10&lt;=_xlfn.NUMBERVALUE('ZD Vorerfassung'!$D$22:$D$36),1,0)*'ZD Vorerfassung'!$Q$22:$Q$36),
IF(OR(D10="SF",D10="FH"),SUM(IF(B10&gt;=_xlfn.NUMBERVALUE('ZD Vorerfassung'!$C$22:$C$36),1,0)*IF(B10&lt;=_xlfn.NUMBERVALUE('ZD Vorerfassung'!$D$22:$D$36),1,0)*'ZD Vorerfassung'!$R$22:$R$36*IF(D10="FH",0.5,1)),
"prüfen")))</f>
        <v>0</v>
      </c>
      <c r="AX10" s="110">
        <f t="array" ref="AX10">IF(OR(D10="UU",D10="FT",D10="WE",E10="Ferien"),0,
IF(D10="NR",SUM(IF(B10&gt;=_xlfn.NUMBERVALUE('ZD Vorerfassung'!$C$22:$C$36),1,0)*IF(B10&lt;=_xlfn.NUMBERVALUE('ZD Vorerfassung'!$D$22:$D$36),1,0)*'ZD Vorerfassung'!$W$22:$W$36),
IF(OR(D10="SF",D10="FH"),SUM(IF(B10&gt;=_xlfn.NUMBERVALUE('ZD Vorerfassung'!$C$22:$C$36),1,0)*IF(B10&lt;=_xlfn.NUMBERVALUE('ZD Vorerfassung'!$D$22:$D$36),1,0)*'ZD Vorerfassung'!$X$22:$X$36*IF(D10="FH",0.5,1)),
"prüfen")))</f>
        <v>0</v>
      </c>
      <c r="AY10" s="110">
        <f t="array" ref="AY10">IF(OR(D10="UU",D10="FT",D10="WE",E10="Ferien"),0,
IF(D10="NR",SUM(IF(B10&gt;=_xlfn.NUMBERVALUE('ZD Vorerfassung'!$C$22:$C$36),1,0)*IF(B10&lt;=_xlfn.NUMBERVALUE('ZD Vorerfassung'!$D$22:$D$36),1,0)*'ZD Vorerfassung'!$U$22:$U$36),
IF(OR(D10="SF",D10="FH"),SUM(IF(B10&gt;=_xlfn.NUMBERVALUE('ZD Vorerfassung'!$C$22:$C$36),1,0)*IF(B10&lt;=_xlfn.NUMBERVALUE('ZD Vorerfassung'!$D$22:$D$36),1,0)*'ZD Vorerfassung'!$V$22:$V$36*IF(D10="FH",0.5,1)),
"prüfen")))</f>
        <v>0</v>
      </c>
      <c r="AZ10" s="110">
        <f t="array" ref="AZ10">IF(OR(D10="UU",D10="FT",D10="WE",E10="Ferien"),0,
IF(D10="NR",SUM(IF(B10&gt;=_xlfn.NUMBERVALUE('ZD Vorerfassung'!$C$22:$C$36),1,0)*IF(B10&lt;=_xlfn.NUMBERVALUE('ZD Vorerfassung'!$D$22:$D$36),1,0)*'ZD Vorerfassung'!$S$22:$S$36),
IF(OR(D10="SF",D10="FH"),SUM(IF(B10&gt;=_xlfn.NUMBERVALUE('ZD Vorerfassung'!$C$22:$C$36),1,0)*IF(B10&lt;=_xlfn.NUMBERVALUE('ZD Vorerfassung'!$D$22:$D$36),1,0)*'ZD Vorerfassung'!$T$22:$T$36*IF(D10="FH",0.5,1)),
"prüfen")))</f>
        <v>0</v>
      </c>
      <c r="BA10" s="112">
        <f t="shared" si="8"/>
        <v>8</v>
      </c>
    </row>
    <row r="11" spans="1:54" ht="19.5" thickTop="1" thickBot="1" x14ac:dyDescent="0.3">
      <c r="A11" s="84"/>
      <c r="B11" s="99">
        <f t="shared" si="0"/>
        <v>44776</v>
      </c>
      <c r="C11" s="100">
        <f t="shared" si="9"/>
        <v>44776</v>
      </c>
      <c r="D11" s="101" t="str">
        <f t="shared" si="10"/>
        <v>SF</v>
      </c>
      <c r="E11" s="102" t="str">
        <f t="shared" si="2"/>
        <v>unterrichtsfreie Arbeitszeit</v>
      </c>
      <c r="F11" s="103" t="str">
        <f t="shared" si="11"/>
        <v/>
      </c>
      <c r="G11" s="104" t="str">
        <f t="shared" si="12"/>
        <v/>
      </c>
      <c r="H11" s="104">
        <f>IFERROR(IF('ZD Vorerfassung'!$E$11="manuell",SUM(I11),IF(OR(E11="Feiertag",E11="Wochenende"),0,IF('ZD Vorerfassung'!$E$11="automatisch",AX11,IF(D11="UU","UU",IF(E11=Param2,AX11/24,IF(E11=Param9,AX11/48,"")))))),0)</f>
        <v>0</v>
      </c>
      <c r="I11" s="105"/>
      <c r="J11" s="106">
        <f>IF('ZD Vorerfassung'!$E$12="manuell",SUM(K11:AI11),IF(OR(E11="Feiertag",E11="Wochenende"),0,IF('ZD Vorerfassung'!$E$12="automatisch",AY11,IF(D11="UU","UU",IF(E11=Param2,AY11/24,IF(E11=Param9,AY11/48,""))))))</f>
        <v>0</v>
      </c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7">
        <f t="shared" si="13"/>
        <v>0</v>
      </c>
      <c r="AK11" s="105"/>
      <c r="AL11" s="105"/>
      <c r="AM11" s="105"/>
      <c r="AN11" s="105"/>
      <c r="AO11" s="105"/>
      <c r="AP11" s="105"/>
      <c r="AQ11" s="108">
        <f t="shared" si="14"/>
        <v>0</v>
      </c>
      <c r="AR11" s="108">
        <f t="shared" si="15"/>
        <v>0</v>
      </c>
      <c r="AS11" s="109">
        <f t="shared" si="16"/>
        <v>0</v>
      </c>
      <c r="AU11" s="110">
        <f t="shared" si="7"/>
        <v>0</v>
      </c>
      <c r="AV11" s="111" t="str">
        <f>IF(D11="NR",
IF('ZD Vorerfassung'!$E$22="",0,IF(AND(B11&gt;='ZD Vorerfassung'!$C$22,B11&lt;='ZD Vorerfassung'!$D$22),HLOOKUP(TEXT(C11,"ttt"),'ZD Vorerfassung'!$H$21:$L$36,2,0),0))+
IF('ZD Vorerfassung'!$E$23="",0,IF(AND(B11&gt;='ZD Vorerfassung'!$C$23,B11&lt;='ZD Vorerfassung'!$D$23),HLOOKUP(TEXT(C11,"ttt"),'ZD Vorerfassung'!$H$21:$L$36,3,0),0))+
IF('ZD Vorerfassung'!$E$24="",0,IF(AND(B11&gt;='ZD Vorerfassung'!$C$24,B11&lt;='ZD Vorerfassung'!$D$24),HLOOKUP(TEXT(C11,"ttt"),'ZD Vorerfassung'!$H$21:$L$36,4,0),0))+
IF('ZD Vorerfassung'!$E$25="",0,IF(AND(B11&gt;='ZD Vorerfassung'!$C$25,B11&lt;='ZD Vorerfassung'!$D$25),HLOOKUP(TEXT(C11,"ttt"),'ZD Vorerfassung'!$H$21:$L$36,5,0),0))+
IF('ZD Vorerfassung'!$E$26="",0,IF(AND(B11&gt;='ZD Vorerfassung'!$C$26,B11&lt;='ZD Vorerfassung'!$D$26),HLOOKUP(TEXT(C11,"ttt"),'ZD Vorerfassung'!$H$21:$L$36,6,0),0))+
IF('ZD Vorerfassung'!$E$27="",0,IF(AND(B11&gt;='ZD Vorerfassung'!$C$27,B11&lt;='ZD Vorerfassung'!$D$27),HLOOKUP(TEXT(C11,"ttt"),'ZD Vorerfassung'!$H$21:$L$36,7,0),0))+
IF('ZD Vorerfassung'!$E$28="",0,IF(AND(B11&gt;='ZD Vorerfassung'!$C$28,B11&lt;='ZD Vorerfassung'!$D$28),HLOOKUP(TEXT(C11,"ttt"),'ZD Vorerfassung'!$H$21:$L$36,8,0),0))+
IF('ZD Vorerfassung'!$E$29="",0,IF(AND(B11&gt;='ZD Vorerfassung'!$C$29,B11&lt;='ZD Vorerfassung'!$D$29),HLOOKUP(TEXT(C11,"ttt"),'ZD Vorerfassung'!$H$21:$L$36,9,0),0))+
IF('ZD Vorerfassung'!$E$30="",0,IF(AND(B11&gt;='ZD Vorerfassung'!$C$30,B11&lt;='ZD Vorerfassung'!$D$30),HLOOKUP(TEXT(C11,"ttt"),'ZD Vorerfassung'!$H$21:$L$36,10,0),0))+
IF('ZD Vorerfassung'!$E$31="",0,IF(AND(B11&gt;='ZD Vorerfassung'!$C$31,B11&lt;='ZD Vorerfassung'!$D$31),HLOOKUP(TEXT(C11,"ttt"),'ZD Vorerfassung'!$H$21:$L$36,11,0),0))+
IF('ZD Vorerfassung'!$E$32="",0,IF(AND(B11&gt;='ZD Vorerfassung'!$C$32,B11&lt;='ZD Vorerfassung'!$D$32),HLOOKUP(TEXT(C11,"ttt"),'ZD Vorerfassung'!$H$21:$L$36,12,0),0))+
IF('ZD Vorerfassung'!$E$33="",0,IF(AND(B11&gt;='ZD Vorerfassung'!$C$33,B11&lt;='ZD Vorerfassung'!$D$33),HLOOKUP(TEXT(C11,"ttt"),'ZD Vorerfassung'!$H$21:$L$36,13,0),0))+
IF('ZD Vorerfassung'!$E$34="",0,IF(AND(B11&gt;='ZD Vorerfassung'!$C$34,B11&lt;='ZD Vorerfassung'!$D$34),HLOOKUP(TEXT(C11,"ttt"),'ZD Vorerfassung'!$H$21:$L$36,14,0),0))+
IF('ZD Vorerfassung'!$E$35="",0,IF(AND(B11&gt;='ZD Vorerfassung'!$C$35,B11&lt;='ZD Vorerfassung'!$D$35),HLOOKUP(TEXT(C11,"ttt"),'ZD Vorerfassung'!$H$21:$L$36,15,0),0))+
IF('ZD Vorerfassung'!$E$36="",0,IF(AND(B11&gt;='ZD Vorerfassung'!$C$36,B11&lt;='ZD Vorerfassung'!$D$36),HLOOKUP(TEXT(C11,"ttt"),'ZD Vorerfassung'!$H$21:$L$36,16,0),0)),"")</f>
        <v/>
      </c>
      <c r="AW11" s="110">
        <f t="array" ref="AW11">IF(OR(D11="UU",D11="FT",D11="WE"),0,
IF(D11="NR",SUM(IF(B11&gt;=_xlfn.NUMBERVALUE('ZD Vorerfassung'!$C$22:$C$36),1,0)*IF(B11&lt;=_xlfn.NUMBERVALUE('ZD Vorerfassung'!$D$22:$D$36),1,0)*'ZD Vorerfassung'!$Q$22:$Q$36),
IF(OR(D11="SF",D11="FH"),SUM(IF(B11&gt;=_xlfn.NUMBERVALUE('ZD Vorerfassung'!$C$22:$C$36),1,0)*IF(B11&lt;=_xlfn.NUMBERVALUE('ZD Vorerfassung'!$D$22:$D$36),1,0)*'ZD Vorerfassung'!$R$22:$R$36*IF(D11="FH",0.5,1)),
"prüfen")))</f>
        <v>0</v>
      </c>
      <c r="AX11" s="110">
        <f t="array" ref="AX11">IF(OR(D11="UU",D11="FT",D11="WE",E11="Ferien"),0,
IF(D11="NR",SUM(IF(B11&gt;=_xlfn.NUMBERVALUE('ZD Vorerfassung'!$C$22:$C$36),1,0)*IF(B11&lt;=_xlfn.NUMBERVALUE('ZD Vorerfassung'!$D$22:$D$36),1,0)*'ZD Vorerfassung'!$W$22:$W$36),
IF(OR(D11="SF",D11="FH"),SUM(IF(B11&gt;=_xlfn.NUMBERVALUE('ZD Vorerfassung'!$C$22:$C$36),1,0)*IF(B11&lt;=_xlfn.NUMBERVALUE('ZD Vorerfassung'!$D$22:$D$36),1,0)*'ZD Vorerfassung'!$X$22:$X$36*IF(D11="FH",0.5,1)),
"prüfen")))</f>
        <v>0</v>
      </c>
      <c r="AY11" s="110">
        <f t="array" ref="AY11">IF(OR(D11="UU",D11="FT",D11="WE",E11="Ferien"),0,
IF(D11="NR",SUM(IF(B11&gt;=_xlfn.NUMBERVALUE('ZD Vorerfassung'!$C$22:$C$36),1,0)*IF(B11&lt;=_xlfn.NUMBERVALUE('ZD Vorerfassung'!$D$22:$D$36),1,0)*'ZD Vorerfassung'!$U$22:$U$36),
IF(OR(D11="SF",D11="FH"),SUM(IF(B11&gt;=_xlfn.NUMBERVALUE('ZD Vorerfassung'!$C$22:$C$36),1,0)*IF(B11&lt;=_xlfn.NUMBERVALUE('ZD Vorerfassung'!$D$22:$D$36),1,0)*'ZD Vorerfassung'!$V$22:$V$36*IF(D11="FH",0.5,1)),
"prüfen")))</f>
        <v>0</v>
      </c>
      <c r="AZ11" s="110">
        <f t="array" ref="AZ11">IF(OR(D11="UU",D11="FT",D11="WE",E11="Ferien"),0,
IF(D11="NR",SUM(IF(B11&gt;=_xlfn.NUMBERVALUE('ZD Vorerfassung'!$C$22:$C$36),1,0)*IF(B11&lt;=_xlfn.NUMBERVALUE('ZD Vorerfassung'!$D$22:$D$36),1,0)*'ZD Vorerfassung'!$S$22:$S$36),
IF(OR(D11="SF",D11="FH"),SUM(IF(B11&gt;=_xlfn.NUMBERVALUE('ZD Vorerfassung'!$C$22:$C$36),1,0)*IF(B11&lt;=_xlfn.NUMBERVALUE('ZD Vorerfassung'!$D$22:$D$36),1,0)*'ZD Vorerfassung'!$T$22:$T$36*IF(D11="FH",0.5,1)),
"prüfen")))</f>
        <v>0</v>
      </c>
      <c r="BA11" s="112">
        <f t="shared" si="8"/>
        <v>8</v>
      </c>
    </row>
    <row r="12" spans="1:54" s="114" customFormat="1" ht="19.5" thickTop="1" thickBot="1" x14ac:dyDescent="0.3">
      <c r="A12" s="113"/>
      <c r="B12" s="99">
        <f t="shared" si="0"/>
        <v>44777</v>
      </c>
      <c r="C12" s="100">
        <f t="shared" si="9"/>
        <v>44777</v>
      </c>
      <c r="D12" s="101" t="str">
        <f t="shared" si="10"/>
        <v>SF</v>
      </c>
      <c r="E12" s="102" t="str">
        <f t="shared" si="2"/>
        <v>unterrichtsfreie Arbeitszeit</v>
      </c>
      <c r="F12" s="103" t="str">
        <f t="shared" si="11"/>
        <v/>
      </c>
      <c r="G12" s="104" t="str">
        <f t="shared" si="12"/>
        <v/>
      </c>
      <c r="H12" s="104">
        <f>IFERROR(IF('ZD Vorerfassung'!$E$11="manuell",SUM(I12),IF(OR(E12="Feiertag",E12="Wochenende"),0,IF('ZD Vorerfassung'!$E$11="automatisch",AX12,IF(D12="UU","UU",IF(E12=Param2,AX12/24,IF(E12=Param9,AX12/48,"")))))),0)</f>
        <v>0</v>
      </c>
      <c r="I12" s="105"/>
      <c r="J12" s="106">
        <f>IF('ZD Vorerfassung'!$E$12="manuell",SUM(K12:AI12),IF(OR(E12="Feiertag",E12="Wochenende"),0,IF('ZD Vorerfassung'!$E$12="automatisch",AY12,IF(D12="UU","UU",IF(E12=Param2,AY12/24,IF(E12=Param9,AY12/48,""))))))</f>
        <v>0</v>
      </c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7">
        <f t="shared" si="13"/>
        <v>0</v>
      </c>
      <c r="AK12" s="105"/>
      <c r="AL12" s="105"/>
      <c r="AM12" s="105"/>
      <c r="AN12" s="105"/>
      <c r="AO12" s="105"/>
      <c r="AP12" s="105"/>
      <c r="AQ12" s="108">
        <f t="shared" si="14"/>
        <v>0</v>
      </c>
      <c r="AR12" s="108">
        <f t="shared" si="15"/>
        <v>0</v>
      </c>
      <c r="AS12" s="109">
        <f t="shared" si="16"/>
        <v>0</v>
      </c>
      <c r="AT12" s="72"/>
      <c r="AU12" s="110">
        <f t="shared" si="7"/>
        <v>0</v>
      </c>
      <c r="AV12" s="111" t="str">
        <f>IF(D12="NR",
IF('ZD Vorerfassung'!$E$22="",0,IF(AND(B12&gt;='ZD Vorerfassung'!$C$22,B12&lt;='ZD Vorerfassung'!$D$22),HLOOKUP(TEXT(C12,"ttt"),'ZD Vorerfassung'!$H$21:$L$36,2,0),0))+
IF('ZD Vorerfassung'!$E$23="",0,IF(AND(B12&gt;='ZD Vorerfassung'!$C$23,B12&lt;='ZD Vorerfassung'!$D$23),HLOOKUP(TEXT(C12,"ttt"),'ZD Vorerfassung'!$H$21:$L$36,3,0),0))+
IF('ZD Vorerfassung'!$E$24="",0,IF(AND(B12&gt;='ZD Vorerfassung'!$C$24,B12&lt;='ZD Vorerfassung'!$D$24),HLOOKUP(TEXT(C12,"ttt"),'ZD Vorerfassung'!$H$21:$L$36,4,0),0))+
IF('ZD Vorerfassung'!$E$25="",0,IF(AND(B12&gt;='ZD Vorerfassung'!$C$25,B12&lt;='ZD Vorerfassung'!$D$25),HLOOKUP(TEXT(C12,"ttt"),'ZD Vorerfassung'!$H$21:$L$36,5,0),0))+
IF('ZD Vorerfassung'!$E$26="",0,IF(AND(B12&gt;='ZD Vorerfassung'!$C$26,B12&lt;='ZD Vorerfassung'!$D$26),HLOOKUP(TEXT(C12,"ttt"),'ZD Vorerfassung'!$H$21:$L$36,6,0),0))+
IF('ZD Vorerfassung'!$E$27="",0,IF(AND(B12&gt;='ZD Vorerfassung'!$C$27,B12&lt;='ZD Vorerfassung'!$D$27),HLOOKUP(TEXT(C12,"ttt"),'ZD Vorerfassung'!$H$21:$L$36,7,0),0))+
IF('ZD Vorerfassung'!$E$28="",0,IF(AND(B12&gt;='ZD Vorerfassung'!$C$28,B12&lt;='ZD Vorerfassung'!$D$28),HLOOKUP(TEXT(C12,"ttt"),'ZD Vorerfassung'!$H$21:$L$36,8,0),0))+
IF('ZD Vorerfassung'!$E$29="",0,IF(AND(B12&gt;='ZD Vorerfassung'!$C$29,B12&lt;='ZD Vorerfassung'!$D$29),HLOOKUP(TEXT(C12,"ttt"),'ZD Vorerfassung'!$H$21:$L$36,9,0),0))+
IF('ZD Vorerfassung'!$E$30="",0,IF(AND(B12&gt;='ZD Vorerfassung'!$C$30,B12&lt;='ZD Vorerfassung'!$D$30),HLOOKUP(TEXT(C12,"ttt"),'ZD Vorerfassung'!$H$21:$L$36,10,0),0))+
IF('ZD Vorerfassung'!$E$31="",0,IF(AND(B12&gt;='ZD Vorerfassung'!$C$31,B12&lt;='ZD Vorerfassung'!$D$31),HLOOKUP(TEXT(C12,"ttt"),'ZD Vorerfassung'!$H$21:$L$36,11,0),0))+
IF('ZD Vorerfassung'!$E$32="",0,IF(AND(B12&gt;='ZD Vorerfassung'!$C$32,B12&lt;='ZD Vorerfassung'!$D$32),HLOOKUP(TEXT(C12,"ttt"),'ZD Vorerfassung'!$H$21:$L$36,12,0),0))+
IF('ZD Vorerfassung'!$E$33="",0,IF(AND(B12&gt;='ZD Vorerfassung'!$C$33,B12&lt;='ZD Vorerfassung'!$D$33),HLOOKUP(TEXT(C12,"ttt"),'ZD Vorerfassung'!$H$21:$L$36,13,0),0))+
IF('ZD Vorerfassung'!$E$34="",0,IF(AND(B12&gt;='ZD Vorerfassung'!$C$34,B12&lt;='ZD Vorerfassung'!$D$34),HLOOKUP(TEXT(C12,"ttt"),'ZD Vorerfassung'!$H$21:$L$36,14,0),0))+
IF('ZD Vorerfassung'!$E$35="",0,IF(AND(B12&gt;='ZD Vorerfassung'!$C$35,B12&lt;='ZD Vorerfassung'!$D$35),HLOOKUP(TEXT(C12,"ttt"),'ZD Vorerfassung'!$H$21:$L$36,15,0),0))+
IF('ZD Vorerfassung'!$E$36="",0,IF(AND(B12&gt;='ZD Vorerfassung'!$C$36,B12&lt;='ZD Vorerfassung'!$D$36),HLOOKUP(TEXT(C12,"ttt"),'ZD Vorerfassung'!$H$21:$L$36,16,0),0)),"")</f>
        <v/>
      </c>
      <c r="AW12" s="110">
        <f t="array" ref="AW12">IF(OR(D12="UU",D12="FT",D12="WE"),0,
IF(D12="NR",SUM(IF(B12&gt;=_xlfn.NUMBERVALUE('ZD Vorerfassung'!$C$22:$C$36),1,0)*IF(B12&lt;=_xlfn.NUMBERVALUE('ZD Vorerfassung'!$D$22:$D$36),1,0)*'ZD Vorerfassung'!$Q$22:$Q$36),
IF(OR(D12="SF",D12="FH"),SUM(IF(B12&gt;=_xlfn.NUMBERVALUE('ZD Vorerfassung'!$C$22:$C$36),1,0)*IF(B12&lt;=_xlfn.NUMBERVALUE('ZD Vorerfassung'!$D$22:$D$36),1,0)*'ZD Vorerfassung'!$R$22:$R$36*IF(D12="FH",0.5,1)),
"prüfen")))</f>
        <v>0</v>
      </c>
      <c r="AX12" s="110">
        <f t="array" ref="AX12">IF(OR(D12="UU",D12="FT",D12="WE",E12="Ferien"),0,
IF(D12="NR",SUM(IF(B12&gt;=_xlfn.NUMBERVALUE('ZD Vorerfassung'!$C$22:$C$36),1,0)*IF(B12&lt;=_xlfn.NUMBERVALUE('ZD Vorerfassung'!$D$22:$D$36),1,0)*'ZD Vorerfassung'!$W$22:$W$36),
IF(OR(D12="SF",D12="FH"),SUM(IF(B12&gt;=_xlfn.NUMBERVALUE('ZD Vorerfassung'!$C$22:$C$36),1,0)*IF(B12&lt;=_xlfn.NUMBERVALUE('ZD Vorerfassung'!$D$22:$D$36),1,0)*'ZD Vorerfassung'!$X$22:$X$36*IF(D12="FH",0.5,1)),
"prüfen")))</f>
        <v>0</v>
      </c>
      <c r="AY12" s="110">
        <f t="array" ref="AY12">IF(OR(D12="UU",D12="FT",D12="WE",E12="Ferien"),0,
IF(D12="NR",SUM(IF(B12&gt;=_xlfn.NUMBERVALUE('ZD Vorerfassung'!$C$22:$C$36),1,0)*IF(B12&lt;=_xlfn.NUMBERVALUE('ZD Vorerfassung'!$D$22:$D$36),1,0)*'ZD Vorerfassung'!$U$22:$U$36),
IF(OR(D12="SF",D12="FH"),SUM(IF(B12&gt;=_xlfn.NUMBERVALUE('ZD Vorerfassung'!$C$22:$C$36),1,0)*IF(B12&lt;=_xlfn.NUMBERVALUE('ZD Vorerfassung'!$D$22:$D$36),1,0)*'ZD Vorerfassung'!$V$22:$V$36*IF(D12="FH",0.5,1)),
"prüfen")))</f>
        <v>0</v>
      </c>
      <c r="AZ12" s="110">
        <f t="array" ref="AZ12">IF(OR(D12="UU",D12="FT",D12="WE",E12="Ferien"),0,
IF(D12="NR",SUM(IF(B12&gt;=_xlfn.NUMBERVALUE('ZD Vorerfassung'!$C$22:$C$36),1,0)*IF(B12&lt;=_xlfn.NUMBERVALUE('ZD Vorerfassung'!$D$22:$D$36),1,0)*'ZD Vorerfassung'!$S$22:$S$36),
IF(OR(D12="SF",D12="FH"),SUM(IF(B12&gt;=_xlfn.NUMBERVALUE('ZD Vorerfassung'!$C$22:$C$36),1,0)*IF(B12&lt;=_xlfn.NUMBERVALUE('ZD Vorerfassung'!$D$22:$D$36),1,0)*'ZD Vorerfassung'!$T$22:$T$36*IF(D12="FH",0.5,1)),
"prüfen")))</f>
        <v>0</v>
      </c>
      <c r="BA12" s="112">
        <f t="shared" si="8"/>
        <v>8</v>
      </c>
      <c r="BB12" s="72"/>
    </row>
    <row r="13" spans="1:54" s="114" customFormat="1" ht="19.5" thickTop="1" thickBot="1" x14ac:dyDescent="0.3">
      <c r="A13" s="115"/>
      <c r="B13" s="99">
        <f t="shared" si="0"/>
        <v>44778</v>
      </c>
      <c r="C13" s="100">
        <f t="shared" si="9"/>
        <v>44778</v>
      </c>
      <c r="D13" s="101" t="str">
        <f t="shared" si="10"/>
        <v>SF</v>
      </c>
      <c r="E13" s="102" t="str">
        <f t="shared" si="2"/>
        <v>unterrichtsfreie Arbeitszeit</v>
      </c>
      <c r="F13" s="103" t="str">
        <f t="shared" si="11"/>
        <v/>
      </c>
      <c r="G13" s="104" t="str">
        <f t="shared" si="12"/>
        <v/>
      </c>
      <c r="H13" s="104">
        <f>IFERROR(IF('ZD Vorerfassung'!$E$11="manuell",SUM(I13),IF(OR(E13="Feiertag",E13="Wochenende"),0,IF('ZD Vorerfassung'!$E$11="automatisch",AX13,IF(D13="UU","UU",IF(E13=Param2,AX13/24,IF(E13=Param9,AX13/48,"")))))),0)</f>
        <v>0</v>
      </c>
      <c r="I13" s="105"/>
      <c r="J13" s="106">
        <f>IF('ZD Vorerfassung'!$E$12="manuell",SUM(K13:AI13),IF(OR(E13="Feiertag",E13="Wochenende"),0,IF('ZD Vorerfassung'!$E$12="automatisch",AY13,IF(D13="UU","UU",IF(E13=Param2,AY13/24,IF(E13=Param9,AY13/48,""))))))</f>
        <v>0</v>
      </c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7">
        <f t="shared" si="13"/>
        <v>0</v>
      </c>
      <c r="AK13" s="105"/>
      <c r="AL13" s="105"/>
      <c r="AM13" s="105"/>
      <c r="AN13" s="105"/>
      <c r="AO13" s="105"/>
      <c r="AP13" s="105"/>
      <c r="AQ13" s="108">
        <f t="shared" si="14"/>
        <v>0</v>
      </c>
      <c r="AR13" s="108">
        <f t="shared" si="15"/>
        <v>0</v>
      </c>
      <c r="AS13" s="109">
        <f t="shared" si="16"/>
        <v>0</v>
      </c>
      <c r="AT13" s="72"/>
      <c r="AU13" s="110">
        <f t="shared" si="7"/>
        <v>0</v>
      </c>
      <c r="AV13" s="111" t="str">
        <f>IF(D13="NR",
IF('ZD Vorerfassung'!$E$22="",0,IF(AND(B13&gt;='ZD Vorerfassung'!$C$22,B13&lt;='ZD Vorerfassung'!$D$22),HLOOKUP(TEXT(C13,"ttt"),'ZD Vorerfassung'!$H$21:$L$36,2,0),0))+
IF('ZD Vorerfassung'!$E$23="",0,IF(AND(B13&gt;='ZD Vorerfassung'!$C$23,B13&lt;='ZD Vorerfassung'!$D$23),HLOOKUP(TEXT(C13,"ttt"),'ZD Vorerfassung'!$H$21:$L$36,3,0),0))+
IF('ZD Vorerfassung'!$E$24="",0,IF(AND(B13&gt;='ZD Vorerfassung'!$C$24,B13&lt;='ZD Vorerfassung'!$D$24),HLOOKUP(TEXT(C13,"ttt"),'ZD Vorerfassung'!$H$21:$L$36,4,0),0))+
IF('ZD Vorerfassung'!$E$25="",0,IF(AND(B13&gt;='ZD Vorerfassung'!$C$25,B13&lt;='ZD Vorerfassung'!$D$25),HLOOKUP(TEXT(C13,"ttt"),'ZD Vorerfassung'!$H$21:$L$36,5,0),0))+
IF('ZD Vorerfassung'!$E$26="",0,IF(AND(B13&gt;='ZD Vorerfassung'!$C$26,B13&lt;='ZD Vorerfassung'!$D$26),HLOOKUP(TEXT(C13,"ttt"),'ZD Vorerfassung'!$H$21:$L$36,6,0),0))+
IF('ZD Vorerfassung'!$E$27="",0,IF(AND(B13&gt;='ZD Vorerfassung'!$C$27,B13&lt;='ZD Vorerfassung'!$D$27),HLOOKUP(TEXT(C13,"ttt"),'ZD Vorerfassung'!$H$21:$L$36,7,0),0))+
IF('ZD Vorerfassung'!$E$28="",0,IF(AND(B13&gt;='ZD Vorerfassung'!$C$28,B13&lt;='ZD Vorerfassung'!$D$28),HLOOKUP(TEXT(C13,"ttt"),'ZD Vorerfassung'!$H$21:$L$36,8,0),0))+
IF('ZD Vorerfassung'!$E$29="",0,IF(AND(B13&gt;='ZD Vorerfassung'!$C$29,B13&lt;='ZD Vorerfassung'!$D$29),HLOOKUP(TEXT(C13,"ttt"),'ZD Vorerfassung'!$H$21:$L$36,9,0),0))+
IF('ZD Vorerfassung'!$E$30="",0,IF(AND(B13&gt;='ZD Vorerfassung'!$C$30,B13&lt;='ZD Vorerfassung'!$D$30),HLOOKUP(TEXT(C13,"ttt"),'ZD Vorerfassung'!$H$21:$L$36,10,0),0))+
IF('ZD Vorerfassung'!$E$31="",0,IF(AND(B13&gt;='ZD Vorerfassung'!$C$31,B13&lt;='ZD Vorerfassung'!$D$31),HLOOKUP(TEXT(C13,"ttt"),'ZD Vorerfassung'!$H$21:$L$36,11,0),0))+
IF('ZD Vorerfassung'!$E$32="",0,IF(AND(B13&gt;='ZD Vorerfassung'!$C$32,B13&lt;='ZD Vorerfassung'!$D$32),HLOOKUP(TEXT(C13,"ttt"),'ZD Vorerfassung'!$H$21:$L$36,12,0),0))+
IF('ZD Vorerfassung'!$E$33="",0,IF(AND(B13&gt;='ZD Vorerfassung'!$C$33,B13&lt;='ZD Vorerfassung'!$D$33),HLOOKUP(TEXT(C13,"ttt"),'ZD Vorerfassung'!$H$21:$L$36,13,0),0))+
IF('ZD Vorerfassung'!$E$34="",0,IF(AND(B13&gt;='ZD Vorerfassung'!$C$34,B13&lt;='ZD Vorerfassung'!$D$34),HLOOKUP(TEXT(C13,"ttt"),'ZD Vorerfassung'!$H$21:$L$36,14,0),0))+
IF('ZD Vorerfassung'!$E$35="",0,IF(AND(B13&gt;='ZD Vorerfassung'!$C$35,B13&lt;='ZD Vorerfassung'!$D$35),HLOOKUP(TEXT(C13,"ttt"),'ZD Vorerfassung'!$H$21:$L$36,15,0),0))+
IF('ZD Vorerfassung'!$E$36="",0,IF(AND(B13&gt;='ZD Vorerfassung'!$C$36,B13&lt;='ZD Vorerfassung'!$D$36),HLOOKUP(TEXT(C13,"ttt"),'ZD Vorerfassung'!$H$21:$L$36,16,0),0)),"")</f>
        <v/>
      </c>
      <c r="AW13" s="110">
        <f t="array" ref="AW13">IF(OR(D13="UU",D13="FT",D13="WE"),0,
IF(D13="NR",SUM(IF(B13&gt;=_xlfn.NUMBERVALUE('ZD Vorerfassung'!$C$22:$C$36),1,0)*IF(B13&lt;=_xlfn.NUMBERVALUE('ZD Vorerfassung'!$D$22:$D$36),1,0)*'ZD Vorerfassung'!$Q$22:$Q$36),
IF(OR(D13="SF",D13="FH"),SUM(IF(B13&gt;=_xlfn.NUMBERVALUE('ZD Vorerfassung'!$C$22:$C$36),1,0)*IF(B13&lt;=_xlfn.NUMBERVALUE('ZD Vorerfassung'!$D$22:$D$36),1,0)*'ZD Vorerfassung'!$R$22:$R$36*IF(D13="FH",0.5,1)),
"prüfen")))</f>
        <v>0</v>
      </c>
      <c r="AX13" s="110">
        <f t="array" ref="AX13">IF(OR(D13="UU",D13="FT",D13="WE",E13="Ferien"),0,
IF(D13="NR",SUM(IF(B13&gt;=_xlfn.NUMBERVALUE('ZD Vorerfassung'!$C$22:$C$36),1,0)*IF(B13&lt;=_xlfn.NUMBERVALUE('ZD Vorerfassung'!$D$22:$D$36),1,0)*'ZD Vorerfassung'!$W$22:$W$36),
IF(OR(D13="SF",D13="FH"),SUM(IF(B13&gt;=_xlfn.NUMBERVALUE('ZD Vorerfassung'!$C$22:$C$36),1,0)*IF(B13&lt;=_xlfn.NUMBERVALUE('ZD Vorerfassung'!$D$22:$D$36),1,0)*'ZD Vorerfassung'!$X$22:$X$36*IF(D13="FH",0.5,1)),
"prüfen")))</f>
        <v>0</v>
      </c>
      <c r="AY13" s="110">
        <f t="array" ref="AY13">IF(OR(D13="UU",D13="FT",D13="WE",E13="Ferien"),0,
IF(D13="NR",SUM(IF(B13&gt;=_xlfn.NUMBERVALUE('ZD Vorerfassung'!$C$22:$C$36),1,0)*IF(B13&lt;=_xlfn.NUMBERVALUE('ZD Vorerfassung'!$D$22:$D$36),1,0)*'ZD Vorerfassung'!$U$22:$U$36),
IF(OR(D13="SF",D13="FH"),SUM(IF(B13&gt;=_xlfn.NUMBERVALUE('ZD Vorerfassung'!$C$22:$C$36),1,0)*IF(B13&lt;=_xlfn.NUMBERVALUE('ZD Vorerfassung'!$D$22:$D$36),1,0)*'ZD Vorerfassung'!$V$22:$V$36*IF(D13="FH",0.5,1)),
"prüfen")))</f>
        <v>0</v>
      </c>
      <c r="AZ13" s="110">
        <f t="array" ref="AZ13">IF(OR(D13="UU",D13="FT",D13="WE",E13="Ferien"),0,
IF(D13="NR",SUM(IF(B13&gt;=_xlfn.NUMBERVALUE('ZD Vorerfassung'!$C$22:$C$36),1,0)*IF(B13&lt;=_xlfn.NUMBERVALUE('ZD Vorerfassung'!$D$22:$D$36),1,0)*'ZD Vorerfassung'!$S$22:$S$36),
IF(OR(D13="SF",D13="FH"),SUM(IF(B13&gt;=_xlfn.NUMBERVALUE('ZD Vorerfassung'!$C$22:$C$36),1,0)*IF(B13&lt;=_xlfn.NUMBERVALUE('ZD Vorerfassung'!$D$22:$D$36),1,0)*'ZD Vorerfassung'!$T$22:$T$36*IF(D13="FH",0.5,1)),
"prüfen")))</f>
        <v>0</v>
      </c>
      <c r="BA13" s="112">
        <f t="shared" si="8"/>
        <v>8</v>
      </c>
      <c r="BB13" s="72"/>
    </row>
    <row r="14" spans="1:54" ht="19.5" thickTop="1" thickBot="1" x14ac:dyDescent="0.3">
      <c r="A14" s="84"/>
      <c r="B14" s="99">
        <f t="shared" si="0"/>
        <v>44779</v>
      </c>
      <c r="C14" s="100">
        <f t="shared" si="9"/>
        <v>44779</v>
      </c>
      <c r="D14" s="101" t="str">
        <f t="shared" si="10"/>
        <v>SF</v>
      </c>
      <c r="E14" s="102" t="str">
        <f t="shared" si="2"/>
        <v>unterrichtsfreie Arbeitszeit</v>
      </c>
      <c r="F14" s="103" t="str">
        <f t="shared" si="11"/>
        <v/>
      </c>
      <c r="G14" s="104" t="str">
        <f t="shared" si="12"/>
        <v/>
      </c>
      <c r="H14" s="104">
        <f>IFERROR(IF('ZD Vorerfassung'!$E$11="manuell",SUM(I14),IF(OR(E14="Feiertag",E14="Wochenende"),0,IF('ZD Vorerfassung'!$E$11="automatisch",AX14,IF(D14="UU","UU",IF(E14=Param2,AX14/24,IF(E14=Param9,AX14/48,"")))))),0)</f>
        <v>0</v>
      </c>
      <c r="I14" s="105"/>
      <c r="J14" s="106">
        <f>IF('ZD Vorerfassung'!$E$12="manuell",SUM(K14:AI14),IF(OR(E14="Feiertag",E14="Wochenende"),0,IF('ZD Vorerfassung'!$E$12="automatisch",AY14,IF(D14="UU","UU",IF(E14=Param2,AY14/24,IF(E14=Param9,AY14/48,""))))))</f>
        <v>0</v>
      </c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7">
        <f t="shared" si="13"/>
        <v>0</v>
      </c>
      <c r="AK14" s="105"/>
      <c r="AL14" s="105"/>
      <c r="AM14" s="105"/>
      <c r="AN14" s="105"/>
      <c r="AO14" s="105"/>
      <c r="AP14" s="105"/>
      <c r="AQ14" s="108">
        <f t="shared" si="14"/>
        <v>0</v>
      </c>
      <c r="AR14" s="108">
        <f t="shared" si="15"/>
        <v>0</v>
      </c>
      <c r="AS14" s="109">
        <f t="shared" si="16"/>
        <v>0</v>
      </c>
      <c r="AU14" s="110">
        <f t="shared" si="7"/>
        <v>0</v>
      </c>
      <c r="AV14" s="111" t="str">
        <f>IF(D14="NR",
IF('ZD Vorerfassung'!$E$22="",0,IF(AND(B14&gt;='ZD Vorerfassung'!$C$22,B14&lt;='ZD Vorerfassung'!$D$22),HLOOKUP(TEXT(C14,"ttt"),'ZD Vorerfassung'!$H$21:$L$36,2,0),0))+
IF('ZD Vorerfassung'!$E$23="",0,IF(AND(B14&gt;='ZD Vorerfassung'!$C$23,B14&lt;='ZD Vorerfassung'!$D$23),HLOOKUP(TEXT(C14,"ttt"),'ZD Vorerfassung'!$H$21:$L$36,3,0),0))+
IF('ZD Vorerfassung'!$E$24="",0,IF(AND(B14&gt;='ZD Vorerfassung'!$C$24,B14&lt;='ZD Vorerfassung'!$D$24),HLOOKUP(TEXT(C14,"ttt"),'ZD Vorerfassung'!$H$21:$L$36,4,0),0))+
IF('ZD Vorerfassung'!$E$25="",0,IF(AND(B14&gt;='ZD Vorerfassung'!$C$25,B14&lt;='ZD Vorerfassung'!$D$25),HLOOKUP(TEXT(C14,"ttt"),'ZD Vorerfassung'!$H$21:$L$36,5,0),0))+
IF('ZD Vorerfassung'!$E$26="",0,IF(AND(B14&gt;='ZD Vorerfassung'!$C$26,B14&lt;='ZD Vorerfassung'!$D$26),HLOOKUP(TEXT(C14,"ttt"),'ZD Vorerfassung'!$H$21:$L$36,6,0),0))+
IF('ZD Vorerfassung'!$E$27="",0,IF(AND(B14&gt;='ZD Vorerfassung'!$C$27,B14&lt;='ZD Vorerfassung'!$D$27),HLOOKUP(TEXT(C14,"ttt"),'ZD Vorerfassung'!$H$21:$L$36,7,0),0))+
IF('ZD Vorerfassung'!$E$28="",0,IF(AND(B14&gt;='ZD Vorerfassung'!$C$28,B14&lt;='ZD Vorerfassung'!$D$28),HLOOKUP(TEXT(C14,"ttt"),'ZD Vorerfassung'!$H$21:$L$36,8,0),0))+
IF('ZD Vorerfassung'!$E$29="",0,IF(AND(B14&gt;='ZD Vorerfassung'!$C$29,B14&lt;='ZD Vorerfassung'!$D$29),HLOOKUP(TEXT(C14,"ttt"),'ZD Vorerfassung'!$H$21:$L$36,9,0),0))+
IF('ZD Vorerfassung'!$E$30="",0,IF(AND(B14&gt;='ZD Vorerfassung'!$C$30,B14&lt;='ZD Vorerfassung'!$D$30),HLOOKUP(TEXT(C14,"ttt"),'ZD Vorerfassung'!$H$21:$L$36,10,0),0))+
IF('ZD Vorerfassung'!$E$31="",0,IF(AND(B14&gt;='ZD Vorerfassung'!$C$31,B14&lt;='ZD Vorerfassung'!$D$31),HLOOKUP(TEXT(C14,"ttt"),'ZD Vorerfassung'!$H$21:$L$36,11,0),0))+
IF('ZD Vorerfassung'!$E$32="",0,IF(AND(B14&gt;='ZD Vorerfassung'!$C$32,B14&lt;='ZD Vorerfassung'!$D$32),HLOOKUP(TEXT(C14,"ttt"),'ZD Vorerfassung'!$H$21:$L$36,12,0),0))+
IF('ZD Vorerfassung'!$E$33="",0,IF(AND(B14&gt;='ZD Vorerfassung'!$C$33,B14&lt;='ZD Vorerfassung'!$D$33),HLOOKUP(TEXT(C14,"ttt"),'ZD Vorerfassung'!$H$21:$L$36,13,0),0))+
IF('ZD Vorerfassung'!$E$34="",0,IF(AND(B14&gt;='ZD Vorerfassung'!$C$34,B14&lt;='ZD Vorerfassung'!$D$34),HLOOKUP(TEXT(C14,"ttt"),'ZD Vorerfassung'!$H$21:$L$36,14,0),0))+
IF('ZD Vorerfassung'!$E$35="",0,IF(AND(B14&gt;='ZD Vorerfassung'!$C$35,B14&lt;='ZD Vorerfassung'!$D$35),HLOOKUP(TEXT(C14,"ttt"),'ZD Vorerfassung'!$H$21:$L$36,15,0),0))+
IF('ZD Vorerfassung'!$E$36="",0,IF(AND(B14&gt;='ZD Vorerfassung'!$C$36,B14&lt;='ZD Vorerfassung'!$D$36),HLOOKUP(TEXT(C14,"ttt"),'ZD Vorerfassung'!$H$21:$L$36,16,0),0)),"")</f>
        <v/>
      </c>
      <c r="AW14" s="110">
        <f t="array" ref="AW14">IF(OR(D14="UU",D14="FT",D14="WE"),0,
IF(D14="NR",SUM(IF(B14&gt;=_xlfn.NUMBERVALUE('ZD Vorerfassung'!$C$22:$C$36),1,0)*IF(B14&lt;=_xlfn.NUMBERVALUE('ZD Vorerfassung'!$D$22:$D$36),1,0)*'ZD Vorerfassung'!$Q$22:$Q$36),
IF(OR(D14="SF",D14="FH"),SUM(IF(B14&gt;=_xlfn.NUMBERVALUE('ZD Vorerfassung'!$C$22:$C$36),1,0)*IF(B14&lt;=_xlfn.NUMBERVALUE('ZD Vorerfassung'!$D$22:$D$36),1,0)*'ZD Vorerfassung'!$R$22:$R$36*IF(D14="FH",0.5,1)),
"prüfen")))</f>
        <v>0</v>
      </c>
      <c r="AX14" s="110">
        <f t="array" ref="AX14">IF(OR(D14="UU",D14="FT",D14="WE",E14="Ferien"),0,
IF(D14="NR",SUM(IF(B14&gt;=_xlfn.NUMBERVALUE('ZD Vorerfassung'!$C$22:$C$36),1,0)*IF(B14&lt;=_xlfn.NUMBERVALUE('ZD Vorerfassung'!$D$22:$D$36),1,0)*'ZD Vorerfassung'!$W$22:$W$36),
IF(OR(D14="SF",D14="FH"),SUM(IF(B14&gt;=_xlfn.NUMBERVALUE('ZD Vorerfassung'!$C$22:$C$36),1,0)*IF(B14&lt;=_xlfn.NUMBERVALUE('ZD Vorerfassung'!$D$22:$D$36),1,0)*'ZD Vorerfassung'!$X$22:$X$36*IF(D14="FH",0.5,1)),
"prüfen")))</f>
        <v>0</v>
      </c>
      <c r="AY14" s="110">
        <f t="array" ref="AY14">IF(OR(D14="UU",D14="FT",D14="WE",E14="Ferien"),0,
IF(D14="NR",SUM(IF(B14&gt;=_xlfn.NUMBERVALUE('ZD Vorerfassung'!$C$22:$C$36),1,0)*IF(B14&lt;=_xlfn.NUMBERVALUE('ZD Vorerfassung'!$D$22:$D$36),1,0)*'ZD Vorerfassung'!$U$22:$U$36),
IF(OR(D14="SF",D14="FH"),SUM(IF(B14&gt;=_xlfn.NUMBERVALUE('ZD Vorerfassung'!$C$22:$C$36),1,0)*IF(B14&lt;=_xlfn.NUMBERVALUE('ZD Vorerfassung'!$D$22:$D$36),1,0)*'ZD Vorerfassung'!$V$22:$V$36*IF(D14="FH",0.5,1)),
"prüfen")))</f>
        <v>0</v>
      </c>
      <c r="AZ14" s="110">
        <f t="array" ref="AZ14">IF(OR(D14="UU",D14="FT",D14="WE",E14="Ferien"),0,
IF(D14="NR",SUM(IF(B14&gt;=_xlfn.NUMBERVALUE('ZD Vorerfassung'!$C$22:$C$36),1,0)*IF(B14&lt;=_xlfn.NUMBERVALUE('ZD Vorerfassung'!$D$22:$D$36),1,0)*'ZD Vorerfassung'!$S$22:$S$36),
IF(OR(D14="SF",D14="FH"),SUM(IF(B14&gt;=_xlfn.NUMBERVALUE('ZD Vorerfassung'!$C$22:$C$36),1,0)*IF(B14&lt;=_xlfn.NUMBERVALUE('ZD Vorerfassung'!$D$22:$D$36),1,0)*'ZD Vorerfassung'!$T$22:$T$36*IF(D14="FH",0.5,1)),
"prüfen")))</f>
        <v>0</v>
      </c>
      <c r="BA14" s="112">
        <f t="shared" si="8"/>
        <v>8</v>
      </c>
    </row>
    <row r="15" spans="1:54" ht="19.5" thickTop="1" thickBot="1" x14ac:dyDescent="0.3">
      <c r="A15" s="84"/>
      <c r="B15" s="99">
        <f t="shared" si="0"/>
        <v>44780</v>
      </c>
      <c r="C15" s="100">
        <f t="shared" si="9"/>
        <v>44780</v>
      </c>
      <c r="D15" s="101" t="str">
        <f t="shared" si="10"/>
        <v>WE</v>
      </c>
      <c r="E15" s="102" t="str">
        <f t="shared" si="2"/>
        <v>Wochenende</v>
      </c>
      <c r="F15" s="103" t="str">
        <f t="shared" si="11"/>
        <v/>
      </c>
      <c r="G15" s="104" t="str">
        <f t="shared" si="12"/>
        <v/>
      </c>
      <c r="H15" s="104">
        <f>IFERROR(IF('ZD Vorerfassung'!$E$11="manuell",SUM(I15),IF(OR(E15="Feiertag",E15="Wochenende"),0,IF('ZD Vorerfassung'!$E$11="automatisch",AX15,IF(D15="UU","UU",IF(E15=Param2,AX15/24,IF(E15=Param9,AX15/48,"")))))),0)</f>
        <v>0</v>
      </c>
      <c r="I15" s="105"/>
      <c r="J15" s="106">
        <f>IF('ZD Vorerfassung'!$E$12="manuell",SUM(K15:AI15),IF(OR(E15="Feiertag",E15="Wochenende"),0,IF('ZD Vorerfassung'!$E$12="automatisch",AY15,IF(D15="UU","UU",IF(E15=Param2,AY15/24,IF(E15=Param9,AY15/48,""))))))</f>
        <v>0</v>
      </c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7">
        <f t="shared" si="13"/>
        <v>0</v>
      </c>
      <c r="AK15" s="105"/>
      <c r="AL15" s="105"/>
      <c r="AM15" s="105"/>
      <c r="AN15" s="105"/>
      <c r="AO15" s="105"/>
      <c r="AP15" s="105"/>
      <c r="AQ15" s="108">
        <f t="shared" si="14"/>
        <v>0</v>
      </c>
      <c r="AR15" s="108">
        <f t="shared" si="15"/>
        <v>0</v>
      </c>
      <c r="AS15" s="109">
        <f t="shared" si="16"/>
        <v>0</v>
      </c>
      <c r="AU15" s="110">
        <f t="shared" si="7"/>
        <v>0</v>
      </c>
      <c r="AV15" s="111" t="str">
        <f>IF(D15="NR",
IF('ZD Vorerfassung'!$E$22="",0,IF(AND(B15&gt;='ZD Vorerfassung'!$C$22,B15&lt;='ZD Vorerfassung'!$D$22),HLOOKUP(TEXT(C15,"ttt"),'ZD Vorerfassung'!$H$21:$L$36,2,0),0))+
IF('ZD Vorerfassung'!$E$23="",0,IF(AND(B15&gt;='ZD Vorerfassung'!$C$23,B15&lt;='ZD Vorerfassung'!$D$23),HLOOKUP(TEXT(C15,"ttt"),'ZD Vorerfassung'!$H$21:$L$36,3,0),0))+
IF('ZD Vorerfassung'!$E$24="",0,IF(AND(B15&gt;='ZD Vorerfassung'!$C$24,B15&lt;='ZD Vorerfassung'!$D$24),HLOOKUP(TEXT(C15,"ttt"),'ZD Vorerfassung'!$H$21:$L$36,4,0),0))+
IF('ZD Vorerfassung'!$E$25="",0,IF(AND(B15&gt;='ZD Vorerfassung'!$C$25,B15&lt;='ZD Vorerfassung'!$D$25),HLOOKUP(TEXT(C15,"ttt"),'ZD Vorerfassung'!$H$21:$L$36,5,0),0))+
IF('ZD Vorerfassung'!$E$26="",0,IF(AND(B15&gt;='ZD Vorerfassung'!$C$26,B15&lt;='ZD Vorerfassung'!$D$26),HLOOKUP(TEXT(C15,"ttt"),'ZD Vorerfassung'!$H$21:$L$36,6,0),0))+
IF('ZD Vorerfassung'!$E$27="",0,IF(AND(B15&gt;='ZD Vorerfassung'!$C$27,B15&lt;='ZD Vorerfassung'!$D$27),HLOOKUP(TEXT(C15,"ttt"),'ZD Vorerfassung'!$H$21:$L$36,7,0),0))+
IF('ZD Vorerfassung'!$E$28="",0,IF(AND(B15&gt;='ZD Vorerfassung'!$C$28,B15&lt;='ZD Vorerfassung'!$D$28),HLOOKUP(TEXT(C15,"ttt"),'ZD Vorerfassung'!$H$21:$L$36,8,0),0))+
IF('ZD Vorerfassung'!$E$29="",0,IF(AND(B15&gt;='ZD Vorerfassung'!$C$29,B15&lt;='ZD Vorerfassung'!$D$29),HLOOKUP(TEXT(C15,"ttt"),'ZD Vorerfassung'!$H$21:$L$36,9,0),0))+
IF('ZD Vorerfassung'!$E$30="",0,IF(AND(B15&gt;='ZD Vorerfassung'!$C$30,B15&lt;='ZD Vorerfassung'!$D$30),HLOOKUP(TEXT(C15,"ttt"),'ZD Vorerfassung'!$H$21:$L$36,10,0),0))+
IF('ZD Vorerfassung'!$E$31="",0,IF(AND(B15&gt;='ZD Vorerfassung'!$C$31,B15&lt;='ZD Vorerfassung'!$D$31),HLOOKUP(TEXT(C15,"ttt"),'ZD Vorerfassung'!$H$21:$L$36,11,0),0))+
IF('ZD Vorerfassung'!$E$32="",0,IF(AND(B15&gt;='ZD Vorerfassung'!$C$32,B15&lt;='ZD Vorerfassung'!$D$32),HLOOKUP(TEXT(C15,"ttt"),'ZD Vorerfassung'!$H$21:$L$36,12,0),0))+
IF('ZD Vorerfassung'!$E$33="",0,IF(AND(B15&gt;='ZD Vorerfassung'!$C$33,B15&lt;='ZD Vorerfassung'!$D$33),HLOOKUP(TEXT(C15,"ttt"),'ZD Vorerfassung'!$H$21:$L$36,13,0),0))+
IF('ZD Vorerfassung'!$E$34="",0,IF(AND(B15&gt;='ZD Vorerfassung'!$C$34,B15&lt;='ZD Vorerfassung'!$D$34),HLOOKUP(TEXT(C15,"ttt"),'ZD Vorerfassung'!$H$21:$L$36,14,0),0))+
IF('ZD Vorerfassung'!$E$35="",0,IF(AND(B15&gt;='ZD Vorerfassung'!$C$35,B15&lt;='ZD Vorerfassung'!$D$35),HLOOKUP(TEXT(C15,"ttt"),'ZD Vorerfassung'!$H$21:$L$36,15,0),0))+
IF('ZD Vorerfassung'!$E$36="",0,IF(AND(B15&gt;='ZD Vorerfassung'!$C$36,B15&lt;='ZD Vorerfassung'!$D$36),HLOOKUP(TEXT(C15,"ttt"),'ZD Vorerfassung'!$H$21:$L$36,16,0),0)),"")</f>
        <v/>
      </c>
      <c r="AW15" s="110">
        <f t="array" ref="AW15">IF(OR(D15="UU",D15="FT",D15="WE"),0,
IF(D15="NR",SUM(IF(B15&gt;=_xlfn.NUMBERVALUE('ZD Vorerfassung'!$C$22:$C$36),1,0)*IF(B15&lt;=_xlfn.NUMBERVALUE('ZD Vorerfassung'!$D$22:$D$36),1,0)*'ZD Vorerfassung'!$Q$22:$Q$36),
IF(OR(D15="SF",D15="FH"),SUM(IF(B15&gt;=_xlfn.NUMBERVALUE('ZD Vorerfassung'!$C$22:$C$36),1,0)*IF(B15&lt;=_xlfn.NUMBERVALUE('ZD Vorerfassung'!$D$22:$D$36),1,0)*'ZD Vorerfassung'!$R$22:$R$36*IF(D15="FH",0.5,1)),
"prüfen")))</f>
        <v>0</v>
      </c>
      <c r="AX15" s="110">
        <f t="array" ref="AX15">IF(OR(D15="UU",D15="FT",D15="WE",E15="Ferien"),0,
IF(D15="NR",SUM(IF(B15&gt;=_xlfn.NUMBERVALUE('ZD Vorerfassung'!$C$22:$C$36),1,0)*IF(B15&lt;=_xlfn.NUMBERVALUE('ZD Vorerfassung'!$D$22:$D$36),1,0)*'ZD Vorerfassung'!$W$22:$W$36),
IF(OR(D15="SF",D15="FH"),SUM(IF(B15&gt;=_xlfn.NUMBERVALUE('ZD Vorerfassung'!$C$22:$C$36),1,0)*IF(B15&lt;=_xlfn.NUMBERVALUE('ZD Vorerfassung'!$D$22:$D$36),1,0)*'ZD Vorerfassung'!$X$22:$X$36*IF(D15="FH",0.5,1)),
"prüfen")))</f>
        <v>0</v>
      </c>
      <c r="AY15" s="110">
        <f t="array" ref="AY15">IF(OR(D15="UU",D15="FT",D15="WE",E15="Ferien"),0,
IF(D15="NR",SUM(IF(B15&gt;=_xlfn.NUMBERVALUE('ZD Vorerfassung'!$C$22:$C$36),1,0)*IF(B15&lt;=_xlfn.NUMBERVALUE('ZD Vorerfassung'!$D$22:$D$36),1,0)*'ZD Vorerfassung'!$U$22:$U$36),
IF(OR(D15="SF",D15="FH"),SUM(IF(B15&gt;=_xlfn.NUMBERVALUE('ZD Vorerfassung'!$C$22:$C$36),1,0)*IF(B15&lt;=_xlfn.NUMBERVALUE('ZD Vorerfassung'!$D$22:$D$36),1,0)*'ZD Vorerfassung'!$V$22:$V$36*IF(D15="FH",0.5,1)),
"prüfen")))</f>
        <v>0</v>
      </c>
      <c r="AZ15" s="110">
        <f t="array" ref="AZ15">IF(OR(D15="UU",D15="FT",D15="WE",E15="Ferien"),0,
IF(D15="NR",SUM(IF(B15&gt;=_xlfn.NUMBERVALUE('ZD Vorerfassung'!$C$22:$C$36),1,0)*IF(B15&lt;=_xlfn.NUMBERVALUE('ZD Vorerfassung'!$D$22:$D$36),1,0)*'ZD Vorerfassung'!$S$22:$S$36),
IF(OR(D15="SF",D15="FH"),SUM(IF(B15&gt;=_xlfn.NUMBERVALUE('ZD Vorerfassung'!$C$22:$C$36),1,0)*IF(B15&lt;=_xlfn.NUMBERVALUE('ZD Vorerfassung'!$D$22:$D$36),1,0)*'ZD Vorerfassung'!$T$22:$T$36*IF(D15="FH",0.5,1)),
"prüfen")))</f>
        <v>0</v>
      </c>
      <c r="BA15" s="112">
        <f t="shared" si="8"/>
        <v>8</v>
      </c>
    </row>
    <row r="16" spans="1:54" ht="19.5" thickTop="1" thickBot="1" x14ac:dyDescent="0.3">
      <c r="A16" s="84"/>
      <c r="B16" s="99">
        <f t="shared" si="0"/>
        <v>44781</v>
      </c>
      <c r="C16" s="100">
        <f t="shared" si="9"/>
        <v>44781</v>
      </c>
      <c r="D16" s="101" t="str">
        <f t="shared" si="10"/>
        <v>WE</v>
      </c>
      <c r="E16" s="102" t="str">
        <f t="shared" si="2"/>
        <v>Wochenende</v>
      </c>
      <c r="F16" s="103" t="str">
        <f t="shared" si="11"/>
        <v/>
      </c>
      <c r="G16" s="104" t="str">
        <f t="shared" si="12"/>
        <v/>
      </c>
      <c r="H16" s="104">
        <f>IFERROR(IF('ZD Vorerfassung'!$E$11="manuell",SUM(I16),IF(OR(E16="Feiertag",E16="Wochenende"),0,IF('ZD Vorerfassung'!$E$11="automatisch",AX16,IF(D16="UU","UU",IF(E16=Param2,AX16/24,IF(E16=Param9,AX16/48,"")))))),0)</f>
        <v>0</v>
      </c>
      <c r="I16" s="105"/>
      <c r="J16" s="106">
        <f>IF('ZD Vorerfassung'!$E$12="manuell",SUM(K16:AI16),IF(OR(E16="Feiertag",E16="Wochenende"),0,IF('ZD Vorerfassung'!$E$12="automatisch",AY16,IF(D16="UU","UU",IF(E16=Param2,AY16/24,IF(E16=Param9,AY16/48,""))))))</f>
        <v>0</v>
      </c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7">
        <f t="shared" si="13"/>
        <v>0</v>
      </c>
      <c r="AK16" s="105"/>
      <c r="AL16" s="105"/>
      <c r="AM16" s="105"/>
      <c r="AN16" s="105"/>
      <c r="AO16" s="105"/>
      <c r="AP16" s="105"/>
      <c r="AQ16" s="108">
        <f t="shared" si="14"/>
        <v>0</v>
      </c>
      <c r="AR16" s="108">
        <f t="shared" si="15"/>
        <v>0</v>
      </c>
      <c r="AS16" s="109">
        <f t="shared" si="16"/>
        <v>0</v>
      </c>
      <c r="AU16" s="110">
        <f t="shared" si="7"/>
        <v>0</v>
      </c>
      <c r="AV16" s="111" t="str">
        <f>IF(D16="NR",
IF('ZD Vorerfassung'!$E$22="",0,IF(AND(B16&gt;='ZD Vorerfassung'!$C$22,B16&lt;='ZD Vorerfassung'!$D$22),HLOOKUP(TEXT(C16,"ttt"),'ZD Vorerfassung'!$H$21:$L$36,2,0),0))+
IF('ZD Vorerfassung'!$E$23="",0,IF(AND(B16&gt;='ZD Vorerfassung'!$C$23,B16&lt;='ZD Vorerfassung'!$D$23),HLOOKUP(TEXT(C16,"ttt"),'ZD Vorerfassung'!$H$21:$L$36,3,0),0))+
IF('ZD Vorerfassung'!$E$24="",0,IF(AND(B16&gt;='ZD Vorerfassung'!$C$24,B16&lt;='ZD Vorerfassung'!$D$24),HLOOKUP(TEXT(C16,"ttt"),'ZD Vorerfassung'!$H$21:$L$36,4,0),0))+
IF('ZD Vorerfassung'!$E$25="",0,IF(AND(B16&gt;='ZD Vorerfassung'!$C$25,B16&lt;='ZD Vorerfassung'!$D$25),HLOOKUP(TEXT(C16,"ttt"),'ZD Vorerfassung'!$H$21:$L$36,5,0),0))+
IF('ZD Vorerfassung'!$E$26="",0,IF(AND(B16&gt;='ZD Vorerfassung'!$C$26,B16&lt;='ZD Vorerfassung'!$D$26),HLOOKUP(TEXT(C16,"ttt"),'ZD Vorerfassung'!$H$21:$L$36,6,0),0))+
IF('ZD Vorerfassung'!$E$27="",0,IF(AND(B16&gt;='ZD Vorerfassung'!$C$27,B16&lt;='ZD Vorerfassung'!$D$27),HLOOKUP(TEXT(C16,"ttt"),'ZD Vorerfassung'!$H$21:$L$36,7,0),0))+
IF('ZD Vorerfassung'!$E$28="",0,IF(AND(B16&gt;='ZD Vorerfassung'!$C$28,B16&lt;='ZD Vorerfassung'!$D$28),HLOOKUP(TEXT(C16,"ttt"),'ZD Vorerfassung'!$H$21:$L$36,8,0),0))+
IF('ZD Vorerfassung'!$E$29="",0,IF(AND(B16&gt;='ZD Vorerfassung'!$C$29,B16&lt;='ZD Vorerfassung'!$D$29),HLOOKUP(TEXT(C16,"ttt"),'ZD Vorerfassung'!$H$21:$L$36,9,0),0))+
IF('ZD Vorerfassung'!$E$30="",0,IF(AND(B16&gt;='ZD Vorerfassung'!$C$30,B16&lt;='ZD Vorerfassung'!$D$30),HLOOKUP(TEXT(C16,"ttt"),'ZD Vorerfassung'!$H$21:$L$36,10,0),0))+
IF('ZD Vorerfassung'!$E$31="",0,IF(AND(B16&gt;='ZD Vorerfassung'!$C$31,B16&lt;='ZD Vorerfassung'!$D$31),HLOOKUP(TEXT(C16,"ttt"),'ZD Vorerfassung'!$H$21:$L$36,11,0),0))+
IF('ZD Vorerfassung'!$E$32="",0,IF(AND(B16&gt;='ZD Vorerfassung'!$C$32,B16&lt;='ZD Vorerfassung'!$D$32),HLOOKUP(TEXT(C16,"ttt"),'ZD Vorerfassung'!$H$21:$L$36,12,0),0))+
IF('ZD Vorerfassung'!$E$33="",0,IF(AND(B16&gt;='ZD Vorerfassung'!$C$33,B16&lt;='ZD Vorerfassung'!$D$33),HLOOKUP(TEXT(C16,"ttt"),'ZD Vorerfassung'!$H$21:$L$36,13,0),0))+
IF('ZD Vorerfassung'!$E$34="",0,IF(AND(B16&gt;='ZD Vorerfassung'!$C$34,B16&lt;='ZD Vorerfassung'!$D$34),HLOOKUP(TEXT(C16,"ttt"),'ZD Vorerfassung'!$H$21:$L$36,14,0),0))+
IF('ZD Vorerfassung'!$E$35="",0,IF(AND(B16&gt;='ZD Vorerfassung'!$C$35,B16&lt;='ZD Vorerfassung'!$D$35),HLOOKUP(TEXT(C16,"ttt"),'ZD Vorerfassung'!$H$21:$L$36,15,0),0))+
IF('ZD Vorerfassung'!$E$36="",0,IF(AND(B16&gt;='ZD Vorerfassung'!$C$36,B16&lt;='ZD Vorerfassung'!$D$36),HLOOKUP(TEXT(C16,"ttt"),'ZD Vorerfassung'!$H$21:$L$36,16,0),0)),"")</f>
        <v/>
      </c>
      <c r="AW16" s="110">
        <f t="array" ref="AW16">IF(OR(D16="UU",D16="FT",D16="WE"),0,
IF(D16="NR",SUM(IF(B16&gt;=_xlfn.NUMBERVALUE('ZD Vorerfassung'!$C$22:$C$36),1,0)*IF(B16&lt;=_xlfn.NUMBERVALUE('ZD Vorerfassung'!$D$22:$D$36),1,0)*'ZD Vorerfassung'!$Q$22:$Q$36),
IF(OR(D16="SF",D16="FH"),SUM(IF(B16&gt;=_xlfn.NUMBERVALUE('ZD Vorerfassung'!$C$22:$C$36),1,0)*IF(B16&lt;=_xlfn.NUMBERVALUE('ZD Vorerfassung'!$D$22:$D$36),1,0)*'ZD Vorerfassung'!$R$22:$R$36*IF(D16="FH",0.5,1)),
"prüfen")))</f>
        <v>0</v>
      </c>
      <c r="AX16" s="110">
        <f t="array" ref="AX16">IF(OR(D16="UU",D16="FT",D16="WE",E16="Ferien"),0,
IF(D16="NR",SUM(IF(B16&gt;=_xlfn.NUMBERVALUE('ZD Vorerfassung'!$C$22:$C$36),1,0)*IF(B16&lt;=_xlfn.NUMBERVALUE('ZD Vorerfassung'!$D$22:$D$36),1,0)*'ZD Vorerfassung'!$W$22:$W$36),
IF(OR(D16="SF",D16="FH"),SUM(IF(B16&gt;=_xlfn.NUMBERVALUE('ZD Vorerfassung'!$C$22:$C$36),1,0)*IF(B16&lt;=_xlfn.NUMBERVALUE('ZD Vorerfassung'!$D$22:$D$36),1,0)*'ZD Vorerfassung'!$X$22:$X$36*IF(D16="FH",0.5,1)),
"prüfen")))</f>
        <v>0</v>
      </c>
      <c r="AY16" s="110">
        <f t="array" ref="AY16">IF(OR(D16="UU",D16="FT",D16="WE",E16="Ferien"),0,
IF(D16="NR",SUM(IF(B16&gt;=_xlfn.NUMBERVALUE('ZD Vorerfassung'!$C$22:$C$36),1,0)*IF(B16&lt;=_xlfn.NUMBERVALUE('ZD Vorerfassung'!$D$22:$D$36),1,0)*'ZD Vorerfassung'!$U$22:$U$36),
IF(OR(D16="SF",D16="FH"),SUM(IF(B16&gt;=_xlfn.NUMBERVALUE('ZD Vorerfassung'!$C$22:$C$36),1,0)*IF(B16&lt;=_xlfn.NUMBERVALUE('ZD Vorerfassung'!$D$22:$D$36),1,0)*'ZD Vorerfassung'!$V$22:$V$36*IF(D16="FH",0.5,1)),
"prüfen")))</f>
        <v>0</v>
      </c>
      <c r="AZ16" s="110">
        <f t="array" ref="AZ16">IF(OR(D16="UU",D16="FT",D16="WE",E16="Ferien"),0,
IF(D16="NR",SUM(IF(B16&gt;=_xlfn.NUMBERVALUE('ZD Vorerfassung'!$C$22:$C$36),1,0)*IF(B16&lt;=_xlfn.NUMBERVALUE('ZD Vorerfassung'!$D$22:$D$36),1,0)*'ZD Vorerfassung'!$S$22:$S$36),
IF(OR(D16="SF",D16="FH"),SUM(IF(B16&gt;=_xlfn.NUMBERVALUE('ZD Vorerfassung'!$C$22:$C$36),1,0)*IF(B16&lt;=_xlfn.NUMBERVALUE('ZD Vorerfassung'!$D$22:$D$36),1,0)*'ZD Vorerfassung'!$T$22:$T$36*IF(D16="FH",0.5,1)),
"prüfen")))</f>
        <v>0</v>
      </c>
      <c r="BA16" s="112">
        <f t="shared" si="8"/>
        <v>8</v>
      </c>
    </row>
    <row r="17" spans="1:54" ht="19.5" thickTop="1" thickBot="1" x14ac:dyDescent="0.3">
      <c r="A17" s="84"/>
      <c r="B17" s="99">
        <f t="shared" si="0"/>
        <v>44782</v>
      </c>
      <c r="C17" s="100">
        <f t="shared" si="9"/>
        <v>44782</v>
      </c>
      <c r="D17" s="101" t="str">
        <f t="shared" si="10"/>
        <v>NR</v>
      </c>
      <c r="E17" s="102" t="str">
        <f t="shared" si="2"/>
        <v>Unterrichtstag</v>
      </c>
      <c r="F17" s="103">
        <f t="shared" si="11"/>
        <v>0</v>
      </c>
      <c r="G17" s="104">
        <f t="shared" si="12"/>
        <v>0</v>
      </c>
      <c r="H17" s="104">
        <f>IFERROR(IF('ZD Vorerfassung'!$E$11="manuell",SUM(I17),IF(OR(E17="Feiertag",E17="Wochenende"),0,IF('ZD Vorerfassung'!$E$11="automatisch",AX17,IF(D17="UU","UU",IF(E17=Param2,AX17/24,IF(E17=Param9,AX17/48,"")))))),0)</f>
        <v>0</v>
      </c>
      <c r="I17" s="105"/>
      <c r="J17" s="106">
        <f>IF('ZD Vorerfassung'!$E$12="manuell",SUM(K17:AI17),IF(OR(E17="Feiertag",E17="Wochenende"),0,IF('ZD Vorerfassung'!$E$12="automatisch",AY17,IF(D17="UU","UU",IF(E17=Param2,AY17/24,IF(E17=Param9,AY17/48,""))))))</f>
        <v>0</v>
      </c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7">
        <f t="shared" si="13"/>
        <v>0</v>
      </c>
      <c r="AK17" s="105"/>
      <c r="AL17" s="105"/>
      <c r="AM17" s="105"/>
      <c r="AN17" s="105"/>
      <c r="AO17" s="105"/>
      <c r="AP17" s="105"/>
      <c r="AQ17" s="108">
        <f t="shared" si="14"/>
        <v>0</v>
      </c>
      <c r="AR17" s="108">
        <f t="shared" si="15"/>
        <v>0</v>
      </c>
      <c r="AS17" s="109">
        <f t="shared" si="16"/>
        <v>0</v>
      </c>
      <c r="AU17" s="110">
        <f t="shared" si="7"/>
        <v>0</v>
      </c>
      <c r="AV17" s="111">
        <f>IF(D17="NR",
IF('ZD Vorerfassung'!$E$22="",0,IF(AND(B17&gt;='ZD Vorerfassung'!$C$22,B17&lt;='ZD Vorerfassung'!$D$22),HLOOKUP(TEXT(C17,"ttt"),'ZD Vorerfassung'!$H$21:$L$36,2,0),0))+
IF('ZD Vorerfassung'!$E$23="",0,IF(AND(B17&gt;='ZD Vorerfassung'!$C$23,B17&lt;='ZD Vorerfassung'!$D$23),HLOOKUP(TEXT(C17,"ttt"),'ZD Vorerfassung'!$H$21:$L$36,3,0),0))+
IF('ZD Vorerfassung'!$E$24="",0,IF(AND(B17&gt;='ZD Vorerfassung'!$C$24,B17&lt;='ZD Vorerfassung'!$D$24),HLOOKUP(TEXT(C17,"ttt"),'ZD Vorerfassung'!$H$21:$L$36,4,0),0))+
IF('ZD Vorerfassung'!$E$25="",0,IF(AND(B17&gt;='ZD Vorerfassung'!$C$25,B17&lt;='ZD Vorerfassung'!$D$25),HLOOKUP(TEXT(C17,"ttt"),'ZD Vorerfassung'!$H$21:$L$36,5,0),0))+
IF('ZD Vorerfassung'!$E$26="",0,IF(AND(B17&gt;='ZD Vorerfassung'!$C$26,B17&lt;='ZD Vorerfassung'!$D$26),HLOOKUP(TEXT(C17,"ttt"),'ZD Vorerfassung'!$H$21:$L$36,6,0),0))+
IF('ZD Vorerfassung'!$E$27="",0,IF(AND(B17&gt;='ZD Vorerfassung'!$C$27,B17&lt;='ZD Vorerfassung'!$D$27),HLOOKUP(TEXT(C17,"ttt"),'ZD Vorerfassung'!$H$21:$L$36,7,0),0))+
IF('ZD Vorerfassung'!$E$28="",0,IF(AND(B17&gt;='ZD Vorerfassung'!$C$28,B17&lt;='ZD Vorerfassung'!$D$28),HLOOKUP(TEXT(C17,"ttt"),'ZD Vorerfassung'!$H$21:$L$36,8,0),0))+
IF('ZD Vorerfassung'!$E$29="",0,IF(AND(B17&gt;='ZD Vorerfassung'!$C$29,B17&lt;='ZD Vorerfassung'!$D$29),HLOOKUP(TEXT(C17,"ttt"),'ZD Vorerfassung'!$H$21:$L$36,9,0),0))+
IF('ZD Vorerfassung'!$E$30="",0,IF(AND(B17&gt;='ZD Vorerfassung'!$C$30,B17&lt;='ZD Vorerfassung'!$D$30),HLOOKUP(TEXT(C17,"ttt"),'ZD Vorerfassung'!$H$21:$L$36,10,0),0))+
IF('ZD Vorerfassung'!$E$31="",0,IF(AND(B17&gt;='ZD Vorerfassung'!$C$31,B17&lt;='ZD Vorerfassung'!$D$31),HLOOKUP(TEXT(C17,"ttt"),'ZD Vorerfassung'!$H$21:$L$36,11,0),0))+
IF('ZD Vorerfassung'!$E$32="",0,IF(AND(B17&gt;='ZD Vorerfassung'!$C$32,B17&lt;='ZD Vorerfassung'!$D$32),HLOOKUP(TEXT(C17,"ttt"),'ZD Vorerfassung'!$H$21:$L$36,12,0),0))+
IF('ZD Vorerfassung'!$E$33="",0,IF(AND(B17&gt;='ZD Vorerfassung'!$C$33,B17&lt;='ZD Vorerfassung'!$D$33),HLOOKUP(TEXT(C17,"ttt"),'ZD Vorerfassung'!$H$21:$L$36,13,0),0))+
IF('ZD Vorerfassung'!$E$34="",0,IF(AND(B17&gt;='ZD Vorerfassung'!$C$34,B17&lt;='ZD Vorerfassung'!$D$34),HLOOKUP(TEXT(C17,"ttt"),'ZD Vorerfassung'!$H$21:$L$36,14,0),0))+
IF('ZD Vorerfassung'!$E$35="",0,IF(AND(B17&gt;='ZD Vorerfassung'!$C$35,B17&lt;='ZD Vorerfassung'!$D$35),HLOOKUP(TEXT(C17,"ttt"),'ZD Vorerfassung'!$H$21:$L$36,15,0),0))+
IF('ZD Vorerfassung'!$E$36="",0,IF(AND(B17&gt;='ZD Vorerfassung'!$C$36,B17&lt;='ZD Vorerfassung'!$D$36),HLOOKUP(TEXT(C17,"ttt"),'ZD Vorerfassung'!$H$21:$L$36,16,0),0)),"")</f>
        <v>0</v>
      </c>
      <c r="AW17" s="110">
        <f t="array" ref="AW17">IF(OR(D17="UU",D17="FT",D17="WE"),0,
IF(D17="NR",SUM(IF(B17&gt;=_xlfn.NUMBERVALUE('ZD Vorerfassung'!$C$22:$C$36),1,0)*IF(B17&lt;=_xlfn.NUMBERVALUE('ZD Vorerfassung'!$D$22:$D$36),1,0)*'ZD Vorerfassung'!$Q$22:$Q$36),
IF(OR(D17="SF",D17="FH"),SUM(IF(B17&gt;=_xlfn.NUMBERVALUE('ZD Vorerfassung'!$C$22:$C$36),1,0)*IF(B17&lt;=_xlfn.NUMBERVALUE('ZD Vorerfassung'!$D$22:$D$36),1,0)*'ZD Vorerfassung'!$R$22:$R$36*IF(D17="FH",0.5,1)),
"prüfen")))</f>
        <v>0</v>
      </c>
      <c r="AX17" s="110">
        <f t="array" ref="AX17">IF(OR(D17="UU",D17="FT",D17="WE",E17="Ferien"),0,
IF(D17="NR",SUM(IF(B17&gt;=_xlfn.NUMBERVALUE('ZD Vorerfassung'!$C$22:$C$36),1,0)*IF(B17&lt;=_xlfn.NUMBERVALUE('ZD Vorerfassung'!$D$22:$D$36),1,0)*'ZD Vorerfassung'!$W$22:$W$36),
IF(OR(D17="SF",D17="FH"),SUM(IF(B17&gt;=_xlfn.NUMBERVALUE('ZD Vorerfassung'!$C$22:$C$36),1,0)*IF(B17&lt;=_xlfn.NUMBERVALUE('ZD Vorerfassung'!$D$22:$D$36),1,0)*'ZD Vorerfassung'!$X$22:$X$36*IF(D17="FH",0.5,1)),
"prüfen")))</f>
        <v>0</v>
      </c>
      <c r="AY17" s="110">
        <f t="array" ref="AY17">IF(OR(D17="UU",D17="FT",D17="WE",E17="Ferien"),0,
IF(D17="NR",SUM(IF(B17&gt;=_xlfn.NUMBERVALUE('ZD Vorerfassung'!$C$22:$C$36),1,0)*IF(B17&lt;=_xlfn.NUMBERVALUE('ZD Vorerfassung'!$D$22:$D$36),1,0)*'ZD Vorerfassung'!$U$22:$U$36),
IF(OR(D17="SF",D17="FH"),SUM(IF(B17&gt;=_xlfn.NUMBERVALUE('ZD Vorerfassung'!$C$22:$C$36),1,0)*IF(B17&lt;=_xlfn.NUMBERVALUE('ZD Vorerfassung'!$D$22:$D$36),1,0)*'ZD Vorerfassung'!$V$22:$V$36*IF(D17="FH",0.5,1)),
"prüfen")))</f>
        <v>0</v>
      </c>
      <c r="AZ17" s="110">
        <f t="array" ref="AZ17">IF(OR(D17="UU",D17="FT",D17="WE",E17="Ferien"),0,
IF(D17="NR",SUM(IF(B17&gt;=_xlfn.NUMBERVALUE('ZD Vorerfassung'!$C$22:$C$36),1,0)*IF(B17&lt;=_xlfn.NUMBERVALUE('ZD Vorerfassung'!$D$22:$D$36),1,0)*'ZD Vorerfassung'!$S$22:$S$36),
IF(OR(D17="SF",D17="FH"),SUM(IF(B17&gt;=_xlfn.NUMBERVALUE('ZD Vorerfassung'!$C$22:$C$36),1,0)*IF(B17&lt;=_xlfn.NUMBERVALUE('ZD Vorerfassung'!$D$22:$D$36),1,0)*'ZD Vorerfassung'!$T$22:$T$36*IF(D17="FH",0.5,1)),
"prüfen")))</f>
        <v>0</v>
      </c>
      <c r="BA17" s="112">
        <f t="shared" si="8"/>
        <v>8</v>
      </c>
    </row>
    <row r="18" spans="1:54" ht="19.5" thickTop="1" thickBot="1" x14ac:dyDescent="0.3">
      <c r="A18" s="84"/>
      <c r="B18" s="99">
        <f t="shared" si="0"/>
        <v>44783</v>
      </c>
      <c r="C18" s="100">
        <f t="shared" si="9"/>
        <v>44783</v>
      </c>
      <c r="D18" s="101" t="str">
        <f t="shared" si="10"/>
        <v>NR</v>
      </c>
      <c r="E18" s="102" t="str">
        <f t="shared" si="2"/>
        <v>Unterrichtstag</v>
      </c>
      <c r="F18" s="103">
        <f t="shared" si="11"/>
        <v>0</v>
      </c>
      <c r="G18" s="104">
        <f t="shared" si="12"/>
        <v>0</v>
      </c>
      <c r="H18" s="104">
        <f>IFERROR(IF('ZD Vorerfassung'!$E$11="manuell",SUM(I18),IF(OR(E18="Feiertag",E18="Wochenende"),0,IF('ZD Vorerfassung'!$E$11="automatisch",AX18,IF(D18="UU","UU",IF(E18=Param2,AX18/24,IF(E18=Param9,AX18/48,"")))))),0)</f>
        <v>0</v>
      </c>
      <c r="I18" s="105"/>
      <c r="J18" s="106">
        <f>IF('ZD Vorerfassung'!$E$12="manuell",SUM(K18:AI18),IF(OR(E18="Feiertag",E18="Wochenende"),0,IF('ZD Vorerfassung'!$E$12="automatisch",AY18,IF(D18="UU","UU",IF(E18=Param2,AY18/24,IF(E18=Param9,AY18/48,""))))))</f>
        <v>0</v>
      </c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7">
        <f t="shared" si="13"/>
        <v>0</v>
      </c>
      <c r="AK18" s="105"/>
      <c r="AL18" s="105"/>
      <c r="AM18" s="105"/>
      <c r="AN18" s="105"/>
      <c r="AO18" s="105"/>
      <c r="AP18" s="105"/>
      <c r="AQ18" s="108">
        <f t="shared" si="14"/>
        <v>0</v>
      </c>
      <c r="AR18" s="108">
        <f t="shared" si="15"/>
        <v>0</v>
      </c>
      <c r="AS18" s="109">
        <f t="shared" si="16"/>
        <v>0</v>
      </c>
      <c r="AU18" s="110">
        <f t="shared" si="7"/>
        <v>0</v>
      </c>
      <c r="AV18" s="111">
        <f>IF(D18="NR",
IF('ZD Vorerfassung'!$E$22="",0,IF(AND(B18&gt;='ZD Vorerfassung'!$C$22,B18&lt;='ZD Vorerfassung'!$D$22),HLOOKUP(TEXT(C18,"ttt"),'ZD Vorerfassung'!$H$21:$L$36,2,0),0))+
IF('ZD Vorerfassung'!$E$23="",0,IF(AND(B18&gt;='ZD Vorerfassung'!$C$23,B18&lt;='ZD Vorerfassung'!$D$23),HLOOKUP(TEXT(C18,"ttt"),'ZD Vorerfassung'!$H$21:$L$36,3,0),0))+
IF('ZD Vorerfassung'!$E$24="",0,IF(AND(B18&gt;='ZD Vorerfassung'!$C$24,B18&lt;='ZD Vorerfassung'!$D$24),HLOOKUP(TEXT(C18,"ttt"),'ZD Vorerfassung'!$H$21:$L$36,4,0),0))+
IF('ZD Vorerfassung'!$E$25="",0,IF(AND(B18&gt;='ZD Vorerfassung'!$C$25,B18&lt;='ZD Vorerfassung'!$D$25),HLOOKUP(TEXT(C18,"ttt"),'ZD Vorerfassung'!$H$21:$L$36,5,0),0))+
IF('ZD Vorerfassung'!$E$26="",0,IF(AND(B18&gt;='ZD Vorerfassung'!$C$26,B18&lt;='ZD Vorerfassung'!$D$26),HLOOKUP(TEXT(C18,"ttt"),'ZD Vorerfassung'!$H$21:$L$36,6,0),0))+
IF('ZD Vorerfassung'!$E$27="",0,IF(AND(B18&gt;='ZD Vorerfassung'!$C$27,B18&lt;='ZD Vorerfassung'!$D$27),HLOOKUP(TEXT(C18,"ttt"),'ZD Vorerfassung'!$H$21:$L$36,7,0),0))+
IF('ZD Vorerfassung'!$E$28="",0,IF(AND(B18&gt;='ZD Vorerfassung'!$C$28,B18&lt;='ZD Vorerfassung'!$D$28),HLOOKUP(TEXT(C18,"ttt"),'ZD Vorerfassung'!$H$21:$L$36,8,0),0))+
IF('ZD Vorerfassung'!$E$29="",0,IF(AND(B18&gt;='ZD Vorerfassung'!$C$29,B18&lt;='ZD Vorerfassung'!$D$29),HLOOKUP(TEXT(C18,"ttt"),'ZD Vorerfassung'!$H$21:$L$36,9,0),0))+
IF('ZD Vorerfassung'!$E$30="",0,IF(AND(B18&gt;='ZD Vorerfassung'!$C$30,B18&lt;='ZD Vorerfassung'!$D$30),HLOOKUP(TEXT(C18,"ttt"),'ZD Vorerfassung'!$H$21:$L$36,10,0),0))+
IF('ZD Vorerfassung'!$E$31="",0,IF(AND(B18&gt;='ZD Vorerfassung'!$C$31,B18&lt;='ZD Vorerfassung'!$D$31),HLOOKUP(TEXT(C18,"ttt"),'ZD Vorerfassung'!$H$21:$L$36,11,0),0))+
IF('ZD Vorerfassung'!$E$32="",0,IF(AND(B18&gt;='ZD Vorerfassung'!$C$32,B18&lt;='ZD Vorerfassung'!$D$32),HLOOKUP(TEXT(C18,"ttt"),'ZD Vorerfassung'!$H$21:$L$36,12,0),0))+
IF('ZD Vorerfassung'!$E$33="",0,IF(AND(B18&gt;='ZD Vorerfassung'!$C$33,B18&lt;='ZD Vorerfassung'!$D$33),HLOOKUP(TEXT(C18,"ttt"),'ZD Vorerfassung'!$H$21:$L$36,13,0),0))+
IF('ZD Vorerfassung'!$E$34="",0,IF(AND(B18&gt;='ZD Vorerfassung'!$C$34,B18&lt;='ZD Vorerfassung'!$D$34),HLOOKUP(TEXT(C18,"ttt"),'ZD Vorerfassung'!$H$21:$L$36,14,0),0))+
IF('ZD Vorerfassung'!$E$35="",0,IF(AND(B18&gt;='ZD Vorerfassung'!$C$35,B18&lt;='ZD Vorerfassung'!$D$35),HLOOKUP(TEXT(C18,"ttt"),'ZD Vorerfassung'!$H$21:$L$36,15,0),0))+
IF('ZD Vorerfassung'!$E$36="",0,IF(AND(B18&gt;='ZD Vorerfassung'!$C$36,B18&lt;='ZD Vorerfassung'!$D$36),HLOOKUP(TEXT(C18,"ttt"),'ZD Vorerfassung'!$H$21:$L$36,16,0),0)),"")</f>
        <v>0</v>
      </c>
      <c r="AW18" s="110">
        <f t="array" ref="AW18">IF(OR(D18="UU",D18="FT",D18="WE"),0,
IF(D18="NR",SUM(IF(B18&gt;=_xlfn.NUMBERVALUE('ZD Vorerfassung'!$C$22:$C$36),1,0)*IF(B18&lt;=_xlfn.NUMBERVALUE('ZD Vorerfassung'!$D$22:$D$36),1,0)*'ZD Vorerfassung'!$Q$22:$Q$36),
IF(OR(D18="SF",D18="FH"),SUM(IF(B18&gt;=_xlfn.NUMBERVALUE('ZD Vorerfassung'!$C$22:$C$36),1,0)*IF(B18&lt;=_xlfn.NUMBERVALUE('ZD Vorerfassung'!$D$22:$D$36),1,0)*'ZD Vorerfassung'!$R$22:$R$36*IF(D18="FH",0.5,1)),
"prüfen")))</f>
        <v>0</v>
      </c>
      <c r="AX18" s="110">
        <f t="array" ref="AX18">IF(OR(D18="UU",D18="FT",D18="WE",E18="Ferien"),0,
IF(D18="NR",SUM(IF(B18&gt;=_xlfn.NUMBERVALUE('ZD Vorerfassung'!$C$22:$C$36),1,0)*IF(B18&lt;=_xlfn.NUMBERVALUE('ZD Vorerfassung'!$D$22:$D$36),1,0)*'ZD Vorerfassung'!$W$22:$W$36),
IF(OR(D18="SF",D18="FH"),SUM(IF(B18&gt;=_xlfn.NUMBERVALUE('ZD Vorerfassung'!$C$22:$C$36),1,0)*IF(B18&lt;=_xlfn.NUMBERVALUE('ZD Vorerfassung'!$D$22:$D$36),1,0)*'ZD Vorerfassung'!$X$22:$X$36*IF(D18="FH",0.5,1)),
"prüfen")))</f>
        <v>0</v>
      </c>
      <c r="AY18" s="110">
        <f t="array" ref="AY18">IF(OR(D18="UU",D18="FT",D18="WE",E18="Ferien"),0,
IF(D18="NR",SUM(IF(B18&gt;=_xlfn.NUMBERVALUE('ZD Vorerfassung'!$C$22:$C$36),1,0)*IF(B18&lt;=_xlfn.NUMBERVALUE('ZD Vorerfassung'!$D$22:$D$36),1,0)*'ZD Vorerfassung'!$U$22:$U$36),
IF(OR(D18="SF",D18="FH"),SUM(IF(B18&gt;=_xlfn.NUMBERVALUE('ZD Vorerfassung'!$C$22:$C$36),1,0)*IF(B18&lt;=_xlfn.NUMBERVALUE('ZD Vorerfassung'!$D$22:$D$36),1,0)*'ZD Vorerfassung'!$V$22:$V$36*IF(D18="FH",0.5,1)),
"prüfen")))</f>
        <v>0</v>
      </c>
      <c r="AZ18" s="110">
        <f t="array" ref="AZ18">IF(OR(D18="UU",D18="FT",D18="WE",E18="Ferien"),0,
IF(D18="NR",SUM(IF(B18&gt;=_xlfn.NUMBERVALUE('ZD Vorerfassung'!$C$22:$C$36),1,0)*IF(B18&lt;=_xlfn.NUMBERVALUE('ZD Vorerfassung'!$D$22:$D$36),1,0)*'ZD Vorerfassung'!$S$22:$S$36),
IF(OR(D18="SF",D18="FH"),SUM(IF(B18&gt;=_xlfn.NUMBERVALUE('ZD Vorerfassung'!$C$22:$C$36),1,0)*IF(B18&lt;=_xlfn.NUMBERVALUE('ZD Vorerfassung'!$D$22:$D$36),1,0)*'ZD Vorerfassung'!$T$22:$T$36*IF(D18="FH",0.5,1)),
"prüfen")))</f>
        <v>0</v>
      </c>
      <c r="BA18" s="112">
        <f t="shared" si="8"/>
        <v>8</v>
      </c>
    </row>
    <row r="19" spans="1:54" s="114" customFormat="1" ht="19.5" thickTop="1" thickBot="1" x14ac:dyDescent="0.3">
      <c r="A19" s="113"/>
      <c r="B19" s="99">
        <f t="shared" si="0"/>
        <v>44784</v>
      </c>
      <c r="C19" s="100">
        <f t="shared" si="9"/>
        <v>44784</v>
      </c>
      <c r="D19" s="101" t="str">
        <f t="shared" si="10"/>
        <v>NR</v>
      </c>
      <c r="E19" s="102" t="str">
        <f t="shared" si="2"/>
        <v>Unterrichtstag</v>
      </c>
      <c r="F19" s="103">
        <f t="shared" si="11"/>
        <v>0</v>
      </c>
      <c r="G19" s="104">
        <f t="shared" si="12"/>
        <v>0</v>
      </c>
      <c r="H19" s="104">
        <f>IFERROR(IF('ZD Vorerfassung'!$E$11="manuell",SUM(I19),IF(OR(E19="Feiertag",E19="Wochenende"),0,IF('ZD Vorerfassung'!$E$11="automatisch",AX19,IF(D19="UU","UU",IF(E19=Param2,AX19/24,IF(E19=Param9,AX19/48,"")))))),0)</f>
        <v>0</v>
      </c>
      <c r="I19" s="105"/>
      <c r="J19" s="106">
        <f>IF('ZD Vorerfassung'!$E$12="manuell",SUM(K19:AI19),IF(OR(E19="Feiertag",E19="Wochenende"),0,IF('ZD Vorerfassung'!$E$12="automatisch",AY19,IF(D19="UU","UU",IF(E19=Param2,AY19/24,IF(E19=Param9,AY19/48,""))))))</f>
        <v>0</v>
      </c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7">
        <f t="shared" si="13"/>
        <v>0</v>
      </c>
      <c r="AK19" s="105"/>
      <c r="AL19" s="105"/>
      <c r="AM19" s="105"/>
      <c r="AN19" s="105"/>
      <c r="AO19" s="105"/>
      <c r="AP19" s="105"/>
      <c r="AQ19" s="108">
        <f t="shared" si="14"/>
        <v>0</v>
      </c>
      <c r="AR19" s="108">
        <f t="shared" si="15"/>
        <v>0</v>
      </c>
      <c r="AS19" s="109">
        <f t="shared" si="16"/>
        <v>0</v>
      </c>
      <c r="AT19" s="72"/>
      <c r="AU19" s="110">
        <f t="shared" si="7"/>
        <v>0</v>
      </c>
      <c r="AV19" s="111">
        <f>IF(D19="NR",
IF('ZD Vorerfassung'!$E$22="",0,IF(AND(B19&gt;='ZD Vorerfassung'!$C$22,B19&lt;='ZD Vorerfassung'!$D$22),HLOOKUP(TEXT(C19,"ttt"),'ZD Vorerfassung'!$H$21:$L$36,2,0),0))+
IF('ZD Vorerfassung'!$E$23="",0,IF(AND(B19&gt;='ZD Vorerfassung'!$C$23,B19&lt;='ZD Vorerfassung'!$D$23),HLOOKUP(TEXT(C19,"ttt"),'ZD Vorerfassung'!$H$21:$L$36,3,0),0))+
IF('ZD Vorerfassung'!$E$24="",0,IF(AND(B19&gt;='ZD Vorerfassung'!$C$24,B19&lt;='ZD Vorerfassung'!$D$24),HLOOKUP(TEXT(C19,"ttt"),'ZD Vorerfassung'!$H$21:$L$36,4,0),0))+
IF('ZD Vorerfassung'!$E$25="",0,IF(AND(B19&gt;='ZD Vorerfassung'!$C$25,B19&lt;='ZD Vorerfassung'!$D$25),HLOOKUP(TEXT(C19,"ttt"),'ZD Vorerfassung'!$H$21:$L$36,5,0),0))+
IF('ZD Vorerfassung'!$E$26="",0,IF(AND(B19&gt;='ZD Vorerfassung'!$C$26,B19&lt;='ZD Vorerfassung'!$D$26),HLOOKUP(TEXT(C19,"ttt"),'ZD Vorerfassung'!$H$21:$L$36,6,0),0))+
IF('ZD Vorerfassung'!$E$27="",0,IF(AND(B19&gt;='ZD Vorerfassung'!$C$27,B19&lt;='ZD Vorerfassung'!$D$27),HLOOKUP(TEXT(C19,"ttt"),'ZD Vorerfassung'!$H$21:$L$36,7,0),0))+
IF('ZD Vorerfassung'!$E$28="",0,IF(AND(B19&gt;='ZD Vorerfassung'!$C$28,B19&lt;='ZD Vorerfassung'!$D$28),HLOOKUP(TEXT(C19,"ttt"),'ZD Vorerfassung'!$H$21:$L$36,8,0),0))+
IF('ZD Vorerfassung'!$E$29="",0,IF(AND(B19&gt;='ZD Vorerfassung'!$C$29,B19&lt;='ZD Vorerfassung'!$D$29),HLOOKUP(TEXT(C19,"ttt"),'ZD Vorerfassung'!$H$21:$L$36,9,0),0))+
IF('ZD Vorerfassung'!$E$30="",0,IF(AND(B19&gt;='ZD Vorerfassung'!$C$30,B19&lt;='ZD Vorerfassung'!$D$30),HLOOKUP(TEXT(C19,"ttt"),'ZD Vorerfassung'!$H$21:$L$36,10,0),0))+
IF('ZD Vorerfassung'!$E$31="",0,IF(AND(B19&gt;='ZD Vorerfassung'!$C$31,B19&lt;='ZD Vorerfassung'!$D$31),HLOOKUP(TEXT(C19,"ttt"),'ZD Vorerfassung'!$H$21:$L$36,11,0),0))+
IF('ZD Vorerfassung'!$E$32="",0,IF(AND(B19&gt;='ZD Vorerfassung'!$C$32,B19&lt;='ZD Vorerfassung'!$D$32),HLOOKUP(TEXT(C19,"ttt"),'ZD Vorerfassung'!$H$21:$L$36,12,0),0))+
IF('ZD Vorerfassung'!$E$33="",0,IF(AND(B19&gt;='ZD Vorerfassung'!$C$33,B19&lt;='ZD Vorerfassung'!$D$33),HLOOKUP(TEXT(C19,"ttt"),'ZD Vorerfassung'!$H$21:$L$36,13,0),0))+
IF('ZD Vorerfassung'!$E$34="",0,IF(AND(B19&gt;='ZD Vorerfassung'!$C$34,B19&lt;='ZD Vorerfassung'!$D$34),HLOOKUP(TEXT(C19,"ttt"),'ZD Vorerfassung'!$H$21:$L$36,14,0),0))+
IF('ZD Vorerfassung'!$E$35="",0,IF(AND(B19&gt;='ZD Vorerfassung'!$C$35,B19&lt;='ZD Vorerfassung'!$D$35),HLOOKUP(TEXT(C19,"ttt"),'ZD Vorerfassung'!$H$21:$L$36,15,0),0))+
IF('ZD Vorerfassung'!$E$36="",0,IF(AND(B19&gt;='ZD Vorerfassung'!$C$36,B19&lt;='ZD Vorerfassung'!$D$36),HLOOKUP(TEXT(C19,"ttt"),'ZD Vorerfassung'!$H$21:$L$36,16,0),0)),"")</f>
        <v>0</v>
      </c>
      <c r="AW19" s="110">
        <f t="array" ref="AW19">IF(OR(D19="UU",D19="FT",D19="WE"),0,
IF(D19="NR",SUM(IF(B19&gt;=_xlfn.NUMBERVALUE('ZD Vorerfassung'!$C$22:$C$36),1,0)*IF(B19&lt;=_xlfn.NUMBERVALUE('ZD Vorerfassung'!$D$22:$D$36),1,0)*'ZD Vorerfassung'!$Q$22:$Q$36),
IF(OR(D19="SF",D19="FH"),SUM(IF(B19&gt;=_xlfn.NUMBERVALUE('ZD Vorerfassung'!$C$22:$C$36),1,0)*IF(B19&lt;=_xlfn.NUMBERVALUE('ZD Vorerfassung'!$D$22:$D$36),1,0)*'ZD Vorerfassung'!$R$22:$R$36*IF(D19="FH",0.5,1)),
"prüfen")))</f>
        <v>0</v>
      </c>
      <c r="AX19" s="110">
        <f t="array" ref="AX19">IF(OR(D19="UU",D19="FT",D19="WE",E19="Ferien"),0,
IF(D19="NR",SUM(IF(B19&gt;=_xlfn.NUMBERVALUE('ZD Vorerfassung'!$C$22:$C$36),1,0)*IF(B19&lt;=_xlfn.NUMBERVALUE('ZD Vorerfassung'!$D$22:$D$36),1,0)*'ZD Vorerfassung'!$W$22:$W$36),
IF(OR(D19="SF",D19="FH"),SUM(IF(B19&gt;=_xlfn.NUMBERVALUE('ZD Vorerfassung'!$C$22:$C$36),1,0)*IF(B19&lt;=_xlfn.NUMBERVALUE('ZD Vorerfassung'!$D$22:$D$36),1,0)*'ZD Vorerfassung'!$X$22:$X$36*IF(D19="FH",0.5,1)),
"prüfen")))</f>
        <v>0</v>
      </c>
      <c r="AY19" s="110">
        <f t="array" ref="AY19">IF(OR(D19="UU",D19="FT",D19="WE",E19="Ferien"),0,
IF(D19="NR",SUM(IF(B19&gt;=_xlfn.NUMBERVALUE('ZD Vorerfassung'!$C$22:$C$36),1,0)*IF(B19&lt;=_xlfn.NUMBERVALUE('ZD Vorerfassung'!$D$22:$D$36),1,0)*'ZD Vorerfassung'!$U$22:$U$36),
IF(OR(D19="SF",D19="FH"),SUM(IF(B19&gt;=_xlfn.NUMBERVALUE('ZD Vorerfassung'!$C$22:$C$36),1,0)*IF(B19&lt;=_xlfn.NUMBERVALUE('ZD Vorerfassung'!$D$22:$D$36),1,0)*'ZD Vorerfassung'!$V$22:$V$36*IF(D19="FH",0.5,1)),
"prüfen")))</f>
        <v>0</v>
      </c>
      <c r="AZ19" s="110">
        <f t="array" ref="AZ19">IF(OR(D19="UU",D19="FT",D19="WE",E19="Ferien"),0,
IF(D19="NR",SUM(IF(B19&gt;=_xlfn.NUMBERVALUE('ZD Vorerfassung'!$C$22:$C$36),1,0)*IF(B19&lt;=_xlfn.NUMBERVALUE('ZD Vorerfassung'!$D$22:$D$36),1,0)*'ZD Vorerfassung'!$S$22:$S$36),
IF(OR(D19="SF",D19="FH"),SUM(IF(B19&gt;=_xlfn.NUMBERVALUE('ZD Vorerfassung'!$C$22:$C$36),1,0)*IF(B19&lt;=_xlfn.NUMBERVALUE('ZD Vorerfassung'!$D$22:$D$36),1,0)*'ZD Vorerfassung'!$T$22:$T$36*IF(D19="FH",0.5,1)),
"prüfen")))</f>
        <v>0</v>
      </c>
      <c r="BA19" s="112">
        <f t="shared" si="8"/>
        <v>8</v>
      </c>
      <c r="BB19" s="72"/>
    </row>
    <row r="20" spans="1:54" s="114" customFormat="1" ht="19.5" thickTop="1" thickBot="1" x14ac:dyDescent="0.3">
      <c r="A20" s="115"/>
      <c r="B20" s="99">
        <f t="shared" si="0"/>
        <v>44785</v>
      </c>
      <c r="C20" s="100">
        <f t="shared" si="9"/>
        <v>44785</v>
      </c>
      <c r="D20" s="101" t="str">
        <f t="shared" si="10"/>
        <v>NR</v>
      </c>
      <c r="E20" s="102" t="str">
        <f t="shared" si="2"/>
        <v>Unterrichtstag</v>
      </c>
      <c r="F20" s="103">
        <f t="shared" si="11"/>
        <v>0</v>
      </c>
      <c r="G20" s="104">
        <f t="shared" si="12"/>
        <v>0</v>
      </c>
      <c r="H20" s="104">
        <f>IFERROR(IF('ZD Vorerfassung'!$E$11="manuell",SUM(I20),IF(OR(E20="Feiertag",E20="Wochenende"),0,IF('ZD Vorerfassung'!$E$11="automatisch",AX20,IF(D20="UU","UU",IF(E20=Param2,AX20/24,IF(E20=Param9,AX20/48,"")))))),0)</f>
        <v>0</v>
      </c>
      <c r="I20" s="105"/>
      <c r="J20" s="106">
        <f>IF('ZD Vorerfassung'!$E$12="manuell",SUM(K20:AI20),IF(OR(E20="Feiertag",E20="Wochenende"),0,IF('ZD Vorerfassung'!$E$12="automatisch",AY20,IF(D20="UU","UU",IF(E20=Param2,AY20/24,IF(E20=Param9,AY20/48,""))))))</f>
        <v>0</v>
      </c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7">
        <f t="shared" si="13"/>
        <v>0</v>
      </c>
      <c r="AK20" s="105"/>
      <c r="AL20" s="105"/>
      <c r="AM20" s="105"/>
      <c r="AN20" s="105"/>
      <c r="AO20" s="105"/>
      <c r="AP20" s="105"/>
      <c r="AQ20" s="108">
        <f t="shared" si="14"/>
        <v>0</v>
      </c>
      <c r="AR20" s="108">
        <f t="shared" si="15"/>
        <v>0</v>
      </c>
      <c r="AS20" s="109">
        <f t="shared" si="16"/>
        <v>0</v>
      </c>
      <c r="AT20" s="72"/>
      <c r="AU20" s="110">
        <f t="shared" si="7"/>
        <v>0</v>
      </c>
      <c r="AV20" s="111">
        <f>IF(D20="NR",
IF('ZD Vorerfassung'!$E$22="",0,IF(AND(B20&gt;='ZD Vorerfassung'!$C$22,B20&lt;='ZD Vorerfassung'!$D$22),HLOOKUP(TEXT(C20,"ttt"),'ZD Vorerfassung'!$H$21:$L$36,2,0),0))+
IF('ZD Vorerfassung'!$E$23="",0,IF(AND(B20&gt;='ZD Vorerfassung'!$C$23,B20&lt;='ZD Vorerfassung'!$D$23),HLOOKUP(TEXT(C20,"ttt"),'ZD Vorerfassung'!$H$21:$L$36,3,0),0))+
IF('ZD Vorerfassung'!$E$24="",0,IF(AND(B20&gt;='ZD Vorerfassung'!$C$24,B20&lt;='ZD Vorerfassung'!$D$24),HLOOKUP(TEXT(C20,"ttt"),'ZD Vorerfassung'!$H$21:$L$36,4,0),0))+
IF('ZD Vorerfassung'!$E$25="",0,IF(AND(B20&gt;='ZD Vorerfassung'!$C$25,B20&lt;='ZD Vorerfassung'!$D$25),HLOOKUP(TEXT(C20,"ttt"),'ZD Vorerfassung'!$H$21:$L$36,5,0),0))+
IF('ZD Vorerfassung'!$E$26="",0,IF(AND(B20&gt;='ZD Vorerfassung'!$C$26,B20&lt;='ZD Vorerfassung'!$D$26),HLOOKUP(TEXT(C20,"ttt"),'ZD Vorerfassung'!$H$21:$L$36,6,0),0))+
IF('ZD Vorerfassung'!$E$27="",0,IF(AND(B20&gt;='ZD Vorerfassung'!$C$27,B20&lt;='ZD Vorerfassung'!$D$27),HLOOKUP(TEXT(C20,"ttt"),'ZD Vorerfassung'!$H$21:$L$36,7,0),0))+
IF('ZD Vorerfassung'!$E$28="",0,IF(AND(B20&gt;='ZD Vorerfassung'!$C$28,B20&lt;='ZD Vorerfassung'!$D$28),HLOOKUP(TEXT(C20,"ttt"),'ZD Vorerfassung'!$H$21:$L$36,8,0),0))+
IF('ZD Vorerfassung'!$E$29="",0,IF(AND(B20&gt;='ZD Vorerfassung'!$C$29,B20&lt;='ZD Vorerfassung'!$D$29),HLOOKUP(TEXT(C20,"ttt"),'ZD Vorerfassung'!$H$21:$L$36,9,0),0))+
IF('ZD Vorerfassung'!$E$30="",0,IF(AND(B20&gt;='ZD Vorerfassung'!$C$30,B20&lt;='ZD Vorerfassung'!$D$30),HLOOKUP(TEXT(C20,"ttt"),'ZD Vorerfassung'!$H$21:$L$36,10,0),0))+
IF('ZD Vorerfassung'!$E$31="",0,IF(AND(B20&gt;='ZD Vorerfassung'!$C$31,B20&lt;='ZD Vorerfassung'!$D$31),HLOOKUP(TEXT(C20,"ttt"),'ZD Vorerfassung'!$H$21:$L$36,11,0),0))+
IF('ZD Vorerfassung'!$E$32="",0,IF(AND(B20&gt;='ZD Vorerfassung'!$C$32,B20&lt;='ZD Vorerfassung'!$D$32),HLOOKUP(TEXT(C20,"ttt"),'ZD Vorerfassung'!$H$21:$L$36,12,0),0))+
IF('ZD Vorerfassung'!$E$33="",0,IF(AND(B20&gt;='ZD Vorerfassung'!$C$33,B20&lt;='ZD Vorerfassung'!$D$33),HLOOKUP(TEXT(C20,"ttt"),'ZD Vorerfassung'!$H$21:$L$36,13,0),0))+
IF('ZD Vorerfassung'!$E$34="",0,IF(AND(B20&gt;='ZD Vorerfassung'!$C$34,B20&lt;='ZD Vorerfassung'!$D$34),HLOOKUP(TEXT(C20,"ttt"),'ZD Vorerfassung'!$H$21:$L$36,14,0),0))+
IF('ZD Vorerfassung'!$E$35="",0,IF(AND(B20&gt;='ZD Vorerfassung'!$C$35,B20&lt;='ZD Vorerfassung'!$D$35),HLOOKUP(TEXT(C20,"ttt"),'ZD Vorerfassung'!$H$21:$L$36,15,0),0))+
IF('ZD Vorerfassung'!$E$36="",0,IF(AND(B20&gt;='ZD Vorerfassung'!$C$36,B20&lt;='ZD Vorerfassung'!$D$36),HLOOKUP(TEXT(C20,"ttt"),'ZD Vorerfassung'!$H$21:$L$36,16,0),0)),"")</f>
        <v>0</v>
      </c>
      <c r="AW20" s="110">
        <f t="array" ref="AW20">IF(OR(D20="UU",D20="FT",D20="WE"),0,
IF(D20="NR",SUM(IF(B20&gt;=_xlfn.NUMBERVALUE('ZD Vorerfassung'!$C$22:$C$36),1,0)*IF(B20&lt;=_xlfn.NUMBERVALUE('ZD Vorerfassung'!$D$22:$D$36),1,0)*'ZD Vorerfassung'!$Q$22:$Q$36),
IF(OR(D20="SF",D20="FH"),SUM(IF(B20&gt;=_xlfn.NUMBERVALUE('ZD Vorerfassung'!$C$22:$C$36),1,0)*IF(B20&lt;=_xlfn.NUMBERVALUE('ZD Vorerfassung'!$D$22:$D$36),1,0)*'ZD Vorerfassung'!$R$22:$R$36*IF(D20="FH",0.5,1)),
"prüfen")))</f>
        <v>0</v>
      </c>
      <c r="AX20" s="110">
        <f t="array" ref="AX20">IF(OR(D20="UU",D20="FT",D20="WE",E20="Ferien"),0,
IF(D20="NR",SUM(IF(B20&gt;=_xlfn.NUMBERVALUE('ZD Vorerfassung'!$C$22:$C$36),1,0)*IF(B20&lt;=_xlfn.NUMBERVALUE('ZD Vorerfassung'!$D$22:$D$36),1,0)*'ZD Vorerfassung'!$W$22:$W$36),
IF(OR(D20="SF",D20="FH"),SUM(IF(B20&gt;=_xlfn.NUMBERVALUE('ZD Vorerfassung'!$C$22:$C$36),1,0)*IF(B20&lt;=_xlfn.NUMBERVALUE('ZD Vorerfassung'!$D$22:$D$36),1,0)*'ZD Vorerfassung'!$X$22:$X$36*IF(D20="FH",0.5,1)),
"prüfen")))</f>
        <v>0</v>
      </c>
      <c r="AY20" s="110">
        <f t="array" ref="AY20">IF(OR(D20="UU",D20="FT",D20="WE",E20="Ferien"),0,
IF(D20="NR",SUM(IF(B20&gt;=_xlfn.NUMBERVALUE('ZD Vorerfassung'!$C$22:$C$36),1,0)*IF(B20&lt;=_xlfn.NUMBERVALUE('ZD Vorerfassung'!$D$22:$D$36),1,0)*'ZD Vorerfassung'!$U$22:$U$36),
IF(OR(D20="SF",D20="FH"),SUM(IF(B20&gt;=_xlfn.NUMBERVALUE('ZD Vorerfassung'!$C$22:$C$36),1,0)*IF(B20&lt;=_xlfn.NUMBERVALUE('ZD Vorerfassung'!$D$22:$D$36),1,0)*'ZD Vorerfassung'!$V$22:$V$36*IF(D20="FH",0.5,1)),
"prüfen")))</f>
        <v>0</v>
      </c>
      <c r="AZ20" s="110">
        <f t="array" ref="AZ20">IF(OR(D20="UU",D20="FT",D20="WE",E20="Ferien"),0,
IF(D20="NR",SUM(IF(B20&gt;=_xlfn.NUMBERVALUE('ZD Vorerfassung'!$C$22:$C$36),1,0)*IF(B20&lt;=_xlfn.NUMBERVALUE('ZD Vorerfassung'!$D$22:$D$36),1,0)*'ZD Vorerfassung'!$S$22:$S$36),
IF(OR(D20="SF",D20="FH"),SUM(IF(B20&gt;=_xlfn.NUMBERVALUE('ZD Vorerfassung'!$C$22:$C$36),1,0)*IF(B20&lt;=_xlfn.NUMBERVALUE('ZD Vorerfassung'!$D$22:$D$36),1,0)*'ZD Vorerfassung'!$T$22:$T$36*IF(D20="FH",0.5,1)),
"prüfen")))</f>
        <v>0</v>
      </c>
      <c r="BA20" s="112">
        <f t="shared" si="8"/>
        <v>8</v>
      </c>
      <c r="BB20" s="72"/>
    </row>
    <row r="21" spans="1:54" ht="19.5" thickTop="1" thickBot="1" x14ac:dyDescent="0.3">
      <c r="A21" s="84"/>
      <c r="B21" s="99">
        <f t="shared" si="0"/>
        <v>44786</v>
      </c>
      <c r="C21" s="100">
        <f t="shared" si="9"/>
        <v>44786</v>
      </c>
      <c r="D21" s="101" t="str">
        <f t="shared" si="10"/>
        <v>NR</v>
      </c>
      <c r="E21" s="102" t="str">
        <f t="shared" si="2"/>
        <v>Unterrichtstag</v>
      </c>
      <c r="F21" s="103">
        <f t="shared" si="11"/>
        <v>0</v>
      </c>
      <c r="G21" s="104">
        <f t="shared" si="12"/>
        <v>0</v>
      </c>
      <c r="H21" s="104">
        <f>IFERROR(IF('ZD Vorerfassung'!$E$11="manuell",SUM(I21),IF(OR(E21="Feiertag",E21="Wochenende"),0,IF('ZD Vorerfassung'!$E$11="automatisch",AX21,IF(D21="UU","UU",IF(E21=Param2,AX21/24,IF(E21=Param9,AX21/48,"")))))),0)</f>
        <v>0</v>
      </c>
      <c r="I21" s="105"/>
      <c r="J21" s="106">
        <f>IF('ZD Vorerfassung'!$E$12="manuell",SUM(K21:AI21),IF(OR(E21="Feiertag",E21="Wochenende"),0,IF('ZD Vorerfassung'!$E$12="automatisch",AY21,IF(D21="UU","UU",IF(E21=Param2,AY21/24,IF(E21=Param9,AY21/48,""))))))</f>
        <v>0</v>
      </c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7">
        <f t="shared" si="13"/>
        <v>0</v>
      </c>
      <c r="AK21" s="105"/>
      <c r="AL21" s="105"/>
      <c r="AM21" s="105"/>
      <c r="AN21" s="105"/>
      <c r="AO21" s="105"/>
      <c r="AP21" s="105"/>
      <c r="AQ21" s="108">
        <f t="shared" si="14"/>
        <v>0</v>
      </c>
      <c r="AR21" s="108">
        <f t="shared" si="15"/>
        <v>0</v>
      </c>
      <c r="AS21" s="109">
        <f t="shared" si="16"/>
        <v>0</v>
      </c>
      <c r="AU21" s="110">
        <f t="shared" si="7"/>
        <v>0</v>
      </c>
      <c r="AV21" s="111">
        <f>IF(D21="NR",
IF('ZD Vorerfassung'!$E$22="",0,IF(AND(B21&gt;='ZD Vorerfassung'!$C$22,B21&lt;='ZD Vorerfassung'!$D$22),HLOOKUP(TEXT(C21,"ttt"),'ZD Vorerfassung'!$H$21:$L$36,2,0),0))+
IF('ZD Vorerfassung'!$E$23="",0,IF(AND(B21&gt;='ZD Vorerfassung'!$C$23,B21&lt;='ZD Vorerfassung'!$D$23),HLOOKUP(TEXT(C21,"ttt"),'ZD Vorerfassung'!$H$21:$L$36,3,0),0))+
IF('ZD Vorerfassung'!$E$24="",0,IF(AND(B21&gt;='ZD Vorerfassung'!$C$24,B21&lt;='ZD Vorerfassung'!$D$24),HLOOKUP(TEXT(C21,"ttt"),'ZD Vorerfassung'!$H$21:$L$36,4,0),0))+
IF('ZD Vorerfassung'!$E$25="",0,IF(AND(B21&gt;='ZD Vorerfassung'!$C$25,B21&lt;='ZD Vorerfassung'!$D$25),HLOOKUP(TEXT(C21,"ttt"),'ZD Vorerfassung'!$H$21:$L$36,5,0),0))+
IF('ZD Vorerfassung'!$E$26="",0,IF(AND(B21&gt;='ZD Vorerfassung'!$C$26,B21&lt;='ZD Vorerfassung'!$D$26),HLOOKUP(TEXT(C21,"ttt"),'ZD Vorerfassung'!$H$21:$L$36,6,0),0))+
IF('ZD Vorerfassung'!$E$27="",0,IF(AND(B21&gt;='ZD Vorerfassung'!$C$27,B21&lt;='ZD Vorerfassung'!$D$27),HLOOKUP(TEXT(C21,"ttt"),'ZD Vorerfassung'!$H$21:$L$36,7,0),0))+
IF('ZD Vorerfassung'!$E$28="",0,IF(AND(B21&gt;='ZD Vorerfassung'!$C$28,B21&lt;='ZD Vorerfassung'!$D$28),HLOOKUP(TEXT(C21,"ttt"),'ZD Vorerfassung'!$H$21:$L$36,8,0),0))+
IF('ZD Vorerfassung'!$E$29="",0,IF(AND(B21&gt;='ZD Vorerfassung'!$C$29,B21&lt;='ZD Vorerfassung'!$D$29),HLOOKUP(TEXT(C21,"ttt"),'ZD Vorerfassung'!$H$21:$L$36,9,0),0))+
IF('ZD Vorerfassung'!$E$30="",0,IF(AND(B21&gt;='ZD Vorerfassung'!$C$30,B21&lt;='ZD Vorerfassung'!$D$30),HLOOKUP(TEXT(C21,"ttt"),'ZD Vorerfassung'!$H$21:$L$36,10,0),0))+
IF('ZD Vorerfassung'!$E$31="",0,IF(AND(B21&gt;='ZD Vorerfassung'!$C$31,B21&lt;='ZD Vorerfassung'!$D$31),HLOOKUP(TEXT(C21,"ttt"),'ZD Vorerfassung'!$H$21:$L$36,11,0),0))+
IF('ZD Vorerfassung'!$E$32="",0,IF(AND(B21&gt;='ZD Vorerfassung'!$C$32,B21&lt;='ZD Vorerfassung'!$D$32),HLOOKUP(TEXT(C21,"ttt"),'ZD Vorerfassung'!$H$21:$L$36,12,0),0))+
IF('ZD Vorerfassung'!$E$33="",0,IF(AND(B21&gt;='ZD Vorerfassung'!$C$33,B21&lt;='ZD Vorerfassung'!$D$33),HLOOKUP(TEXT(C21,"ttt"),'ZD Vorerfassung'!$H$21:$L$36,13,0),0))+
IF('ZD Vorerfassung'!$E$34="",0,IF(AND(B21&gt;='ZD Vorerfassung'!$C$34,B21&lt;='ZD Vorerfassung'!$D$34),HLOOKUP(TEXT(C21,"ttt"),'ZD Vorerfassung'!$H$21:$L$36,14,0),0))+
IF('ZD Vorerfassung'!$E$35="",0,IF(AND(B21&gt;='ZD Vorerfassung'!$C$35,B21&lt;='ZD Vorerfassung'!$D$35),HLOOKUP(TEXT(C21,"ttt"),'ZD Vorerfassung'!$H$21:$L$36,15,0),0))+
IF('ZD Vorerfassung'!$E$36="",0,IF(AND(B21&gt;='ZD Vorerfassung'!$C$36,B21&lt;='ZD Vorerfassung'!$D$36),HLOOKUP(TEXT(C21,"ttt"),'ZD Vorerfassung'!$H$21:$L$36,16,0),0)),"")</f>
        <v>0</v>
      </c>
      <c r="AW21" s="110">
        <f t="array" ref="AW21">IF(OR(D21="UU",D21="FT",D21="WE"),0,
IF(D21="NR",SUM(IF(B21&gt;=_xlfn.NUMBERVALUE('ZD Vorerfassung'!$C$22:$C$36),1,0)*IF(B21&lt;=_xlfn.NUMBERVALUE('ZD Vorerfassung'!$D$22:$D$36),1,0)*'ZD Vorerfassung'!$Q$22:$Q$36),
IF(OR(D21="SF",D21="FH"),SUM(IF(B21&gt;=_xlfn.NUMBERVALUE('ZD Vorerfassung'!$C$22:$C$36),1,0)*IF(B21&lt;=_xlfn.NUMBERVALUE('ZD Vorerfassung'!$D$22:$D$36),1,0)*'ZD Vorerfassung'!$R$22:$R$36*IF(D21="FH",0.5,1)),
"prüfen")))</f>
        <v>0</v>
      </c>
      <c r="AX21" s="110">
        <f t="array" ref="AX21">IF(OR(D21="UU",D21="FT",D21="WE",E21="Ferien"),0,
IF(D21="NR",SUM(IF(B21&gt;=_xlfn.NUMBERVALUE('ZD Vorerfassung'!$C$22:$C$36),1,0)*IF(B21&lt;=_xlfn.NUMBERVALUE('ZD Vorerfassung'!$D$22:$D$36),1,0)*'ZD Vorerfassung'!$W$22:$W$36),
IF(OR(D21="SF",D21="FH"),SUM(IF(B21&gt;=_xlfn.NUMBERVALUE('ZD Vorerfassung'!$C$22:$C$36),1,0)*IF(B21&lt;=_xlfn.NUMBERVALUE('ZD Vorerfassung'!$D$22:$D$36),1,0)*'ZD Vorerfassung'!$X$22:$X$36*IF(D21="FH",0.5,1)),
"prüfen")))</f>
        <v>0</v>
      </c>
      <c r="AY21" s="110">
        <f t="array" ref="AY21">IF(OR(D21="UU",D21="FT",D21="WE",E21="Ferien"),0,
IF(D21="NR",SUM(IF(B21&gt;=_xlfn.NUMBERVALUE('ZD Vorerfassung'!$C$22:$C$36),1,0)*IF(B21&lt;=_xlfn.NUMBERVALUE('ZD Vorerfassung'!$D$22:$D$36),1,0)*'ZD Vorerfassung'!$U$22:$U$36),
IF(OR(D21="SF",D21="FH"),SUM(IF(B21&gt;=_xlfn.NUMBERVALUE('ZD Vorerfassung'!$C$22:$C$36),1,0)*IF(B21&lt;=_xlfn.NUMBERVALUE('ZD Vorerfassung'!$D$22:$D$36),1,0)*'ZD Vorerfassung'!$V$22:$V$36*IF(D21="FH",0.5,1)),
"prüfen")))</f>
        <v>0</v>
      </c>
      <c r="AZ21" s="110">
        <f t="array" ref="AZ21">IF(OR(D21="UU",D21="FT",D21="WE",E21="Ferien"),0,
IF(D21="NR",SUM(IF(B21&gt;=_xlfn.NUMBERVALUE('ZD Vorerfassung'!$C$22:$C$36),1,0)*IF(B21&lt;=_xlfn.NUMBERVALUE('ZD Vorerfassung'!$D$22:$D$36),1,0)*'ZD Vorerfassung'!$S$22:$S$36),
IF(OR(D21="SF",D21="FH"),SUM(IF(B21&gt;=_xlfn.NUMBERVALUE('ZD Vorerfassung'!$C$22:$C$36),1,0)*IF(B21&lt;=_xlfn.NUMBERVALUE('ZD Vorerfassung'!$D$22:$D$36),1,0)*'ZD Vorerfassung'!$T$22:$T$36*IF(D21="FH",0.5,1)),
"prüfen")))</f>
        <v>0</v>
      </c>
      <c r="BA21" s="112">
        <f t="shared" si="8"/>
        <v>8</v>
      </c>
    </row>
    <row r="22" spans="1:54" ht="19.5" thickTop="1" thickBot="1" x14ac:dyDescent="0.3">
      <c r="A22" s="84"/>
      <c r="B22" s="99">
        <f t="shared" si="0"/>
        <v>44787</v>
      </c>
      <c r="C22" s="100">
        <f t="shared" si="9"/>
        <v>44787</v>
      </c>
      <c r="D22" s="101" t="str">
        <f t="shared" si="10"/>
        <v>WE</v>
      </c>
      <c r="E22" s="102" t="str">
        <f t="shared" si="2"/>
        <v>Wochenende</v>
      </c>
      <c r="F22" s="103" t="str">
        <f t="shared" si="11"/>
        <v/>
      </c>
      <c r="G22" s="104" t="str">
        <f t="shared" si="12"/>
        <v/>
      </c>
      <c r="H22" s="104">
        <f>IFERROR(IF('ZD Vorerfassung'!$E$11="manuell",SUM(I22),IF(OR(E22="Feiertag",E22="Wochenende"),0,IF('ZD Vorerfassung'!$E$11="automatisch",AX22,IF(D22="UU","UU",IF(E22=Param2,AX22/24,IF(E22=Param9,AX22/48,"")))))),0)</f>
        <v>0</v>
      </c>
      <c r="I22" s="105"/>
      <c r="J22" s="106">
        <f>IF('ZD Vorerfassung'!$E$12="manuell",SUM(K22:AI22),IF(OR(E22="Feiertag",E22="Wochenende"),0,IF('ZD Vorerfassung'!$E$12="automatisch",AY22,IF(D22="UU","UU",IF(E22=Param2,AY22/24,IF(E22=Param9,AY22/48,""))))))</f>
        <v>0</v>
      </c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7">
        <f t="shared" si="13"/>
        <v>0</v>
      </c>
      <c r="AK22" s="105"/>
      <c r="AL22" s="105"/>
      <c r="AM22" s="105"/>
      <c r="AN22" s="105"/>
      <c r="AO22" s="105"/>
      <c r="AP22" s="105"/>
      <c r="AQ22" s="108">
        <f t="shared" si="14"/>
        <v>0</v>
      </c>
      <c r="AR22" s="108">
        <f t="shared" si="15"/>
        <v>0</v>
      </c>
      <c r="AS22" s="109">
        <f t="shared" si="16"/>
        <v>0</v>
      </c>
      <c r="AU22" s="110">
        <f t="shared" si="7"/>
        <v>0</v>
      </c>
      <c r="AV22" s="111" t="str">
        <f>IF(D22="NR",
IF('ZD Vorerfassung'!$E$22="",0,IF(AND(B22&gt;='ZD Vorerfassung'!$C$22,B22&lt;='ZD Vorerfassung'!$D$22),HLOOKUP(TEXT(C22,"ttt"),'ZD Vorerfassung'!$H$21:$L$36,2,0),0))+
IF('ZD Vorerfassung'!$E$23="",0,IF(AND(B22&gt;='ZD Vorerfassung'!$C$23,B22&lt;='ZD Vorerfassung'!$D$23),HLOOKUP(TEXT(C22,"ttt"),'ZD Vorerfassung'!$H$21:$L$36,3,0),0))+
IF('ZD Vorerfassung'!$E$24="",0,IF(AND(B22&gt;='ZD Vorerfassung'!$C$24,B22&lt;='ZD Vorerfassung'!$D$24),HLOOKUP(TEXT(C22,"ttt"),'ZD Vorerfassung'!$H$21:$L$36,4,0),0))+
IF('ZD Vorerfassung'!$E$25="",0,IF(AND(B22&gt;='ZD Vorerfassung'!$C$25,B22&lt;='ZD Vorerfassung'!$D$25),HLOOKUP(TEXT(C22,"ttt"),'ZD Vorerfassung'!$H$21:$L$36,5,0),0))+
IF('ZD Vorerfassung'!$E$26="",0,IF(AND(B22&gt;='ZD Vorerfassung'!$C$26,B22&lt;='ZD Vorerfassung'!$D$26),HLOOKUP(TEXT(C22,"ttt"),'ZD Vorerfassung'!$H$21:$L$36,6,0),0))+
IF('ZD Vorerfassung'!$E$27="",0,IF(AND(B22&gt;='ZD Vorerfassung'!$C$27,B22&lt;='ZD Vorerfassung'!$D$27),HLOOKUP(TEXT(C22,"ttt"),'ZD Vorerfassung'!$H$21:$L$36,7,0),0))+
IF('ZD Vorerfassung'!$E$28="",0,IF(AND(B22&gt;='ZD Vorerfassung'!$C$28,B22&lt;='ZD Vorerfassung'!$D$28),HLOOKUP(TEXT(C22,"ttt"),'ZD Vorerfassung'!$H$21:$L$36,8,0),0))+
IF('ZD Vorerfassung'!$E$29="",0,IF(AND(B22&gt;='ZD Vorerfassung'!$C$29,B22&lt;='ZD Vorerfassung'!$D$29),HLOOKUP(TEXT(C22,"ttt"),'ZD Vorerfassung'!$H$21:$L$36,9,0),0))+
IF('ZD Vorerfassung'!$E$30="",0,IF(AND(B22&gt;='ZD Vorerfassung'!$C$30,B22&lt;='ZD Vorerfassung'!$D$30),HLOOKUP(TEXT(C22,"ttt"),'ZD Vorerfassung'!$H$21:$L$36,10,0),0))+
IF('ZD Vorerfassung'!$E$31="",0,IF(AND(B22&gt;='ZD Vorerfassung'!$C$31,B22&lt;='ZD Vorerfassung'!$D$31),HLOOKUP(TEXT(C22,"ttt"),'ZD Vorerfassung'!$H$21:$L$36,11,0),0))+
IF('ZD Vorerfassung'!$E$32="",0,IF(AND(B22&gt;='ZD Vorerfassung'!$C$32,B22&lt;='ZD Vorerfassung'!$D$32),HLOOKUP(TEXT(C22,"ttt"),'ZD Vorerfassung'!$H$21:$L$36,12,0),0))+
IF('ZD Vorerfassung'!$E$33="",0,IF(AND(B22&gt;='ZD Vorerfassung'!$C$33,B22&lt;='ZD Vorerfassung'!$D$33),HLOOKUP(TEXT(C22,"ttt"),'ZD Vorerfassung'!$H$21:$L$36,13,0),0))+
IF('ZD Vorerfassung'!$E$34="",0,IF(AND(B22&gt;='ZD Vorerfassung'!$C$34,B22&lt;='ZD Vorerfassung'!$D$34),HLOOKUP(TEXT(C22,"ttt"),'ZD Vorerfassung'!$H$21:$L$36,14,0),0))+
IF('ZD Vorerfassung'!$E$35="",0,IF(AND(B22&gt;='ZD Vorerfassung'!$C$35,B22&lt;='ZD Vorerfassung'!$D$35),HLOOKUP(TEXT(C22,"ttt"),'ZD Vorerfassung'!$H$21:$L$36,15,0),0))+
IF('ZD Vorerfassung'!$E$36="",0,IF(AND(B22&gt;='ZD Vorerfassung'!$C$36,B22&lt;='ZD Vorerfassung'!$D$36),HLOOKUP(TEXT(C22,"ttt"),'ZD Vorerfassung'!$H$21:$L$36,16,0),0)),"")</f>
        <v/>
      </c>
      <c r="AW22" s="110">
        <f t="array" ref="AW22">IF(OR(D22="UU",D22="FT",D22="WE"),0,
IF(D22="NR",SUM(IF(B22&gt;=_xlfn.NUMBERVALUE('ZD Vorerfassung'!$C$22:$C$36),1,0)*IF(B22&lt;=_xlfn.NUMBERVALUE('ZD Vorerfassung'!$D$22:$D$36),1,0)*'ZD Vorerfassung'!$Q$22:$Q$36),
IF(OR(D22="SF",D22="FH"),SUM(IF(B22&gt;=_xlfn.NUMBERVALUE('ZD Vorerfassung'!$C$22:$C$36),1,0)*IF(B22&lt;=_xlfn.NUMBERVALUE('ZD Vorerfassung'!$D$22:$D$36),1,0)*'ZD Vorerfassung'!$R$22:$R$36*IF(D22="FH",0.5,1)),
"prüfen")))</f>
        <v>0</v>
      </c>
      <c r="AX22" s="110">
        <f t="array" ref="AX22">IF(OR(D22="UU",D22="FT",D22="WE",E22="Ferien"),0,
IF(D22="NR",SUM(IF(B22&gt;=_xlfn.NUMBERVALUE('ZD Vorerfassung'!$C$22:$C$36),1,0)*IF(B22&lt;=_xlfn.NUMBERVALUE('ZD Vorerfassung'!$D$22:$D$36),1,0)*'ZD Vorerfassung'!$W$22:$W$36),
IF(OR(D22="SF",D22="FH"),SUM(IF(B22&gt;=_xlfn.NUMBERVALUE('ZD Vorerfassung'!$C$22:$C$36),1,0)*IF(B22&lt;=_xlfn.NUMBERVALUE('ZD Vorerfassung'!$D$22:$D$36),1,0)*'ZD Vorerfassung'!$X$22:$X$36*IF(D22="FH",0.5,1)),
"prüfen")))</f>
        <v>0</v>
      </c>
      <c r="AY22" s="110">
        <f t="array" ref="AY22">IF(OR(D22="UU",D22="FT",D22="WE",E22="Ferien"),0,
IF(D22="NR",SUM(IF(B22&gt;=_xlfn.NUMBERVALUE('ZD Vorerfassung'!$C$22:$C$36),1,0)*IF(B22&lt;=_xlfn.NUMBERVALUE('ZD Vorerfassung'!$D$22:$D$36),1,0)*'ZD Vorerfassung'!$U$22:$U$36),
IF(OR(D22="SF",D22="FH"),SUM(IF(B22&gt;=_xlfn.NUMBERVALUE('ZD Vorerfassung'!$C$22:$C$36),1,0)*IF(B22&lt;=_xlfn.NUMBERVALUE('ZD Vorerfassung'!$D$22:$D$36),1,0)*'ZD Vorerfassung'!$V$22:$V$36*IF(D22="FH",0.5,1)),
"prüfen")))</f>
        <v>0</v>
      </c>
      <c r="AZ22" s="110">
        <f t="array" ref="AZ22">IF(OR(D22="UU",D22="FT",D22="WE",E22="Ferien"),0,
IF(D22="NR",SUM(IF(B22&gt;=_xlfn.NUMBERVALUE('ZD Vorerfassung'!$C$22:$C$36),1,0)*IF(B22&lt;=_xlfn.NUMBERVALUE('ZD Vorerfassung'!$D$22:$D$36),1,0)*'ZD Vorerfassung'!$S$22:$S$36),
IF(OR(D22="SF",D22="FH"),SUM(IF(B22&gt;=_xlfn.NUMBERVALUE('ZD Vorerfassung'!$C$22:$C$36),1,0)*IF(B22&lt;=_xlfn.NUMBERVALUE('ZD Vorerfassung'!$D$22:$D$36),1,0)*'ZD Vorerfassung'!$T$22:$T$36*IF(D22="FH",0.5,1)),
"prüfen")))</f>
        <v>0</v>
      </c>
      <c r="BA22" s="112">
        <f t="shared" si="8"/>
        <v>8</v>
      </c>
    </row>
    <row r="23" spans="1:54" ht="19.5" thickTop="1" thickBot="1" x14ac:dyDescent="0.3">
      <c r="A23" s="84"/>
      <c r="B23" s="99">
        <f t="shared" si="0"/>
        <v>44788</v>
      </c>
      <c r="C23" s="100">
        <f t="shared" si="9"/>
        <v>44788</v>
      </c>
      <c r="D23" s="101" t="str">
        <f t="shared" si="10"/>
        <v>WE</v>
      </c>
      <c r="E23" s="102" t="str">
        <f t="shared" si="2"/>
        <v>Wochenende</v>
      </c>
      <c r="F23" s="103" t="str">
        <f t="shared" si="11"/>
        <v/>
      </c>
      <c r="G23" s="104" t="str">
        <f t="shared" si="12"/>
        <v/>
      </c>
      <c r="H23" s="104">
        <f>IFERROR(IF('ZD Vorerfassung'!$E$11="manuell",SUM(I23),IF(OR(E23="Feiertag",E23="Wochenende"),0,IF('ZD Vorerfassung'!$E$11="automatisch",AX23,IF(D23="UU","UU",IF(E23=Param2,AX23/24,IF(E23=Param9,AX23/48,"")))))),0)</f>
        <v>0</v>
      </c>
      <c r="I23" s="105"/>
      <c r="J23" s="106">
        <f>IF('ZD Vorerfassung'!$E$12="manuell",SUM(K23:AI23),IF(OR(E23="Feiertag",E23="Wochenende"),0,IF('ZD Vorerfassung'!$E$12="automatisch",AY23,IF(D23="UU","UU",IF(E23=Param2,AY23/24,IF(E23=Param9,AY23/48,""))))))</f>
        <v>0</v>
      </c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7">
        <f t="shared" si="13"/>
        <v>0</v>
      </c>
      <c r="AK23" s="105"/>
      <c r="AL23" s="105"/>
      <c r="AM23" s="105"/>
      <c r="AN23" s="105"/>
      <c r="AO23" s="105"/>
      <c r="AP23" s="105"/>
      <c r="AQ23" s="108">
        <f t="shared" si="14"/>
        <v>0</v>
      </c>
      <c r="AR23" s="108">
        <f t="shared" si="15"/>
        <v>0</v>
      </c>
      <c r="AS23" s="109">
        <f t="shared" si="16"/>
        <v>0</v>
      </c>
      <c r="AU23" s="110">
        <f t="shared" si="7"/>
        <v>0</v>
      </c>
      <c r="AV23" s="111" t="str">
        <f>IF(D23="NR",
IF('ZD Vorerfassung'!$E$22="",0,IF(AND(B23&gt;='ZD Vorerfassung'!$C$22,B23&lt;='ZD Vorerfassung'!$D$22),HLOOKUP(TEXT(C23,"ttt"),'ZD Vorerfassung'!$H$21:$L$36,2,0),0))+
IF('ZD Vorerfassung'!$E$23="",0,IF(AND(B23&gt;='ZD Vorerfassung'!$C$23,B23&lt;='ZD Vorerfassung'!$D$23),HLOOKUP(TEXT(C23,"ttt"),'ZD Vorerfassung'!$H$21:$L$36,3,0),0))+
IF('ZD Vorerfassung'!$E$24="",0,IF(AND(B23&gt;='ZD Vorerfassung'!$C$24,B23&lt;='ZD Vorerfassung'!$D$24),HLOOKUP(TEXT(C23,"ttt"),'ZD Vorerfassung'!$H$21:$L$36,4,0),0))+
IF('ZD Vorerfassung'!$E$25="",0,IF(AND(B23&gt;='ZD Vorerfassung'!$C$25,B23&lt;='ZD Vorerfassung'!$D$25),HLOOKUP(TEXT(C23,"ttt"),'ZD Vorerfassung'!$H$21:$L$36,5,0),0))+
IF('ZD Vorerfassung'!$E$26="",0,IF(AND(B23&gt;='ZD Vorerfassung'!$C$26,B23&lt;='ZD Vorerfassung'!$D$26),HLOOKUP(TEXT(C23,"ttt"),'ZD Vorerfassung'!$H$21:$L$36,6,0),0))+
IF('ZD Vorerfassung'!$E$27="",0,IF(AND(B23&gt;='ZD Vorerfassung'!$C$27,B23&lt;='ZD Vorerfassung'!$D$27),HLOOKUP(TEXT(C23,"ttt"),'ZD Vorerfassung'!$H$21:$L$36,7,0),0))+
IF('ZD Vorerfassung'!$E$28="",0,IF(AND(B23&gt;='ZD Vorerfassung'!$C$28,B23&lt;='ZD Vorerfassung'!$D$28),HLOOKUP(TEXT(C23,"ttt"),'ZD Vorerfassung'!$H$21:$L$36,8,0),0))+
IF('ZD Vorerfassung'!$E$29="",0,IF(AND(B23&gt;='ZD Vorerfassung'!$C$29,B23&lt;='ZD Vorerfassung'!$D$29),HLOOKUP(TEXT(C23,"ttt"),'ZD Vorerfassung'!$H$21:$L$36,9,0),0))+
IF('ZD Vorerfassung'!$E$30="",0,IF(AND(B23&gt;='ZD Vorerfassung'!$C$30,B23&lt;='ZD Vorerfassung'!$D$30),HLOOKUP(TEXT(C23,"ttt"),'ZD Vorerfassung'!$H$21:$L$36,10,0),0))+
IF('ZD Vorerfassung'!$E$31="",0,IF(AND(B23&gt;='ZD Vorerfassung'!$C$31,B23&lt;='ZD Vorerfassung'!$D$31),HLOOKUP(TEXT(C23,"ttt"),'ZD Vorerfassung'!$H$21:$L$36,11,0),0))+
IF('ZD Vorerfassung'!$E$32="",0,IF(AND(B23&gt;='ZD Vorerfassung'!$C$32,B23&lt;='ZD Vorerfassung'!$D$32),HLOOKUP(TEXT(C23,"ttt"),'ZD Vorerfassung'!$H$21:$L$36,12,0),0))+
IF('ZD Vorerfassung'!$E$33="",0,IF(AND(B23&gt;='ZD Vorerfassung'!$C$33,B23&lt;='ZD Vorerfassung'!$D$33),HLOOKUP(TEXT(C23,"ttt"),'ZD Vorerfassung'!$H$21:$L$36,13,0),0))+
IF('ZD Vorerfassung'!$E$34="",0,IF(AND(B23&gt;='ZD Vorerfassung'!$C$34,B23&lt;='ZD Vorerfassung'!$D$34),HLOOKUP(TEXT(C23,"ttt"),'ZD Vorerfassung'!$H$21:$L$36,14,0),0))+
IF('ZD Vorerfassung'!$E$35="",0,IF(AND(B23&gt;='ZD Vorerfassung'!$C$35,B23&lt;='ZD Vorerfassung'!$D$35),HLOOKUP(TEXT(C23,"ttt"),'ZD Vorerfassung'!$H$21:$L$36,15,0),0))+
IF('ZD Vorerfassung'!$E$36="",0,IF(AND(B23&gt;='ZD Vorerfassung'!$C$36,B23&lt;='ZD Vorerfassung'!$D$36),HLOOKUP(TEXT(C23,"ttt"),'ZD Vorerfassung'!$H$21:$L$36,16,0),0)),"")</f>
        <v/>
      </c>
      <c r="AW23" s="110">
        <f t="array" ref="AW23">IF(OR(D23="UU",D23="FT",D23="WE"),0,
IF(D23="NR",SUM(IF(B23&gt;=_xlfn.NUMBERVALUE('ZD Vorerfassung'!$C$22:$C$36),1,0)*IF(B23&lt;=_xlfn.NUMBERVALUE('ZD Vorerfassung'!$D$22:$D$36),1,0)*'ZD Vorerfassung'!$Q$22:$Q$36),
IF(OR(D23="SF",D23="FH"),SUM(IF(B23&gt;=_xlfn.NUMBERVALUE('ZD Vorerfassung'!$C$22:$C$36),1,0)*IF(B23&lt;=_xlfn.NUMBERVALUE('ZD Vorerfassung'!$D$22:$D$36),1,0)*'ZD Vorerfassung'!$R$22:$R$36*IF(D23="FH",0.5,1)),
"prüfen")))</f>
        <v>0</v>
      </c>
      <c r="AX23" s="110">
        <f t="array" ref="AX23">IF(OR(D23="UU",D23="FT",D23="WE",E23="Ferien"),0,
IF(D23="NR",SUM(IF(B23&gt;=_xlfn.NUMBERVALUE('ZD Vorerfassung'!$C$22:$C$36),1,0)*IF(B23&lt;=_xlfn.NUMBERVALUE('ZD Vorerfassung'!$D$22:$D$36),1,0)*'ZD Vorerfassung'!$W$22:$W$36),
IF(OR(D23="SF",D23="FH"),SUM(IF(B23&gt;=_xlfn.NUMBERVALUE('ZD Vorerfassung'!$C$22:$C$36),1,0)*IF(B23&lt;=_xlfn.NUMBERVALUE('ZD Vorerfassung'!$D$22:$D$36),1,0)*'ZD Vorerfassung'!$X$22:$X$36*IF(D23="FH",0.5,1)),
"prüfen")))</f>
        <v>0</v>
      </c>
      <c r="AY23" s="110">
        <f t="array" ref="AY23">IF(OR(D23="UU",D23="FT",D23="WE",E23="Ferien"),0,
IF(D23="NR",SUM(IF(B23&gt;=_xlfn.NUMBERVALUE('ZD Vorerfassung'!$C$22:$C$36),1,0)*IF(B23&lt;=_xlfn.NUMBERVALUE('ZD Vorerfassung'!$D$22:$D$36),1,0)*'ZD Vorerfassung'!$U$22:$U$36),
IF(OR(D23="SF",D23="FH"),SUM(IF(B23&gt;=_xlfn.NUMBERVALUE('ZD Vorerfassung'!$C$22:$C$36),1,0)*IF(B23&lt;=_xlfn.NUMBERVALUE('ZD Vorerfassung'!$D$22:$D$36),1,0)*'ZD Vorerfassung'!$V$22:$V$36*IF(D23="FH",0.5,1)),
"prüfen")))</f>
        <v>0</v>
      </c>
      <c r="AZ23" s="110">
        <f t="array" ref="AZ23">IF(OR(D23="UU",D23="FT",D23="WE",E23="Ferien"),0,
IF(D23="NR",SUM(IF(B23&gt;=_xlfn.NUMBERVALUE('ZD Vorerfassung'!$C$22:$C$36),1,0)*IF(B23&lt;=_xlfn.NUMBERVALUE('ZD Vorerfassung'!$D$22:$D$36),1,0)*'ZD Vorerfassung'!$S$22:$S$36),
IF(OR(D23="SF",D23="FH"),SUM(IF(B23&gt;=_xlfn.NUMBERVALUE('ZD Vorerfassung'!$C$22:$C$36),1,0)*IF(B23&lt;=_xlfn.NUMBERVALUE('ZD Vorerfassung'!$D$22:$D$36),1,0)*'ZD Vorerfassung'!$T$22:$T$36*IF(D23="FH",0.5,1)),
"prüfen")))</f>
        <v>0</v>
      </c>
      <c r="BA23" s="112">
        <f t="shared" si="8"/>
        <v>8</v>
      </c>
    </row>
    <row r="24" spans="1:54" ht="19.5" thickTop="1" thickBot="1" x14ac:dyDescent="0.3">
      <c r="A24" s="84"/>
      <c r="B24" s="99">
        <f t="shared" si="0"/>
        <v>44789</v>
      </c>
      <c r="C24" s="100">
        <f t="shared" si="9"/>
        <v>44789</v>
      </c>
      <c r="D24" s="101" t="str">
        <f t="shared" si="10"/>
        <v>NR</v>
      </c>
      <c r="E24" s="102" t="str">
        <f t="shared" si="2"/>
        <v>Unterrichtstag</v>
      </c>
      <c r="F24" s="103">
        <f t="shared" si="11"/>
        <v>0</v>
      </c>
      <c r="G24" s="104">
        <f t="shared" si="12"/>
        <v>0</v>
      </c>
      <c r="H24" s="104">
        <f>IFERROR(IF('ZD Vorerfassung'!$E$11="manuell",SUM(I24),IF(OR(E24="Feiertag",E24="Wochenende"),0,IF('ZD Vorerfassung'!$E$11="automatisch",AX24,IF(D24="UU","UU",IF(E24=Param2,AX24/24,IF(E24=Param9,AX24/48,"")))))),0)</f>
        <v>0</v>
      </c>
      <c r="I24" s="105"/>
      <c r="J24" s="106">
        <f>IF('ZD Vorerfassung'!$E$12="manuell",SUM(K24:AI24),IF(OR(E24="Feiertag",E24="Wochenende"),0,IF('ZD Vorerfassung'!$E$12="automatisch",AY24,IF(D24="UU","UU",IF(E24=Param2,AY24/24,IF(E24=Param9,AY24/48,""))))))</f>
        <v>0</v>
      </c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7">
        <f t="shared" si="13"/>
        <v>0</v>
      </c>
      <c r="AK24" s="105"/>
      <c r="AL24" s="105"/>
      <c r="AM24" s="105"/>
      <c r="AN24" s="105"/>
      <c r="AO24" s="105"/>
      <c r="AP24" s="105"/>
      <c r="AQ24" s="108">
        <f t="shared" si="14"/>
        <v>0</v>
      </c>
      <c r="AR24" s="108">
        <f t="shared" si="15"/>
        <v>0</v>
      </c>
      <c r="AS24" s="109">
        <f t="shared" si="16"/>
        <v>0</v>
      </c>
      <c r="AU24" s="110">
        <f t="shared" si="7"/>
        <v>0</v>
      </c>
      <c r="AV24" s="111">
        <f>IF(D24="NR",
IF('ZD Vorerfassung'!$E$22="",0,IF(AND(B24&gt;='ZD Vorerfassung'!$C$22,B24&lt;='ZD Vorerfassung'!$D$22),HLOOKUP(TEXT(C24,"ttt"),'ZD Vorerfassung'!$H$21:$L$36,2,0),0))+
IF('ZD Vorerfassung'!$E$23="",0,IF(AND(B24&gt;='ZD Vorerfassung'!$C$23,B24&lt;='ZD Vorerfassung'!$D$23),HLOOKUP(TEXT(C24,"ttt"),'ZD Vorerfassung'!$H$21:$L$36,3,0),0))+
IF('ZD Vorerfassung'!$E$24="",0,IF(AND(B24&gt;='ZD Vorerfassung'!$C$24,B24&lt;='ZD Vorerfassung'!$D$24),HLOOKUP(TEXT(C24,"ttt"),'ZD Vorerfassung'!$H$21:$L$36,4,0),0))+
IF('ZD Vorerfassung'!$E$25="",0,IF(AND(B24&gt;='ZD Vorerfassung'!$C$25,B24&lt;='ZD Vorerfassung'!$D$25),HLOOKUP(TEXT(C24,"ttt"),'ZD Vorerfassung'!$H$21:$L$36,5,0),0))+
IF('ZD Vorerfassung'!$E$26="",0,IF(AND(B24&gt;='ZD Vorerfassung'!$C$26,B24&lt;='ZD Vorerfassung'!$D$26),HLOOKUP(TEXT(C24,"ttt"),'ZD Vorerfassung'!$H$21:$L$36,6,0),0))+
IF('ZD Vorerfassung'!$E$27="",0,IF(AND(B24&gt;='ZD Vorerfassung'!$C$27,B24&lt;='ZD Vorerfassung'!$D$27),HLOOKUP(TEXT(C24,"ttt"),'ZD Vorerfassung'!$H$21:$L$36,7,0),0))+
IF('ZD Vorerfassung'!$E$28="",0,IF(AND(B24&gt;='ZD Vorerfassung'!$C$28,B24&lt;='ZD Vorerfassung'!$D$28),HLOOKUP(TEXT(C24,"ttt"),'ZD Vorerfassung'!$H$21:$L$36,8,0),0))+
IF('ZD Vorerfassung'!$E$29="",0,IF(AND(B24&gt;='ZD Vorerfassung'!$C$29,B24&lt;='ZD Vorerfassung'!$D$29),HLOOKUP(TEXT(C24,"ttt"),'ZD Vorerfassung'!$H$21:$L$36,9,0),0))+
IF('ZD Vorerfassung'!$E$30="",0,IF(AND(B24&gt;='ZD Vorerfassung'!$C$30,B24&lt;='ZD Vorerfassung'!$D$30),HLOOKUP(TEXT(C24,"ttt"),'ZD Vorerfassung'!$H$21:$L$36,10,0),0))+
IF('ZD Vorerfassung'!$E$31="",0,IF(AND(B24&gt;='ZD Vorerfassung'!$C$31,B24&lt;='ZD Vorerfassung'!$D$31),HLOOKUP(TEXT(C24,"ttt"),'ZD Vorerfassung'!$H$21:$L$36,11,0),0))+
IF('ZD Vorerfassung'!$E$32="",0,IF(AND(B24&gt;='ZD Vorerfassung'!$C$32,B24&lt;='ZD Vorerfassung'!$D$32),HLOOKUP(TEXT(C24,"ttt"),'ZD Vorerfassung'!$H$21:$L$36,12,0),0))+
IF('ZD Vorerfassung'!$E$33="",0,IF(AND(B24&gt;='ZD Vorerfassung'!$C$33,B24&lt;='ZD Vorerfassung'!$D$33),HLOOKUP(TEXT(C24,"ttt"),'ZD Vorerfassung'!$H$21:$L$36,13,0),0))+
IF('ZD Vorerfassung'!$E$34="",0,IF(AND(B24&gt;='ZD Vorerfassung'!$C$34,B24&lt;='ZD Vorerfassung'!$D$34),HLOOKUP(TEXT(C24,"ttt"),'ZD Vorerfassung'!$H$21:$L$36,14,0),0))+
IF('ZD Vorerfassung'!$E$35="",0,IF(AND(B24&gt;='ZD Vorerfassung'!$C$35,B24&lt;='ZD Vorerfassung'!$D$35),HLOOKUP(TEXT(C24,"ttt"),'ZD Vorerfassung'!$H$21:$L$36,15,0),0))+
IF('ZD Vorerfassung'!$E$36="",0,IF(AND(B24&gt;='ZD Vorerfassung'!$C$36,B24&lt;='ZD Vorerfassung'!$D$36),HLOOKUP(TEXT(C24,"ttt"),'ZD Vorerfassung'!$H$21:$L$36,16,0),0)),"")</f>
        <v>0</v>
      </c>
      <c r="AW24" s="110">
        <f t="array" ref="AW24">IF(OR(D24="UU",D24="FT",D24="WE"),0,
IF(D24="NR",SUM(IF(B24&gt;=_xlfn.NUMBERVALUE('ZD Vorerfassung'!$C$22:$C$36),1,0)*IF(B24&lt;=_xlfn.NUMBERVALUE('ZD Vorerfassung'!$D$22:$D$36),1,0)*'ZD Vorerfassung'!$Q$22:$Q$36),
IF(OR(D24="SF",D24="FH"),SUM(IF(B24&gt;=_xlfn.NUMBERVALUE('ZD Vorerfassung'!$C$22:$C$36),1,0)*IF(B24&lt;=_xlfn.NUMBERVALUE('ZD Vorerfassung'!$D$22:$D$36),1,0)*'ZD Vorerfassung'!$R$22:$R$36*IF(D24="FH",0.5,1)),
"prüfen")))</f>
        <v>0</v>
      </c>
      <c r="AX24" s="110">
        <f t="array" ref="AX24">IF(OR(D24="UU",D24="FT",D24="WE",E24="Ferien"),0,
IF(D24="NR",SUM(IF(B24&gt;=_xlfn.NUMBERVALUE('ZD Vorerfassung'!$C$22:$C$36),1,0)*IF(B24&lt;=_xlfn.NUMBERVALUE('ZD Vorerfassung'!$D$22:$D$36),1,0)*'ZD Vorerfassung'!$W$22:$W$36),
IF(OR(D24="SF",D24="FH"),SUM(IF(B24&gt;=_xlfn.NUMBERVALUE('ZD Vorerfassung'!$C$22:$C$36),1,0)*IF(B24&lt;=_xlfn.NUMBERVALUE('ZD Vorerfassung'!$D$22:$D$36),1,0)*'ZD Vorerfassung'!$X$22:$X$36*IF(D24="FH",0.5,1)),
"prüfen")))</f>
        <v>0</v>
      </c>
      <c r="AY24" s="110">
        <f t="array" ref="AY24">IF(OR(D24="UU",D24="FT",D24="WE",E24="Ferien"),0,
IF(D24="NR",SUM(IF(B24&gt;=_xlfn.NUMBERVALUE('ZD Vorerfassung'!$C$22:$C$36),1,0)*IF(B24&lt;=_xlfn.NUMBERVALUE('ZD Vorerfassung'!$D$22:$D$36),1,0)*'ZD Vorerfassung'!$U$22:$U$36),
IF(OR(D24="SF",D24="FH"),SUM(IF(B24&gt;=_xlfn.NUMBERVALUE('ZD Vorerfassung'!$C$22:$C$36),1,0)*IF(B24&lt;=_xlfn.NUMBERVALUE('ZD Vorerfassung'!$D$22:$D$36),1,0)*'ZD Vorerfassung'!$V$22:$V$36*IF(D24="FH",0.5,1)),
"prüfen")))</f>
        <v>0</v>
      </c>
      <c r="AZ24" s="110">
        <f t="array" ref="AZ24">IF(OR(D24="UU",D24="FT",D24="WE",E24="Ferien"),0,
IF(D24="NR",SUM(IF(B24&gt;=_xlfn.NUMBERVALUE('ZD Vorerfassung'!$C$22:$C$36),1,0)*IF(B24&lt;=_xlfn.NUMBERVALUE('ZD Vorerfassung'!$D$22:$D$36),1,0)*'ZD Vorerfassung'!$S$22:$S$36),
IF(OR(D24="SF",D24="FH"),SUM(IF(B24&gt;=_xlfn.NUMBERVALUE('ZD Vorerfassung'!$C$22:$C$36),1,0)*IF(B24&lt;=_xlfn.NUMBERVALUE('ZD Vorerfassung'!$D$22:$D$36),1,0)*'ZD Vorerfassung'!$T$22:$T$36*IF(D24="FH",0.5,1)),
"prüfen")))</f>
        <v>0</v>
      </c>
      <c r="BA24" s="112">
        <f t="shared" si="8"/>
        <v>8</v>
      </c>
    </row>
    <row r="25" spans="1:54" ht="19.5" thickTop="1" thickBot="1" x14ac:dyDescent="0.3">
      <c r="A25" s="84"/>
      <c r="B25" s="99">
        <f t="shared" si="0"/>
        <v>44790</v>
      </c>
      <c r="C25" s="100">
        <f t="shared" si="9"/>
        <v>44790</v>
      </c>
      <c r="D25" s="101" t="str">
        <f t="shared" si="10"/>
        <v>NR</v>
      </c>
      <c r="E25" s="102" t="str">
        <f t="shared" si="2"/>
        <v>Unterrichtstag</v>
      </c>
      <c r="F25" s="103">
        <f t="shared" si="11"/>
        <v>0</v>
      </c>
      <c r="G25" s="104">
        <f t="shared" si="12"/>
        <v>0</v>
      </c>
      <c r="H25" s="104">
        <f>IFERROR(IF('ZD Vorerfassung'!$E$11="manuell",SUM(I25),IF(OR(E25="Feiertag",E25="Wochenende"),0,IF('ZD Vorerfassung'!$E$11="automatisch",AX25,IF(D25="UU","UU",IF(E25=Param2,AX25/24,IF(E25=Param9,AX25/48,"")))))),0)</f>
        <v>0</v>
      </c>
      <c r="I25" s="105"/>
      <c r="J25" s="106">
        <f>IF('ZD Vorerfassung'!$E$12="manuell",SUM(K25:AI25),IF(OR(E25="Feiertag",E25="Wochenende"),0,IF('ZD Vorerfassung'!$E$12="automatisch",AY25,IF(D25="UU","UU",IF(E25=Param2,AY25/24,IF(E25=Param9,AY25/48,""))))))</f>
        <v>0</v>
      </c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7">
        <f t="shared" si="13"/>
        <v>0</v>
      </c>
      <c r="AK25" s="105"/>
      <c r="AL25" s="105"/>
      <c r="AM25" s="105"/>
      <c r="AN25" s="105"/>
      <c r="AO25" s="105"/>
      <c r="AP25" s="105"/>
      <c r="AQ25" s="108">
        <f t="shared" si="14"/>
        <v>0</v>
      </c>
      <c r="AR25" s="108">
        <f t="shared" si="15"/>
        <v>0</v>
      </c>
      <c r="AS25" s="109">
        <f t="shared" si="16"/>
        <v>0</v>
      </c>
      <c r="AU25" s="110">
        <f t="shared" si="7"/>
        <v>0</v>
      </c>
      <c r="AV25" s="111">
        <f>IF(D25="NR",
IF('ZD Vorerfassung'!$E$22="",0,IF(AND(B25&gt;='ZD Vorerfassung'!$C$22,B25&lt;='ZD Vorerfassung'!$D$22),HLOOKUP(TEXT(C25,"ttt"),'ZD Vorerfassung'!$H$21:$L$36,2,0),0))+
IF('ZD Vorerfassung'!$E$23="",0,IF(AND(B25&gt;='ZD Vorerfassung'!$C$23,B25&lt;='ZD Vorerfassung'!$D$23),HLOOKUP(TEXT(C25,"ttt"),'ZD Vorerfassung'!$H$21:$L$36,3,0),0))+
IF('ZD Vorerfassung'!$E$24="",0,IF(AND(B25&gt;='ZD Vorerfassung'!$C$24,B25&lt;='ZD Vorerfassung'!$D$24),HLOOKUP(TEXT(C25,"ttt"),'ZD Vorerfassung'!$H$21:$L$36,4,0),0))+
IF('ZD Vorerfassung'!$E$25="",0,IF(AND(B25&gt;='ZD Vorerfassung'!$C$25,B25&lt;='ZD Vorerfassung'!$D$25),HLOOKUP(TEXT(C25,"ttt"),'ZD Vorerfassung'!$H$21:$L$36,5,0),0))+
IF('ZD Vorerfassung'!$E$26="",0,IF(AND(B25&gt;='ZD Vorerfassung'!$C$26,B25&lt;='ZD Vorerfassung'!$D$26),HLOOKUP(TEXT(C25,"ttt"),'ZD Vorerfassung'!$H$21:$L$36,6,0),0))+
IF('ZD Vorerfassung'!$E$27="",0,IF(AND(B25&gt;='ZD Vorerfassung'!$C$27,B25&lt;='ZD Vorerfassung'!$D$27),HLOOKUP(TEXT(C25,"ttt"),'ZD Vorerfassung'!$H$21:$L$36,7,0),0))+
IF('ZD Vorerfassung'!$E$28="",0,IF(AND(B25&gt;='ZD Vorerfassung'!$C$28,B25&lt;='ZD Vorerfassung'!$D$28),HLOOKUP(TEXT(C25,"ttt"),'ZD Vorerfassung'!$H$21:$L$36,8,0),0))+
IF('ZD Vorerfassung'!$E$29="",0,IF(AND(B25&gt;='ZD Vorerfassung'!$C$29,B25&lt;='ZD Vorerfassung'!$D$29),HLOOKUP(TEXT(C25,"ttt"),'ZD Vorerfassung'!$H$21:$L$36,9,0),0))+
IF('ZD Vorerfassung'!$E$30="",0,IF(AND(B25&gt;='ZD Vorerfassung'!$C$30,B25&lt;='ZD Vorerfassung'!$D$30),HLOOKUP(TEXT(C25,"ttt"),'ZD Vorerfassung'!$H$21:$L$36,10,0),0))+
IF('ZD Vorerfassung'!$E$31="",0,IF(AND(B25&gt;='ZD Vorerfassung'!$C$31,B25&lt;='ZD Vorerfassung'!$D$31),HLOOKUP(TEXT(C25,"ttt"),'ZD Vorerfassung'!$H$21:$L$36,11,0),0))+
IF('ZD Vorerfassung'!$E$32="",0,IF(AND(B25&gt;='ZD Vorerfassung'!$C$32,B25&lt;='ZD Vorerfassung'!$D$32),HLOOKUP(TEXT(C25,"ttt"),'ZD Vorerfassung'!$H$21:$L$36,12,0),0))+
IF('ZD Vorerfassung'!$E$33="",0,IF(AND(B25&gt;='ZD Vorerfassung'!$C$33,B25&lt;='ZD Vorerfassung'!$D$33),HLOOKUP(TEXT(C25,"ttt"),'ZD Vorerfassung'!$H$21:$L$36,13,0),0))+
IF('ZD Vorerfassung'!$E$34="",0,IF(AND(B25&gt;='ZD Vorerfassung'!$C$34,B25&lt;='ZD Vorerfassung'!$D$34),HLOOKUP(TEXT(C25,"ttt"),'ZD Vorerfassung'!$H$21:$L$36,14,0),0))+
IF('ZD Vorerfassung'!$E$35="",0,IF(AND(B25&gt;='ZD Vorerfassung'!$C$35,B25&lt;='ZD Vorerfassung'!$D$35),HLOOKUP(TEXT(C25,"ttt"),'ZD Vorerfassung'!$H$21:$L$36,15,0),0))+
IF('ZD Vorerfassung'!$E$36="",0,IF(AND(B25&gt;='ZD Vorerfassung'!$C$36,B25&lt;='ZD Vorerfassung'!$D$36),HLOOKUP(TEXT(C25,"ttt"),'ZD Vorerfassung'!$H$21:$L$36,16,0),0)),"")</f>
        <v>0</v>
      </c>
      <c r="AW25" s="110">
        <f t="array" ref="AW25">IF(OR(D25="UU",D25="FT",D25="WE"),0,
IF(D25="NR",SUM(IF(B25&gt;=_xlfn.NUMBERVALUE('ZD Vorerfassung'!$C$22:$C$36),1,0)*IF(B25&lt;=_xlfn.NUMBERVALUE('ZD Vorerfassung'!$D$22:$D$36),1,0)*'ZD Vorerfassung'!$Q$22:$Q$36),
IF(OR(D25="SF",D25="FH"),SUM(IF(B25&gt;=_xlfn.NUMBERVALUE('ZD Vorerfassung'!$C$22:$C$36),1,0)*IF(B25&lt;=_xlfn.NUMBERVALUE('ZD Vorerfassung'!$D$22:$D$36),1,0)*'ZD Vorerfassung'!$R$22:$R$36*IF(D25="FH",0.5,1)),
"prüfen")))</f>
        <v>0</v>
      </c>
      <c r="AX25" s="110">
        <f t="array" ref="AX25">IF(OR(D25="UU",D25="FT",D25="WE",E25="Ferien"),0,
IF(D25="NR",SUM(IF(B25&gt;=_xlfn.NUMBERVALUE('ZD Vorerfassung'!$C$22:$C$36),1,0)*IF(B25&lt;=_xlfn.NUMBERVALUE('ZD Vorerfassung'!$D$22:$D$36),1,0)*'ZD Vorerfassung'!$W$22:$W$36),
IF(OR(D25="SF",D25="FH"),SUM(IF(B25&gt;=_xlfn.NUMBERVALUE('ZD Vorerfassung'!$C$22:$C$36),1,0)*IF(B25&lt;=_xlfn.NUMBERVALUE('ZD Vorerfassung'!$D$22:$D$36),1,0)*'ZD Vorerfassung'!$X$22:$X$36*IF(D25="FH",0.5,1)),
"prüfen")))</f>
        <v>0</v>
      </c>
      <c r="AY25" s="110">
        <f t="array" ref="AY25">IF(OR(D25="UU",D25="FT",D25="WE",E25="Ferien"),0,
IF(D25="NR",SUM(IF(B25&gt;=_xlfn.NUMBERVALUE('ZD Vorerfassung'!$C$22:$C$36),1,0)*IF(B25&lt;=_xlfn.NUMBERVALUE('ZD Vorerfassung'!$D$22:$D$36),1,0)*'ZD Vorerfassung'!$U$22:$U$36),
IF(OR(D25="SF",D25="FH"),SUM(IF(B25&gt;=_xlfn.NUMBERVALUE('ZD Vorerfassung'!$C$22:$C$36),1,0)*IF(B25&lt;=_xlfn.NUMBERVALUE('ZD Vorerfassung'!$D$22:$D$36),1,0)*'ZD Vorerfassung'!$V$22:$V$36*IF(D25="FH",0.5,1)),
"prüfen")))</f>
        <v>0</v>
      </c>
      <c r="AZ25" s="110">
        <f t="array" ref="AZ25">IF(OR(D25="UU",D25="FT",D25="WE",E25="Ferien"),0,
IF(D25="NR",SUM(IF(B25&gt;=_xlfn.NUMBERVALUE('ZD Vorerfassung'!$C$22:$C$36),1,0)*IF(B25&lt;=_xlfn.NUMBERVALUE('ZD Vorerfassung'!$D$22:$D$36),1,0)*'ZD Vorerfassung'!$S$22:$S$36),
IF(OR(D25="SF",D25="FH"),SUM(IF(B25&gt;=_xlfn.NUMBERVALUE('ZD Vorerfassung'!$C$22:$C$36),1,0)*IF(B25&lt;=_xlfn.NUMBERVALUE('ZD Vorerfassung'!$D$22:$D$36),1,0)*'ZD Vorerfassung'!$T$22:$T$36*IF(D25="FH",0.5,1)),
"prüfen")))</f>
        <v>0</v>
      </c>
      <c r="BA25" s="112">
        <f t="shared" si="8"/>
        <v>8</v>
      </c>
    </row>
    <row r="26" spans="1:54" s="114" customFormat="1" ht="19.5" thickTop="1" thickBot="1" x14ac:dyDescent="0.3">
      <c r="A26" s="113"/>
      <c r="B26" s="99">
        <f t="shared" si="0"/>
        <v>44791</v>
      </c>
      <c r="C26" s="100">
        <f t="shared" si="9"/>
        <v>44791</v>
      </c>
      <c r="D26" s="101" t="str">
        <f t="shared" si="10"/>
        <v>NR</v>
      </c>
      <c r="E26" s="102" t="str">
        <f t="shared" si="2"/>
        <v>Unterrichtstag</v>
      </c>
      <c r="F26" s="103">
        <f t="shared" si="11"/>
        <v>0</v>
      </c>
      <c r="G26" s="104">
        <f t="shared" si="12"/>
        <v>0</v>
      </c>
      <c r="H26" s="104">
        <f>IFERROR(IF('ZD Vorerfassung'!$E$11="manuell",SUM(I26),IF(OR(E26="Feiertag",E26="Wochenende"),0,IF('ZD Vorerfassung'!$E$11="automatisch",AX26,IF(D26="UU","UU",IF(E26=Param2,AX26/24,IF(E26=Param9,AX26/48,"")))))),0)</f>
        <v>0</v>
      </c>
      <c r="I26" s="105"/>
      <c r="J26" s="106">
        <f>IF('ZD Vorerfassung'!$E$12="manuell",SUM(K26:AI26),IF(OR(E26="Feiertag",E26="Wochenende"),0,IF('ZD Vorerfassung'!$E$12="automatisch",AY26,IF(D26="UU","UU",IF(E26=Param2,AY26/24,IF(E26=Param9,AY26/48,""))))))</f>
        <v>0</v>
      </c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7">
        <f t="shared" si="13"/>
        <v>0</v>
      </c>
      <c r="AK26" s="105"/>
      <c r="AL26" s="105"/>
      <c r="AM26" s="105"/>
      <c r="AN26" s="105"/>
      <c r="AO26" s="105"/>
      <c r="AP26" s="105"/>
      <c r="AQ26" s="108">
        <f t="shared" si="14"/>
        <v>0</v>
      </c>
      <c r="AR26" s="108">
        <f t="shared" si="15"/>
        <v>0</v>
      </c>
      <c r="AS26" s="109">
        <f t="shared" si="16"/>
        <v>0</v>
      </c>
      <c r="AT26" s="72"/>
      <c r="AU26" s="110">
        <f t="shared" si="7"/>
        <v>0</v>
      </c>
      <c r="AV26" s="111">
        <f>IF(D26="NR",
IF('ZD Vorerfassung'!$E$22="",0,IF(AND(B26&gt;='ZD Vorerfassung'!$C$22,B26&lt;='ZD Vorerfassung'!$D$22),HLOOKUP(TEXT(C26,"ttt"),'ZD Vorerfassung'!$H$21:$L$36,2,0),0))+
IF('ZD Vorerfassung'!$E$23="",0,IF(AND(B26&gt;='ZD Vorerfassung'!$C$23,B26&lt;='ZD Vorerfassung'!$D$23),HLOOKUP(TEXT(C26,"ttt"),'ZD Vorerfassung'!$H$21:$L$36,3,0),0))+
IF('ZD Vorerfassung'!$E$24="",0,IF(AND(B26&gt;='ZD Vorerfassung'!$C$24,B26&lt;='ZD Vorerfassung'!$D$24),HLOOKUP(TEXT(C26,"ttt"),'ZD Vorerfassung'!$H$21:$L$36,4,0),0))+
IF('ZD Vorerfassung'!$E$25="",0,IF(AND(B26&gt;='ZD Vorerfassung'!$C$25,B26&lt;='ZD Vorerfassung'!$D$25),HLOOKUP(TEXT(C26,"ttt"),'ZD Vorerfassung'!$H$21:$L$36,5,0),0))+
IF('ZD Vorerfassung'!$E$26="",0,IF(AND(B26&gt;='ZD Vorerfassung'!$C$26,B26&lt;='ZD Vorerfassung'!$D$26),HLOOKUP(TEXT(C26,"ttt"),'ZD Vorerfassung'!$H$21:$L$36,6,0),0))+
IF('ZD Vorerfassung'!$E$27="",0,IF(AND(B26&gt;='ZD Vorerfassung'!$C$27,B26&lt;='ZD Vorerfassung'!$D$27),HLOOKUP(TEXT(C26,"ttt"),'ZD Vorerfassung'!$H$21:$L$36,7,0),0))+
IF('ZD Vorerfassung'!$E$28="",0,IF(AND(B26&gt;='ZD Vorerfassung'!$C$28,B26&lt;='ZD Vorerfassung'!$D$28),HLOOKUP(TEXT(C26,"ttt"),'ZD Vorerfassung'!$H$21:$L$36,8,0),0))+
IF('ZD Vorerfassung'!$E$29="",0,IF(AND(B26&gt;='ZD Vorerfassung'!$C$29,B26&lt;='ZD Vorerfassung'!$D$29),HLOOKUP(TEXT(C26,"ttt"),'ZD Vorerfassung'!$H$21:$L$36,9,0),0))+
IF('ZD Vorerfassung'!$E$30="",0,IF(AND(B26&gt;='ZD Vorerfassung'!$C$30,B26&lt;='ZD Vorerfassung'!$D$30),HLOOKUP(TEXT(C26,"ttt"),'ZD Vorerfassung'!$H$21:$L$36,10,0),0))+
IF('ZD Vorerfassung'!$E$31="",0,IF(AND(B26&gt;='ZD Vorerfassung'!$C$31,B26&lt;='ZD Vorerfassung'!$D$31),HLOOKUP(TEXT(C26,"ttt"),'ZD Vorerfassung'!$H$21:$L$36,11,0),0))+
IF('ZD Vorerfassung'!$E$32="",0,IF(AND(B26&gt;='ZD Vorerfassung'!$C$32,B26&lt;='ZD Vorerfassung'!$D$32),HLOOKUP(TEXT(C26,"ttt"),'ZD Vorerfassung'!$H$21:$L$36,12,0),0))+
IF('ZD Vorerfassung'!$E$33="",0,IF(AND(B26&gt;='ZD Vorerfassung'!$C$33,B26&lt;='ZD Vorerfassung'!$D$33),HLOOKUP(TEXT(C26,"ttt"),'ZD Vorerfassung'!$H$21:$L$36,13,0),0))+
IF('ZD Vorerfassung'!$E$34="",0,IF(AND(B26&gt;='ZD Vorerfassung'!$C$34,B26&lt;='ZD Vorerfassung'!$D$34),HLOOKUP(TEXT(C26,"ttt"),'ZD Vorerfassung'!$H$21:$L$36,14,0),0))+
IF('ZD Vorerfassung'!$E$35="",0,IF(AND(B26&gt;='ZD Vorerfassung'!$C$35,B26&lt;='ZD Vorerfassung'!$D$35),HLOOKUP(TEXT(C26,"ttt"),'ZD Vorerfassung'!$H$21:$L$36,15,0),0))+
IF('ZD Vorerfassung'!$E$36="",0,IF(AND(B26&gt;='ZD Vorerfassung'!$C$36,B26&lt;='ZD Vorerfassung'!$D$36),HLOOKUP(TEXT(C26,"ttt"),'ZD Vorerfassung'!$H$21:$L$36,16,0),0)),"")</f>
        <v>0</v>
      </c>
      <c r="AW26" s="110">
        <f t="array" ref="AW26">IF(OR(D26="UU",D26="FT",D26="WE"),0,
IF(D26="NR",SUM(IF(B26&gt;=_xlfn.NUMBERVALUE('ZD Vorerfassung'!$C$22:$C$36),1,0)*IF(B26&lt;=_xlfn.NUMBERVALUE('ZD Vorerfassung'!$D$22:$D$36),1,0)*'ZD Vorerfassung'!$Q$22:$Q$36),
IF(OR(D26="SF",D26="FH"),SUM(IF(B26&gt;=_xlfn.NUMBERVALUE('ZD Vorerfassung'!$C$22:$C$36),1,0)*IF(B26&lt;=_xlfn.NUMBERVALUE('ZD Vorerfassung'!$D$22:$D$36),1,0)*'ZD Vorerfassung'!$R$22:$R$36*IF(D26="FH",0.5,1)),
"prüfen")))</f>
        <v>0</v>
      </c>
      <c r="AX26" s="110">
        <f t="array" ref="AX26">IF(OR(D26="UU",D26="FT",D26="WE",E26="Ferien"),0,
IF(D26="NR",SUM(IF(B26&gt;=_xlfn.NUMBERVALUE('ZD Vorerfassung'!$C$22:$C$36),1,0)*IF(B26&lt;=_xlfn.NUMBERVALUE('ZD Vorerfassung'!$D$22:$D$36),1,0)*'ZD Vorerfassung'!$W$22:$W$36),
IF(OR(D26="SF",D26="FH"),SUM(IF(B26&gt;=_xlfn.NUMBERVALUE('ZD Vorerfassung'!$C$22:$C$36),1,0)*IF(B26&lt;=_xlfn.NUMBERVALUE('ZD Vorerfassung'!$D$22:$D$36),1,0)*'ZD Vorerfassung'!$X$22:$X$36*IF(D26="FH",0.5,1)),
"prüfen")))</f>
        <v>0</v>
      </c>
      <c r="AY26" s="110">
        <f t="array" ref="AY26">IF(OR(D26="UU",D26="FT",D26="WE",E26="Ferien"),0,
IF(D26="NR",SUM(IF(B26&gt;=_xlfn.NUMBERVALUE('ZD Vorerfassung'!$C$22:$C$36),1,0)*IF(B26&lt;=_xlfn.NUMBERVALUE('ZD Vorerfassung'!$D$22:$D$36),1,0)*'ZD Vorerfassung'!$U$22:$U$36),
IF(OR(D26="SF",D26="FH"),SUM(IF(B26&gt;=_xlfn.NUMBERVALUE('ZD Vorerfassung'!$C$22:$C$36),1,0)*IF(B26&lt;=_xlfn.NUMBERVALUE('ZD Vorerfassung'!$D$22:$D$36),1,0)*'ZD Vorerfassung'!$V$22:$V$36*IF(D26="FH",0.5,1)),
"prüfen")))</f>
        <v>0</v>
      </c>
      <c r="AZ26" s="110">
        <f t="array" ref="AZ26">IF(OR(D26="UU",D26="FT",D26="WE",E26="Ferien"),0,
IF(D26="NR",SUM(IF(B26&gt;=_xlfn.NUMBERVALUE('ZD Vorerfassung'!$C$22:$C$36),1,0)*IF(B26&lt;=_xlfn.NUMBERVALUE('ZD Vorerfassung'!$D$22:$D$36),1,0)*'ZD Vorerfassung'!$S$22:$S$36),
IF(OR(D26="SF",D26="FH"),SUM(IF(B26&gt;=_xlfn.NUMBERVALUE('ZD Vorerfassung'!$C$22:$C$36),1,0)*IF(B26&lt;=_xlfn.NUMBERVALUE('ZD Vorerfassung'!$D$22:$D$36),1,0)*'ZD Vorerfassung'!$T$22:$T$36*IF(D26="FH",0.5,1)),
"prüfen")))</f>
        <v>0</v>
      </c>
      <c r="BA26" s="112">
        <f t="shared" si="8"/>
        <v>8</v>
      </c>
      <c r="BB26" s="72"/>
    </row>
    <row r="27" spans="1:54" s="114" customFormat="1" ht="19.5" thickTop="1" thickBot="1" x14ac:dyDescent="0.3">
      <c r="A27" s="115"/>
      <c r="B27" s="99">
        <f t="shared" si="0"/>
        <v>44792</v>
      </c>
      <c r="C27" s="100">
        <f t="shared" si="9"/>
        <v>44792</v>
      </c>
      <c r="D27" s="101" t="str">
        <f t="shared" si="10"/>
        <v>NR</v>
      </c>
      <c r="E27" s="102" t="str">
        <f t="shared" si="2"/>
        <v>Unterrichtstag</v>
      </c>
      <c r="F27" s="103">
        <f t="shared" si="11"/>
        <v>0</v>
      </c>
      <c r="G27" s="104">
        <f t="shared" si="12"/>
        <v>0</v>
      </c>
      <c r="H27" s="104">
        <f>IFERROR(IF('ZD Vorerfassung'!$E$11="manuell",SUM(I27),IF(OR(E27="Feiertag",E27="Wochenende"),0,IF('ZD Vorerfassung'!$E$11="automatisch",AX27,IF(D27="UU","UU",IF(E27=Param2,AX27/24,IF(E27=Param9,AX27/48,"")))))),0)</f>
        <v>0</v>
      </c>
      <c r="I27" s="105"/>
      <c r="J27" s="106">
        <f>IF('ZD Vorerfassung'!$E$12="manuell",SUM(K27:AI27),IF(OR(E27="Feiertag",E27="Wochenende"),0,IF('ZD Vorerfassung'!$E$12="automatisch",AY27,IF(D27="UU","UU",IF(E27=Param2,AY27/24,IF(E27=Param9,AY27/48,""))))))</f>
        <v>0</v>
      </c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7">
        <f t="shared" si="13"/>
        <v>0</v>
      </c>
      <c r="AK27" s="105"/>
      <c r="AL27" s="105"/>
      <c r="AM27" s="105"/>
      <c r="AN27" s="105"/>
      <c r="AO27" s="105"/>
      <c r="AP27" s="105"/>
      <c r="AQ27" s="108">
        <f t="shared" si="14"/>
        <v>0</v>
      </c>
      <c r="AR27" s="108">
        <f t="shared" si="15"/>
        <v>0</v>
      </c>
      <c r="AS27" s="109">
        <f t="shared" si="16"/>
        <v>0</v>
      </c>
      <c r="AT27" s="72"/>
      <c r="AU27" s="110">
        <f t="shared" si="7"/>
        <v>0</v>
      </c>
      <c r="AV27" s="111">
        <f>IF(D27="NR",
IF('ZD Vorerfassung'!$E$22="",0,IF(AND(B27&gt;='ZD Vorerfassung'!$C$22,B27&lt;='ZD Vorerfassung'!$D$22),HLOOKUP(TEXT(C27,"ttt"),'ZD Vorerfassung'!$H$21:$L$36,2,0),0))+
IF('ZD Vorerfassung'!$E$23="",0,IF(AND(B27&gt;='ZD Vorerfassung'!$C$23,B27&lt;='ZD Vorerfassung'!$D$23),HLOOKUP(TEXT(C27,"ttt"),'ZD Vorerfassung'!$H$21:$L$36,3,0),0))+
IF('ZD Vorerfassung'!$E$24="",0,IF(AND(B27&gt;='ZD Vorerfassung'!$C$24,B27&lt;='ZD Vorerfassung'!$D$24),HLOOKUP(TEXT(C27,"ttt"),'ZD Vorerfassung'!$H$21:$L$36,4,0),0))+
IF('ZD Vorerfassung'!$E$25="",0,IF(AND(B27&gt;='ZD Vorerfassung'!$C$25,B27&lt;='ZD Vorerfassung'!$D$25),HLOOKUP(TEXT(C27,"ttt"),'ZD Vorerfassung'!$H$21:$L$36,5,0),0))+
IF('ZD Vorerfassung'!$E$26="",0,IF(AND(B27&gt;='ZD Vorerfassung'!$C$26,B27&lt;='ZD Vorerfassung'!$D$26),HLOOKUP(TEXT(C27,"ttt"),'ZD Vorerfassung'!$H$21:$L$36,6,0),0))+
IF('ZD Vorerfassung'!$E$27="",0,IF(AND(B27&gt;='ZD Vorerfassung'!$C$27,B27&lt;='ZD Vorerfassung'!$D$27),HLOOKUP(TEXT(C27,"ttt"),'ZD Vorerfassung'!$H$21:$L$36,7,0),0))+
IF('ZD Vorerfassung'!$E$28="",0,IF(AND(B27&gt;='ZD Vorerfassung'!$C$28,B27&lt;='ZD Vorerfassung'!$D$28),HLOOKUP(TEXT(C27,"ttt"),'ZD Vorerfassung'!$H$21:$L$36,8,0),0))+
IF('ZD Vorerfassung'!$E$29="",0,IF(AND(B27&gt;='ZD Vorerfassung'!$C$29,B27&lt;='ZD Vorerfassung'!$D$29),HLOOKUP(TEXT(C27,"ttt"),'ZD Vorerfassung'!$H$21:$L$36,9,0),0))+
IF('ZD Vorerfassung'!$E$30="",0,IF(AND(B27&gt;='ZD Vorerfassung'!$C$30,B27&lt;='ZD Vorerfassung'!$D$30),HLOOKUP(TEXT(C27,"ttt"),'ZD Vorerfassung'!$H$21:$L$36,10,0),0))+
IF('ZD Vorerfassung'!$E$31="",0,IF(AND(B27&gt;='ZD Vorerfassung'!$C$31,B27&lt;='ZD Vorerfassung'!$D$31),HLOOKUP(TEXT(C27,"ttt"),'ZD Vorerfassung'!$H$21:$L$36,11,0),0))+
IF('ZD Vorerfassung'!$E$32="",0,IF(AND(B27&gt;='ZD Vorerfassung'!$C$32,B27&lt;='ZD Vorerfassung'!$D$32),HLOOKUP(TEXT(C27,"ttt"),'ZD Vorerfassung'!$H$21:$L$36,12,0),0))+
IF('ZD Vorerfassung'!$E$33="",0,IF(AND(B27&gt;='ZD Vorerfassung'!$C$33,B27&lt;='ZD Vorerfassung'!$D$33),HLOOKUP(TEXT(C27,"ttt"),'ZD Vorerfassung'!$H$21:$L$36,13,0),0))+
IF('ZD Vorerfassung'!$E$34="",0,IF(AND(B27&gt;='ZD Vorerfassung'!$C$34,B27&lt;='ZD Vorerfassung'!$D$34),HLOOKUP(TEXT(C27,"ttt"),'ZD Vorerfassung'!$H$21:$L$36,14,0),0))+
IF('ZD Vorerfassung'!$E$35="",0,IF(AND(B27&gt;='ZD Vorerfassung'!$C$35,B27&lt;='ZD Vorerfassung'!$D$35),HLOOKUP(TEXT(C27,"ttt"),'ZD Vorerfassung'!$H$21:$L$36,15,0),0))+
IF('ZD Vorerfassung'!$E$36="",0,IF(AND(B27&gt;='ZD Vorerfassung'!$C$36,B27&lt;='ZD Vorerfassung'!$D$36),HLOOKUP(TEXT(C27,"ttt"),'ZD Vorerfassung'!$H$21:$L$36,16,0),0)),"")</f>
        <v>0</v>
      </c>
      <c r="AW27" s="110">
        <f t="array" ref="AW27">IF(OR(D27="UU",D27="FT",D27="WE"),0,
IF(D27="NR",SUM(IF(B27&gt;=_xlfn.NUMBERVALUE('ZD Vorerfassung'!$C$22:$C$36),1,0)*IF(B27&lt;=_xlfn.NUMBERVALUE('ZD Vorerfassung'!$D$22:$D$36),1,0)*'ZD Vorerfassung'!$Q$22:$Q$36),
IF(OR(D27="SF",D27="FH"),SUM(IF(B27&gt;=_xlfn.NUMBERVALUE('ZD Vorerfassung'!$C$22:$C$36),1,0)*IF(B27&lt;=_xlfn.NUMBERVALUE('ZD Vorerfassung'!$D$22:$D$36),1,0)*'ZD Vorerfassung'!$R$22:$R$36*IF(D27="FH",0.5,1)),
"prüfen")))</f>
        <v>0</v>
      </c>
      <c r="AX27" s="110">
        <f t="array" ref="AX27">IF(OR(D27="UU",D27="FT",D27="WE",E27="Ferien"),0,
IF(D27="NR",SUM(IF(B27&gt;=_xlfn.NUMBERVALUE('ZD Vorerfassung'!$C$22:$C$36),1,0)*IF(B27&lt;=_xlfn.NUMBERVALUE('ZD Vorerfassung'!$D$22:$D$36),1,0)*'ZD Vorerfassung'!$W$22:$W$36),
IF(OR(D27="SF",D27="FH"),SUM(IF(B27&gt;=_xlfn.NUMBERVALUE('ZD Vorerfassung'!$C$22:$C$36),1,0)*IF(B27&lt;=_xlfn.NUMBERVALUE('ZD Vorerfassung'!$D$22:$D$36),1,0)*'ZD Vorerfassung'!$X$22:$X$36*IF(D27="FH",0.5,1)),
"prüfen")))</f>
        <v>0</v>
      </c>
      <c r="AY27" s="110">
        <f t="array" ref="AY27">IF(OR(D27="UU",D27="FT",D27="WE",E27="Ferien"),0,
IF(D27="NR",SUM(IF(B27&gt;=_xlfn.NUMBERVALUE('ZD Vorerfassung'!$C$22:$C$36),1,0)*IF(B27&lt;=_xlfn.NUMBERVALUE('ZD Vorerfassung'!$D$22:$D$36),1,0)*'ZD Vorerfassung'!$U$22:$U$36),
IF(OR(D27="SF",D27="FH"),SUM(IF(B27&gt;=_xlfn.NUMBERVALUE('ZD Vorerfassung'!$C$22:$C$36),1,0)*IF(B27&lt;=_xlfn.NUMBERVALUE('ZD Vorerfassung'!$D$22:$D$36),1,0)*'ZD Vorerfassung'!$V$22:$V$36*IF(D27="FH",0.5,1)),
"prüfen")))</f>
        <v>0</v>
      </c>
      <c r="AZ27" s="110">
        <f t="array" ref="AZ27">IF(OR(D27="UU",D27="FT",D27="WE",E27="Ferien"),0,
IF(D27="NR",SUM(IF(B27&gt;=_xlfn.NUMBERVALUE('ZD Vorerfassung'!$C$22:$C$36),1,0)*IF(B27&lt;=_xlfn.NUMBERVALUE('ZD Vorerfassung'!$D$22:$D$36),1,0)*'ZD Vorerfassung'!$S$22:$S$36),
IF(OR(D27="SF",D27="FH"),SUM(IF(B27&gt;=_xlfn.NUMBERVALUE('ZD Vorerfassung'!$C$22:$C$36),1,0)*IF(B27&lt;=_xlfn.NUMBERVALUE('ZD Vorerfassung'!$D$22:$D$36),1,0)*'ZD Vorerfassung'!$T$22:$T$36*IF(D27="FH",0.5,1)),
"prüfen")))</f>
        <v>0</v>
      </c>
      <c r="BA27" s="112">
        <f t="shared" si="8"/>
        <v>8</v>
      </c>
      <c r="BB27" s="72"/>
    </row>
    <row r="28" spans="1:54" ht="19.5" thickTop="1" thickBot="1" x14ac:dyDescent="0.3">
      <c r="A28" s="84"/>
      <c r="B28" s="99">
        <f t="shared" si="0"/>
        <v>44793</v>
      </c>
      <c r="C28" s="100">
        <f t="shared" si="9"/>
        <v>44793</v>
      </c>
      <c r="D28" s="101" t="str">
        <f t="shared" si="10"/>
        <v>NR</v>
      </c>
      <c r="E28" s="102" t="str">
        <f t="shared" si="2"/>
        <v>Unterrichtstag</v>
      </c>
      <c r="F28" s="103">
        <f t="shared" si="11"/>
        <v>0</v>
      </c>
      <c r="G28" s="104">
        <f t="shared" si="12"/>
        <v>0</v>
      </c>
      <c r="H28" s="104">
        <f>IFERROR(IF('ZD Vorerfassung'!$E$11="manuell",SUM(I28),IF(OR(E28="Feiertag",E28="Wochenende"),0,IF('ZD Vorerfassung'!$E$11="automatisch",AX28,IF(D28="UU","UU",IF(E28=Param2,AX28/24,IF(E28=Param9,AX28/48,"")))))),0)</f>
        <v>0</v>
      </c>
      <c r="I28" s="105"/>
      <c r="J28" s="106">
        <f>IF('ZD Vorerfassung'!$E$12="manuell",SUM(K28:AI28),IF(OR(E28="Feiertag",E28="Wochenende"),0,IF('ZD Vorerfassung'!$E$12="automatisch",AY28,IF(D28="UU","UU",IF(E28=Param2,AY28/24,IF(E28=Param9,AY28/48,""))))))</f>
        <v>0</v>
      </c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7">
        <f t="shared" si="13"/>
        <v>0</v>
      </c>
      <c r="AK28" s="105"/>
      <c r="AL28" s="105"/>
      <c r="AM28" s="105"/>
      <c r="AN28" s="105"/>
      <c r="AO28" s="105"/>
      <c r="AP28" s="105"/>
      <c r="AQ28" s="108">
        <f t="shared" si="14"/>
        <v>0</v>
      </c>
      <c r="AR28" s="108">
        <f t="shared" si="15"/>
        <v>0</v>
      </c>
      <c r="AS28" s="109">
        <f t="shared" si="16"/>
        <v>0</v>
      </c>
      <c r="AU28" s="110">
        <f t="shared" si="7"/>
        <v>0</v>
      </c>
      <c r="AV28" s="111">
        <f>IF(D28="NR",
IF('ZD Vorerfassung'!$E$22="",0,IF(AND(B28&gt;='ZD Vorerfassung'!$C$22,B28&lt;='ZD Vorerfassung'!$D$22),HLOOKUP(TEXT(C28,"ttt"),'ZD Vorerfassung'!$H$21:$L$36,2,0),0))+
IF('ZD Vorerfassung'!$E$23="",0,IF(AND(B28&gt;='ZD Vorerfassung'!$C$23,B28&lt;='ZD Vorerfassung'!$D$23),HLOOKUP(TEXT(C28,"ttt"),'ZD Vorerfassung'!$H$21:$L$36,3,0),0))+
IF('ZD Vorerfassung'!$E$24="",0,IF(AND(B28&gt;='ZD Vorerfassung'!$C$24,B28&lt;='ZD Vorerfassung'!$D$24),HLOOKUP(TEXT(C28,"ttt"),'ZD Vorerfassung'!$H$21:$L$36,4,0),0))+
IF('ZD Vorerfassung'!$E$25="",0,IF(AND(B28&gt;='ZD Vorerfassung'!$C$25,B28&lt;='ZD Vorerfassung'!$D$25),HLOOKUP(TEXT(C28,"ttt"),'ZD Vorerfassung'!$H$21:$L$36,5,0),0))+
IF('ZD Vorerfassung'!$E$26="",0,IF(AND(B28&gt;='ZD Vorerfassung'!$C$26,B28&lt;='ZD Vorerfassung'!$D$26),HLOOKUP(TEXT(C28,"ttt"),'ZD Vorerfassung'!$H$21:$L$36,6,0),0))+
IF('ZD Vorerfassung'!$E$27="",0,IF(AND(B28&gt;='ZD Vorerfassung'!$C$27,B28&lt;='ZD Vorerfassung'!$D$27),HLOOKUP(TEXT(C28,"ttt"),'ZD Vorerfassung'!$H$21:$L$36,7,0),0))+
IF('ZD Vorerfassung'!$E$28="",0,IF(AND(B28&gt;='ZD Vorerfassung'!$C$28,B28&lt;='ZD Vorerfassung'!$D$28),HLOOKUP(TEXT(C28,"ttt"),'ZD Vorerfassung'!$H$21:$L$36,8,0),0))+
IF('ZD Vorerfassung'!$E$29="",0,IF(AND(B28&gt;='ZD Vorerfassung'!$C$29,B28&lt;='ZD Vorerfassung'!$D$29),HLOOKUP(TEXT(C28,"ttt"),'ZD Vorerfassung'!$H$21:$L$36,9,0),0))+
IF('ZD Vorerfassung'!$E$30="",0,IF(AND(B28&gt;='ZD Vorerfassung'!$C$30,B28&lt;='ZD Vorerfassung'!$D$30),HLOOKUP(TEXT(C28,"ttt"),'ZD Vorerfassung'!$H$21:$L$36,10,0),0))+
IF('ZD Vorerfassung'!$E$31="",0,IF(AND(B28&gt;='ZD Vorerfassung'!$C$31,B28&lt;='ZD Vorerfassung'!$D$31),HLOOKUP(TEXT(C28,"ttt"),'ZD Vorerfassung'!$H$21:$L$36,11,0),0))+
IF('ZD Vorerfassung'!$E$32="",0,IF(AND(B28&gt;='ZD Vorerfassung'!$C$32,B28&lt;='ZD Vorerfassung'!$D$32),HLOOKUP(TEXT(C28,"ttt"),'ZD Vorerfassung'!$H$21:$L$36,12,0),0))+
IF('ZD Vorerfassung'!$E$33="",0,IF(AND(B28&gt;='ZD Vorerfassung'!$C$33,B28&lt;='ZD Vorerfassung'!$D$33),HLOOKUP(TEXT(C28,"ttt"),'ZD Vorerfassung'!$H$21:$L$36,13,0),0))+
IF('ZD Vorerfassung'!$E$34="",0,IF(AND(B28&gt;='ZD Vorerfassung'!$C$34,B28&lt;='ZD Vorerfassung'!$D$34),HLOOKUP(TEXT(C28,"ttt"),'ZD Vorerfassung'!$H$21:$L$36,14,0),0))+
IF('ZD Vorerfassung'!$E$35="",0,IF(AND(B28&gt;='ZD Vorerfassung'!$C$35,B28&lt;='ZD Vorerfassung'!$D$35),HLOOKUP(TEXT(C28,"ttt"),'ZD Vorerfassung'!$H$21:$L$36,15,0),0))+
IF('ZD Vorerfassung'!$E$36="",0,IF(AND(B28&gt;='ZD Vorerfassung'!$C$36,B28&lt;='ZD Vorerfassung'!$D$36),HLOOKUP(TEXT(C28,"ttt"),'ZD Vorerfassung'!$H$21:$L$36,16,0),0)),"")</f>
        <v>0</v>
      </c>
      <c r="AW28" s="110">
        <f t="array" ref="AW28">IF(OR(D28="UU",D28="FT",D28="WE"),0,
IF(D28="NR",SUM(IF(B28&gt;=_xlfn.NUMBERVALUE('ZD Vorerfassung'!$C$22:$C$36),1,0)*IF(B28&lt;=_xlfn.NUMBERVALUE('ZD Vorerfassung'!$D$22:$D$36),1,0)*'ZD Vorerfassung'!$Q$22:$Q$36),
IF(OR(D28="SF",D28="FH"),SUM(IF(B28&gt;=_xlfn.NUMBERVALUE('ZD Vorerfassung'!$C$22:$C$36),1,0)*IF(B28&lt;=_xlfn.NUMBERVALUE('ZD Vorerfassung'!$D$22:$D$36),1,0)*'ZD Vorerfassung'!$R$22:$R$36*IF(D28="FH",0.5,1)),
"prüfen")))</f>
        <v>0</v>
      </c>
      <c r="AX28" s="110">
        <f t="array" ref="AX28">IF(OR(D28="UU",D28="FT",D28="WE",E28="Ferien"),0,
IF(D28="NR",SUM(IF(B28&gt;=_xlfn.NUMBERVALUE('ZD Vorerfassung'!$C$22:$C$36),1,0)*IF(B28&lt;=_xlfn.NUMBERVALUE('ZD Vorerfassung'!$D$22:$D$36),1,0)*'ZD Vorerfassung'!$W$22:$W$36),
IF(OR(D28="SF",D28="FH"),SUM(IF(B28&gt;=_xlfn.NUMBERVALUE('ZD Vorerfassung'!$C$22:$C$36),1,0)*IF(B28&lt;=_xlfn.NUMBERVALUE('ZD Vorerfassung'!$D$22:$D$36),1,0)*'ZD Vorerfassung'!$X$22:$X$36*IF(D28="FH",0.5,1)),
"prüfen")))</f>
        <v>0</v>
      </c>
      <c r="AY28" s="110">
        <f t="array" ref="AY28">IF(OR(D28="UU",D28="FT",D28="WE",E28="Ferien"),0,
IF(D28="NR",SUM(IF(B28&gt;=_xlfn.NUMBERVALUE('ZD Vorerfassung'!$C$22:$C$36),1,0)*IF(B28&lt;=_xlfn.NUMBERVALUE('ZD Vorerfassung'!$D$22:$D$36),1,0)*'ZD Vorerfassung'!$U$22:$U$36),
IF(OR(D28="SF",D28="FH"),SUM(IF(B28&gt;=_xlfn.NUMBERVALUE('ZD Vorerfassung'!$C$22:$C$36),1,0)*IF(B28&lt;=_xlfn.NUMBERVALUE('ZD Vorerfassung'!$D$22:$D$36),1,0)*'ZD Vorerfassung'!$V$22:$V$36*IF(D28="FH",0.5,1)),
"prüfen")))</f>
        <v>0</v>
      </c>
      <c r="AZ28" s="110">
        <f t="array" ref="AZ28">IF(OR(D28="UU",D28="FT",D28="WE",E28="Ferien"),0,
IF(D28="NR",SUM(IF(B28&gt;=_xlfn.NUMBERVALUE('ZD Vorerfassung'!$C$22:$C$36),1,0)*IF(B28&lt;=_xlfn.NUMBERVALUE('ZD Vorerfassung'!$D$22:$D$36),1,0)*'ZD Vorerfassung'!$S$22:$S$36),
IF(OR(D28="SF",D28="FH"),SUM(IF(B28&gt;=_xlfn.NUMBERVALUE('ZD Vorerfassung'!$C$22:$C$36),1,0)*IF(B28&lt;=_xlfn.NUMBERVALUE('ZD Vorerfassung'!$D$22:$D$36),1,0)*'ZD Vorerfassung'!$T$22:$T$36*IF(D28="FH",0.5,1)),
"prüfen")))</f>
        <v>0</v>
      </c>
      <c r="BA28" s="112">
        <f t="shared" si="8"/>
        <v>8</v>
      </c>
    </row>
    <row r="29" spans="1:54" ht="19.5" thickTop="1" thickBot="1" x14ac:dyDescent="0.3">
      <c r="A29" s="84"/>
      <c r="B29" s="99">
        <f t="shared" si="0"/>
        <v>44794</v>
      </c>
      <c r="C29" s="100">
        <f t="shared" si="9"/>
        <v>44794</v>
      </c>
      <c r="D29" s="101" t="str">
        <f t="shared" si="10"/>
        <v>WE</v>
      </c>
      <c r="E29" s="102" t="str">
        <f t="shared" si="2"/>
        <v>Wochenende</v>
      </c>
      <c r="F29" s="103" t="str">
        <f t="shared" si="11"/>
        <v/>
      </c>
      <c r="G29" s="104" t="str">
        <f t="shared" si="12"/>
        <v/>
      </c>
      <c r="H29" s="104">
        <f>IFERROR(IF('ZD Vorerfassung'!$E$11="manuell",SUM(I29),IF(OR(E29="Feiertag",E29="Wochenende"),0,IF('ZD Vorerfassung'!$E$11="automatisch",AX29,IF(D29="UU","UU",IF(E29=Param2,AX29/24,IF(E29=Param9,AX29/48,"")))))),0)</f>
        <v>0</v>
      </c>
      <c r="I29" s="105"/>
      <c r="J29" s="106">
        <f>IF('ZD Vorerfassung'!$E$12="manuell",SUM(K29:AI29),IF(OR(E29="Feiertag",E29="Wochenende"),0,IF('ZD Vorerfassung'!$E$12="automatisch",AY29,IF(D29="UU","UU",IF(E29=Param2,AY29/24,IF(E29=Param9,AY29/48,""))))))</f>
        <v>0</v>
      </c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7">
        <f t="shared" si="13"/>
        <v>0</v>
      </c>
      <c r="AK29" s="105"/>
      <c r="AL29" s="105"/>
      <c r="AM29" s="105"/>
      <c r="AN29" s="105"/>
      <c r="AO29" s="105"/>
      <c r="AP29" s="105"/>
      <c r="AQ29" s="108">
        <f t="shared" si="14"/>
        <v>0</v>
      </c>
      <c r="AR29" s="108">
        <f t="shared" si="15"/>
        <v>0</v>
      </c>
      <c r="AS29" s="109">
        <f t="shared" si="16"/>
        <v>0</v>
      </c>
      <c r="AU29" s="110">
        <f t="shared" si="7"/>
        <v>0</v>
      </c>
      <c r="AV29" s="111" t="str">
        <f>IF(D29="NR",
IF('ZD Vorerfassung'!$E$22="",0,IF(AND(B29&gt;='ZD Vorerfassung'!$C$22,B29&lt;='ZD Vorerfassung'!$D$22),HLOOKUP(TEXT(C29,"ttt"),'ZD Vorerfassung'!$H$21:$L$36,2,0),0))+
IF('ZD Vorerfassung'!$E$23="",0,IF(AND(B29&gt;='ZD Vorerfassung'!$C$23,B29&lt;='ZD Vorerfassung'!$D$23),HLOOKUP(TEXT(C29,"ttt"),'ZD Vorerfassung'!$H$21:$L$36,3,0),0))+
IF('ZD Vorerfassung'!$E$24="",0,IF(AND(B29&gt;='ZD Vorerfassung'!$C$24,B29&lt;='ZD Vorerfassung'!$D$24),HLOOKUP(TEXT(C29,"ttt"),'ZD Vorerfassung'!$H$21:$L$36,4,0),0))+
IF('ZD Vorerfassung'!$E$25="",0,IF(AND(B29&gt;='ZD Vorerfassung'!$C$25,B29&lt;='ZD Vorerfassung'!$D$25),HLOOKUP(TEXT(C29,"ttt"),'ZD Vorerfassung'!$H$21:$L$36,5,0),0))+
IF('ZD Vorerfassung'!$E$26="",0,IF(AND(B29&gt;='ZD Vorerfassung'!$C$26,B29&lt;='ZD Vorerfassung'!$D$26),HLOOKUP(TEXT(C29,"ttt"),'ZD Vorerfassung'!$H$21:$L$36,6,0),0))+
IF('ZD Vorerfassung'!$E$27="",0,IF(AND(B29&gt;='ZD Vorerfassung'!$C$27,B29&lt;='ZD Vorerfassung'!$D$27),HLOOKUP(TEXT(C29,"ttt"),'ZD Vorerfassung'!$H$21:$L$36,7,0),0))+
IF('ZD Vorerfassung'!$E$28="",0,IF(AND(B29&gt;='ZD Vorerfassung'!$C$28,B29&lt;='ZD Vorerfassung'!$D$28),HLOOKUP(TEXT(C29,"ttt"),'ZD Vorerfassung'!$H$21:$L$36,8,0),0))+
IF('ZD Vorerfassung'!$E$29="",0,IF(AND(B29&gt;='ZD Vorerfassung'!$C$29,B29&lt;='ZD Vorerfassung'!$D$29),HLOOKUP(TEXT(C29,"ttt"),'ZD Vorerfassung'!$H$21:$L$36,9,0),0))+
IF('ZD Vorerfassung'!$E$30="",0,IF(AND(B29&gt;='ZD Vorerfassung'!$C$30,B29&lt;='ZD Vorerfassung'!$D$30),HLOOKUP(TEXT(C29,"ttt"),'ZD Vorerfassung'!$H$21:$L$36,10,0),0))+
IF('ZD Vorerfassung'!$E$31="",0,IF(AND(B29&gt;='ZD Vorerfassung'!$C$31,B29&lt;='ZD Vorerfassung'!$D$31),HLOOKUP(TEXT(C29,"ttt"),'ZD Vorerfassung'!$H$21:$L$36,11,0),0))+
IF('ZD Vorerfassung'!$E$32="",0,IF(AND(B29&gt;='ZD Vorerfassung'!$C$32,B29&lt;='ZD Vorerfassung'!$D$32),HLOOKUP(TEXT(C29,"ttt"),'ZD Vorerfassung'!$H$21:$L$36,12,0),0))+
IF('ZD Vorerfassung'!$E$33="",0,IF(AND(B29&gt;='ZD Vorerfassung'!$C$33,B29&lt;='ZD Vorerfassung'!$D$33),HLOOKUP(TEXT(C29,"ttt"),'ZD Vorerfassung'!$H$21:$L$36,13,0),0))+
IF('ZD Vorerfassung'!$E$34="",0,IF(AND(B29&gt;='ZD Vorerfassung'!$C$34,B29&lt;='ZD Vorerfassung'!$D$34),HLOOKUP(TEXT(C29,"ttt"),'ZD Vorerfassung'!$H$21:$L$36,14,0),0))+
IF('ZD Vorerfassung'!$E$35="",0,IF(AND(B29&gt;='ZD Vorerfassung'!$C$35,B29&lt;='ZD Vorerfassung'!$D$35),HLOOKUP(TEXT(C29,"ttt"),'ZD Vorerfassung'!$H$21:$L$36,15,0),0))+
IF('ZD Vorerfassung'!$E$36="",0,IF(AND(B29&gt;='ZD Vorerfassung'!$C$36,B29&lt;='ZD Vorerfassung'!$D$36),HLOOKUP(TEXT(C29,"ttt"),'ZD Vorerfassung'!$H$21:$L$36,16,0),0)),"")</f>
        <v/>
      </c>
      <c r="AW29" s="110">
        <f t="array" ref="AW29">IF(OR(D29="UU",D29="FT",D29="WE"),0,
IF(D29="NR",SUM(IF(B29&gt;=_xlfn.NUMBERVALUE('ZD Vorerfassung'!$C$22:$C$36),1,0)*IF(B29&lt;=_xlfn.NUMBERVALUE('ZD Vorerfassung'!$D$22:$D$36),1,0)*'ZD Vorerfassung'!$Q$22:$Q$36),
IF(OR(D29="SF",D29="FH"),SUM(IF(B29&gt;=_xlfn.NUMBERVALUE('ZD Vorerfassung'!$C$22:$C$36),1,0)*IF(B29&lt;=_xlfn.NUMBERVALUE('ZD Vorerfassung'!$D$22:$D$36),1,0)*'ZD Vorerfassung'!$R$22:$R$36*IF(D29="FH",0.5,1)),
"prüfen")))</f>
        <v>0</v>
      </c>
      <c r="AX29" s="110">
        <f t="array" ref="AX29">IF(OR(D29="UU",D29="FT",D29="WE",E29="Ferien"),0,
IF(D29="NR",SUM(IF(B29&gt;=_xlfn.NUMBERVALUE('ZD Vorerfassung'!$C$22:$C$36),1,0)*IF(B29&lt;=_xlfn.NUMBERVALUE('ZD Vorerfassung'!$D$22:$D$36),1,0)*'ZD Vorerfassung'!$W$22:$W$36),
IF(OR(D29="SF",D29="FH"),SUM(IF(B29&gt;=_xlfn.NUMBERVALUE('ZD Vorerfassung'!$C$22:$C$36),1,0)*IF(B29&lt;=_xlfn.NUMBERVALUE('ZD Vorerfassung'!$D$22:$D$36),1,0)*'ZD Vorerfassung'!$X$22:$X$36*IF(D29="FH",0.5,1)),
"prüfen")))</f>
        <v>0</v>
      </c>
      <c r="AY29" s="110">
        <f t="array" ref="AY29">IF(OR(D29="UU",D29="FT",D29="WE",E29="Ferien"),0,
IF(D29="NR",SUM(IF(B29&gt;=_xlfn.NUMBERVALUE('ZD Vorerfassung'!$C$22:$C$36),1,0)*IF(B29&lt;=_xlfn.NUMBERVALUE('ZD Vorerfassung'!$D$22:$D$36),1,0)*'ZD Vorerfassung'!$U$22:$U$36),
IF(OR(D29="SF",D29="FH"),SUM(IF(B29&gt;=_xlfn.NUMBERVALUE('ZD Vorerfassung'!$C$22:$C$36),1,0)*IF(B29&lt;=_xlfn.NUMBERVALUE('ZD Vorerfassung'!$D$22:$D$36),1,0)*'ZD Vorerfassung'!$V$22:$V$36*IF(D29="FH",0.5,1)),
"prüfen")))</f>
        <v>0</v>
      </c>
      <c r="AZ29" s="110">
        <f t="array" ref="AZ29">IF(OR(D29="UU",D29="FT",D29="WE",E29="Ferien"),0,
IF(D29="NR",SUM(IF(B29&gt;=_xlfn.NUMBERVALUE('ZD Vorerfassung'!$C$22:$C$36),1,0)*IF(B29&lt;=_xlfn.NUMBERVALUE('ZD Vorerfassung'!$D$22:$D$36),1,0)*'ZD Vorerfassung'!$S$22:$S$36),
IF(OR(D29="SF",D29="FH"),SUM(IF(B29&gt;=_xlfn.NUMBERVALUE('ZD Vorerfassung'!$C$22:$C$36),1,0)*IF(B29&lt;=_xlfn.NUMBERVALUE('ZD Vorerfassung'!$D$22:$D$36),1,0)*'ZD Vorerfassung'!$T$22:$T$36*IF(D29="FH",0.5,1)),
"prüfen")))</f>
        <v>0</v>
      </c>
      <c r="BA29" s="112">
        <f t="shared" si="8"/>
        <v>8</v>
      </c>
    </row>
    <row r="30" spans="1:54" ht="19.5" thickTop="1" thickBot="1" x14ac:dyDescent="0.3">
      <c r="A30" s="84"/>
      <c r="B30" s="99">
        <f t="shared" si="0"/>
        <v>44795</v>
      </c>
      <c r="C30" s="100">
        <f t="shared" si="9"/>
        <v>44795</v>
      </c>
      <c r="D30" s="101" t="str">
        <f t="shared" si="10"/>
        <v>WE</v>
      </c>
      <c r="E30" s="102" t="str">
        <f t="shared" si="2"/>
        <v>Wochenende</v>
      </c>
      <c r="F30" s="103" t="str">
        <f t="shared" si="11"/>
        <v/>
      </c>
      <c r="G30" s="104" t="str">
        <f t="shared" si="12"/>
        <v/>
      </c>
      <c r="H30" s="104">
        <f>IFERROR(IF('ZD Vorerfassung'!$E$11="manuell",SUM(I30),IF(OR(E30="Feiertag",E30="Wochenende"),0,IF('ZD Vorerfassung'!$E$11="automatisch",AX30,IF(D30="UU","UU",IF(E30=Param2,AX30/24,IF(E30=Param9,AX30/48,"")))))),0)</f>
        <v>0</v>
      </c>
      <c r="I30" s="105"/>
      <c r="J30" s="106">
        <f>IF('ZD Vorerfassung'!$E$12="manuell",SUM(K30:AI30),IF(OR(E30="Feiertag",E30="Wochenende"),0,IF('ZD Vorerfassung'!$E$12="automatisch",AY30,IF(D30="UU","UU",IF(E30=Param2,AY30/24,IF(E30=Param9,AY30/48,""))))))</f>
        <v>0</v>
      </c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7">
        <f t="shared" si="13"/>
        <v>0</v>
      </c>
      <c r="AK30" s="105"/>
      <c r="AL30" s="105"/>
      <c r="AM30" s="105"/>
      <c r="AN30" s="105"/>
      <c r="AO30" s="105"/>
      <c r="AP30" s="105"/>
      <c r="AQ30" s="108">
        <f t="shared" si="14"/>
        <v>0</v>
      </c>
      <c r="AR30" s="108">
        <f t="shared" si="15"/>
        <v>0</v>
      </c>
      <c r="AS30" s="109">
        <f t="shared" si="16"/>
        <v>0</v>
      </c>
      <c r="AU30" s="110">
        <f t="shared" si="7"/>
        <v>0</v>
      </c>
      <c r="AV30" s="111" t="str">
        <f>IF(D30="NR",
IF('ZD Vorerfassung'!$E$22="",0,IF(AND(B30&gt;='ZD Vorerfassung'!$C$22,B30&lt;='ZD Vorerfassung'!$D$22),HLOOKUP(TEXT(C30,"ttt"),'ZD Vorerfassung'!$H$21:$L$36,2,0),0))+
IF('ZD Vorerfassung'!$E$23="",0,IF(AND(B30&gt;='ZD Vorerfassung'!$C$23,B30&lt;='ZD Vorerfassung'!$D$23),HLOOKUP(TEXT(C30,"ttt"),'ZD Vorerfassung'!$H$21:$L$36,3,0),0))+
IF('ZD Vorerfassung'!$E$24="",0,IF(AND(B30&gt;='ZD Vorerfassung'!$C$24,B30&lt;='ZD Vorerfassung'!$D$24),HLOOKUP(TEXT(C30,"ttt"),'ZD Vorerfassung'!$H$21:$L$36,4,0),0))+
IF('ZD Vorerfassung'!$E$25="",0,IF(AND(B30&gt;='ZD Vorerfassung'!$C$25,B30&lt;='ZD Vorerfassung'!$D$25),HLOOKUP(TEXT(C30,"ttt"),'ZD Vorerfassung'!$H$21:$L$36,5,0),0))+
IF('ZD Vorerfassung'!$E$26="",0,IF(AND(B30&gt;='ZD Vorerfassung'!$C$26,B30&lt;='ZD Vorerfassung'!$D$26),HLOOKUP(TEXT(C30,"ttt"),'ZD Vorerfassung'!$H$21:$L$36,6,0),0))+
IF('ZD Vorerfassung'!$E$27="",0,IF(AND(B30&gt;='ZD Vorerfassung'!$C$27,B30&lt;='ZD Vorerfassung'!$D$27),HLOOKUP(TEXT(C30,"ttt"),'ZD Vorerfassung'!$H$21:$L$36,7,0),0))+
IF('ZD Vorerfassung'!$E$28="",0,IF(AND(B30&gt;='ZD Vorerfassung'!$C$28,B30&lt;='ZD Vorerfassung'!$D$28),HLOOKUP(TEXT(C30,"ttt"),'ZD Vorerfassung'!$H$21:$L$36,8,0),0))+
IF('ZD Vorerfassung'!$E$29="",0,IF(AND(B30&gt;='ZD Vorerfassung'!$C$29,B30&lt;='ZD Vorerfassung'!$D$29),HLOOKUP(TEXT(C30,"ttt"),'ZD Vorerfassung'!$H$21:$L$36,9,0),0))+
IF('ZD Vorerfassung'!$E$30="",0,IF(AND(B30&gt;='ZD Vorerfassung'!$C$30,B30&lt;='ZD Vorerfassung'!$D$30),HLOOKUP(TEXT(C30,"ttt"),'ZD Vorerfassung'!$H$21:$L$36,10,0),0))+
IF('ZD Vorerfassung'!$E$31="",0,IF(AND(B30&gt;='ZD Vorerfassung'!$C$31,B30&lt;='ZD Vorerfassung'!$D$31),HLOOKUP(TEXT(C30,"ttt"),'ZD Vorerfassung'!$H$21:$L$36,11,0),0))+
IF('ZD Vorerfassung'!$E$32="",0,IF(AND(B30&gt;='ZD Vorerfassung'!$C$32,B30&lt;='ZD Vorerfassung'!$D$32),HLOOKUP(TEXT(C30,"ttt"),'ZD Vorerfassung'!$H$21:$L$36,12,0),0))+
IF('ZD Vorerfassung'!$E$33="",0,IF(AND(B30&gt;='ZD Vorerfassung'!$C$33,B30&lt;='ZD Vorerfassung'!$D$33),HLOOKUP(TEXT(C30,"ttt"),'ZD Vorerfassung'!$H$21:$L$36,13,0),0))+
IF('ZD Vorerfassung'!$E$34="",0,IF(AND(B30&gt;='ZD Vorerfassung'!$C$34,B30&lt;='ZD Vorerfassung'!$D$34),HLOOKUP(TEXT(C30,"ttt"),'ZD Vorerfassung'!$H$21:$L$36,14,0),0))+
IF('ZD Vorerfassung'!$E$35="",0,IF(AND(B30&gt;='ZD Vorerfassung'!$C$35,B30&lt;='ZD Vorerfassung'!$D$35),HLOOKUP(TEXT(C30,"ttt"),'ZD Vorerfassung'!$H$21:$L$36,15,0),0))+
IF('ZD Vorerfassung'!$E$36="",0,IF(AND(B30&gt;='ZD Vorerfassung'!$C$36,B30&lt;='ZD Vorerfassung'!$D$36),HLOOKUP(TEXT(C30,"ttt"),'ZD Vorerfassung'!$H$21:$L$36,16,0),0)),"")</f>
        <v/>
      </c>
      <c r="AW30" s="110">
        <f t="array" ref="AW30">IF(OR(D30="UU",D30="FT",D30="WE"),0,
IF(D30="NR",SUM(IF(B30&gt;=_xlfn.NUMBERVALUE('ZD Vorerfassung'!$C$22:$C$36),1,0)*IF(B30&lt;=_xlfn.NUMBERVALUE('ZD Vorerfassung'!$D$22:$D$36),1,0)*'ZD Vorerfassung'!$Q$22:$Q$36),
IF(OR(D30="SF",D30="FH"),SUM(IF(B30&gt;=_xlfn.NUMBERVALUE('ZD Vorerfassung'!$C$22:$C$36),1,0)*IF(B30&lt;=_xlfn.NUMBERVALUE('ZD Vorerfassung'!$D$22:$D$36),1,0)*'ZD Vorerfassung'!$R$22:$R$36*IF(D30="FH",0.5,1)),
"prüfen")))</f>
        <v>0</v>
      </c>
      <c r="AX30" s="110">
        <f t="array" ref="AX30">IF(OR(D30="UU",D30="FT",D30="WE",E30="Ferien"),0,
IF(D30="NR",SUM(IF(B30&gt;=_xlfn.NUMBERVALUE('ZD Vorerfassung'!$C$22:$C$36),1,0)*IF(B30&lt;=_xlfn.NUMBERVALUE('ZD Vorerfassung'!$D$22:$D$36),1,0)*'ZD Vorerfassung'!$W$22:$W$36),
IF(OR(D30="SF",D30="FH"),SUM(IF(B30&gt;=_xlfn.NUMBERVALUE('ZD Vorerfassung'!$C$22:$C$36),1,0)*IF(B30&lt;=_xlfn.NUMBERVALUE('ZD Vorerfassung'!$D$22:$D$36),1,0)*'ZD Vorerfassung'!$X$22:$X$36*IF(D30="FH",0.5,1)),
"prüfen")))</f>
        <v>0</v>
      </c>
      <c r="AY30" s="110">
        <f t="array" ref="AY30">IF(OR(D30="UU",D30="FT",D30="WE",E30="Ferien"),0,
IF(D30="NR",SUM(IF(B30&gt;=_xlfn.NUMBERVALUE('ZD Vorerfassung'!$C$22:$C$36),1,0)*IF(B30&lt;=_xlfn.NUMBERVALUE('ZD Vorerfassung'!$D$22:$D$36),1,0)*'ZD Vorerfassung'!$U$22:$U$36),
IF(OR(D30="SF",D30="FH"),SUM(IF(B30&gt;=_xlfn.NUMBERVALUE('ZD Vorerfassung'!$C$22:$C$36),1,0)*IF(B30&lt;=_xlfn.NUMBERVALUE('ZD Vorerfassung'!$D$22:$D$36),1,0)*'ZD Vorerfassung'!$V$22:$V$36*IF(D30="FH",0.5,1)),
"prüfen")))</f>
        <v>0</v>
      </c>
      <c r="AZ30" s="110">
        <f t="array" ref="AZ30">IF(OR(D30="UU",D30="FT",D30="WE",E30="Ferien"),0,
IF(D30="NR",SUM(IF(B30&gt;=_xlfn.NUMBERVALUE('ZD Vorerfassung'!$C$22:$C$36),1,0)*IF(B30&lt;=_xlfn.NUMBERVALUE('ZD Vorerfassung'!$D$22:$D$36),1,0)*'ZD Vorerfassung'!$S$22:$S$36),
IF(OR(D30="SF",D30="FH"),SUM(IF(B30&gt;=_xlfn.NUMBERVALUE('ZD Vorerfassung'!$C$22:$C$36),1,0)*IF(B30&lt;=_xlfn.NUMBERVALUE('ZD Vorerfassung'!$D$22:$D$36),1,0)*'ZD Vorerfassung'!$T$22:$T$36*IF(D30="FH",0.5,1)),
"prüfen")))</f>
        <v>0</v>
      </c>
      <c r="BA30" s="112">
        <f t="shared" si="8"/>
        <v>8</v>
      </c>
    </row>
    <row r="31" spans="1:54" ht="19.5" thickTop="1" thickBot="1" x14ac:dyDescent="0.3">
      <c r="A31" s="84"/>
      <c r="B31" s="99">
        <f t="shared" si="0"/>
        <v>44796</v>
      </c>
      <c r="C31" s="100">
        <f t="shared" si="9"/>
        <v>44796</v>
      </c>
      <c r="D31" s="101" t="str">
        <f t="shared" si="10"/>
        <v>NR</v>
      </c>
      <c r="E31" s="102" t="str">
        <f t="shared" si="2"/>
        <v>Unterrichtstag</v>
      </c>
      <c r="F31" s="103">
        <f t="shared" si="11"/>
        <v>0</v>
      </c>
      <c r="G31" s="104">
        <f t="shared" si="12"/>
        <v>0</v>
      </c>
      <c r="H31" s="104">
        <f>IFERROR(IF('ZD Vorerfassung'!$E$11="manuell",SUM(I31),IF(OR(E31="Feiertag",E31="Wochenende"),0,IF('ZD Vorerfassung'!$E$11="automatisch",AX31,IF(D31="UU","UU",IF(E31=Param2,AX31/24,IF(E31=Param9,AX31/48,"")))))),0)</f>
        <v>0</v>
      </c>
      <c r="I31" s="105"/>
      <c r="J31" s="106">
        <f>IF('ZD Vorerfassung'!$E$12="manuell",SUM(K31:AI31),IF(OR(E31="Feiertag",E31="Wochenende"),0,IF('ZD Vorerfassung'!$E$12="automatisch",AY31,IF(D31="UU","UU",IF(E31=Param2,AY31/24,IF(E31=Param9,AY31/48,""))))))</f>
        <v>0</v>
      </c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7">
        <f t="shared" si="13"/>
        <v>0</v>
      </c>
      <c r="AK31" s="105"/>
      <c r="AL31" s="105"/>
      <c r="AM31" s="105"/>
      <c r="AN31" s="105"/>
      <c r="AO31" s="105"/>
      <c r="AP31" s="105"/>
      <c r="AQ31" s="108">
        <f t="shared" si="14"/>
        <v>0</v>
      </c>
      <c r="AR31" s="108">
        <f t="shared" si="15"/>
        <v>0</v>
      </c>
      <c r="AS31" s="109">
        <f t="shared" si="16"/>
        <v>0</v>
      </c>
      <c r="AU31" s="110">
        <f t="shared" si="7"/>
        <v>0</v>
      </c>
      <c r="AV31" s="111">
        <f>IF(D31="NR",
IF('ZD Vorerfassung'!$E$22="",0,IF(AND(B31&gt;='ZD Vorerfassung'!$C$22,B31&lt;='ZD Vorerfassung'!$D$22),HLOOKUP(TEXT(C31,"ttt"),'ZD Vorerfassung'!$H$21:$L$36,2,0),0))+
IF('ZD Vorerfassung'!$E$23="",0,IF(AND(B31&gt;='ZD Vorerfassung'!$C$23,B31&lt;='ZD Vorerfassung'!$D$23),HLOOKUP(TEXT(C31,"ttt"),'ZD Vorerfassung'!$H$21:$L$36,3,0),0))+
IF('ZD Vorerfassung'!$E$24="",0,IF(AND(B31&gt;='ZD Vorerfassung'!$C$24,B31&lt;='ZD Vorerfassung'!$D$24),HLOOKUP(TEXT(C31,"ttt"),'ZD Vorerfassung'!$H$21:$L$36,4,0),0))+
IF('ZD Vorerfassung'!$E$25="",0,IF(AND(B31&gt;='ZD Vorerfassung'!$C$25,B31&lt;='ZD Vorerfassung'!$D$25),HLOOKUP(TEXT(C31,"ttt"),'ZD Vorerfassung'!$H$21:$L$36,5,0),0))+
IF('ZD Vorerfassung'!$E$26="",0,IF(AND(B31&gt;='ZD Vorerfassung'!$C$26,B31&lt;='ZD Vorerfassung'!$D$26),HLOOKUP(TEXT(C31,"ttt"),'ZD Vorerfassung'!$H$21:$L$36,6,0),0))+
IF('ZD Vorerfassung'!$E$27="",0,IF(AND(B31&gt;='ZD Vorerfassung'!$C$27,B31&lt;='ZD Vorerfassung'!$D$27),HLOOKUP(TEXT(C31,"ttt"),'ZD Vorerfassung'!$H$21:$L$36,7,0),0))+
IF('ZD Vorerfassung'!$E$28="",0,IF(AND(B31&gt;='ZD Vorerfassung'!$C$28,B31&lt;='ZD Vorerfassung'!$D$28),HLOOKUP(TEXT(C31,"ttt"),'ZD Vorerfassung'!$H$21:$L$36,8,0),0))+
IF('ZD Vorerfassung'!$E$29="",0,IF(AND(B31&gt;='ZD Vorerfassung'!$C$29,B31&lt;='ZD Vorerfassung'!$D$29),HLOOKUP(TEXT(C31,"ttt"),'ZD Vorerfassung'!$H$21:$L$36,9,0),0))+
IF('ZD Vorerfassung'!$E$30="",0,IF(AND(B31&gt;='ZD Vorerfassung'!$C$30,B31&lt;='ZD Vorerfassung'!$D$30),HLOOKUP(TEXT(C31,"ttt"),'ZD Vorerfassung'!$H$21:$L$36,10,0),0))+
IF('ZD Vorerfassung'!$E$31="",0,IF(AND(B31&gt;='ZD Vorerfassung'!$C$31,B31&lt;='ZD Vorerfassung'!$D$31),HLOOKUP(TEXT(C31,"ttt"),'ZD Vorerfassung'!$H$21:$L$36,11,0),0))+
IF('ZD Vorerfassung'!$E$32="",0,IF(AND(B31&gt;='ZD Vorerfassung'!$C$32,B31&lt;='ZD Vorerfassung'!$D$32),HLOOKUP(TEXT(C31,"ttt"),'ZD Vorerfassung'!$H$21:$L$36,12,0),0))+
IF('ZD Vorerfassung'!$E$33="",0,IF(AND(B31&gt;='ZD Vorerfassung'!$C$33,B31&lt;='ZD Vorerfassung'!$D$33),HLOOKUP(TEXT(C31,"ttt"),'ZD Vorerfassung'!$H$21:$L$36,13,0),0))+
IF('ZD Vorerfassung'!$E$34="",0,IF(AND(B31&gt;='ZD Vorerfassung'!$C$34,B31&lt;='ZD Vorerfassung'!$D$34),HLOOKUP(TEXT(C31,"ttt"),'ZD Vorerfassung'!$H$21:$L$36,14,0),0))+
IF('ZD Vorerfassung'!$E$35="",0,IF(AND(B31&gt;='ZD Vorerfassung'!$C$35,B31&lt;='ZD Vorerfassung'!$D$35),HLOOKUP(TEXT(C31,"ttt"),'ZD Vorerfassung'!$H$21:$L$36,15,0),0))+
IF('ZD Vorerfassung'!$E$36="",0,IF(AND(B31&gt;='ZD Vorerfassung'!$C$36,B31&lt;='ZD Vorerfassung'!$D$36),HLOOKUP(TEXT(C31,"ttt"),'ZD Vorerfassung'!$H$21:$L$36,16,0),0)),"")</f>
        <v>0</v>
      </c>
      <c r="AW31" s="110">
        <f t="array" ref="AW31">IF(OR(D31="UU",D31="FT",D31="WE"),0,
IF(D31="NR",SUM(IF(B31&gt;=_xlfn.NUMBERVALUE('ZD Vorerfassung'!$C$22:$C$36),1,0)*IF(B31&lt;=_xlfn.NUMBERVALUE('ZD Vorerfassung'!$D$22:$D$36),1,0)*'ZD Vorerfassung'!$Q$22:$Q$36),
IF(OR(D31="SF",D31="FH"),SUM(IF(B31&gt;=_xlfn.NUMBERVALUE('ZD Vorerfassung'!$C$22:$C$36),1,0)*IF(B31&lt;=_xlfn.NUMBERVALUE('ZD Vorerfassung'!$D$22:$D$36),1,0)*'ZD Vorerfassung'!$R$22:$R$36*IF(D31="FH",0.5,1)),
"prüfen")))</f>
        <v>0</v>
      </c>
      <c r="AX31" s="110">
        <f t="array" ref="AX31">IF(OR(D31="UU",D31="FT",D31="WE",E31="Ferien"),0,
IF(D31="NR",SUM(IF(B31&gt;=_xlfn.NUMBERVALUE('ZD Vorerfassung'!$C$22:$C$36),1,0)*IF(B31&lt;=_xlfn.NUMBERVALUE('ZD Vorerfassung'!$D$22:$D$36),1,0)*'ZD Vorerfassung'!$W$22:$W$36),
IF(OR(D31="SF",D31="FH"),SUM(IF(B31&gt;=_xlfn.NUMBERVALUE('ZD Vorerfassung'!$C$22:$C$36),1,0)*IF(B31&lt;=_xlfn.NUMBERVALUE('ZD Vorerfassung'!$D$22:$D$36),1,0)*'ZD Vorerfassung'!$X$22:$X$36*IF(D31="FH",0.5,1)),
"prüfen")))</f>
        <v>0</v>
      </c>
      <c r="AY31" s="110">
        <f t="array" ref="AY31">IF(OR(D31="UU",D31="FT",D31="WE",E31="Ferien"),0,
IF(D31="NR",SUM(IF(B31&gt;=_xlfn.NUMBERVALUE('ZD Vorerfassung'!$C$22:$C$36),1,0)*IF(B31&lt;=_xlfn.NUMBERVALUE('ZD Vorerfassung'!$D$22:$D$36),1,0)*'ZD Vorerfassung'!$U$22:$U$36),
IF(OR(D31="SF",D31="FH"),SUM(IF(B31&gt;=_xlfn.NUMBERVALUE('ZD Vorerfassung'!$C$22:$C$36),1,0)*IF(B31&lt;=_xlfn.NUMBERVALUE('ZD Vorerfassung'!$D$22:$D$36),1,0)*'ZD Vorerfassung'!$V$22:$V$36*IF(D31="FH",0.5,1)),
"prüfen")))</f>
        <v>0</v>
      </c>
      <c r="AZ31" s="110">
        <f t="array" ref="AZ31">IF(OR(D31="UU",D31="FT",D31="WE",E31="Ferien"),0,
IF(D31="NR",SUM(IF(B31&gt;=_xlfn.NUMBERVALUE('ZD Vorerfassung'!$C$22:$C$36),1,0)*IF(B31&lt;=_xlfn.NUMBERVALUE('ZD Vorerfassung'!$D$22:$D$36),1,0)*'ZD Vorerfassung'!$S$22:$S$36),
IF(OR(D31="SF",D31="FH"),SUM(IF(B31&gt;=_xlfn.NUMBERVALUE('ZD Vorerfassung'!$C$22:$C$36),1,0)*IF(B31&lt;=_xlfn.NUMBERVALUE('ZD Vorerfassung'!$D$22:$D$36),1,0)*'ZD Vorerfassung'!$T$22:$T$36*IF(D31="FH",0.5,1)),
"prüfen")))</f>
        <v>0</v>
      </c>
      <c r="BA31" s="112">
        <f t="shared" si="8"/>
        <v>8</v>
      </c>
    </row>
    <row r="32" spans="1:54" ht="19.5" thickTop="1" thickBot="1" x14ac:dyDescent="0.3">
      <c r="A32" s="84"/>
      <c r="B32" s="99">
        <f t="shared" si="0"/>
        <v>44797</v>
      </c>
      <c r="C32" s="100">
        <f t="shared" si="9"/>
        <v>44797</v>
      </c>
      <c r="D32" s="101" t="str">
        <f t="shared" si="10"/>
        <v>NR</v>
      </c>
      <c r="E32" s="102" t="str">
        <f t="shared" si="2"/>
        <v>Unterrichtstag</v>
      </c>
      <c r="F32" s="103">
        <f t="shared" si="11"/>
        <v>0</v>
      </c>
      <c r="G32" s="104">
        <f t="shared" si="12"/>
        <v>0</v>
      </c>
      <c r="H32" s="104">
        <f>IFERROR(IF('ZD Vorerfassung'!$E$11="manuell",SUM(I32),IF(OR(E32="Feiertag",E32="Wochenende"),0,IF('ZD Vorerfassung'!$E$11="automatisch",AX32,IF(D32="UU","UU",IF(E32=Param2,AX32/24,IF(E32=Param9,AX32/48,"")))))),0)</f>
        <v>0</v>
      </c>
      <c r="I32" s="105"/>
      <c r="J32" s="106">
        <f>IF('ZD Vorerfassung'!$E$12="manuell",SUM(K32:AI32),IF(OR(E32="Feiertag",E32="Wochenende"),0,IF('ZD Vorerfassung'!$E$12="automatisch",AY32,IF(D32="UU","UU",IF(E32=Param2,AY32/24,IF(E32=Param9,AY32/48,""))))))</f>
        <v>0</v>
      </c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7">
        <f t="shared" si="13"/>
        <v>0</v>
      </c>
      <c r="AK32" s="105"/>
      <c r="AL32" s="105"/>
      <c r="AM32" s="105"/>
      <c r="AN32" s="105"/>
      <c r="AO32" s="105"/>
      <c r="AP32" s="105"/>
      <c r="AQ32" s="108">
        <f t="shared" si="14"/>
        <v>0</v>
      </c>
      <c r="AR32" s="108">
        <f t="shared" si="15"/>
        <v>0</v>
      </c>
      <c r="AS32" s="109">
        <f t="shared" si="16"/>
        <v>0</v>
      </c>
      <c r="AU32" s="110">
        <f t="shared" si="7"/>
        <v>0</v>
      </c>
      <c r="AV32" s="111">
        <f>IF(D32="NR",
IF('ZD Vorerfassung'!$E$22="",0,IF(AND(B32&gt;='ZD Vorerfassung'!$C$22,B32&lt;='ZD Vorerfassung'!$D$22),HLOOKUP(TEXT(C32,"ttt"),'ZD Vorerfassung'!$H$21:$L$36,2,0),0))+
IF('ZD Vorerfassung'!$E$23="",0,IF(AND(B32&gt;='ZD Vorerfassung'!$C$23,B32&lt;='ZD Vorerfassung'!$D$23),HLOOKUP(TEXT(C32,"ttt"),'ZD Vorerfassung'!$H$21:$L$36,3,0),0))+
IF('ZD Vorerfassung'!$E$24="",0,IF(AND(B32&gt;='ZD Vorerfassung'!$C$24,B32&lt;='ZD Vorerfassung'!$D$24),HLOOKUP(TEXT(C32,"ttt"),'ZD Vorerfassung'!$H$21:$L$36,4,0),0))+
IF('ZD Vorerfassung'!$E$25="",0,IF(AND(B32&gt;='ZD Vorerfassung'!$C$25,B32&lt;='ZD Vorerfassung'!$D$25),HLOOKUP(TEXT(C32,"ttt"),'ZD Vorerfassung'!$H$21:$L$36,5,0),0))+
IF('ZD Vorerfassung'!$E$26="",0,IF(AND(B32&gt;='ZD Vorerfassung'!$C$26,B32&lt;='ZD Vorerfassung'!$D$26),HLOOKUP(TEXT(C32,"ttt"),'ZD Vorerfassung'!$H$21:$L$36,6,0),0))+
IF('ZD Vorerfassung'!$E$27="",0,IF(AND(B32&gt;='ZD Vorerfassung'!$C$27,B32&lt;='ZD Vorerfassung'!$D$27),HLOOKUP(TEXT(C32,"ttt"),'ZD Vorerfassung'!$H$21:$L$36,7,0),0))+
IF('ZD Vorerfassung'!$E$28="",0,IF(AND(B32&gt;='ZD Vorerfassung'!$C$28,B32&lt;='ZD Vorerfassung'!$D$28),HLOOKUP(TEXT(C32,"ttt"),'ZD Vorerfassung'!$H$21:$L$36,8,0),0))+
IF('ZD Vorerfassung'!$E$29="",0,IF(AND(B32&gt;='ZD Vorerfassung'!$C$29,B32&lt;='ZD Vorerfassung'!$D$29),HLOOKUP(TEXT(C32,"ttt"),'ZD Vorerfassung'!$H$21:$L$36,9,0),0))+
IF('ZD Vorerfassung'!$E$30="",0,IF(AND(B32&gt;='ZD Vorerfassung'!$C$30,B32&lt;='ZD Vorerfassung'!$D$30),HLOOKUP(TEXT(C32,"ttt"),'ZD Vorerfassung'!$H$21:$L$36,10,0),0))+
IF('ZD Vorerfassung'!$E$31="",0,IF(AND(B32&gt;='ZD Vorerfassung'!$C$31,B32&lt;='ZD Vorerfassung'!$D$31),HLOOKUP(TEXT(C32,"ttt"),'ZD Vorerfassung'!$H$21:$L$36,11,0),0))+
IF('ZD Vorerfassung'!$E$32="",0,IF(AND(B32&gt;='ZD Vorerfassung'!$C$32,B32&lt;='ZD Vorerfassung'!$D$32),HLOOKUP(TEXT(C32,"ttt"),'ZD Vorerfassung'!$H$21:$L$36,12,0),0))+
IF('ZD Vorerfassung'!$E$33="",0,IF(AND(B32&gt;='ZD Vorerfassung'!$C$33,B32&lt;='ZD Vorerfassung'!$D$33),HLOOKUP(TEXT(C32,"ttt"),'ZD Vorerfassung'!$H$21:$L$36,13,0),0))+
IF('ZD Vorerfassung'!$E$34="",0,IF(AND(B32&gt;='ZD Vorerfassung'!$C$34,B32&lt;='ZD Vorerfassung'!$D$34),HLOOKUP(TEXT(C32,"ttt"),'ZD Vorerfassung'!$H$21:$L$36,14,0),0))+
IF('ZD Vorerfassung'!$E$35="",0,IF(AND(B32&gt;='ZD Vorerfassung'!$C$35,B32&lt;='ZD Vorerfassung'!$D$35),HLOOKUP(TEXT(C32,"ttt"),'ZD Vorerfassung'!$H$21:$L$36,15,0),0))+
IF('ZD Vorerfassung'!$E$36="",0,IF(AND(B32&gt;='ZD Vorerfassung'!$C$36,B32&lt;='ZD Vorerfassung'!$D$36),HLOOKUP(TEXT(C32,"ttt"),'ZD Vorerfassung'!$H$21:$L$36,16,0),0)),"")</f>
        <v>0</v>
      </c>
      <c r="AW32" s="110">
        <f t="array" ref="AW32">IF(OR(D32="UU",D32="FT",D32="WE"),0,
IF(D32="NR",SUM(IF(B32&gt;=_xlfn.NUMBERVALUE('ZD Vorerfassung'!$C$22:$C$36),1,0)*IF(B32&lt;=_xlfn.NUMBERVALUE('ZD Vorerfassung'!$D$22:$D$36),1,0)*'ZD Vorerfassung'!$Q$22:$Q$36),
IF(OR(D32="SF",D32="FH"),SUM(IF(B32&gt;=_xlfn.NUMBERVALUE('ZD Vorerfassung'!$C$22:$C$36),1,0)*IF(B32&lt;=_xlfn.NUMBERVALUE('ZD Vorerfassung'!$D$22:$D$36),1,0)*'ZD Vorerfassung'!$R$22:$R$36*IF(D32="FH",0.5,1)),
"prüfen")))</f>
        <v>0</v>
      </c>
      <c r="AX32" s="110">
        <f t="array" ref="AX32">IF(OR(D32="UU",D32="FT",D32="WE",E32="Ferien"),0,
IF(D32="NR",SUM(IF(B32&gt;=_xlfn.NUMBERVALUE('ZD Vorerfassung'!$C$22:$C$36),1,0)*IF(B32&lt;=_xlfn.NUMBERVALUE('ZD Vorerfassung'!$D$22:$D$36),1,0)*'ZD Vorerfassung'!$W$22:$W$36),
IF(OR(D32="SF",D32="FH"),SUM(IF(B32&gt;=_xlfn.NUMBERVALUE('ZD Vorerfassung'!$C$22:$C$36),1,0)*IF(B32&lt;=_xlfn.NUMBERVALUE('ZD Vorerfassung'!$D$22:$D$36),1,0)*'ZD Vorerfassung'!$X$22:$X$36*IF(D32="FH",0.5,1)),
"prüfen")))</f>
        <v>0</v>
      </c>
      <c r="AY32" s="110">
        <f t="array" ref="AY32">IF(OR(D32="UU",D32="FT",D32="WE",E32="Ferien"),0,
IF(D32="NR",SUM(IF(B32&gt;=_xlfn.NUMBERVALUE('ZD Vorerfassung'!$C$22:$C$36),1,0)*IF(B32&lt;=_xlfn.NUMBERVALUE('ZD Vorerfassung'!$D$22:$D$36),1,0)*'ZD Vorerfassung'!$U$22:$U$36),
IF(OR(D32="SF",D32="FH"),SUM(IF(B32&gt;=_xlfn.NUMBERVALUE('ZD Vorerfassung'!$C$22:$C$36),1,0)*IF(B32&lt;=_xlfn.NUMBERVALUE('ZD Vorerfassung'!$D$22:$D$36),1,0)*'ZD Vorerfassung'!$V$22:$V$36*IF(D32="FH",0.5,1)),
"prüfen")))</f>
        <v>0</v>
      </c>
      <c r="AZ32" s="110">
        <f t="array" ref="AZ32">IF(OR(D32="UU",D32="FT",D32="WE",E32="Ferien"),0,
IF(D32="NR",SUM(IF(B32&gt;=_xlfn.NUMBERVALUE('ZD Vorerfassung'!$C$22:$C$36),1,0)*IF(B32&lt;=_xlfn.NUMBERVALUE('ZD Vorerfassung'!$D$22:$D$36),1,0)*'ZD Vorerfassung'!$S$22:$S$36),
IF(OR(D32="SF",D32="FH"),SUM(IF(B32&gt;=_xlfn.NUMBERVALUE('ZD Vorerfassung'!$C$22:$C$36),1,0)*IF(B32&lt;=_xlfn.NUMBERVALUE('ZD Vorerfassung'!$D$22:$D$36),1,0)*'ZD Vorerfassung'!$T$22:$T$36*IF(D32="FH",0.5,1)),
"prüfen")))</f>
        <v>0</v>
      </c>
      <c r="BA32" s="112">
        <f t="shared" si="8"/>
        <v>8</v>
      </c>
    </row>
    <row r="33" spans="1:54" s="114" customFormat="1" ht="19.5" thickTop="1" thickBot="1" x14ac:dyDescent="0.3">
      <c r="A33" s="113"/>
      <c r="B33" s="99">
        <f t="shared" si="0"/>
        <v>44798</v>
      </c>
      <c r="C33" s="100">
        <f t="shared" si="9"/>
        <v>44798</v>
      </c>
      <c r="D33" s="101" t="str">
        <f t="shared" si="10"/>
        <v>NR</v>
      </c>
      <c r="E33" s="102" t="str">
        <f t="shared" si="2"/>
        <v>Unterrichtstag</v>
      </c>
      <c r="F33" s="103">
        <f t="shared" si="11"/>
        <v>0</v>
      </c>
      <c r="G33" s="104">
        <f t="shared" si="12"/>
        <v>0</v>
      </c>
      <c r="H33" s="104">
        <f>IFERROR(IF('ZD Vorerfassung'!$E$11="manuell",SUM(I33),IF(OR(E33="Feiertag",E33="Wochenende"),0,IF('ZD Vorerfassung'!$E$11="automatisch",AX33,IF(D33="UU","UU",IF(E33=Param2,AX33/24,IF(E33=Param9,AX33/48,"")))))),0)</f>
        <v>0</v>
      </c>
      <c r="I33" s="105"/>
      <c r="J33" s="106">
        <f>IF('ZD Vorerfassung'!$E$12="manuell",SUM(K33:AI33),IF(OR(E33="Feiertag",E33="Wochenende"),0,IF('ZD Vorerfassung'!$E$12="automatisch",AY33,IF(D33="UU","UU",IF(E33=Param2,AY33/24,IF(E33=Param9,AY33/48,""))))))</f>
        <v>0</v>
      </c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7">
        <f t="shared" si="13"/>
        <v>0</v>
      </c>
      <c r="AK33" s="105"/>
      <c r="AL33" s="105"/>
      <c r="AM33" s="105"/>
      <c r="AN33" s="105"/>
      <c r="AO33" s="105"/>
      <c r="AP33" s="105"/>
      <c r="AQ33" s="108">
        <f t="shared" si="14"/>
        <v>0</v>
      </c>
      <c r="AR33" s="108">
        <f t="shared" si="15"/>
        <v>0</v>
      </c>
      <c r="AS33" s="109">
        <f t="shared" si="16"/>
        <v>0</v>
      </c>
      <c r="AT33" s="72"/>
      <c r="AU33" s="110">
        <f t="shared" si="7"/>
        <v>0</v>
      </c>
      <c r="AV33" s="111">
        <f>IF(D33="NR",
IF('ZD Vorerfassung'!$E$22="",0,IF(AND(B33&gt;='ZD Vorerfassung'!$C$22,B33&lt;='ZD Vorerfassung'!$D$22),HLOOKUP(TEXT(C33,"ttt"),'ZD Vorerfassung'!$H$21:$L$36,2,0),0))+
IF('ZD Vorerfassung'!$E$23="",0,IF(AND(B33&gt;='ZD Vorerfassung'!$C$23,B33&lt;='ZD Vorerfassung'!$D$23),HLOOKUP(TEXT(C33,"ttt"),'ZD Vorerfassung'!$H$21:$L$36,3,0),0))+
IF('ZD Vorerfassung'!$E$24="",0,IF(AND(B33&gt;='ZD Vorerfassung'!$C$24,B33&lt;='ZD Vorerfassung'!$D$24),HLOOKUP(TEXT(C33,"ttt"),'ZD Vorerfassung'!$H$21:$L$36,4,0),0))+
IF('ZD Vorerfassung'!$E$25="",0,IF(AND(B33&gt;='ZD Vorerfassung'!$C$25,B33&lt;='ZD Vorerfassung'!$D$25),HLOOKUP(TEXT(C33,"ttt"),'ZD Vorerfassung'!$H$21:$L$36,5,0),0))+
IF('ZD Vorerfassung'!$E$26="",0,IF(AND(B33&gt;='ZD Vorerfassung'!$C$26,B33&lt;='ZD Vorerfassung'!$D$26),HLOOKUP(TEXT(C33,"ttt"),'ZD Vorerfassung'!$H$21:$L$36,6,0),0))+
IF('ZD Vorerfassung'!$E$27="",0,IF(AND(B33&gt;='ZD Vorerfassung'!$C$27,B33&lt;='ZD Vorerfassung'!$D$27),HLOOKUP(TEXT(C33,"ttt"),'ZD Vorerfassung'!$H$21:$L$36,7,0),0))+
IF('ZD Vorerfassung'!$E$28="",0,IF(AND(B33&gt;='ZD Vorerfassung'!$C$28,B33&lt;='ZD Vorerfassung'!$D$28),HLOOKUP(TEXT(C33,"ttt"),'ZD Vorerfassung'!$H$21:$L$36,8,0),0))+
IF('ZD Vorerfassung'!$E$29="",0,IF(AND(B33&gt;='ZD Vorerfassung'!$C$29,B33&lt;='ZD Vorerfassung'!$D$29),HLOOKUP(TEXT(C33,"ttt"),'ZD Vorerfassung'!$H$21:$L$36,9,0),0))+
IF('ZD Vorerfassung'!$E$30="",0,IF(AND(B33&gt;='ZD Vorerfassung'!$C$30,B33&lt;='ZD Vorerfassung'!$D$30),HLOOKUP(TEXT(C33,"ttt"),'ZD Vorerfassung'!$H$21:$L$36,10,0),0))+
IF('ZD Vorerfassung'!$E$31="",0,IF(AND(B33&gt;='ZD Vorerfassung'!$C$31,B33&lt;='ZD Vorerfassung'!$D$31),HLOOKUP(TEXT(C33,"ttt"),'ZD Vorerfassung'!$H$21:$L$36,11,0),0))+
IF('ZD Vorerfassung'!$E$32="",0,IF(AND(B33&gt;='ZD Vorerfassung'!$C$32,B33&lt;='ZD Vorerfassung'!$D$32),HLOOKUP(TEXT(C33,"ttt"),'ZD Vorerfassung'!$H$21:$L$36,12,0),0))+
IF('ZD Vorerfassung'!$E$33="",0,IF(AND(B33&gt;='ZD Vorerfassung'!$C$33,B33&lt;='ZD Vorerfassung'!$D$33),HLOOKUP(TEXT(C33,"ttt"),'ZD Vorerfassung'!$H$21:$L$36,13,0),0))+
IF('ZD Vorerfassung'!$E$34="",0,IF(AND(B33&gt;='ZD Vorerfassung'!$C$34,B33&lt;='ZD Vorerfassung'!$D$34),HLOOKUP(TEXT(C33,"ttt"),'ZD Vorerfassung'!$H$21:$L$36,14,0),0))+
IF('ZD Vorerfassung'!$E$35="",0,IF(AND(B33&gt;='ZD Vorerfassung'!$C$35,B33&lt;='ZD Vorerfassung'!$D$35),HLOOKUP(TEXT(C33,"ttt"),'ZD Vorerfassung'!$H$21:$L$36,15,0),0))+
IF('ZD Vorerfassung'!$E$36="",0,IF(AND(B33&gt;='ZD Vorerfassung'!$C$36,B33&lt;='ZD Vorerfassung'!$D$36),HLOOKUP(TEXT(C33,"ttt"),'ZD Vorerfassung'!$H$21:$L$36,16,0),0)),"")</f>
        <v>0</v>
      </c>
      <c r="AW33" s="110">
        <f t="array" ref="AW33">IF(OR(D33="UU",D33="FT",D33="WE"),0,
IF(D33="NR",SUM(IF(B33&gt;=_xlfn.NUMBERVALUE('ZD Vorerfassung'!$C$22:$C$36),1,0)*IF(B33&lt;=_xlfn.NUMBERVALUE('ZD Vorerfassung'!$D$22:$D$36),1,0)*'ZD Vorerfassung'!$Q$22:$Q$36),
IF(OR(D33="SF",D33="FH"),SUM(IF(B33&gt;=_xlfn.NUMBERVALUE('ZD Vorerfassung'!$C$22:$C$36),1,0)*IF(B33&lt;=_xlfn.NUMBERVALUE('ZD Vorerfassung'!$D$22:$D$36),1,0)*'ZD Vorerfassung'!$R$22:$R$36*IF(D33="FH",0.5,1)),
"prüfen")))</f>
        <v>0</v>
      </c>
      <c r="AX33" s="110">
        <f t="array" ref="AX33">IF(OR(D33="UU",D33="FT",D33="WE",E33="Ferien"),0,
IF(D33="NR",SUM(IF(B33&gt;=_xlfn.NUMBERVALUE('ZD Vorerfassung'!$C$22:$C$36),1,0)*IF(B33&lt;=_xlfn.NUMBERVALUE('ZD Vorerfassung'!$D$22:$D$36),1,0)*'ZD Vorerfassung'!$W$22:$W$36),
IF(OR(D33="SF",D33="FH"),SUM(IF(B33&gt;=_xlfn.NUMBERVALUE('ZD Vorerfassung'!$C$22:$C$36),1,0)*IF(B33&lt;=_xlfn.NUMBERVALUE('ZD Vorerfassung'!$D$22:$D$36),1,0)*'ZD Vorerfassung'!$X$22:$X$36*IF(D33="FH",0.5,1)),
"prüfen")))</f>
        <v>0</v>
      </c>
      <c r="AY33" s="110">
        <f t="array" ref="AY33">IF(OR(D33="UU",D33="FT",D33="WE",E33="Ferien"),0,
IF(D33="NR",SUM(IF(B33&gt;=_xlfn.NUMBERVALUE('ZD Vorerfassung'!$C$22:$C$36),1,0)*IF(B33&lt;=_xlfn.NUMBERVALUE('ZD Vorerfassung'!$D$22:$D$36),1,0)*'ZD Vorerfassung'!$U$22:$U$36),
IF(OR(D33="SF",D33="FH"),SUM(IF(B33&gt;=_xlfn.NUMBERVALUE('ZD Vorerfassung'!$C$22:$C$36),1,0)*IF(B33&lt;=_xlfn.NUMBERVALUE('ZD Vorerfassung'!$D$22:$D$36),1,0)*'ZD Vorerfassung'!$V$22:$V$36*IF(D33="FH",0.5,1)),
"prüfen")))</f>
        <v>0</v>
      </c>
      <c r="AZ33" s="110">
        <f t="array" ref="AZ33">IF(OR(D33="UU",D33="FT",D33="WE",E33="Ferien"),0,
IF(D33="NR",SUM(IF(B33&gt;=_xlfn.NUMBERVALUE('ZD Vorerfassung'!$C$22:$C$36),1,0)*IF(B33&lt;=_xlfn.NUMBERVALUE('ZD Vorerfassung'!$D$22:$D$36),1,0)*'ZD Vorerfassung'!$S$22:$S$36),
IF(OR(D33="SF",D33="FH"),SUM(IF(B33&gt;=_xlfn.NUMBERVALUE('ZD Vorerfassung'!$C$22:$C$36),1,0)*IF(B33&lt;=_xlfn.NUMBERVALUE('ZD Vorerfassung'!$D$22:$D$36),1,0)*'ZD Vorerfassung'!$T$22:$T$36*IF(D33="FH",0.5,1)),
"prüfen")))</f>
        <v>0</v>
      </c>
      <c r="BA33" s="112">
        <f t="shared" si="8"/>
        <v>8</v>
      </c>
      <c r="BB33" s="72"/>
    </row>
    <row r="34" spans="1:54" s="114" customFormat="1" ht="19.5" thickTop="1" thickBot="1" x14ac:dyDescent="0.3">
      <c r="A34" s="115"/>
      <c r="B34" s="99">
        <f t="shared" si="0"/>
        <v>44799</v>
      </c>
      <c r="C34" s="100">
        <f t="shared" si="9"/>
        <v>44799</v>
      </c>
      <c r="D34" s="101" t="str">
        <f t="shared" si="10"/>
        <v>NR</v>
      </c>
      <c r="E34" s="102" t="str">
        <f t="shared" si="2"/>
        <v>Unterrichtstag</v>
      </c>
      <c r="F34" s="103">
        <f t="shared" si="11"/>
        <v>0</v>
      </c>
      <c r="G34" s="104">
        <f t="shared" si="12"/>
        <v>0</v>
      </c>
      <c r="H34" s="104">
        <f>IFERROR(IF('ZD Vorerfassung'!$E$11="manuell",SUM(I34),IF(OR(E34="Feiertag",E34="Wochenende"),0,IF('ZD Vorerfassung'!$E$11="automatisch",AX34,IF(D34="UU","UU",IF(E34=Param2,AX34/24,IF(E34=Param9,AX34/48,"")))))),0)</f>
        <v>0</v>
      </c>
      <c r="I34" s="105"/>
      <c r="J34" s="106">
        <f>IF('ZD Vorerfassung'!$E$12="manuell",SUM(K34:AI34),IF(OR(E34="Feiertag",E34="Wochenende"),0,IF('ZD Vorerfassung'!$E$12="automatisch",AY34,IF(D34="UU","UU",IF(E34=Param2,AY34/24,IF(E34=Param9,AY34/48,""))))))</f>
        <v>0</v>
      </c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7">
        <f t="shared" si="13"/>
        <v>0</v>
      </c>
      <c r="AK34" s="105"/>
      <c r="AL34" s="105"/>
      <c r="AM34" s="105"/>
      <c r="AN34" s="105"/>
      <c r="AO34" s="105"/>
      <c r="AP34" s="105"/>
      <c r="AQ34" s="108">
        <f t="shared" si="14"/>
        <v>0</v>
      </c>
      <c r="AR34" s="108">
        <f t="shared" si="15"/>
        <v>0</v>
      </c>
      <c r="AS34" s="109">
        <f t="shared" si="16"/>
        <v>0</v>
      </c>
      <c r="AT34" s="72"/>
      <c r="AU34" s="110">
        <f t="shared" si="7"/>
        <v>0</v>
      </c>
      <c r="AV34" s="111">
        <f>IF(D34="NR",
IF('ZD Vorerfassung'!$E$22="",0,IF(AND(B34&gt;='ZD Vorerfassung'!$C$22,B34&lt;='ZD Vorerfassung'!$D$22),HLOOKUP(TEXT(C34,"ttt"),'ZD Vorerfassung'!$H$21:$L$36,2,0),0))+
IF('ZD Vorerfassung'!$E$23="",0,IF(AND(B34&gt;='ZD Vorerfassung'!$C$23,B34&lt;='ZD Vorerfassung'!$D$23),HLOOKUP(TEXT(C34,"ttt"),'ZD Vorerfassung'!$H$21:$L$36,3,0),0))+
IF('ZD Vorerfassung'!$E$24="",0,IF(AND(B34&gt;='ZD Vorerfassung'!$C$24,B34&lt;='ZD Vorerfassung'!$D$24),HLOOKUP(TEXT(C34,"ttt"),'ZD Vorerfassung'!$H$21:$L$36,4,0),0))+
IF('ZD Vorerfassung'!$E$25="",0,IF(AND(B34&gt;='ZD Vorerfassung'!$C$25,B34&lt;='ZD Vorerfassung'!$D$25),HLOOKUP(TEXT(C34,"ttt"),'ZD Vorerfassung'!$H$21:$L$36,5,0),0))+
IF('ZD Vorerfassung'!$E$26="",0,IF(AND(B34&gt;='ZD Vorerfassung'!$C$26,B34&lt;='ZD Vorerfassung'!$D$26),HLOOKUP(TEXT(C34,"ttt"),'ZD Vorerfassung'!$H$21:$L$36,6,0),0))+
IF('ZD Vorerfassung'!$E$27="",0,IF(AND(B34&gt;='ZD Vorerfassung'!$C$27,B34&lt;='ZD Vorerfassung'!$D$27),HLOOKUP(TEXT(C34,"ttt"),'ZD Vorerfassung'!$H$21:$L$36,7,0),0))+
IF('ZD Vorerfassung'!$E$28="",0,IF(AND(B34&gt;='ZD Vorerfassung'!$C$28,B34&lt;='ZD Vorerfassung'!$D$28),HLOOKUP(TEXT(C34,"ttt"),'ZD Vorerfassung'!$H$21:$L$36,8,0),0))+
IF('ZD Vorerfassung'!$E$29="",0,IF(AND(B34&gt;='ZD Vorerfassung'!$C$29,B34&lt;='ZD Vorerfassung'!$D$29),HLOOKUP(TEXT(C34,"ttt"),'ZD Vorerfassung'!$H$21:$L$36,9,0),0))+
IF('ZD Vorerfassung'!$E$30="",0,IF(AND(B34&gt;='ZD Vorerfassung'!$C$30,B34&lt;='ZD Vorerfassung'!$D$30),HLOOKUP(TEXT(C34,"ttt"),'ZD Vorerfassung'!$H$21:$L$36,10,0),0))+
IF('ZD Vorerfassung'!$E$31="",0,IF(AND(B34&gt;='ZD Vorerfassung'!$C$31,B34&lt;='ZD Vorerfassung'!$D$31),HLOOKUP(TEXT(C34,"ttt"),'ZD Vorerfassung'!$H$21:$L$36,11,0),0))+
IF('ZD Vorerfassung'!$E$32="",0,IF(AND(B34&gt;='ZD Vorerfassung'!$C$32,B34&lt;='ZD Vorerfassung'!$D$32),HLOOKUP(TEXT(C34,"ttt"),'ZD Vorerfassung'!$H$21:$L$36,12,0),0))+
IF('ZD Vorerfassung'!$E$33="",0,IF(AND(B34&gt;='ZD Vorerfassung'!$C$33,B34&lt;='ZD Vorerfassung'!$D$33),HLOOKUP(TEXT(C34,"ttt"),'ZD Vorerfassung'!$H$21:$L$36,13,0),0))+
IF('ZD Vorerfassung'!$E$34="",0,IF(AND(B34&gt;='ZD Vorerfassung'!$C$34,B34&lt;='ZD Vorerfassung'!$D$34),HLOOKUP(TEXT(C34,"ttt"),'ZD Vorerfassung'!$H$21:$L$36,14,0),0))+
IF('ZD Vorerfassung'!$E$35="",0,IF(AND(B34&gt;='ZD Vorerfassung'!$C$35,B34&lt;='ZD Vorerfassung'!$D$35),HLOOKUP(TEXT(C34,"ttt"),'ZD Vorerfassung'!$H$21:$L$36,15,0),0))+
IF('ZD Vorerfassung'!$E$36="",0,IF(AND(B34&gt;='ZD Vorerfassung'!$C$36,B34&lt;='ZD Vorerfassung'!$D$36),HLOOKUP(TEXT(C34,"ttt"),'ZD Vorerfassung'!$H$21:$L$36,16,0),0)),"")</f>
        <v>0</v>
      </c>
      <c r="AW34" s="110">
        <f t="array" ref="AW34">IF(OR(D34="UU",D34="FT",D34="WE"),0,
IF(D34="NR",SUM(IF(B34&gt;=_xlfn.NUMBERVALUE('ZD Vorerfassung'!$C$22:$C$36),1,0)*IF(B34&lt;=_xlfn.NUMBERVALUE('ZD Vorerfassung'!$D$22:$D$36),1,0)*'ZD Vorerfassung'!$Q$22:$Q$36),
IF(OR(D34="SF",D34="FH"),SUM(IF(B34&gt;=_xlfn.NUMBERVALUE('ZD Vorerfassung'!$C$22:$C$36),1,0)*IF(B34&lt;=_xlfn.NUMBERVALUE('ZD Vorerfassung'!$D$22:$D$36),1,0)*'ZD Vorerfassung'!$R$22:$R$36*IF(D34="FH",0.5,1)),
"prüfen")))</f>
        <v>0</v>
      </c>
      <c r="AX34" s="110">
        <f t="array" ref="AX34">IF(OR(D34="UU",D34="FT",D34="WE",E34="Ferien"),0,
IF(D34="NR",SUM(IF(B34&gt;=_xlfn.NUMBERVALUE('ZD Vorerfassung'!$C$22:$C$36),1,0)*IF(B34&lt;=_xlfn.NUMBERVALUE('ZD Vorerfassung'!$D$22:$D$36),1,0)*'ZD Vorerfassung'!$W$22:$W$36),
IF(OR(D34="SF",D34="FH"),SUM(IF(B34&gt;=_xlfn.NUMBERVALUE('ZD Vorerfassung'!$C$22:$C$36),1,0)*IF(B34&lt;=_xlfn.NUMBERVALUE('ZD Vorerfassung'!$D$22:$D$36),1,0)*'ZD Vorerfassung'!$X$22:$X$36*IF(D34="FH",0.5,1)),
"prüfen")))</f>
        <v>0</v>
      </c>
      <c r="AY34" s="110">
        <f t="array" ref="AY34">IF(OR(D34="UU",D34="FT",D34="WE",E34="Ferien"),0,
IF(D34="NR",SUM(IF(B34&gt;=_xlfn.NUMBERVALUE('ZD Vorerfassung'!$C$22:$C$36),1,0)*IF(B34&lt;=_xlfn.NUMBERVALUE('ZD Vorerfassung'!$D$22:$D$36),1,0)*'ZD Vorerfassung'!$U$22:$U$36),
IF(OR(D34="SF",D34="FH"),SUM(IF(B34&gt;=_xlfn.NUMBERVALUE('ZD Vorerfassung'!$C$22:$C$36),1,0)*IF(B34&lt;=_xlfn.NUMBERVALUE('ZD Vorerfassung'!$D$22:$D$36),1,0)*'ZD Vorerfassung'!$V$22:$V$36*IF(D34="FH",0.5,1)),
"prüfen")))</f>
        <v>0</v>
      </c>
      <c r="AZ34" s="110">
        <f t="array" ref="AZ34">IF(OR(D34="UU",D34="FT",D34="WE",E34="Ferien"),0,
IF(D34="NR",SUM(IF(B34&gt;=_xlfn.NUMBERVALUE('ZD Vorerfassung'!$C$22:$C$36),1,0)*IF(B34&lt;=_xlfn.NUMBERVALUE('ZD Vorerfassung'!$D$22:$D$36),1,0)*'ZD Vorerfassung'!$S$22:$S$36),
IF(OR(D34="SF",D34="FH"),SUM(IF(B34&gt;=_xlfn.NUMBERVALUE('ZD Vorerfassung'!$C$22:$C$36),1,0)*IF(B34&lt;=_xlfn.NUMBERVALUE('ZD Vorerfassung'!$D$22:$D$36),1,0)*'ZD Vorerfassung'!$T$22:$T$36*IF(D34="FH",0.5,1)),
"prüfen")))</f>
        <v>0</v>
      </c>
      <c r="BA34" s="112">
        <f t="shared" si="8"/>
        <v>8</v>
      </c>
      <c r="BB34" s="72"/>
    </row>
    <row r="35" spans="1:54" ht="19.5" thickTop="1" thickBot="1" x14ac:dyDescent="0.3">
      <c r="A35" s="84"/>
      <c r="B35" s="99">
        <f t="shared" si="0"/>
        <v>44800</v>
      </c>
      <c r="C35" s="100">
        <f t="shared" si="9"/>
        <v>44800</v>
      </c>
      <c r="D35" s="101" t="str">
        <f t="shared" si="10"/>
        <v>NR</v>
      </c>
      <c r="E35" s="102" t="str">
        <f t="shared" si="2"/>
        <v>Unterrichtstag</v>
      </c>
      <c r="F35" s="103">
        <f t="shared" si="11"/>
        <v>0</v>
      </c>
      <c r="G35" s="104">
        <f t="shared" si="12"/>
        <v>0</v>
      </c>
      <c r="H35" s="104">
        <f>IFERROR(IF('ZD Vorerfassung'!$E$11="manuell",SUM(I35),IF(OR(E35="Feiertag",E35="Wochenende"),0,IF('ZD Vorerfassung'!$E$11="automatisch",AX35,IF(D35="UU","UU",IF(E35=Param2,AX35/24,IF(E35=Param9,AX35/48,"")))))),0)</f>
        <v>0</v>
      </c>
      <c r="I35" s="105"/>
      <c r="J35" s="106">
        <f>IF('ZD Vorerfassung'!$E$12="manuell",SUM(K35:AI35),IF(OR(E35="Feiertag",E35="Wochenende"),0,IF('ZD Vorerfassung'!$E$12="automatisch",AY35,IF(D35="UU","UU",IF(E35=Param2,AY35/24,IF(E35=Param9,AY35/48,""))))))</f>
        <v>0</v>
      </c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7">
        <f t="shared" si="13"/>
        <v>0</v>
      </c>
      <c r="AK35" s="105"/>
      <c r="AL35" s="105"/>
      <c r="AM35" s="105"/>
      <c r="AN35" s="105"/>
      <c r="AO35" s="105"/>
      <c r="AP35" s="105"/>
      <c r="AQ35" s="108">
        <f t="shared" si="14"/>
        <v>0</v>
      </c>
      <c r="AR35" s="108">
        <f t="shared" si="15"/>
        <v>0</v>
      </c>
      <c r="AS35" s="109">
        <f t="shared" si="16"/>
        <v>0</v>
      </c>
      <c r="AU35" s="110">
        <f t="shared" si="7"/>
        <v>0</v>
      </c>
      <c r="AV35" s="111">
        <f>IF(D35="NR",
IF('ZD Vorerfassung'!$E$22="",0,IF(AND(B35&gt;='ZD Vorerfassung'!$C$22,B35&lt;='ZD Vorerfassung'!$D$22),HLOOKUP(TEXT(C35,"ttt"),'ZD Vorerfassung'!$H$21:$L$36,2,0),0))+
IF('ZD Vorerfassung'!$E$23="",0,IF(AND(B35&gt;='ZD Vorerfassung'!$C$23,B35&lt;='ZD Vorerfassung'!$D$23),HLOOKUP(TEXT(C35,"ttt"),'ZD Vorerfassung'!$H$21:$L$36,3,0),0))+
IF('ZD Vorerfassung'!$E$24="",0,IF(AND(B35&gt;='ZD Vorerfassung'!$C$24,B35&lt;='ZD Vorerfassung'!$D$24),HLOOKUP(TEXT(C35,"ttt"),'ZD Vorerfassung'!$H$21:$L$36,4,0),0))+
IF('ZD Vorerfassung'!$E$25="",0,IF(AND(B35&gt;='ZD Vorerfassung'!$C$25,B35&lt;='ZD Vorerfassung'!$D$25),HLOOKUP(TEXT(C35,"ttt"),'ZD Vorerfassung'!$H$21:$L$36,5,0),0))+
IF('ZD Vorerfassung'!$E$26="",0,IF(AND(B35&gt;='ZD Vorerfassung'!$C$26,B35&lt;='ZD Vorerfassung'!$D$26),HLOOKUP(TEXT(C35,"ttt"),'ZD Vorerfassung'!$H$21:$L$36,6,0),0))+
IF('ZD Vorerfassung'!$E$27="",0,IF(AND(B35&gt;='ZD Vorerfassung'!$C$27,B35&lt;='ZD Vorerfassung'!$D$27),HLOOKUP(TEXT(C35,"ttt"),'ZD Vorerfassung'!$H$21:$L$36,7,0),0))+
IF('ZD Vorerfassung'!$E$28="",0,IF(AND(B35&gt;='ZD Vorerfassung'!$C$28,B35&lt;='ZD Vorerfassung'!$D$28),HLOOKUP(TEXT(C35,"ttt"),'ZD Vorerfassung'!$H$21:$L$36,8,0),0))+
IF('ZD Vorerfassung'!$E$29="",0,IF(AND(B35&gt;='ZD Vorerfassung'!$C$29,B35&lt;='ZD Vorerfassung'!$D$29),HLOOKUP(TEXT(C35,"ttt"),'ZD Vorerfassung'!$H$21:$L$36,9,0),0))+
IF('ZD Vorerfassung'!$E$30="",0,IF(AND(B35&gt;='ZD Vorerfassung'!$C$30,B35&lt;='ZD Vorerfassung'!$D$30),HLOOKUP(TEXT(C35,"ttt"),'ZD Vorerfassung'!$H$21:$L$36,10,0),0))+
IF('ZD Vorerfassung'!$E$31="",0,IF(AND(B35&gt;='ZD Vorerfassung'!$C$31,B35&lt;='ZD Vorerfassung'!$D$31),HLOOKUP(TEXT(C35,"ttt"),'ZD Vorerfassung'!$H$21:$L$36,11,0),0))+
IF('ZD Vorerfassung'!$E$32="",0,IF(AND(B35&gt;='ZD Vorerfassung'!$C$32,B35&lt;='ZD Vorerfassung'!$D$32),HLOOKUP(TEXT(C35,"ttt"),'ZD Vorerfassung'!$H$21:$L$36,12,0),0))+
IF('ZD Vorerfassung'!$E$33="",0,IF(AND(B35&gt;='ZD Vorerfassung'!$C$33,B35&lt;='ZD Vorerfassung'!$D$33),HLOOKUP(TEXT(C35,"ttt"),'ZD Vorerfassung'!$H$21:$L$36,13,0),0))+
IF('ZD Vorerfassung'!$E$34="",0,IF(AND(B35&gt;='ZD Vorerfassung'!$C$34,B35&lt;='ZD Vorerfassung'!$D$34),HLOOKUP(TEXT(C35,"ttt"),'ZD Vorerfassung'!$H$21:$L$36,14,0),0))+
IF('ZD Vorerfassung'!$E$35="",0,IF(AND(B35&gt;='ZD Vorerfassung'!$C$35,B35&lt;='ZD Vorerfassung'!$D$35),HLOOKUP(TEXT(C35,"ttt"),'ZD Vorerfassung'!$H$21:$L$36,15,0),0))+
IF('ZD Vorerfassung'!$E$36="",0,IF(AND(B35&gt;='ZD Vorerfassung'!$C$36,B35&lt;='ZD Vorerfassung'!$D$36),HLOOKUP(TEXT(C35,"ttt"),'ZD Vorerfassung'!$H$21:$L$36,16,0),0)),"")</f>
        <v>0</v>
      </c>
      <c r="AW35" s="110">
        <f t="array" ref="AW35">IF(OR(D35="UU",D35="FT",D35="WE"),0,
IF(D35="NR",SUM(IF(B35&gt;=_xlfn.NUMBERVALUE('ZD Vorerfassung'!$C$22:$C$36),1,0)*IF(B35&lt;=_xlfn.NUMBERVALUE('ZD Vorerfassung'!$D$22:$D$36),1,0)*'ZD Vorerfassung'!$Q$22:$Q$36),
IF(OR(D35="SF",D35="FH"),SUM(IF(B35&gt;=_xlfn.NUMBERVALUE('ZD Vorerfassung'!$C$22:$C$36),1,0)*IF(B35&lt;=_xlfn.NUMBERVALUE('ZD Vorerfassung'!$D$22:$D$36),1,0)*'ZD Vorerfassung'!$R$22:$R$36*IF(D35="FH",0.5,1)),
"prüfen")))</f>
        <v>0</v>
      </c>
      <c r="AX35" s="110">
        <f t="array" ref="AX35">IF(OR(D35="UU",D35="FT",D35="WE",E35="Ferien"),0,
IF(D35="NR",SUM(IF(B35&gt;=_xlfn.NUMBERVALUE('ZD Vorerfassung'!$C$22:$C$36),1,0)*IF(B35&lt;=_xlfn.NUMBERVALUE('ZD Vorerfassung'!$D$22:$D$36),1,0)*'ZD Vorerfassung'!$W$22:$W$36),
IF(OR(D35="SF",D35="FH"),SUM(IF(B35&gt;=_xlfn.NUMBERVALUE('ZD Vorerfassung'!$C$22:$C$36),1,0)*IF(B35&lt;=_xlfn.NUMBERVALUE('ZD Vorerfassung'!$D$22:$D$36),1,0)*'ZD Vorerfassung'!$X$22:$X$36*IF(D35="FH",0.5,1)),
"prüfen")))</f>
        <v>0</v>
      </c>
      <c r="AY35" s="110">
        <f t="array" ref="AY35">IF(OR(D35="UU",D35="FT",D35="WE",E35="Ferien"),0,
IF(D35="NR",SUM(IF(B35&gt;=_xlfn.NUMBERVALUE('ZD Vorerfassung'!$C$22:$C$36),1,0)*IF(B35&lt;=_xlfn.NUMBERVALUE('ZD Vorerfassung'!$D$22:$D$36),1,0)*'ZD Vorerfassung'!$U$22:$U$36),
IF(OR(D35="SF",D35="FH"),SUM(IF(B35&gt;=_xlfn.NUMBERVALUE('ZD Vorerfassung'!$C$22:$C$36),1,0)*IF(B35&lt;=_xlfn.NUMBERVALUE('ZD Vorerfassung'!$D$22:$D$36),1,0)*'ZD Vorerfassung'!$V$22:$V$36*IF(D35="FH",0.5,1)),
"prüfen")))</f>
        <v>0</v>
      </c>
      <c r="AZ35" s="110">
        <f t="array" ref="AZ35">IF(OR(D35="UU",D35="FT",D35="WE",E35="Ferien"),0,
IF(D35="NR",SUM(IF(B35&gt;=_xlfn.NUMBERVALUE('ZD Vorerfassung'!$C$22:$C$36),1,0)*IF(B35&lt;=_xlfn.NUMBERVALUE('ZD Vorerfassung'!$D$22:$D$36),1,0)*'ZD Vorerfassung'!$S$22:$S$36),
IF(OR(D35="SF",D35="FH"),SUM(IF(B35&gt;=_xlfn.NUMBERVALUE('ZD Vorerfassung'!$C$22:$C$36),1,0)*IF(B35&lt;=_xlfn.NUMBERVALUE('ZD Vorerfassung'!$D$22:$D$36),1,0)*'ZD Vorerfassung'!$T$22:$T$36*IF(D35="FH",0.5,1)),
"prüfen")))</f>
        <v>0</v>
      </c>
      <c r="BA35" s="112">
        <f t="shared" si="8"/>
        <v>8</v>
      </c>
    </row>
    <row r="36" spans="1:54" ht="19.5" thickTop="1" thickBot="1" x14ac:dyDescent="0.3">
      <c r="A36" s="84"/>
      <c r="B36" s="99">
        <f t="shared" si="0"/>
        <v>44801</v>
      </c>
      <c r="C36" s="100">
        <f t="shared" si="9"/>
        <v>44801</v>
      </c>
      <c r="D36" s="101" t="str">
        <f t="shared" si="10"/>
        <v>WE</v>
      </c>
      <c r="E36" s="102" t="str">
        <f t="shared" si="2"/>
        <v>Wochenende</v>
      </c>
      <c r="F36" s="103" t="str">
        <f t="shared" si="11"/>
        <v/>
      </c>
      <c r="G36" s="104" t="str">
        <f t="shared" si="12"/>
        <v/>
      </c>
      <c r="H36" s="104">
        <f>IFERROR(IF('ZD Vorerfassung'!$E$11="manuell",SUM(I36),IF(OR(E36="Feiertag",E36="Wochenende"),0,IF('ZD Vorerfassung'!$E$11="automatisch",AX36,IF(D36="UU","UU",IF(E36=Param2,AX36/24,IF(E36=Param9,AX36/48,"")))))),0)</f>
        <v>0</v>
      </c>
      <c r="I36" s="105"/>
      <c r="J36" s="106">
        <f>IF('ZD Vorerfassung'!$E$12="manuell",SUM(K36:AI36),IF(OR(E36="Feiertag",E36="Wochenende"),0,IF('ZD Vorerfassung'!$E$12="automatisch",AY36,IF(D36="UU","UU",IF(E36=Param2,AY36/24,IF(E36=Param9,AY36/48,""))))))</f>
        <v>0</v>
      </c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7">
        <f t="shared" si="13"/>
        <v>0</v>
      </c>
      <c r="AK36" s="105"/>
      <c r="AL36" s="105"/>
      <c r="AM36" s="105"/>
      <c r="AN36" s="105"/>
      <c r="AO36" s="105"/>
      <c r="AP36" s="105"/>
      <c r="AQ36" s="108">
        <f t="shared" si="14"/>
        <v>0</v>
      </c>
      <c r="AR36" s="108">
        <f t="shared" si="15"/>
        <v>0</v>
      </c>
      <c r="AS36" s="109">
        <f t="shared" si="16"/>
        <v>0</v>
      </c>
      <c r="AU36" s="110">
        <f t="shared" si="7"/>
        <v>0</v>
      </c>
      <c r="AV36" s="111" t="str">
        <f>IF(D36="NR",
IF('ZD Vorerfassung'!$E$22="",0,IF(AND(B36&gt;='ZD Vorerfassung'!$C$22,B36&lt;='ZD Vorerfassung'!$D$22),HLOOKUP(TEXT(C36,"ttt"),'ZD Vorerfassung'!$H$21:$L$36,2,0),0))+
IF('ZD Vorerfassung'!$E$23="",0,IF(AND(B36&gt;='ZD Vorerfassung'!$C$23,B36&lt;='ZD Vorerfassung'!$D$23),HLOOKUP(TEXT(C36,"ttt"),'ZD Vorerfassung'!$H$21:$L$36,3,0),0))+
IF('ZD Vorerfassung'!$E$24="",0,IF(AND(B36&gt;='ZD Vorerfassung'!$C$24,B36&lt;='ZD Vorerfassung'!$D$24),HLOOKUP(TEXT(C36,"ttt"),'ZD Vorerfassung'!$H$21:$L$36,4,0),0))+
IF('ZD Vorerfassung'!$E$25="",0,IF(AND(B36&gt;='ZD Vorerfassung'!$C$25,B36&lt;='ZD Vorerfassung'!$D$25),HLOOKUP(TEXT(C36,"ttt"),'ZD Vorerfassung'!$H$21:$L$36,5,0),0))+
IF('ZD Vorerfassung'!$E$26="",0,IF(AND(B36&gt;='ZD Vorerfassung'!$C$26,B36&lt;='ZD Vorerfassung'!$D$26),HLOOKUP(TEXT(C36,"ttt"),'ZD Vorerfassung'!$H$21:$L$36,6,0),0))+
IF('ZD Vorerfassung'!$E$27="",0,IF(AND(B36&gt;='ZD Vorerfassung'!$C$27,B36&lt;='ZD Vorerfassung'!$D$27),HLOOKUP(TEXT(C36,"ttt"),'ZD Vorerfassung'!$H$21:$L$36,7,0),0))+
IF('ZD Vorerfassung'!$E$28="",0,IF(AND(B36&gt;='ZD Vorerfassung'!$C$28,B36&lt;='ZD Vorerfassung'!$D$28),HLOOKUP(TEXT(C36,"ttt"),'ZD Vorerfassung'!$H$21:$L$36,8,0),0))+
IF('ZD Vorerfassung'!$E$29="",0,IF(AND(B36&gt;='ZD Vorerfassung'!$C$29,B36&lt;='ZD Vorerfassung'!$D$29),HLOOKUP(TEXT(C36,"ttt"),'ZD Vorerfassung'!$H$21:$L$36,9,0),0))+
IF('ZD Vorerfassung'!$E$30="",0,IF(AND(B36&gt;='ZD Vorerfassung'!$C$30,B36&lt;='ZD Vorerfassung'!$D$30),HLOOKUP(TEXT(C36,"ttt"),'ZD Vorerfassung'!$H$21:$L$36,10,0),0))+
IF('ZD Vorerfassung'!$E$31="",0,IF(AND(B36&gt;='ZD Vorerfassung'!$C$31,B36&lt;='ZD Vorerfassung'!$D$31),HLOOKUP(TEXT(C36,"ttt"),'ZD Vorerfassung'!$H$21:$L$36,11,0),0))+
IF('ZD Vorerfassung'!$E$32="",0,IF(AND(B36&gt;='ZD Vorerfassung'!$C$32,B36&lt;='ZD Vorerfassung'!$D$32),HLOOKUP(TEXT(C36,"ttt"),'ZD Vorerfassung'!$H$21:$L$36,12,0),0))+
IF('ZD Vorerfassung'!$E$33="",0,IF(AND(B36&gt;='ZD Vorerfassung'!$C$33,B36&lt;='ZD Vorerfassung'!$D$33),HLOOKUP(TEXT(C36,"ttt"),'ZD Vorerfassung'!$H$21:$L$36,13,0),0))+
IF('ZD Vorerfassung'!$E$34="",0,IF(AND(B36&gt;='ZD Vorerfassung'!$C$34,B36&lt;='ZD Vorerfassung'!$D$34),HLOOKUP(TEXT(C36,"ttt"),'ZD Vorerfassung'!$H$21:$L$36,14,0),0))+
IF('ZD Vorerfassung'!$E$35="",0,IF(AND(B36&gt;='ZD Vorerfassung'!$C$35,B36&lt;='ZD Vorerfassung'!$D$35),HLOOKUP(TEXT(C36,"ttt"),'ZD Vorerfassung'!$H$21:$L$36,15,0),0))+
IF('ZD Vorerfassung'!$E$36="",0,IF(AND(B36&gt;='ZD Vorerfassung'!$C$36,B36&lt;='ZD Vorerfassung'!$D$36),HLOOKUP(TEXT(C36,"ttt"),'ZD Vorerfassung'!$H$21:$L$36,16,0),0)),"")</f>
        <v/>
      </c>
      <c r="AW36" s="110">
        <f t="array" ref="AW36">IF(OR(D36="UU",D36="FT",D36="WE"),0,
IF(D36="NR",SUM(IF(B36&gt;=_xlfn.NUMBERVALUE('ZD Vorerfassung'!$C$22:$C$36),1,0)*IF(B36&lt;=_xlfn.NUMBERVALUE('ZD Vorerfassung'!$D$22:$D$36),1,0)*'ZD Vorerfassung'!$Q$22:$Q$36),
IF(OR(D36="SF",D36="FH"),SUM(IF(B36&gt;=_xlfn.NUMBERVALUE('ZD Vorerfassung'!$C$22:$C$36),1,0)*IF(B36&lt;=_xlfn.NUMBERVALUE('ZD Vorerfassung'!$D$22:$D$36),1,0)*'ZD Vorerfassung'!$R$22:$R$36*IF(D36="FH",0.5,1)),
"prüfen")))</f>
        <v>0</v>
      </c>
      <c r="AX36" s="110">
        <f t="array" ref="AX36">IF(OR(D36="UU",D36="FT",D36="WE",E36="Ferien"),0,
IF(D36="NR",SUM(IF(B36&gt;=_xlfn.NUMBERVALUE('ZD Vorerfassung'!$C$22:$C$36),1,0)*IF(B36&lt;=_xlfn.NUMBERVALUE('ZD Vorerfassung'!$D$22:$D$36),1,0)*'ZD Vorerfassung'!$W$22:$W$36),
IF(OR(D36="SF",D36="FH"),SUM(IF(B36&gt;=_xlfn.NUMBERVALUE('ZD Vorerfassung'!$C$22:$C$36),1,0)*IF(B36&lt;=_xlfn.NUMBERVALUE('ZD Vorerfassung'!$D$22:$D$36),1,0)*'ZD Vorerfassung'!$X$22:$X$36*IF(D36="FH",0.5,1)),
"prüfen")))</f>
        <v>0</v>
      </c>
      <c r="AY36" s="110">
        <f t="array" ref="AY36">IF(OR(D36="UU",D36="FT",D36="WE",E36="Ferien"),0,
IF(D36="NR",SUM(IF(B36&gt;=_xlfn.NUMBERVALUE('ZD Vorerfassung'!$C$22:$C$36),1,0)*IF(B36&lt;=_xlfn.NUMBERVALUE('ZD Vorerfassung'!$D$22:$D$36),1,0)*'ZD Vorerfassung'!$U$22:$U$36),
IF(OR(D36="SF",D36="FH"),SUM(IF(B36&gt;=_xlfn.NUMBERVALUE('ZD Vorerfassung'!$C$22:$C$36),1,0)*IF(B36&lt;=_xlfn.NUMBERVALUE('ZD Vorerfassung'!$D$22:$D$36),1,0)*'ZD Vorerfassung'!$V$22:$V$36*IF(D36="FH",0.5,1)),
"prüfen")))</f>
        <v>0</v>
      </c>
      <c r="AZ36" s="110">
        <f t="array" ref="AZ36">IF(OR(D36="UU",D36="FT",D36="WE",E36="Ferien"),0,
IF(D36="NR",SUM(IF(B36&gt;=_xlfn.NUMBERVALUE('ZD Vorerfassung'!$C$22:$C$36),1,0)*IF(B36&lt;=_xlfn.NUMBERVALUE('ZD Vorerfassung'!$D$22:$D$36),1,0)*'ZD Vorerfassung'!$S$22:$S$36),
IF(OR(D36="SF",D36="FH"),SUM(IF(B36&gt;=_xlfn.NUMBERVALUE('ZD Vorerfassung'!$C$22:$C$36),1,0)*IF(B36&lt;=_xlfn.NUMBERVALUE('ZD Vorerfassung'!$D$22:$D$36),1,0)*'ZD Vorerfassung'!$T$22:$T$36*IF(D36="FH",0.5,1)),
"prüfen")))</f>
        <v>0</v>
      </c>
      <c r="BA36" s="112">
        <f t="shared" si="8"/>
        <v>8</v>
      </c>
    </row>
    <row r="37" spans="1:54" ht="19.5" thickTop="1" thickBot="1" x14ac:dyDescent="0.3">
      <c r="A37" s="84"/>
      <c r="B37" s="99">
        <f t="shared" si="0"/>
        <v>44802</v>
      </c>
      <c r="C37" s="100">
        <f t="shared" si="9"/>
        <v>44802</v>
      </c>
      <c r="D37" s="101" t="str">
        <f t="shared" si="10"/>
        <v>WE</v>
      </c>
      <c r="E37" s="102" t="str">
        <f t="shared" si="2"/>
        <v>Wochenende</v>
      </c>
      <c r="F37" s="103" t="str">
        <f t="shared" si="11"/>
        <v/>
      </c>
      <c r="G37" s="104" t="str">
        <f t="shared" si="12"/>
        <v/>
      </c>
      <c r="H37" s="104">
        <f>IFERROR(IF('ZD Vorerfassung'!$E$11="manuell",SUM(I37),IF(OR(E37="Feiertag",E37="Wochenende"),0,IF('ZD Vorerfassung'!$E$11="automatisch",AX37,IF(D37="UU","UU",IF(E37=Param2,AX37/24,IF(E37=Param9,AX37/48,"")))))),0)</f>
        <v>0</v>
      </c>
      <c r="I37" s="105"/>
      <c r="J37" s="106">
        <f>IF('ZD Vorerfassung'!$E$12="manuell",SUM(K37:AI37),IF(OR(E37="Feiertag",E37="Wochenende"),0,IF('ZD Vorerfassung'!$E$12="automatisch",AY37,IF(D37="UU","UU",IF(E37=Param2,AY37/24,IF(E37=Param9,AY37/48,""))))))</f>
        <v>0</v>
      </c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7">
        <f t="shared" si="13"/>
        <v>0</v>
      </c>
      <c r="AK37" s="105"/>
      <c r="AL37" s="105"/>
      <c r="AM37" s="105"/>
      <c r="AN37" s="105"/>
      <c r="AO37" s="105"/>
      <c r="AP37" s="105"/>
      <c r="AQ37" s="108">
        <f t="shared" si="14"/>
        <v>0</v>
      </c>
      <c r="AR37" s="108">
        <f t="shared" si="15"/>
        <v>0</v>
      </c>
      <c r="AS37" s="109">
        <f t="shared" si="16"/>
        <v>0</v>
      </c>
      <c r="AU37" s="110">
        <f t="shared" si="7"/>
        <v>0</v>
      </c>
      <c r="AV37" s="111" t="str">
        <f>IF(D37="NR",
IF('ZD Vorerfassung'!$E$22="",0,IF(AND(B37&gt;='ZD Vorerfassung'!$C$22,B37&lt;='ZD Vorerfassung'!$D$22),HLOOKUP(TEXT(C37,"ttt"),'ZD Vorerfassung'!$H$21:$L$36,2,0),0))+
IF('ZD Vorerfassung'!$E$23="",0,IF(AND(B37&gt;='ZD Vorerfassung'!$C$23,B37&lt;='ZD Vorerfassung'!$D$23),HLOOKUP(TEXT(C37,"ttt"),'ZD Vorerfassung'!$H$21:$L$36,3,0),0))+
IF('ZD Vorerfassung'!$E$24="",0,IF(AND(B37&gt;='ZD Vorerfassung'!$C$24,B37&lt;='ZD Vorerfassung'!$D$24),HLOOKUP(TEXT(C37,"ttt"),'ZD Vorerfassung'!$H$21:$L$36,4,0),0))+
IF('ZD Vorerfassung'!$E$25="",0,IF(AND(B37&gt;='ZD Vorerfassung'!$C$25,B37&lt;='ZD Vorerfassung'!$D$25),HLOOKUP(TEXT(C37,"ttt"),'ZD Vorerfassung'!$H$21:$L$36,5,0),0))+
IF('ZD Vorerfassung'!$E$26="",0,IF(AND(B37&gt;='ZD Vorerfassung'!$C$26,B37&lt;='ZD Vorerfassung'!$D$26),HLOOKUP(TEXT(C37,"ttt"),'ZD Vorerfassung'!$H$21:$L$36,6,0),0))+
IF('ZD Vorerfassung'!$E$27="",0,IF(AND(B37&gt;='ZD Vorerfassung'!$C$27,B37&lt;='ZD Vorerfassung'!$D$27),HLOOKUP(TEXT(C37,"ttt"),'ZD Vorerfassung'!$H$21:$L$36,7,0),0))+
IF('ZD Vorerfassung'!$E$28="",0,IF(AND(B37&gt;='ZD Vorerfassung'!$C$28,B37&lt;='ZD Vorerfassung'!$D$28),HLOOKUP(TEXT(C37,"ttt"),'ZD Vorerfassung'!$H$21:$L$36,8,0),0))+
IF('ZD Vorerfassung'!$E$29="",0,IF(AND(B37&gt;='ZD Vorerfassung'!$C$29,B37&lt;='ZD Vorerfassung'!$D$29),HLOOKUP(TEXT(C37,"ttt"),'ZD Vorerfassung'!$H$21:$L$36,9,0),0))+
IF('ZD Vorerfassung'!$E$30="",0,IF(AND(B37&gt;='ZD Vorerfassung'!$C$30,B37&lt;='ZD Vorerfassung'!$D$30),HLOOKUP(TEXT(C37,"ttt"),'ZD Vorerfassung'!$H$21:$L$36,10,0),0))+
IF('ZD Vorerfassung'!$E$31="",0,IF(AND(B37&gt;='ZD Vorerfassung'!$C$31,B37&lt;='ZD Vorerfassung'!$D$31),HLOOKUP(TEXT(C37,"ttt"),'ZD Vorerfassung'!$H$21:$L$36,11,0),0))+
IF('ZD Vorerfassung'!$E$32="",0,IF(AND(B37&gt;='ZD Vorerfassung'!$C$32,B37&lt;='ZD Vorerfassung'!$D$32),HLOOKUP(TEXT(C37,"ttt"),'ZD Vorerfassung'!$H$21:$L$36,12,0),0))+
IF('ZD Vorerfassung'!$E$33="",0,IF(AND(B37&gt;='ZD Vorerfassung'!$C$33,B37&lt;='ZD Vorerfassung'!$D$33),HLOOKUP(TEXT(C37,"ttt"),'ZD Vorerfassung'!$H$21:$L$36,13,0),0))+
IF('ZD Vorerfassung'!$E$34="",0,IF(AND(B37&gt;='ZD Vorerfassung'!$C$34,B37&lt;='ZD Vorerfassung'!$D$34),HLOOKUP(TEXT(C37,"ttt"),'ZD Vorerfassung'!$H$21:$L$36,14,0),0))+
IF('ZD Vorerfassung'!$E$35="",0,IF(AND(B37&gt;='ZD Vorerfassung'!$C$35,B37&lt;='ZD Vorerfassung'!$D$35),HLOOKUP(TEXT(C37,"ttt"),'ZD Vorerfassung'!$H$21:$L$36,15,0),0))+
IF('ZD Vorerfassung'!$E$36="",0,IF(AND(B37&gt;='ZD Vorerfassung'!$C$36,B37&lt;='ZD Vorerfassung'!$D$36),HLOOKUP(TEXT(C37,"ttt"),'ZD Vorerfassung'!$H$21:$L$36,16,0),0)),"")</f>
        <v/>
      </c>
      <c r="AW37" s="110">
        <f t="array" ref="AW37">IF(OR(D37="UU",D37="FT",D37="WE"),0,
IF(D37="NR",SUM(IF(B37&gt;=_xlfn.NUMBERVALUE('ZD Vorerfassung'!$C$22:$C$36),1,0)*IF(B37&lt;=_xlfn.NUMBERVALUE('ZD Vorerfassung'!$D$22:$D$36),1,0)*'ZD Vorerfassung'!$Q$22:$Q$36),
IF(OR(D37="SF",D37="FH"),SUM(IF(B37&gt;=_xlfn.NUMBERVALUE('ZD Vorerfassung'!$C$22:$C$36),1,0)*IF(B37&lt;=_xlfn.NUMBERVALUE('ZD Vorerfassung'!$D$22:$D$36),1,0)*'ZD Vorerfassung'!$R$22:$R$36*IF(D37="FH",0.5,1)),
"prüfen")))</f>
        <v>0</v>
      </c>
      <c r="AX37" s="110">
        <f t="array" ref="AX37">IF(OR(D37="UU",D37="FT",D37="WE",E37="Ferien"),0,
IF(D37="NR",SUM(IF(B37&gt;=_xlfn.NUMBERVALUE('ZD Vorerfassung'!$C$22:$C$36),1,0)*IF(B37&lt;=_xlfn.NUMBERVALUE('ZD Vorerfassung'!$D$22:$D$36),1,0)*'ZD Vorerfassung'!$W$22:$W$36),
IF(OR(D37="SF",D37="FH"),SUM(IF(B37&gt;=_xlfn.NUMBERVALUE('ZD Vorerfassung'!$C$22:$C$36),1,0)*IF(B37&lt;=_xlfn.NUMBERVALUE('ZD Vorerfassung'!$D$22:$D$36),1,0)*'ZD Vorerfassung'!$X$22:$X$36*IF(D37="FH",0.5,1)),
"prüfen")))</f>
        <v>0</v>
      </c>
      <c r="AY37" s="110">
        <f t="array" ref="AY37">IF(OR(D37="UU",D37="FT",D37="WE",E37="Ferien"),0,
IF(D37="NR",SUM(IF(B37&gt;=_xlfn.NUMBERVALUE('ZD Vorerfassung'!$C$22:$C$36),1,0)*IF(B37&lt;=_xlfn.NUMBERVALUE('ZD Vorerfassung'!$D$22:$D$36),1,0)*'ZD Vorerfassung'!$U$22:$U$36),
IF(OR(D37="SF",D37="FH"),SUM(IF(B37&gt;=_xlfn.NUMBERVALUE('ZD Vorerfassung'!$C$22:$C$36),1,0)*IF(B37&lt;=_xlfn.NUMBERVALUE('ZD Vorerfassung'!$D$22:$D$36),1,0)*'ZD Vorerfassung'!$V$22:$V$36*IF(D37="FH",0.5,1)),
"prüfen")))</f>
        <v>0</v>
      </c>
      <c r="AZ37" s="110">
        <f t="array" ref="AZ37">IF(OR(D37="UU",D37="FT",D37="WE",E37="Ferien"),0,
IF(D37="NR",SUM(IF(B37&gt;=_xlfn.NUMBERVALUE('ZD Vorerfassung'!$C$22:$C$36),1,0)*IF(B37&lt;=_xlfn.NUMBERVALUE('ZD Vorerfassung'!$D$22:$D$36),1,0)*'ZD Vorerfassung'!$S$22:$S$36),
IF(OR(D37="SF",D37="FH"),SUM(IF(B37&gt;=_xlfn.NUMBERVALUE('ZD Vorerfassung'!$C$22:$C$36),1,0)*IF(B37&lt;=_xlfn.NUMBERVALUE('ZD Vorerfassung'!$D$22:$D$36),1,0)*'ZD Vorerfassung'!$T$22:$T$36*IF(D37="FH",0.5,1)),
"prüfen")))</f>
        <v>0</v>
      </c>
      <c r="BA37" s="112">
        <f t="shared" si="8"/>
        <v>8</v>
      </c>
    </row>
    <row r="38" spans="1:54" ht="19.5" thickTop="1" thickBot="1" x14ac:dyDescent="0.3">
      <c r="A38" s="116"/>
      <c r="B38" s="99">
        <f t="shared" si="0"/>
        <v>44803</v>
      </c>
      <c r="C38" s="100">
        <f t="shared" si="9"/>
        <v>44803</v>
      </c>
      <c r="D38" s="101" t="str">
        <f t="shared" si="10"/>
        <v>NR</v>
      </c>
      <c r="E38" s="102" t="str">
        <f t="shared" si="2"/>
        <v>Unterrichtstag</v>
      </c>
      <c r="F38" s="103">
        <f t="shared" si="11"/>
        <v>0</v>
      </c>
      <c r="G38" s="104">
        <f t="shared" si="12"/>
        <v>0</v>
      </c>
      <c r="H38" s="104">
        <f>IFERROR(IF('ZD Vorerfassung'!$E$11="manuell",SUM(I38),IF(OR(E38="Feiertag",E38="Wochenende"),0,IF('ZD Vorerfassung'!$E$11="automatisch",AX38,IF(D38="UU","UU",IF(E38=Param2,AX38/24,IF(E38=Param9,AX38/48,"")))))),0)</f>
        <v>0</v>
      </c>
      <c r="I38" s="105"/>
      <c r="J38" s="106">
        <f>IF('ZD Vorerfassung'!$E$12="manuell",SUM(K38:AI38),IF(OR(E38="Feiertag",E38="Wochenende"),0,IF('ZD Vorerfassung'!$E$12="automatisch",AY38,IF(D38="UU","UU",IF(E38=Param2,AY38/24,IF(E38=Param9,AY38/48,""))))))</f>
        <v>0</v>
      </c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7">
        <f t="shared" si="13"/>
        <v>0</v>
      </c>
      <c r="AK38" s="105"/>
      <c r="AL38" s="105"/>
      <c r="AM38" s="105"/>
      <c r="AN38" s="105"/>
      <c r="AO38" s="105"/>
      <c r="AP38" s="105"/>
      <c r="AQ38" s="108">
        <f t="shared" si="14"/>
        <v>0</v>
      </c>
      <c r="AR38" s="108">
        <f t="shared" si="15"/>
        <v>0</v>
      </c>
      <c r="AS38" s="109">
        <f t="shared" si="16"/>
        <v>0</v>
      </c>
      <c r="AU38" s="110">
        <f t="shared" si="7"/>
        <v>0</v>
      </c>
      <c r="AV38" s="111">
        <f>IF(D38="NR",
IF('ZD Vorerfassung'!$E$22="",0,IF(AND(B38&gt;='ZD Vorerfassung'!$C$22,B38&lt;='ZD Vorerfassung'!$D$22),HLOOKUP(TEXT(C38,"ttt"),'ZD Vorerfassung'!$H$21:$L$36,2,0),0))+
IF('ZD Vorerfassung'!$E$23="",0,IF(AND(B38&gt;='ZD Vorerfassung'!$C$23,B38&lt;='ZD Vorerfassung'!$D$23),HLOOKUP(TEXT(C38,"ttt"),'ZD Vorerfassung'!$H$21:$L$36,3,0),0))+
IF('ZD Vorerfassung'!$E$24="",0,IF(AND(B38&gt;='ZD Vorerfassung'!$C$24,B38&lt;='ZD Vorerfassung'!$D$24),HLOOKUP(TEXT(C38,"ttt"),'ZD Vorerfassung'!$H$21:$L$36,4,0),0))+
IF('ZD Vorerfassung'!$E$25="",0,IF(AND(B38&gt;='ZD Vorerfassung'!$C$25,B38&lt;='ZD Vorerfassung'!$D$25),HLOOKUP(TEXT(C38,"ttt"),'ZD Vorerfassung'!$H$21:$L$36,5,0),0))+
IF('ZD Vorerfassung'!$E$26="",0,IF(AND(B38&gt;='ZD Vorerfassung'!$C$26,B38&lt;='ZD Vorerfassung'!$D$26),HLOOKUP(TEXT(C38,"ttt"),'ZD Vorerfassung'!$H$21:$L$36,6,0),0))+
IF('ZD Vorerfassung'!$E$27="",0,IF(AND(B38&gt;='ZD Vorerfassung'!$C$27,B38&lt;='ZD Vorerfassung'!$D$27),HLOOKUP(TEXT(C38,"ttt"),'ZD Vorerfassung'!$H$21:$L$36,7,0),0))+
IF('ZD Vorerfassung'!$E$28="",0,IF(AND(B38&gt;='ZD Vorerfassung'!$C$28,B38&lt;='ZD Vorerfassung'!$D$28),HLOOKUP(TEXT(C38,"ttt"),'ZD Vorerfassung'!$H$21:$L$36,8,0),0))+
IF('ZD Vorerfassung'!$E$29="",0,IF(AND(B38&gt;='ZD Vorerfassung'!$C$29,B38&lt;='ZD Vorerfassung'!$D$29),HLOOKUP(TEXT(C38,"ttt"),'ZD Vorerfassung'!$H$21:$L$36,9,0),0))+
IF('ZD Vorerfassung'!$E$30="",0,IF(AND(B38&gt;='ZD Vorerfassung'!$C$30,B38&lt;='ZD Vorerfassung'!$D$30),HLOOKUP(TEXT(C38,"ttt"),'ZD Vorerfassung'!$H$21:$L$36,10,0),0))+
IF('ZD Vorerfassung'!$E$31="",0,IF(AND(B38&gt;='ZD Vorerfassung'!$C$31,B38&lt;='ZD Vorerfassung'!$D$31),HLOOKUP(TEXT(C38,"ttt"),'ZD Vorerfassung'!$H$21:$L$36,11,0),0))+
IF('ZD Vorerfassung'!$E$32="",0,IF(AND(B38&gt;='ZD Vorerfassung'!$C$32,B38&lt;='ZD Vorerfassung'!$D$32),HLOOKUP(TEXT(C38,"ttt"),'ZD Vorerfassung'!$H$21:$L$36,12,0),0))+
IF('ZD Vorerfassung'!$E$33="",0,IF(AND(B38&gt;='ZD Vorerfassung'!$C$33,B38&lt;='ZD Vorerfassung'!$D$33),HLOOKUP(TEXT(C38,"ttt"),'ZD Vorerfassung'!$H$21:$L$36,13,0),0))+
IF('ZD Vorerfassung'!$E$34="",0,IF(AND(B38&gt;='ZD Vorerfassung'!$C$34,B38&lt;='ZD Vorerfassung'!$D$34),HLOOKUP(TEXT(C38,"ttt"),'ZD Vorerfassung'!$H$21:$L$36,14,0),0))+
IF('ZD Vorerfassung'!$E$35="",0,IF(AND(B38&gt;='ZD Vorerfassung'!$C$35,B38&lt;='ZD Vorerfassung'!$D$35),HLOOKUP(TEXT(C38,"ttt"),'ZD Vorerfassung'!$H$21:$L$36,15,0),0))+
IF('ZD Vorerfassung'!$E$36="",0,IF(AND(B38&gt;='ZD Vorerfassung'!$C$36,B38&lt;='ZD Vorerfassung'!$D$36),HLOOKUP(TEXT(C38,"ttt"),'ZD Vorerfassung'!$H$21:$L$36,16,0),0)),"")</f>
        <v>0</v>
      </c>
      <c r="AW38" s="110">
        <f t="array" ref="AW38">IF(OR(D38="UU",D38="FT",D38="WE"),0,
IF(D38="NR",SUM(IF(B38&gt;=_xlfn.NUMBERVALUE('ZD Vorerfassung'!$C$22:$C$36),1,0)*IF(B38&lt;=_xlfn.NUMBERVALUE('ZD Vorerfassung'!$D$22:$D$36),1,0)*'ZD Vorerfassung'!$Q$22:$Q$36),
IF(OR(D38="SF",D38="FH"),SUM(IF(B38&gt;=_xlfn.NUMBERVALUE('ZD Vorerfassung'!$C$22:$C$36),1,0)*IF(B38&lt;=_xlfn.NUMBERVALUE('ZD Vorerfassung'!$D$22:$D$36),1,0)*'ZD Vorerfassung'!$R$22:$R$36*IF(D38="FH",0.5,1)),
"prüfen")))</f>
        <v>0</v>
      </c>
      <c r="AX38" s="110">
        <f t="array" ref="AX38">IF(OR(D38="UU",D38="FT",D38="WE",E38="Ferien"),0,
IF(D38="NR",SUM(IF(B38&gt;=_xlfn.NUMBERVALUE('ZD Vorerfassung'!$C$22:$C$36),1,0)*IF(B38&lt;=_xlfn.NUMBERVALUE('ZD Vorerfassung'!$D$22:$D$36),1,0)*'ZD Vorerfassung'!$W$22:$W$36),
IF(OR(D38="SF",D38="FH"),SUM(IF(B38&gt;=_xlfn.NUMBERVALUE('ZD Vorerfassung'!$C$22:$C$36),1,0)*IF(B38&lt;=_xlfn.NUMBERVALUE('ZD Vorerfassung'!$D$22:$D$36),1,0)*'ZD Vorerfassung'!$X$22:$X$36*IF(D38="FH",0.5,1)),
"prüfen")))</f>
        <v>0</v>
      </c>
      <c r="AY38" s="110">
        <f t="array" ref="AY38">IF(OR(D38="UU",D38="FT",D38="WE",E38="Ferien"),0,
IF(D38="NR",SUM(IF(B38&gt;=_xlfn.NUMBERVALUE('ZD Vorerfassung'!$C$22:$C$36),1,0)*IF(B38&lt;=_xlfn.NUMBERVALUE('ZD Vorerfassung'!$D$22:$D$36),1,0)*'ZD Vorerfassung'!$U$22:$U$36),
IF(OR(D38="SF",D38="FH"),SUM(IF(B38&gt;=_xlfn.NUMBERVALUE('ZD Vorerfassung'!$C$22:$C$36),1,0)*IF(B38&lt;=_xlfn.NUMBERVALUE('ZD Vorerfassung'!$D$22:$D$36),1,0)*'ZD Vorerfassung'!$V$22:$V$36*IF(D38="FH",0.5,1)),
"prüfen")))</f>
        <v>0</v>
      </c>
      <c r="AZ38" s="110">
        <f t="array" ref="AZ38">IF(OR(D38="UU",D38="FT",D38="WE",E38="Ferien"),0,
IF(D38="NR",SUM(IF(B38&gt;=_xlfn.NUMBERVALUE('ZD Vorerfassung'!$C$22:$C$36),1,0)*IF(B38&lt;=_xlfn.NUMBERVALUE('ZD Vorerfassung'!$D$22:$D$36),1,0)*'ZD Vorerfassung'!$S$22:$S$36),
IF(OR(D38="SF",D38="FH"),SUM(IF(B38&gt;=_xlfn.NUMBERVALUE('ZD Vorerfassung'!$C$22:$C$36),1,0)*IF(B38&lt;=_xlfn.NUMBERVALUE('ZD Vorerfassung'!$D$22:$D$36),1,0)*'ZD Vorerfassung'!$T$22:$T$36*IF(D38="FH",0.5,1)),
"prüfen")))</f>
        <v>0</v>
      </c>
      <c r="BA38" s="112">
        <f t="shared" si="8"/>
        <v>8</v>
      </c>
    </row>
    <row r="39" spans="1:54" ht="19.5" thickTop="1" thickBot="1" x14ac:dyDescent="0.3">
      <c r="A39" s="117"/>
      <c r="B39" s="99">
        <f t="shared" si="0"/>
        <v>44804</v>
      </c>
      <c r="C39" s="100">
        <f t="shared" si="9"/>
        <v>44804</v>
      </c>
      <c r="D39" s="101" t="str">
        <f t="shared" si="10"/>
        <v>NR</v>
      </c>
      <c r="E39" s="102" t="str">
        <f t="shared" si="2"/>
        <v>Unterrichtstag</v>
      </c>
      <c r="F39" s="103">
        <f t="shared" si="11"/>
        <v>0</v>
      </c>
      <c r="G39" s="104">
        <f t="shared" si="12"/>
        <v>0</v>
      </c>
      <c r="H39" s="104">
        <f>IFERROR(IF('ZD Vorerfassung'!$E$11="manuell",SUM(I39),IF(OR(E39="Feiertag",E39="Wochenende"),0,IF('ZD Vorerfassung'!$E$11="automatisch",AX39,IF(D39="UU","UU",IF(E39=Param2,AX39/24,IF(E39=Param9,AX39/48,"")))))),0)</f>
        <v>0</v>
      </c>
      <c r="I39" s="105"/>
      <c r="J39" s="106">
        <f>IF('ZD Vorerfassung'!$E$12="manuell",SUM(K39:AI39),IF(OR(E39="Feiertag",E39="Wochenende"),0,IF('ZD Vorerfassung'!$E$12="automatisch",AY39,IF(D39="UU","UU",IF(E39=Param2,AY39/24,IF(E39=Param9,AY39/48,""))))))</f>
        <v>0</v>
      </c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7">
        <f t="shared" si="13"/>
        <v>0</v>
      </c>
      <c r="AK39" s="105"/>
      <c r="AL39" s="105"/>
      <c r="AM39" s="105"/>
      <c r="AN39" s="105"/>
      <c r="AO39" s="105"/>
      <c r="AP39" s="105"/>
      <c r="AQ39" s="108">
        <f t="shared" si="14"/>
        <v>0</v>
      </c>
      <c r="AR39" s="108">
        <f t="shared" si="15"/>
        <v>0</v>
      </c>
      <c r="AS39" s="109">
        <f t="shared" si="16"/>
        <v>0</v>
      </c>
      <c r="AU39" s="110">
        <f t="shared" si="7"/>
        <v>0</v>
      </c>
      <c r="AV39" s="111">
        <f>IF(D39="NR",
IF('ZD Vorerfassung'!$E$22="",0,IF(AND(B39&gt;='ZD Vorerfassung'!$C$22,B39&lt;='ZD Vorerfassung'!$D$22),HLOOKUP(TEXT(C39,"ttt"),'ZD Vorerfassung'!$H$21:$L$36,2,0),0))+
IF('ZD Vorerfassung'!$E$23="",0,IF(AND(B39&gt;='ZD Vorerfassung'!$C$23,B39&lt;='ZD Vorerfassung'!$D$23),HLOOKUP(TEXT(C39,"ttt"),'ZD Vorerfassung'!$H$21:$L$36,3,0),0))+
IF('ZD Vorerfassung'!$E$24="",0,IF(AND(B39&gt;='ZD Vorerfassung'!$C$24,B39&lt;='ZD Vorerfassung'!$D$24),HLOOKUP(TEXT(C39,"ttt"),'ZD Vorerfassung'!$H$21:$L$36,4,0),0))+
IF('ZD Vorerfassung'!$E$25="",0,IF(AND(B39&gt;='ZD Vorerfassung'!$C$25,B39&lt;='ZD Vorerfassung'!$D$25),HLOOKUP(TEXT(C39,"ttt"),'ZD Vorerfassung'!$H$21:$L$36,5,0),0))+
IF('ZD Vorerfassung'!$E$26="",0,IF(AND(B39&gt;='ZD Vorerfassung'!$C$26,B39&lt;='ZD Vorerfassung'!$D$26),HLOOKUP(TEXT(C39,"ttt"),'ZD Vorerfassung'!$H$21:$L$36,6,0),0))+
IF('ZD Vorerfassung'!$E$27="",0,IF(AND(B39&gt;='ZD Vorerfassung'!$C$27,B39&lt;='ZD Vorerfassung'!$D$27),HLOOKUP(TEXT(C39,"ttt"),'ZD Vorerfassung'!$H$21:$L$36,7,0),0))+
IF('ZD Vorerfassung'!$E$28="",0,IF(AND(B39&gt;='ZD Vorerfassung'!$C$28,B39&lt;='ZD Vorerfassung'!$D$28),HLOOKUP(TEXT(C39,"ttt"),'ZD Vorerfassung'!$H$21:$L$36,8,0),0))+
IF('ZD Vorerfassung'!$E$29="",0,IF(AND(B39&gt;='ZD Vorerfassung'!$C$29,B39&lt;='ZD Vorerfassung'!$D$29),HLOOKUP(TEXT(C39,"ttt"),'ZD Vorerfassung'!$H$21:$L$36,9,0),0))+
IF('ZD Vorerfassung'!$E$30="",0,IF(AND(B39&gt;='ZD Vorerfassung'!$C$30,B39&lt;='ZD Vorerfassung'!$D$30),HLOOKUP(TEXT(C39,"ttt"),'ZD Vorerfassung'!$H$21:$L$36,10,0),0))+
IF('ZD Vorerfassung'!$E$31="",0,IF(AND(B39&gt;='ZD Vorerfassung'!$C$31,B39&lt;='ZD Vorerfassung'!$D$31),HLOOKUP(TEXT(C39,"ttt"),'ZD Vorerfassung'!$H$21:$L$36,11,0),0))+
IF('ZD Vorerfassung'!$E$32="",0,IF(AND(B39&gt;='ZD Vorerfassung'!$C$32,B39&lt;='ZD Vorerfassung'!$D$32),HLOOKUP(TEXT(C39,"ttt"),'ZD Vorerfassung'!$H$21:$L$36,12,0),0))+
IF('ZD Vorerfassung'!$E$33="",0,IF(AND(B39&gt;='ZD Vorerfassung'!$C$33,B39&lt;='ZD Vorerfassung'!$D$33),HLOOKUP(TEXT(C39,"ttt"),'ZD Vorerfassung'!$H$21:$L$36,13,0),0))+
IF('ZD Vorerfassung'!$E$34="",0,IF(AND(B39&gt;='ZD Vorerfassung'!$C$34,B39&lt;='ZD Vorerfassung'!$D$34),HLOOKUP(TEXT(C39,"ttt"),'ZD Vorerfassung'!$H$21:$L$36,14,0),0))+
IF('ZD Vorerfassung'!$E$35="",0,IF(AND(B39&gt;='ZD Vorerfassung'!$C$35,B39&lt;='ZD Vorerfassung'!$D$35),HLOOKUP(TEXT(C39,"ttt"),'ZD Vorerfassung'!$H$21:$L$36,15,0),0))+
IF('ZD Vorerfassung'!$E$36="",0,IF(AND(B39&gt;='ZD Vorerfassung'!$C$36,B39&lt;='ZD Vorerfassung'!$D$36),HLOOKUP(TEXT(C39,"ttt"),'ZD Vorerfassung'!$H$21:$L$36,16,0),0)),"")</f>
        <v>0</v>
      </c>
      <c r="AW39" s="110">
        <f t="array" ref="AW39">IF(OR(D39="UU",D39="FT",D39="WE"),0,
IF(D39="NR",SUM(IF(B39&gt;=_xlfn.NUMBERVALUE('ZD Vorerfassung'!$C$22:$C$36),1,0)*IF(B39&lt;=_xlfn.NUMBERVALUE('ZD Vorerfassung'!$D$22:$D$36),1,0)*'ZD Vorerfassung'!$Q$22:$Q$36),
IF(OR(D39="SF",D39="FH"),SUM(IF(B39&gt;=_xlfn.NUMBERVALUE('ZD Vorerfassung'!$C$22:$C$36),1,0)*IF(B39&lt;=_xlfn.NUMBERVALUE('ZD Vorerfassung'!$D$22:$D$36),1,0)*'ZD Vorerfassung'!$R$22:$R$36*IF(D39="FH",0.5,1)),
"prüfen")))</f>
        <v>0</v>
      </c>
      <c r="AX39" s="110">
        <f t="array" ref="AX39">IF(OR(D39="UU",D39="FT",D39="WE",E39="Ferien"),0,
IF(D39="NR",SUM(IF(B39&gt;=_xlfn.NUMBERVALUE('ZD Vorerfassung'!$C$22:$C$36),1,0)*IF(B39&lt;=_xlfn.NUMBERVALUE('ZD Vorerfassung'!$D$22:$D$36),1,0)*'ZD Vorerfassung'!$W$22:$W$36),
IF(OR(D39="SF",D39="FH"),SUM(IF(B39&gt;=_xlfn.NUMBERVALUE('ZD Vorerfassung'!$C$22:$C$36),1,0)*IF(B39&lt;=_xlfn.NUMBERVALUE('ZD Vorerfassung'!$D$22:$D$36),1,0)*'ZD Vorerfassung'!$X$22:$X$36*IF(D39="FH",0.5,1)),
"prüfen")))</f>
        <v>0</v>
      </c>
      <c r="AY39" s="110">
        <f t="array" ref="AY39">IF(OR(D39="UU",D39="FT",D39="WE",E39="Ferien"),0,
IF(D39="NR",SUM(IF(B39&gt;=_xlfn.NUMBERVALUE('ZD Vorerfassung'!$C$22:$C$36),1,0)*IF(B39&lt;=_xlfn.NUMBERVALUE('ZD Vorerfassung'!$D$22:$D$36),1,0)*'ZD Vorerfassung'!$U$22:$U$36),
IF(OR(D39="SF",D39="FH"),SUM(IF(B39&gt;=_xlfn.NUMBERVALUE('ZD Vorerfassung'!$C$22:$C$36),1,0)*IF(B39&lt;=_xlfn.NUMBERVALUE('ZD Vorerfassung'!$D$22:$D$36),1,0)*'ZD Vorerfassung'!$V$22:$V$36*IF(D39="FH",0.5,1)),
"prüfen")))</f>
        <v>0</v>
      </c>
      <c r="AZ39" s="110">
        <f t="array" ref="AZ39">IF(OR(D39="UU",D39="FT",D39="WE",E39="Ferien"),0,
IF(D39="NR",SUM(IF(B39&gt;=_xlfn.NUMBERVALUE('ZD Vorerfassung'!$C$22:$C$36),1,0)*IF(B39&lt;=_xlfn.NUMBERVALUE('ZD Vorerfassung'!$D$22:$D$36),1,0)*'ZD Vorerfassung'!$S$22:$S$36),
IF(OR(D39="SF",D39="FH"),SUM(IF(B39&gt;=_xlfn.NUMBERVALUE('ZD Vorerfassung'!$C$22:$C$36),1,0)*IF(B39&lt;=_xlfn.NUMBERVALUE('ZD Vorerfassung'!$D$22:$D$36),1,0)*'ZD Vorerfassung'!$T$22:$T$36*IF(D39="FH",0.5,1)),
"prüfen")))</f>
        <v>0</v>
      </c>
      <c r="BA39" s="112">
        <f t="shared" si="8"/>
        <v>9</v>
      </c>
    </row>
    <row r="40" spans="1:54" ht="19.5" thickTop="1" thickBot="1" x14ac:dyDescent="0.3">
      <c r="B40" s="99">
        <f t="shared" si="0"/>
        <v>44805</v>
      </c>
      <c r="C40" s="100">
        <f t="shared" si="9"/>
        <v>44805</v>
      </c>
      <c r="D40" s="101" t="str">
        <f t="shared" si="10"/>
        <v>NR</v>
      </c>
      <c r="E40" s="102" t="str">
        <f t="shared" si="2"/>
        <v>Unterrichtstag</v>
      </c>
      <c r="F40" s="103">
        <f t="shared" si="11"/>
        <v>0</v>
      </c>
      <c r="G40" s="104">
        <f t="shared" si="12"/>
        <v>0</v>
      </c>
      <c r="H40" s="104">
        <f>IFERROR(IF('ZD Vorerfassung'!$E$11="manuell",SUM(I40),IF(OR(E40="Feiertag",E40="Wochenende"),0,IF('ZD Vorerfassung'!$E$11="automatisch",AX40,IF(D40="UU","UU",IF(E40=Param2,AX40/24,IF(E40=Param9,AX40/48,"")))))),0)</f>
        <v>0</v>
      </c>
      <c r="I40" s="105"/>
      <c r="J40" s="106">
        <f>IF('ZD Vorerfassung'!$E$12="manuell",SUM(K40:AI40),IF(OR(E40="Feiertag",E40="Wochenende"),0,IF('ZD Vorerfassung'!$E$12="automatisch",AY40,IF(D40="UU","UU",IF(E40=Param2,AY40/24,IF(E40=Param9,AY40/48,""))))))</f>
        <v>0</v>
      </c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7">
        <f t="shared" si="13"/>
        <v>0</v>
      </c>
      <c r="AK40" s="105"/>
      <c r="AL40" s="105"/>
      <c r="AM40" s="105"/>
      <c r="AN40" s="105"/>
      <c r="AO40" s="105"/>
      <c r="AP40" s="105"/>
      <c r="AQ40" s="108">
        <f t="shared" si="14"/>
        <v>0</v>
      </c>
      <c r="AR40" s="108">
        <f t="shared" si="15"/>
        <v>0</v>
      </c>
      <c r="AS40" s="109">
        <f t="shared" si="16"/>
        <v>0</v>
      </c>
      <c r="AU40" s="110">
        <f t="shared" si="7"/>
        <v>0</v>
      </c>
      <c r="AV40" s="111">
        <f>IF(D40="NR",
IF('ZD Vorerfassung'!$E$22="",0,IF(AND(B40&gt;='ZD Vorerfassung'!$C$22,B40&lt;='ZD Vorerfassung'!$D$22),HLOOKUP(TEXT(C40,"ttt"),'ZD Vorerfassung'!$H$21:$L$36,2,0),0))+
IF('ZD Vorerfassung'!$E$23="",0,IF(AND(B40&gt;='ZD Vorerfassung'!$C$23,B40&lt;='ZD Vorerfassung'!$D$23),HLOOKUP(TEXT(C40,"ttt"),'ZD Vorerfassung'!$H$21:$L$36,3,0),0))+
IF('ZD Vorerfassung'!$E$24="",0,IF(AND(B40&gt;='ZD Vorerfassung'!$C$24,B40&lt;='ZD Vorerfassung'!$D$24),HLOOKUP(TEXT(C40,"ttt"),'ZD Vorerfassung'!$H$21:$L$36,4,0),0))+
IF('ZD Vorerfassung'!$E$25="",0,IF(AND(B40&gt;='ZD Vorerfassung'!$C$25,B40&lt;='ZD Vorerfassung'!$D$25),HLOOKUP(TEXT(C40,"ttt"),'ZD Vorerfassung'!$H$21:$L$36,5,0),0))+
IF('ZD Vorerfassung'!$E$26="",0,IF(AND(B40&gt;='ZD Vorerfassung'!$C$26,B40&lt;='ZD Vorerfassung'!$D$26),HLOOKUP(TEXT(C40,"ttt"),'ZD Vorerfassung'!$H$21:$L$36,6,0),0))+
IF('ZD Vorerfassung'!$E$27="",0,IF(AND(B40&gt;='ZD Vorerfassung'!$C$27,B40&lt;='ZD Vorerfassung'!$D$27),HLOOKUP(TEXT(C40,"ttt"),'ZD Vorerfassung'!$H$21:$L$36,7,0),0))+
IF('ZD Vorerfassung'!$E$28="",0,IF(AND(B40&gt;='ZD Vorerfassung'!$C$28,B40&lt;='ZD Vorerfassung'!$D$28),HLOOKUP(TEXT(C40,"ttt"),'ZD Vorerfassung'!$H$21:$L$36,8,0),0))+
IF('ZD Vorerfassung'!$E$29="",0,IF(AND(B40&gt;='ZD Vorerfassung'!$C$29,B40&lt;='ZD Vorerfassung'!$D$29),HLOOKUP(TEXT(C40,"ttt"),'ZD Vorerfassung'!$H$21:$L$36,9,0),0))+
IF('ZD Vorerfassung'!$E$30="",0,IF(AND(B40&gt;='ZD Vorerfassung'!$C$30,B40&lt;='ZD Vorerfassung'!$D$30),HLOOKUP(TEXT(C40,"ttt"),'ZD Vorerfassung'!$H$21:$L$36,10,0),0))+
IF('ZD Vorerfassung'!$E$31="",0,IF(AND(B40&gt;='ZD Vorerfassung'!$C$31,B40&lt;='ZD Vorerfassung'!$D$31),HLOOKUP(TEXT(C40,"ttt"),'ZD Vorerfassung'!$H$21:$L$36,11,0),0))+
IF('ZD Vorerfassung'!$E$32="",0,IF(AND(B40&gt;='ZD Vorerfassung'!$C$32,B40&lt;='ZD Vorerfassung'!$D$32),HLOOKUP(TEXT(C40,"ttt"),'ZD Vorerfassung'!$H$21:$L$36,12,0),0))+
IF('ZD Vorerfassung'!$E$33="",0,IF(AND(B40&gt;='ZD Vorerfassung'!$C$33,B40&lt;='ZD Vorerfassung'!$D$33),HLOOKUP(TEXT(C40,"ttt"),'ZD Vorerfassung'!$H$21:$L$36,13,0),0))+
IF('ZD Vorerfassung'!$E$34="",0,IF(AND(B40&gt;='ZD Vorerfassung'!$C$34,B40&lt;='ZD Vorerfassung'!$D$34),HLOOKUP(TEXT(C40,"ttt"),'ZD Vorerfassung'!$H$21:$L$36,14,0),0))+
IF('ZD Vorerfassung'!$E$35="",0,IF(AND(B40&gt;='ZD Vorerfassung'!$C$35,B40&lt;='ZD Vorerfassung'!$D$35),HLOOKUP(TEXT(C40,"ttt"),'ZD Vorerfassung'!$H$21:$L$36,15,0),0))+
IF('ZD Vorerfassung'!$E$36="",0,IF(AND(B40&gt;='ZD Vorerfassung'!$C$36,B40&lt;='ZD Vorerfassung'!$D$36),HLOOKUP(TEXT(C40,"ttt"),'ZD Vorerfassung'!$H$21:$L$36,16,0),0)),"")</f>
        <v>0</v>
      </c>
      <c r="AW40" s="110">
        <f t="array" ref="AW40">IF(OR(D40="UU",D40="FT",D40="WE"),0,
IF(D40="NR",SUM(IF(B40&gt;=_xlfn.NUMBERVALUE('ZD Vorerfassung'!$C$22:$C$36),1,0)*IF(B40&lt;=_xlfn.NUMBERVALUE('ZD Vorerfassung'!$D$22:$D$36),1,0)*'ZD Vorerfassung'!$Q$22:$Q$36),
IF(OR(D40="SF",D40="FH"),SUM(IF(B40&gt;=_xlfn.NUMBERVALUE('ZD Vorerfassung'!$C$22:$C$36),1,0)*IF(B40&lt;=_xlfn.NUMBERVALUE('ZD Vorerfassung'!$D$22:$D$36),1,0)*'ZD Vorerfassung'!$R$22:$R$36*IF(D40="FH",0.5,1)),
"prüfen")))</f>
        <v>0</v>
      </c>
      <c r="AX40" s="110">
        <f t="array" ref="AX40">IF(OR(D40="UU",D40="FT",D40="WE",E40="Ferien"),0,
IF(D40="NR",SUM(IF(B40&gt;=_xlfn.NUMBERVALUE('ZD Vorerfassung'!$C$22:$C$36),1,0)*IF(B40&lt;=_xlfn.NUMBERVALUE('ZD Vorerfassung'!$D$22:$D$36),1,0)*'ZD Vorerfassung'!$W$22:$W$36),
IF(OR(D40="SF",D40="FH"),SUM(IF(B40&gt;=_xlfn.NUMBERVALUE('ZD Vorerfassung'!$C$22:$C$36),1,0)*IF(B40&lt;=_xlfn.NUMBERVALUE('ZD Vorerfassung'!$D$22:$D$36),1,0)*'ZD Vorerfassung'!$X$22:$X$36*IF(D40="FH",0.5,1)),
"prüfen")))</f>
        <v>0</v>
      </c>
      <c r="AY40" s="110">
        <f t="array" ref="AY40">IF(OR(D40="UU",D40="FT",D40="WE",E40="Ferien"),0,
IF(D40="NR",SUM(IF(B40&gt;=_xlfn.NUMBERVALUE('ZD Vorerfassung'!$C$22:$C$36),1,0)*IF(B40&lt;=_xlfn.NUMBERVALUE('ZD Vorerfassung'!$D$22:$D$36),1,0)*'ZD Vorerfassung'!$U$22:$U$36),
IF(OR(D40="SF",D40="FH"),SUM(IF(B40&gt;=_xlfn.NUMBERVALUE('ZD Vorerfassung'!$C$22:$C$36),1,0)*IF(B40&lt;=_xlfn.NUMBERVALUE('ZD Vorerfassung'!$D$22:$D$36),1,0)*'ZD Vorerfassung'!$V$22:$V$36*IF(D40="FH",0.5,1)),
"prüfen")))</f>
        <v>0</v>
      </c>
      <c r="AZ40" s="110">
        <f t="array" ref="AZ40">IF(OR(D40="UU",D40="FT",D40="WE",E40="Ferien"),0,
IF(D40="NR",SUM(IF(B40&gt;=_xlfn.NUMBERVALUE('ZD Vorerfassung'!$C$22:$C$36),1,0)*IF(B40&lt;=_xlfn.NUMBERVALUE('ZD Vorerfassung'!$D$22:$D$36),1,0)*'ZD Vorerfassung'!$S$22:$S$36),
IF(OR(D40="SF",D40="FH"),SUM(IF(B40&gt;=_xlfn.NUMBERVALUE('ZD Vorerfassung'!$C$22:$C$36),1,0)*IF(B40&lt;=_xlfn.NUMBERVALUE('ZD Vorerfassung'!$D$22:$D$36),1,0)*'ZD Vorerfassung'!$T$22:$T$36*IF(D40="FH",0.5,1)),
"prüfen")))</f>
        <v>0</v>
      </c>
      <c r="BA40" s="112">
        <f t="shared" si="8"/>
        <v>9</v>
      </c>
    </row>
    <row r="41" spans="1:54" ht="19.5" thickTop="1" thickBot="1" x14ac:dyDescent="0.3">
      <c r="B41" s="99">
        <f t="shared" si="0"/>
        <v>44806</v>
      </c>
      <c r="C41" s="100">
        <f t="shared" si="9"/>
        <v>44806</v>
      </c>
      <c r="D41" s="101" t="str">
        <f t="shared" si="10"/>
        <v>NR</v>
      </c>
      <c r="E41" s="102" t="str">
        <f t="shared" si="2"/>
        <v>Unterrichtstag</v>
      </c>
      <c r="F41" s="103">
        <f t="shared" si="11"/>
        <v>0</v>
      </c>
      <c r="G41" s="104">
        <f t="shared" si="12"/>
        <v>0</v>
      </c>
      <c r="H41" s="104">
        <f>IFERROR(IF('ZD Vorerfassung'!$E$11="manuell",SUM(I41),IF(OR(E41="Feiertag",E41="Wochenende"),0,IF('ZD Vorerfassung'!$E$11="automatisch",AX41,IF(D41="UU","UU",IF(E41=Param2,AX41/24,IF(E41=Param9,AX41/48,"")))))),0)</f>
        <v>0</v>
      </c>
      <c r="I41" s="105"/>
      <c r="J41" s="106">
        <f>IF('ZD Vorerfassung'!$E$12="manuell",SUM(K41:AI41),IF(OR(E41="Feiertag",E41="Wochenende"),0,IF('ZD Vorerfassung'!$E$12="automatisch",AY41,IF(D41="UU","UU",IF(E41=Param2,AY41/24,IF(E41=Param9,AY41/48,""))))))</f>
        <v>0</v>
      </c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7">
        <f t="shared" si="13"/>
        <v>0</v>
      </c>
      <c r="AK41" s="105"/>
      <c r="AL41" s="105"/>
      <c r="AM41" s="105"/>
      <c r="AN41" s="105"/>
      <c r="AO41" s="105"/>
      <c r="AP41" s="105"/>
      <c r="AQ41" s="108">
        <f t="shared" si="14"/>
        <v>0</v>
      </c>
      <c r="AR41" s="108">
        <f t="shared" si="15"/>
        <v>0</v>
      </c>
      <c r="AS41" s="109">
        <f t="shared" si="16"/>
        <v>0</v>
      </c>
      <c r="AU41" s="110">
        <f t="shared" si="7"/>
        <v>0</v>
      </c>
      <c r="AV41" s="111">
        <f>IF(D41="NR",
IF('ZD Vorerfassung'!$E$22="",0,IF(AND(B41&gt;='ZD Vorerfassung'!$C$22,B41&lt;='ZD Vorerfassung'!$D$22),HLOOKUP(TEXT(C41,"ttt"),'ZD Vorerfassung'!$H$21:$L$36,2,0),0))+
IF('ZD Vorerfassung'!$E$23="",0,IF(AND(B41&gt;='ZD Vorerfassung'!$C$23,B41&lt;='ZD Vorerfassung'!$D$23),HLOOKUP(TEXT(C41,"ttt"),'ZD Vorerfassung'!$H$21:$L$36,3,0),0))+
IF('ZD Vorerfassung'!$E$24="",0,IF(AND(B41&gt;='ZD Vorerfassung'!$C$24,B41&lt;='ZD Vorerfassung'!$D$24),HLOOKUP(TEXT(C41,"ttt"),'ZD Vorerfassung'!$H$21:$L$36,4,0),0))+
IF('ZD Vorerfassung'!$E$25="",0,IF(AND(B41&gt;='ZD Vorerfassung'!$C$25,B41&lt;='ZD Vorerfassung'!$D$25),HLOOKUP(TEXT(C41,"ttt"),'ZD Vorerfassung'!$H$21:$L$36,5,0),0))+
IF('ZD Vorerfassung'!$E$26="",0,IF(AND(B41&gt;='ZD Vorerfassung'!$C$26,B41&lt;='ZD Vorerfassung'!$D$26),HLOOKUP(TEXT(C41,"ttt"),'ZD Vorerfassung'!$H$21:$L$36,6,0),0))+
IF('ZD Vorerfassung'!$E$27="",0,IF(AND(B41&gt;='ZD Vorerfassung'!$C$27,B41&lt;='ZD Vorerfassung'!$D$27),HLOOKUP(TEXT(C41,"ttt"),'ZD Vorerfassung'!$H$21:$L$36,7,0),0))+
IF('ZD Vorerfassung'!$E$28="",0,IF(AND(B41&gt;='ZD Vorerfassung'!$C$28,B41&lt;='ZD Vorerfassung'!$D$28),HLOOKUP(TEXT(C41,"ttt"),'ZD Vorerfassung'!$H$21:$L$36,8,0),0))+
IF('ZD Vorerfassung'!$E$29="",0,IF(AND(B41&gt;='ZD Vorerfassung'!$C$29,B41&lt;='ZD Vorerfassung'!$D$29),HLOOKUP(TEXT(C41,"ttt"),'ZD Vorerfassung'!$H$21:$L$36,9,0),0))+
IF('ZD Vorerfassung'!$E$30="",0,IF(AND(B41&gt;='ZD Vorerfassung'!$C$30,B41&lt;='ZD Vorerfassung'!$D$30),HLOOKUP(TEXT(C41,"ttt"),'ZD Vorerfassung'!$H$21:$L$36,10,0),0))+
IF('ZD Vorerfassung'!$E$31="",0,IF(AND(B41&gt;='ZD Vorerfassung'!$C$31,B41&lt;='ZD Vorerfassung'!$D$31),HLOOKUP(TEXT(C41,"ttt"),'ZD Vorerfassung'!$H$21:$L$36,11,0),0))+
IF('ZD Vorerfassung'!$E$32="",0,IF(AND(B41&gt;='ZD Vorerfassung'!$C$32,B41&lt;='ZD Vorerfassung'!$D$32),HLOOKUP(TEXT(C41,"ttt"),'ZD Vorerfassung'!$H$21:$L$36,12,0),0))+
IF('ZD Vorerfassung'!$E$33="",0,IF(AND(B41&gt;='ZD Vorerfassung'!$C$33,B41&lt;='ZD Vorerfassung'!$D$33),HLOOKUP(TEXT(C41,"ttt"),'ZD Vorerfassung'!$H$21:$L$36,13,0),0))+
IF('ZD Vorerfassung'!$E$34="",0,IF(AND(B41&gt;='ZD Vorerfassung'!$C$34,B41&lt;='ZD Vorerfassung'!$D$34),HLOOKUP(TEXT(C41,"ttt"),'ZD Vorerfassung'!$H$21:$L$36,14,0),0))+
IF('ZD Vorerfassung'!$E$35="",0,IF(AND(B41&gt;='ZD Vorerfassung'!$C$35,B41&lt;='ZD Vorerfassung'!$D$35),HLOOKUP(TEXT(C41,"ttt"),'ZD Vorerfassung'!$H$21:$L$36,15,0),0))+
IF('ZD Vorerfassung'!$E$36="",0,IF(AND(B41&gt;='ZD Vorerfassung'!$C$36,B41&lt;='ZD Vorerfassung'!$D$36),HLOOKUP(TEXT(C41,"ttt"),'ZD Vorerfassung'!$H$21:$L$36,16,0),0)),"")</f>
        <v>0</v>
      </c>
      <c r="AW41" s="110">
        <f t="array" ref="AW41">IF(OR(D41="UU",D41="FT",D41="WE"),0,
IF(D41="NR",SUM(IF(B41&gt;=_xlfn.NUMBERVALUE('ZD Vorerfassung'!$C$22:$C$36),1,0)*IF(B41&lt;=_xlfn.NUMBERVALUE('ZD Vorerfassung'!$D$22:$D$36),1,0)*'ZD Vorerfassung'!$Q$22:$Q$36),
IF(OR(D41="SF",D41="FH"),SUM(IF(B41&gt;=_xlfn.NUMBERVALUE('ZD Vorerfassung'!$C$22:$C$36),1,0)*IF(B41&lt;=_xlfn.NUMBERVALUE('ZD Vorerfassung'!$D$22:$D$36),1,0)*'ZD Vorerfassung'!$R$22:$R$36*IF(D41="FH",0.5,1)),
"prüfen")))</f>
        <v>0</v>
      </c>
      <c r="AX41" s="110">
        <f t="array" ref="AX41">IF(OR(D41="UU",D41="FT",D41="WE",E41="Ferien"),0,
IF(D41="NR",SUM(IF(B41&gt;=_xlfn.NUMBERVALUE('ZD Vorerfassung'!$C$22:$C$36),1,0)*IF(B41&lt;=_xlfn.NUMBERVALUE('ZD Vorerfassung'!$D$22:$D$36),1,0)*'ZD Vorerfassung'!$W$22:$W$36),
IF(OR(D41="SF",D41="FH"),SUM(IF(B41&gt;=_xlfn.NUMBERVALUE('ZD Vorerfassung'!$C$22:$C$36),1,0)*IF(B41&lt;=_xlfn.NUMBERVALUE('ZD Vorerfassung'!$D$22:$D$36),1,0)*'ZD Vorerfassung'!$X$22:$X$36*IF(D41="FH",0.5,1)),
"prüfen")))</f>
        <v>0</v>
      </c>
      <c r="AY41" s="110">
        <f t="array" ref="AY41">IF(OR(D41="UU",D41="FT",D41="WE",E41="Ferien"),0,
IF(D41="NR",SUM(IF(B41&gt;=_xlfn.NUMBERVALUE('ZD Vorerfassung'!$C$22:$C$36),1,0)*IF(B41&lt;=_xlfn.NUMBERVALUE('ZD Vorerfassung'!$D$22:$D$36),1,0)*'ZD Vorerfassung'!$U$22:$U$36),
IF(OR(D41="SF",D41="FH"),SUM(IF(B41&gt;=_xlfn.NUMBERVALUE('ZD Vorerfassung'!$C$22:$C$36),1,0)*IF(B41&lt;=_xlfn.NUMBERVALUE('ZD Vorerfassung'!$D$22:$D$36),1,0)*'ZD Vorerfassung'!$V$22:$V$36*IF(D41="FH",0.5,1)),
"prüfen")))</f>
        <v>0</v>
      </c>
      <c r="AZ41" s="110">
        <f t="array" ref="AZ41">IF(OR(D41="UU",D41="FT",D41="WE",E41="Ferien"),0,
IF(D41="NR",SUM(IF(B41&gt;=_xlfn.NUMBERVALUE('ZD Vorerfassung'!$C$22:$C$36),1,0)*IF(B41&lt;=_xlfn.NUMBERVALUE('ZD Vorerfassung'!$D$22:$D$36),1,0)*'ZD Vorerfassung'!$S$22:$S$36),
IF(OR(D41="SF",D41="FH"),SUM(IF(B41&gt;=_xlfn.NUMBERVALUE('ZD Vorerfassung'!$C$22:$C$36),1,0)*IF(B41&lt;=_xlfn.NUMBERVALUE('ZD Vorerfassung'!$D$22:$D$36),1,0)*'ZD Vorerfassung'!$T$22:$T$36*IF(D41="FH",0.5,1)),
"prüfen")))</f>
        <v>0</v>
      </c>
      <c r="BA41" s="112">
        <f t="shared" si="8"/>
        <v>9</v>
      </c>
    </row>
    <row r="42" spans="1:54" ht="19.5" thickTop="1" thickBot="1" x14ac:dyDescent="0.3">
      <c r="B42" s="99">
        <f t="shared" si="0"/>
        <v>44807</v>
      </c>
      <c r="C42" s="100">
        <f t="shared" si="9"/>
        <v>44807</v>
      </c>
      <c r="D42" s="101" t="str">
        <f t="shared" si="10"/>
        <v>NR</v>
      </c>
      <c r="E42" s="102" t="str">
        <f t="shared" si="2"/>
        <v>Unterrichtstag</v>
      </c>
      <c r="F42" s="103">
        <f t="shared" si="11"/>
        <v>0</v>
      </c>
      <c r="G42" s="104">
        <f t="shared" si="12"/>
        <v>0</v>
      </c>
      <c r="H42" s="104">
        <f>IFERROR(IF('ZD Vorerfassung'!$E$11="manuell",SUM(I42),IF(OR(E42="Feiertag",E42="Wochenende"),0,IF('ZD Vorerfassung'!$E$11="automatisch",AX42,IF(D42="UU","UU",IF(E42=Param2,AX42/24,IF(E42=Param9,AX42/48,"")))))),0)</f>
        <v>0</v>
      </c>
      <c r="I42" s="105"/>
      <c r="J42" s="106">
        <f>IF('ZD Vorerfassung'!$E$12="manuell",SUM(K42:AI42),IF(OR(E42="Feiertag",E42="Wochenende"),0,IF('ZD Vorerfassung'!$E$12="automatisch",AY42,IF(D42="UU","UU",IF(E42=Param2,AY42/24,IF(E42=Param9,AY42/48,""))))))</f>
        <v>0</v>
      </c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7">
        <f t="shared" si="13"/>
        <v>0</v>
      </c>
      <c r="AK42" s="105"/>
      <c r="AL42" s="105"/>
      <c r="AM42" s="105"/>
      <c r="AN42" s="105"/>
      <c r="AO42" s="105"/>
      <c r="AP42" s="105"/>
      <c r="AQ42" s="108">
        <f t="shared" si="14"/>
        <v>0</v>
      </c>
      <c r="AR42" s="108">
        <f t="shared" si="15"/>
        <v>0</v>
      </c>
      <c r="AS42" s="109">
        <f t="shared" si="16"/>
        <v>0</v>
      </c>
      <c r="AU42" s="110">
        <f t="shared" si="7"/>
        <v>0</v>
      </c>
      <c r="AV42" s="111">
        <f>IF(D42="NR",
IF('ZD Vorerfassung'!$E$22="",0,IF(AND(B42&gt;='ZD Vorerfassung'!$C$22,B42&lt;='ZD Vorerfassung'!$D$22),HLOOKUP(TEXT(C42,"ttt"),'ZD Vorerfassung'!$H$21:$L$36,2,0),0))+
IF('ZD Vorerfassung'!$E$23="",0,IF(AND(B42&gt;='ZD Vorerfassung'!$C$23,B42&lt;='ZD Vorerfassung'!$D$23),HLOOKUP(TEXT(C42,"ttt"),'ZD Vorerfassung'!$H$21:$L$36,3,0),0))+
IF('ZD Vorerfassung'!$E$24="",0,IF(AND(B42&gt;='ZD Vorerfassung'!$C$24,B42&lt;='ZD Vorerfassung'!$D$24),HLOOKUP(TEXT(C42,"ttt"),'ZD Vorerfassung'!$H$21:$L$36,4,0),0))+
IF('ZD Vorerfassung'!$E$25="",0,IF(AND(B42&gt;='ZD Vorerfassung'!$C$25,B42&lt;='ZD Vorerfassung'!$D$25),HLOOKUP(TEXT(C42,"ttt"),'ZD Vorerfassung'!$H$21:$L$36,5,0),0))+
IF('ZD Vorerfassung'!$E$26="",0,IF(AND(B42&gt;='ZD Vorerfassung'!$C$26,B42&lt;='ZD Vorerfassung'!$D$26),HLOOKUP(TEXT(C42,"ttt"),'ZD Vorerfassung'!$H$21:$L$36,6,0),0))+
IF('ZD Vorerfassung'!$E$27="",0,IF(AND(B42&gt;='ZD Vorerfassung'!$C$27,B42&lt;='ZD Vorerfassung'!$D$27),HLOOKUP(TEXT(C42,"ttt"),'ZD Vorerfassung'!$H$21:$L$36,7,0),0))+
IF('ZD Vorerfassung'!$E$28="",0,IF(AND(B42&gt;='ZD Vorerfassung'!$C$28,B42&lt;='ZD Vorerfassung'!$D$28),HLOOKUP(TEXT(C42,"ttt"),'ZD Vorerfassung'!$H$21:$L$36,8,0),0))+
IF('ZD Vorerfassung'!$E$29="",0,IF(AND(B42&gt;='ZD Vorerfassung'!$C$29,B42&lt;='ZD Vorerfassung'!$D$29),HLOOKUP(TEXT(C42,"ttt"),'ZD Vorerfassung'!$H$21:$L$36,9,0),0))+
IF('ZD Vorerfassung'!$E$30="",0,IF(AND(B42&gt;='ZD Vorerfassung'!$C$30,B42&lt;='ZD Vorerfassung'!$D$30),HLOOKUP(TEXT(C42,"ttt"),'ZD Vorerfassung'!$H$21:$L$36,10,0),0))+
IF('ZD Vorerfassung'!$E$31="",0,IF(AND(B42&gt;='ZD Vorerfassung'!$C$31,B42&lt;='ZD Vorerfassung'!$D$31),HLOOKUP(TEXT(C42,"ttt"),'ZD Vorerfassung'!$H$21:$L$36,11,0),0))+
IF('ZD Vorerfassung'!$E$32="",0,IF(AND(B42&gt;='ZD Vorerfassung'!$C$32,B42&lt;='ZD Vorerfassung'!$D$32),HLOOKUP(TEXT(C42,"ttt"),'ZD Vorerfassung'!$H$21:$L$36,12,0),0))+
IF('ZD Vorerfassung'!$E$33="",0,IF(AND(B42&gt;='ZD Vorerfassung'!$C$33,B42&lt;='ZD Vorerfassung'!$D$33),HLOOKUP(TEXT(C42,"ttt"),'ZD Vorerfassung'!$H$21:$L$36,13,0),0))+
IF('ZD Vorerfassung'!$E$34="",0,IF(AND(B42&gt;='ZD Vorerfassung'!$C$34,B42&lt;='ZD Vorerfassung'!$D$34),HLOOKUP(TEXT(C42,"ttt"),'ZD Vorerfassung'!$H$21:$L$36,14,0),0))+
IF('ZD Vorerfassung'!$E$35="",0,IF(AND(B42&gt;='ZD Vorerfassung'!$C$35,B42&lt;='ZD Vorerfassung'!$D$35),HLOOKUP(TEXT(C42,"ttt"),'ZD Vorerfassung'!$H$21:$L$36,15,0),0))+
IF('ZD Vorerfassung'!$E$36="",0,IF(AND(B42&gt;='ZD Vorerfassung'!$C$36,B42&lt;='ZD Vorerfassung'!$D$36),HLOOKUP(TEXT(C42,"ttt"),'ZD Vorerfassung'!$H$21:$L$36,16,0),0)),"")</f>
        <v>0</v>
      </c>
      <c r="AW42" s="110">
        <f t="array" ref="AW42">IF(OR(D42="UU",D42="FT",D42="WE"),0,
IF(D42="NR",SUM(IF(B42&gt;=_xlfn.NUMBERVALUE('ZD Vorerfassung'!$C$22:$C$36),1,0)*IF(B42&lt;=_xlfn.NUMBERVALUE('ZD Vorerfassung'!$D$22:$D$36),1,0)*'ZD Vorerfassung'!$Q$22:$Q$36),
IF(OR(D42="SF",D42="FH"),SUM(IF(B42&gt;=_xlfn.NUMBERVALUE('ZD Vorerfassung'!$C$22:$C$36),1,0)*IF(B42&lt;=_xlfn.NUMBERVALUE('ZD Vorerfassung'!$D$22:$D$36),1,0)*'ZD Vorerfassung'!$R$22:$R$36*IF(D42="FH",0.5,1)),
"prüfen")))</f>
        <v>0</v>
      </c>
      <c r="AX42" s="110">
        <f t="array" ref="AX42">IF(OR(D42="UU",D42="FT",D42="WE",E42="Ferien"),0,
IF(D42="NR",SUM(IF(B42&gt;=_xlfn.NUMBERVALUE('ZD Vorerfassung'!$C$22:$C$36),1,0)*IF(B42&lt;=_xlfn.NUMBERVALUE('ZD Vorerfassung'!$D$22:$D$36),1,0)*'ZD Vorerfassung'!$W$22:$W$36),
IF(OR(D42="SF",D42="FH"),SUM(IF(B42&gt;=_xlfn.NUMBERVALUE('ZD Vorerfassung'!$C$22:$C$36),1,0)*IF(B42&lt;=_xlfn.NUMBERVALUE('ZD Vorerfassung'!$D$22:$D$36),1,0)*'ZD Vorerfassung'!$X$22:$X$36*IF(D42="FH",0.5,1)),
"prüfen")))</f>
        <v>0</v>
      </c>
      <c r="AY42" s="110">
        <f t="array" ref="AY42">IF(OR(D42="UU",D42="FT",D42="WE",E42="Ferien"),0,
IF(D42="NR",SUM(IF(B42&gt;=_xlfn.NUMBERVALUE('ZD Vorerfassung'!$C$22:$C$36),1,0)*IF(B42&lt;=_xlfn.NUMBERVALUE('ZD Vorerfassung'!$D$22:$D$36),1,0)*'ZD Vorerfassung'!$U$22:$U$36),
IF(OR(D42="SF",D42="FH"),SUM(IF(B42&gt;=_xlfn.NUMBERVALUE('ZD Vorerfassung'!$C$22:$C$36),1,0)*IF(B42&lt;=_xlfn.NUMBERVALUE('ZD Vorerfassung'!$D$22:$D$36),1,0)*'ZD Vorerfassung'!$V$22:$V$36*IF(D42="FH",0.5,1)),
"prüfen")))</f>
        <v>0</v>
      </c>
      <c r="AZ42" s="110">
        <f t="array" ref="AZ42">IF(OR(D42="UU",D42="FT",D42="WE",E42="Ferien"),0,
IF(D42="NR",SUM(IF(B42&gt;=_xlfn.NUMBERVALUE('ZD Vorerfassung'!$C$22:$C$36),1,0)*IF(B42&lt;=_xlfn.NUMBERVALUE('ZD Vorerfassung'!$D$22:$D$36),1,0)*'ZD Vorerfassung'!$S$22:$S$36),
IF(OR(D42="SF",D42="FH"),SUM(IF(B42&gt;=_xlfn.NUMBERVALUE('ZD Vorerfassung'!$C$22:$C$36),1,0)*IF(B42&lt;=_xlfn.NUMBERVALUE('ZD Vorerfassung'!$D$22:$D$36),1,0)*'ZD Vorerfassung'!$T$22:$T$36*IF(D42="FH",0.5,1)),
"prüfen")))</f>
        <v>0</v>
      </c>
      <c r="BA42" s="112">
        <f t="shared" si="8"/>
        <v>9</v>
      </c>
    </row>
    <row r="43" spans="1:54" ht="19.5" thickTop="1" thickBot="1" x14ac:dyDescent="0.3">
      <c r="B43" s="99">
        <f t="shared" si="0"/>
        <v>44808</v>
      </c>
      <c r="C43" s="100">
        <f t="shared" si="9"/>
        <v>44808</v>
      </c>
      <c r="D43" s="101" t="str">
        <f t="shared" si="10"/>
        <v>WE</v>
      </c>
      <c r="E43" s="102" t="str">
        <f t="shared" si="2"/>
        <v>Wochenende</v>
      </c>
      <c r="F43" s="103" t="str">
        <f t="shared" si="11"/>
        <v/>
      </c>
      <c r="G43" s="104" t="str">
        <f t="shared" si="12"/>
        <v/>
      </c>
      <c r="H43" s="104">
        <f>IFERROR(IF('ZD Vorerfassung'!$E$11="manuell",SUM(I43),IF(OR(E43="Feiertag",E43="Wochenende"),0,IF('ZD Vorerfassung'!$E$11="automatisch",AX43,IF(D43="UU","UU",IF(E43=Param2,AX43/24,IF(E43=Param9,AX43/48,"")))))),0)</f>
        <v>0</v>
      </c>
      <c r="I43" s="105"/>
      <c r="J43" s="106">
        <f>IF('ZD Vorerfassung'!$E$12="manuell",SUM(K43:AI43),IF(OR(E43="Feiertag",E43="Wochenende"),0,IF('ZD Vorerfassung'!$E$12="automatisch",AY43,IF(D43="UU","UU",IF(E43=Param2,AY43/24,IF(E43=Param9,AY43/48,""))))))</f>
        <v>0</v>
      </c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7">
        <f t="shared" si="13"/>
        <v>0</v>
      </c>
      <c r="AK43" s="105"/>
      <c r="AL43" s="105"/>
      <c r="AM43" s="105"/>
      <c r="AN43" s="105"/>
      <c r="AO43" s="105"/>
      <c r="AP43" s="105"/>
      <c r="AQ43" s="108">
        <f t="shared" si="14"/>
        <v>0</v>
      </c>
      <c r="AR43" s="108">
        <f t="shared" si="15"/>
        <v>0</v>
      </c>
      <c r="AS43" s="109">
        <f t="shared" si="16"/>
        <v>0</v>
      </c>
      <c r="AU43" s="110">
        <f t="shared" si="7"/>
        <v>0</v>
      </c>
      <c r="AV43" s="111" t="str">
        <f>IF(D43="NR",
IF('ZD Vorerfassung'!$E$22="",0,IF(AND(B43&gt;='ZD Vorerfassung'!$C$22,B43&lt;='ZD Vorerfassung'!$D$22),HLOOKUP(TEXT(C43,"ttt"),'ZD Vorerfassung'!$H$21:$L$36,2,0),0))+
IF('ZD Vorerfassung'!$E$23="",0,IF(AND(B43&gt;='ZD Vorerfassung'!$C$23,B43&lt;='ZD Vorerfassung'!$D$23),HLOOKUP(TEXT(C43,"ttt"),'ZD Vorerfassung'!$H$21:$L$36,3,0),0))+
IF('ZD Vorerfassung'!$E$24="",0,IF(AND(B43&gt;='ZD Vorerfassung'!$C$24,B43&lt;='ZD Vorerfassung'!$D$24),HLOOKUP(TEXT(C43,"ttt"),'ZD Vorerfassung'!$H$21:$L$36,4,0),0))+
IF('ZD Vorerfassung'!$E$25="",0,IF(AND(B43&gt;='ZD Vorerfassung'!$C$25,B43&lt;='ZD Vorerfassung'!$D$25),HLOOKUP(TEXT(C43,"ttt"),'ZD Vorerfassung'!$H$21:$L$36,5,0),0))+
IF('ZD Vorerfassung'!$E$26="",0,IF(AND(B43&gt;='ZD Vorerfassung'!$C$26,B43&lt;='ZD Vorerfassung'!$D$26),HLOOKUP(TEXT(C43,"ttt"),'ZD Vorerfassung'!$H$21:$L$36,6,0),0))+
IF('ZD Vorerfassung'!$E$27="",0,IF(AND(B43&gt;='ZD Vorerfassung'!$C$27,B43&lt;='ZD Vorerfassung'!$D$27),HLOOKUP(TEXT(C43,"ttt"),'ZD Vorerfassung'!$H$21:$L$36,7,0),0))+
IF('ZD Vorerfassung'!$E$28="",0,IF(AND(B43&gt;='ZD Vorerfassung'!$C$28,B43&lt;='ZD Vorerfassung'!$D$28),HLOOKUP(TEXT(C43,"ttt"),'ZD Vorerfassung'!$H$21:$L$36,8,0),0))+
IF('ZD Vorerfassung'!$E$29="",0,IF(AND(B43&gt;='ZD Vorerfassung'!$C$29,B43&lt;='ZD Vorerfassung'!$D$29),HLOOKUP(TEXT(C43,"ttt"),'ZD Vorerfassung'!$H$21:$L$36,9,0),0))+
IF('ZD Vorerfassung'!$E$30="",0,IF(AND(B43&gt;='ZD Vorerfassung'!$C$30,B43&lt;='ZD Vorerfassung'!$D$30),HLOOKUP(TEXT(C43,"ttt"),'ZD Vorerfassung'!$H$21:$L$36,10,0),0))+
IF('ZD Vorerfassung'!$E$31="",0,IF(AND(B43&gt;='ZD Vorerfassung'!$C$31,B43&lt;='ZD Vorerfassung'!$D$31),HLOOKUP(TEXT(C43,"ttt"),'ZD Vorerfassung'!$H$21:$L$36,11,0),0))+
IF('ZD Vorerfassung'!$E$32="",0,IF(AND(B43&gt;='ZD Vorerfassung'!$C$32,B43&lt;='ZD Vorerfassung'!$D$32),HLOOKUP(TEXT(C43,"ttt"),'ZD Vorerfassung'!$H$21:$L$36,12,0),0))+
IF('ZD Vorerfassung'!$E$33="",0,IF(AND(B43&gt;='ZD Vorerfassung'!$C$33,B43&lt;='ZD Vorerfassung'!$D$33),HLOOKUP(TEXT(C43,"ttt"),'ZD Vorerfassung'!$H$21:$L$36,13,0),0))+
IF('ZD Vorerfassung'!$E$34="",0,IF(AND(B43&gt;='ZD Vorerfassung'!$C$34,B43&lt;='ZD Vorerfassung'!$D$34),HLOOKUP(TEXT(C43,"ttt"),'ZD Vorerfassung'!$H$21:$L$36,14,0),0))+
IF('ZD Vorerfassung'!$E$35="",0,IF(AND(B43&gt;='ZD Vorerfassung'!$C$35,B43&lt;='ZD Vorerfassung'!$D$35),HLOOKUP(TEXT(C43,"ttt"),'ZD Vorerfassung'!$H$21:$L$36,15,0),0))+
IF('ZD Vorerfassung'!$E$36="",0,IF(AND(B43&gt;='ZD Vorerfassung'!$C$36,B43&lt;='ZD Vorerfassung'!$D$36),HLOOKUP(TEXT(C43,"ttt"),'ZD Vorerfassung'!$H$21:$L$36,16,0),0)),"")</f>
        <v/>
      </c>
      <c r="AW43" s="110">
        <f t="array" ref="AW43">IF(OR(D43="UU",D43="FT",D43="WE"),0,
IF(D43="NR",SUM(IF(B43&gt;=_xlfn.NUMBERVALUE('ZD Vorerfassung'!$C$22:$C$36),1,0)*IF(B43&lt;=_xlfn.NUMBERVALUE('ZD Vorerfassung'!$D$22:$D$36),1,0)*'ZD Vorerfassung'!$Q$22:$Q$36),
IF(OR(D43="SF",D43="FH"),SUM(IF(B43&gt;=_xlfn.NUMBERVALUE('ZD Vorerfassung'!$C$22:$C$36),1,0)*IF(B43&lt;=_xlfn.NUMBERVALUE('ZD Vorerfassung'!$D$22:$D$36),1,0)*'ZD Vorerfassung'!$R$22:$R$36*IF(D43="FH",0.5,1)),
"prüfen")))</f>
        <v>0</v>
      </c>
      <c r="AX43" s="110">
        <f t="array" ref="AX43">IF(OR(D43="UU",D43="FT",D43="WE",E43="Ferien"),0,
IF(D43="NR",SUM(IF(B43&gt;=_xlfn.NUMBERVALUE('ZD Vorerfassung'!$C$22:$C$36),1,0)*IF(B43&lt;=_xlfn.NUMBERVALUE('ZD Vorerfassung'!$D$22:$D$36),1,0)*'ZD Vorerfassung'!$W$22:$W$36),
IF(OR(D43="SF",D43="FH"),SUM(IF(B43&gt;=_xlfn.NUMBERVALUE('ZD Vorerfassung'!$C$22:$C$36),1,0)*IF(B43&lt;=_xlfn.NUMBERVALUE('ZD Vorerfassung'!$D$22:$D$36),1,0)*'ZD Vorerfassung'!$X$22:$X$36*IF(D43="FH",0.5,1)),
"prüfen")))</f>
        <v>0</v>
      </c>
      <c r="AY43" s="110">
        <f t="array" ref="AY43">IF(OR(D43="UU",D43="FT",D43="WE",E43="Ferien"),0,
IF(D43="NR",SUM(IF(B43&gt;=_xlfn.NUMBERVALUE('ZD Vorerfassung'!$C$22:$C$36),1,0)*IF(B43&lt;=_xlfn.NUMBERVALUE('ZD Vorerfassung'!$D$22:$D$36),1,0)*'ZD Vorerfassung'!$U$22:$U$36),
IF(OR(D43="SF",D43="FH"),SUM(IF(B43&gt;=_xlfn.NUMBERVALUE('ZD Vorerfassung'!$C$22:$C$36),1,0)*IF(B43&lt;=_xlfn.NUMBERVALUE('ZD Vorerfassung'!$D$22:$D$36),1,0)*'ZD Vorerfassung'!$V$22:$V$36*IF(D43="FH",0.5,1)),
"prüfen")))</f>
        <v>0</v>
      </c>
      <c r="AZ43" s="110">
        <f t="array" ref="AZ43">IF(OR(D43="UU",D43="FT",D43="WE",E43="Ferien"),0,
IF(D43="NR",SUM(IF(B43&gt;=_xlfn.NUMBERVALUE('ZD Vorerfassung'!$C$22:$C$36),1,0)*IF(B43&lt;=_xlfn.NUMBERVALUE('ZD Vorerfassung'!$D$22:$D$36),1,0)*'ZD Vorerfassung'!$S$22:$S$36),
IF(OR(D43="SF",D43="FH"),SUM(IF(B43&gt;=_xlfn.NUMBERVALUE('ZD Vorerfassung'!$C$22:$C$36),1,0)*IF(B43&lt;=_xlfn.NUMBERVALUE('ZD Vorerfassung'!$D$22:$D$36),1,0)*'ZD Vorerfassung'!$T$22:$T$36*IF(D43="FH",0.5,1)),
"prüfen")))</f>
        <v>0</v>
      </c>
      <c r="BA43" s="112">
        <f t="shared" si="8"/>
        <v>9</v>
      </c>
    </row>
    <row r="44" spans="1:54" ht="19.5" thickTop="1" thickBot="1" x14ac:dyDescent="0.3">
      <c r="B44" s="99">
        <f t="shared" si="0"/>
        <v>44809</v>
      </c>
      <c r="C44" s="100">
        <f t="shared" si="9"/>
        <v>44809</v>
      </c>
      <c r="D44" s="101" t="str">
        <f t="shared" si="10"/>
        <v>WE</v>
      </c>
      <c r="E44" s="102" t="str">
        <f t="shared" si="2"/>
        <v>Wochenende</v>
      </c>
      <c r="F44" s="103" t="str">
        <f t="shared" si="11"/>
        <v/>
      </c>
      <c r="G44" s="104" t="str">
        <f t="shared" si="12"/>
        <v/>
      </c>
      <c r="H44" s="104">
        <f>IFERROR(IF('ZD Vorerfassung'!$E$11="manuell",SUM(I44),IF(OR(E44="Feiertag",E44="Wochenende"),0,IF('ZD Vorerfassung'!$E$11="automatisch",AX44,IF(D44="UU","UU",IF(E44=Param2,AX44/24,IF(E44=Param9,AX44/48,"")))))),0)</f>
        <v>0</v>
      </c>
      <c r="I44" s="105"/>
      <c r="J44" s="106">
        <f>IF('ZD Vorerfassung'!$E$12="manuell",SUM(K44:AI44),IF(OR(E44="Feiertag",E44="Wochenende"),0,IF('ZD Vorerfassung'!$E$12="automatisch",AY44,IF(D44="UU","UU",IF(E44=Param2,AY44/24,IF(E44=Param9,AY44/48,""))))))</f>
        <v>0</v>
      </c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7">
        <f t="shared" si="13"/>
        <v>0</v>
      </c>
      <c r="AK44" s="105"/>
      <c r="AL44" s="105"/>
      <c r="AM44" s="105"/>
      <c r="AN44" s="105"/>
      <c r="AO44" s="105"/>
      <c r="AP44" s="105"/>
      <c r="AQ44" s="108">
        <f t="shared" si="14"/>
        <v>0</v>
      </c>
      <c r="AR44" s="108">
        <f t="shared" si="15"/>
        <v>0</v>
      </c>
      <c r="AS44" s="109">
        <f t="shared" si="16"/>
        <v>0</v>
      </c>
      <c r="AU44" s="110">
        <f t="shared" si="7"/>
        <v>0</v>
      </c>
      <c r="AV44" s="111" t="str">
        <f>IF(D44="NR",
IF('ZD Vorerfassung'!$E$22="",0,IF(AND(B44&gt;='ZD Vorerfassung'!$C$22,B44&lt;='ZD Vorerfassung'!$D$22),HLOOKUP(TEXT(C44,"ttt"),'ZD Vorerfassung'!$H$21:$L$36,2,0),0))+
IF('ZD Vorerfassung'!$E$23="",0,IF(AND(B44&gt;='ZD Vorerfassung'!$C$23,B44&lt;='ZD Vorerfassung'!$D$23),HLOOKUP(TEXT(C44,"ttt"),'ZD Vorerfassung'!$H$21:$L$36,3,0),0))+
IF('ZD Vorerfassung'!$E$24="",0,IF(AND(B44&gt;='ZD Vorerfassung'!$C$24,B44&lt;='ZD Vorerfassung'!$D$24),HLOOKUP(TEXT(C44,"ttt"),'ZD Vorerfassung'!$H$21:$L$36,4,0),0))+
IF('ZD Vorerfassung'!$E$25="",0,IF(AND(B44&gt;='ZD Vorerfassung'!$C$25,B44&lt;='ZD Vorerfassung'!$D$25),HLOOKUP(TEXT(C44,"ttt"),'ZD Vorerfassung'!$H$21:$L$36,5,0),0))+
IF('ZD Vorerfassung'!$E$26="",0,IF(AND(B44&gt;='ZD Vorerfassung'!$C$26,B44&lt;='ZD Vorerfassung'!$D$26),HLOOKUP(TEXT(C44,"ttt"),'ZD Vorerfassung'!$H$21:$L$36,6,0),0))+
IF('ZD Vorerfassung'!$E$27="",0,IF(AND(B44&gt;='ZD Vorerfassung'!$C$27,B44&lt;='ZD Vorerfassung'!$D$27),HLOOKUP(TEXT(C44,"ttt"),'ZD Vorerfassung'!$H$21:$L$36,7,0),0))+
IF('ZD Vorerfassung'!$E$28="",0,IF(AND(B44&gt;='ZD Vorerfassung'!$C$28,B44&lt;='ZD Vorerfassung'!$D$28),HLOOKUP(TEXT(C44,"ttt"),'ZD Vorerfassung'!$H$21:$L$36,8,0),0))+
IF('ZD Vorerfassung'!$E$29="",0,IF(AND(B44&gt;='ZD Vorerfassung'!$C$29,B44&lt;='ZD Vorerfassung'!$D$29),HLOOKUP(TEXT(C44,"ttt"),'ZD Vorerfassung'!$H$21:$L$36,9,0),0))+
IF('ZD Vorerfassung'!$E$30="",0,IF(AND(B44&gt;='ZD Vorerfassung'!$C$30,B44&lt;='ZD Vorerfassung'!$D$30),HLOOKUP(TEXT(C44,"ttt"),'ZD Vorerfassung'!$H$21:$L$36,10,0),0))+
IF('ZD Vorerfassung'!$E$31="",0,IF(AND(B44&gt;='ZD Vorerfassung'!$C$31,B44&lt;='ZD Vorerfassung'!$D$31),HLOOKUP(TEXT(C44,"ttt"),'ZD Vorerfassung'!$H$21:$L$36,11,0),0))+
IF('ZD Vorerfassung'!$E$32="",0,IF(AND(B44&gt;='ZD Vorerfassung'!$C$32,B44&lt;='ZD Vorerfassung'!$D$32),HLOOKUP(TEXT(C44,"ttt"),'ZD Vorerfassung'!$H$21:$L$36,12,0),0))+
IF('ZD Vorerfassung'!$E$33="",0,IF(AND(B44&gt;='ZD Vorerfassung'!$C$33,B44&lt;='ZD Vorerfassung'!$D$33),HLOOKUP(TEXT(C44,"ttt"),'ZD Vorerfassung'!$H$21:$L$36,13,0),0))+
IF('ZD Vorerfassung'!$E$34="",0,IF(AND(B44&gt;='ZD Vorerfassung'!$C$34,B44&lt;='ZD Vorerfassung'!$D$34),HLOOKUP(TEXT(C44,"ttt"),'ZD Vorerfassung'!$H$21:$L$36,14,0),0))+
IF('ZD Vorerfassung'!$E$35="",0,IF(AND(B44&gt;='ZD Vorerfassung'!$C$35,B44&lt;='ZD Vorerfassung'!$D$35),HLOOKUP(TEXT(C44,"ttt"),'ZD Vorerfassung'!$H$21:$L$36,15,0),0))+
IF('ZD Vorerfassung'!$E$36="",0,IF(AND(B44&gt;='ZD Vorerfassung'!$C$36,B44&lt;='ZD Vorerfassung'!$D$36),HLOOKUP(TEXT(C44,"ttt"),'ZD Vorerfassung'!$H$21:$L$36,16,0),0)),"")</f>
        <v/>
      </c>
      <c r="AW44" s="110">
        <f t="array" ref="AW44">IF(OR(D44="UU",D44="FT",D44="WE"),0,
IF(D44="NR",SUM(IF(B44&gt;=_xlfn.NUMBERVALUE('ZD Vorerfassung'!$C$22:$C$36),1,0)*IF(B44&lt;=_xlfn.NUMBERVALUE('ZD Vorerfassung'!$D$22:$D$36),1,0)*'ZD Vorerfassung'!$Q$22:$Q$36),
IF(OR(D44="SF",D44="FH"),SUM(IF(B44&gt;=_xlfn.NUMBERVALUE('ZD Vorerfassung'!$C$22:$C$36),1,0)*IF(B44&lt;=_xlfn.NUMBERVALUE('ZD Vorerfassung'!$D$22:$D$36),1,0)*'ZD Vorerfassung'!$R$22:$R$36*IF(D44="FH",0.5,1)),
"prüfen")))</f>
        <v>0</v>
      </c>
      <c r="AX44" s="110">
        <f t="array" ref="AX44">IF(OR(D44="UU",D44="FT",D44="WE",E44="Ferien"),0,
IF(D44="NR",SUM(IF(B44&gt;=_xlfn.NUMBERVALUE('ZD Vorerfassung'!$C$22:$C$36),1,0)*IF(B44&lt;=_xlfn.NUMBERVALUE('ZD Vorerfassung'!$D$22:$D$36),1,0)*'ZD Vorerfassung'!$W$22:$W$36),
IF(OR(D44="SF",D44="FH"),SUM(IF(B44&gt;=_xlfn.NUMBERVALUE('ZD Vorerfassung'!$C$22:$C$36),1,0)*IF(B44&lt;=_xlfn.NUMBERVALUE('ZD Vorerfassung'!$D$22:$D$36),1,0)*'ZD Vorerfassung'!$X$22:$X$36*IF(D44="FH",0.5,1)),
"prüfen")))</f>
        <v>0</v>
      </c>
      <c r="AY44" s="110">
        <f t="array" ref="AY44">IF(OR(D44="UU",D44="FT",D44="WE",E44="Ferien"),0,
IF(D44="NR",SUM(IF(B44&gt;=_xlfn.NUMBERVALUE('ZD Vorerfassung'!$C$22:$C$36),1,0)*IF(B44&lt;=_xlfn.NUMBERVALUE('ZD Vorerfassung'!$D$22:$D$36),1,0)*'ZD Vorerfassung'!$U$22:$U$36),
IF(OR(D44="SF",D44="FH"),SUM(IF(B44&gt;=_xlfn.NUMBERVALUE('ZD Vorerfassung'!$C$22:$C$36),1,0)*IF(B44&lt;=_xlfn.NUMBERVALUE('ZD Vorerfassung'!$D$22:$D$36),1,0)*'ZD Vorerfassung'!$V$22:$V$36*IF(D44="FH",0.5,1)),
"prüfen")))</f>
        <v>0</v>
      </c>
      <c r="AZ44" s="110">
        <f t="array" ref="AZ44">IF(OR(D44="UU",D44="FT",D44="WE",E44="Ferien"),0,
IF(D44="NR",SUM(IF(B44&gt;=_xlfn.NUMBERVALUE('ZD Vorerfassung'!$C$22:$C$36),1,0)*IF(B44&lt;=_xlfn.NUMBERVALUE('ZD Vorerfassung'!$D$22:$D$36),1,0)*'ZD Vorerfassung'!$S$22:$S$36),
IF(OR(D44="SF",D44="FH"),SUM(IF(B44&gt;=_xlfn.NUMBERVALUE('ZD Vorerfassung'!$C$22:$C$36),1,0)*IF(B44&lt;=_xlfn.NUMBERVALUE('ZD Vorerfassung'!$D$22:$D$36),1,0)*'ZD Vorerfassung'!$T$22:$T$36*IF(D44="FH",0.5,1)),
"prüfen")))</f>
        <v>0</v>
      </c>
      <c r="BA44" s="112">
        <f t="shared" si="8"/>
        <v>9</v>
      </c>
    </row>
    <row r="45" spans="1:54" ht="19.5" thickTop="1" thickBot="1" x14ac:dyDescent="0.3">
      <c r="B45" s="99">
        <f t="shared" si="0"/>
        <v>44810</v>
      </c>
      <c r="C45" s="100">
        <f t="shared" si="9"/>
        <v>44810</v>
      </c>
      <c r="D45" s="101" t="str">
        <f t="shared" si="10"/>
        <v>NR</v>
      </c>
      <c r="E45" s="102" t="str">
        <f t="shared" si="2"/>
        <v>Unterrichtstag</v>
      </c>
      <c r="F45" s="103">
        <f t="shared" si="11"/>
        <v>0</v>
      </c>
      <c r="G45" s="104">
        <f t="shared" si="12"/>
        <v>0</v>
      </c>
      <c r="H45" s="104">
        <f>IFERROR(IF('ZD Vorerfassung'!$E$11="manuell",SUM(I45),IF(OR(E45="Feiertag",E45="Wochenende"),0,IF('ZD Vorerfassung'!$E$11="automatisch",AX45,IF(D45="UU","UU",IF(E45=Param2,AX45/24,IF(E45=Param9,AX45/48,"")))))),0)</f>
        <v>0</v>
      </c>
      <c r="I45" s="105"/>
      <c r="J45" s="106">
        <f>IF('ZD Vorerfassung'!$E$12="manuell",SUM(K45:AI45),IF(OR(E45="Feiertag",E45="Wochenende"),0,IF('ZD Vorerfassung'!$E$12="automatisch",AY45,IF(D45="UU","UU",IF(E45=Param2,AY45/24,IF(E45=Param9,AY45/48,""))))))</f>
        <v>0</v>
      </c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7">
        <f t="shared" si="13"/>
        <v>0</v>
      </c>
      <c r="AK45" s="105"/>
      <c r="AL45" s="105"/>
      <c r="AM45" s="105"/>
      <c r="AN45" s="105"/>
      <c r="AO45" s="105"/>
      <c r="AP45" s="105"/>
      <c r="AQ45" s="108">
        <f t="shared" si="14"/>
        <v>0</v>
      </c>
      <c r="AR45" s="108">
        <f t="shared" si="15"/>
        <v>0</v>
      </c>
      <c r="AS45" s="109">
        <f t="shared" si="16"/>
        <v>0</v>
      </c>
      <c r="AU45" s="110">
        <f t="shared" si="7"/>
        <v>0</v>
      </c>
      <c r="AV45" s="111">
        <f>IF(D45="NR",
IF('ZD Vorerfassung'!$E$22="",0,IF(AND(B45&gt;='ZD Vorerfassung'!$C$22,B45&lt;='ZD Vorerfassung'!$D$22),HLOOKUP(TEXT(C45,"ttt"),'ZD Vorerfassung'!$H$21:$L$36,2,0),0))+
IF('ZD Vorerfassung'!$E$23="",0,IF(AND(B45&gt;='ZD Vorerfassung'!$C$23,B45&lt;='ZD Vorerfassung'!$D$23),HLOOKUP(TEXT(C45,"ttt"),'ZD Vorerfassung'!$H$21:$L$36,3,0),0))+
IF('ZD Vorerfassung'!$E$24="",0,IF(AND(B45&gt;='ZD Vorerfassung'!$C$24,B45&lt;='ZD Vorerfassung'!$D$24),HLOOKUP(TEXT(C45,"ttt"),'ZD Vorerfassung'!$H$21:$L$36,4,0),0))+
IF('ZD Vorerfassung'!$E$25="",0,IF(AND(B45&gt;='ZD Vorerfassung'!$C$25,B45&lt;='ZD Vorerfassung'!$D$25),HLOOKUP(TEXT(C45,"ttt"),'ZD Vorerfassung'!$H$21:$L$36,5,0),0))+
IF('ZD Vorerfassung'!$E$26="",0,IF(AND(B45&gt;='ZD Vorerfassung'!$C$26,B45&lt;='ZD Vorerfassung'!$D$26),HLOOKUP(TEXT(C45,"ttt"),'ZD Vorerfassung'!$H$21:$L$36,6,0),0))+
IF('ZD Vorerfassung'!$E$27="",0,IF(AND(B45&gt;='ZD Vorerfassung'!$C$27,B45&lt;='ZD Vorerfassung'!$D$27),HLOOKUP(TEXT(C45,"ttt"),'ZD Vorerfassung'!$H$21:$L$36,7,0),0))+
IF('ZD Vorerfassung'!$E$28="",0,IF(AND(B45&gt;='ZD Vorerfassung'!$C$28,B45&lt;='ZD Vorerfassung'!$D$28),HLOOKUP(TEXT(C45,"ttt"),'ZD Vorerfassung'!$H$21:$L$36,8,0),0))+
IF('ZD Vorerfassung'!$E$29="",0,IF(AND(B45&gt;='ZD Vorerfassung'!$C$29,B45&lt;='ZD Vorerfassung'!$D$29),HLOOKUP(TEXT(C45,"ttt"),'ZD Vorerfassung'!$H$21:$L$36,9,0),0))+
IF('ZD Vorerfassung'!$E$30="",0,IF(AND(B45&gt;='ZD Vorerfassung'!$C$30,B45&lt;='ZD Vorerfassung'!$D$30),HLOOKUP(TEXT(C45,"ttt"),'ZD Vorerfassung'!$H$21:$L$36,10,0),0))+
IF('ZD Vorerfassung'!$E$31="",0,IF(AND(B45&gt;='ZD Vorerfassung'!$C$31,B45&lt;='ZD Vorerfassung'!$D$31),HLOOKUP(TEXT(C45,"ttt"),'ZD Vorerfassung'!$H$21:$L$36,11,0),0))+
IF('ZD Vorerfassung'!$E$32="",0,IF(AND(B45&gt;='ZD Vorerfassung'!$C$32,B45&lt;='ZD Vorerfassung'!$D$32),HLOOKUP(TEXT(C45,"ttt"),'ZD Vorerfassung'!$H$21:$L$36,12,0),0))+
IF('ZD Vorerfassung'!$E$33="",0,IF(AND(B45&gt;='ZD Vorerfassung'!$C$33,B45&lt;='ZD Vorerfassung'!$D$33),HLOOKUP(TEXT(C45,"ttt"),'ZD Vorerfassung'!$H$21:$L$36,13,0),0))+
IF('ZD Vorerfassung'!$E$34="",0,IF(AND(B45&gt;='ZD Vorerfassung'!$C$34,B45&lt;='ZD Vorerfassung'!$D$34),HLOOKUP(TEXT(C45,"ttt"),'ZD Vorerfassung'!$H$21:$L$36,14,0),0))+
IF('ZD Vorerfassung'!$E$35="",0,IF(AND(B45&gt;='ZD Vorerfassung'!$C$35,B45&lt;='ZD Vorerfassung'!$D$35),HLOOKUP(TEXT(C45,"ttt"),'ZD Vorerfassung'!$H$21:$L$36,15,0),0))+
IF('ZD Vorerfassung'!$E$36="",0,IF(AND(B45&gt;='ZD Vorerfassung'!$C$36,B45&lt;='ZD Vorerfassung'!$D$36),HLOOKUP(TEXT(C45,"ttt"),'ZD Vorerfassung'!$H$21:$L$36,16,0),0)),"")</f>
        <v>0</v>
      </c>
      <c r="AW45" s="110">
        <f t="array" ref="AW45">IF(OR(D45="UU",D45="FT",D45="WE"),0,
IF(D45="NR",SUM(IF(B45&gt;=_xlfn.NUMBERVALUE('ZD Vorerfassung'!$C$22:$C$36),1,0)*IF(B45&lt;=_xlfn.NUMBERVALUE('ZD Vorerfassung'!$D$22:$D$36),1,0)*'ZD Vorerfassung'!$Q$22:$Q$36),
IF(OR(D45="SF",D45="FH"),SUM(IF(B45&gt;=_xlfn.NUMBERVALUE('ZD Vorerfassung'!$C$22:$C$36),1,0)*IF(B45&lt;=_xlfn.NUMBERVALUE('ZD Vorerfassung'!$D$22:$D$36),1,0)*'ZD Vorerfassung'!$R$22:$R$36*IF(D45="FH",0.5,1)),
"prüfen")))</f>
        <v>0</v>
      </c>
      <c r="AX45" s="110">
        <f t="array" ref="AX45">IF(OR(D45="UU",D45="FT",D45="WE",E45="Ferien"),0,
IF(D45="NR",SUM(IF(B45&gt;=_xlfn.NUMBERVALUE('ZD Vorerfassung'!$C$22:$C$36),1,0)*IF(B45&lt;=_xlfn.NUMBERVALUE('ZD Vorerfassung'!$D$22:$D$36),1,0)*'ZD Vorerfassung'!$W$22:$W$36),
IF(OR(D45="SF",D45="FH"),SUM(IF(B45&gt;=_xlfn.NUMBERVALUE('ZD Vorerfassung'!$C$22:$C$36),1,0)*IF(B45&lt;=_xlfn.NUMBERVALUE('ZD Vorerfassung'!$D$22:$D$36),1,0)*'ZD Vorerfassung'!$X$22:$X$36*IF(D45="FH",0.5,1)),
"prüfen")))</f>
        <v>0</v>
      </c>
      <c r="AY45" s="110">
        <f t="array" ref="AY45">IF(OR(D45="UU",D45="FT",D45="WE",E45="Ferien"),0,
IF(D45="NR",SUM(IF(B45&gt;=_xlfn.NUMBERVALUE('ZD Vorerfassung'!$C$22:$C$36),1,0)*IF(B45&lt;=_xlfn.NUMBERVALUE('ZD Vorerfassung'!$D$22:$D$36),1,0)*'ZD Vorerfassung'!$U$22:$U$36),
IF(OR(D45="SF",D45="FH"),SUM(IF(B45&gt;=_xlfn.NUMBERVALUE('ZD Vorerfassung'!$C$22:$C$36),1,0)*IF(B45&lt;=_xlfn.NUMBERVALUE('ZD Vorerfassung'!$D$22:$D$36),1,0)*'ZD Vorerfassung'!$V$22:$V$36*IF(D45="FH",0.5,1)),
"prüfen")))</f>
        <v>0</v>
      </c>
      <c r="AZ45" s="110">
        <f t="array" ref="AZ45">IF(OR(D45="UU",D45="FT",D45="WE",E45="Ferien"),0,
IF(D45="NR",SUM(IF(B45&gt;=_xlfn.NUMBERVALUE('ZD Vorerfassung'!$C$22:$C$36),1,0)*IF(B45&lt;=_xlfn.NUMBERVALUE('ZD Vorerfassung'!$D$22:$D$36),1,0)*'ZD Vorerfassung'!$S$22:$S$36),
IF(OR(D45="SF",D45="FH"),SUM(IF(B45&gt;=_xlfn.NUMBERVALUE('ZD Vorerfassung'!$C$22:$C$36),1,0)*IF(B45&lt;=_xlfn.NUMBERVALUE('ZD Vorerfassung'!$D$22:$D$36),1,0)*'ZD Vorerfassung'!$T$22:$T$36*IF(D45="FH",0.5,1)),
"prüfen")))</f>
        <v>0</v>
      </c>
      <c r="BA45" s="112">
        <f t="shared" si="8"/>
        <v>9</v>
      </c>
    </row>
    <row r="46" spans="1:54" ht="19.5" thickTop="1" thickBot="1" x14ac:dyDescent="0.3">
      <c r="B46" s="99">
        <f t="shared" si="0"/>
        <v>44811</v>
      </c>
      <c r="C46" s="100">
        <f t="shared" si="9"/>
        <v>44811</v>
      </c>
      <c r="D46" s="101" t="str">
        <f t="shared" si="10"/>
        <v>NR</v>
      </c>
      <c r="E46" s="102" t="str">
        <f t="shared" si="2"/>
        <v>Unterrichtstag</v>
      </c>
      <c r="F46" s="103">
        <f t="shared" si="11"/>
        <v>0</v>
      </c>
      <c r="G46" s="104">
        <f t="shared" si="12"/>
        <v>0</v>
      </c>
      <c r="H46" s="104">
        <f>IFERROR(IF('ZD Vorerfassung'!$E$11="manuell",SUM(I46),IF(OR(E46="Feiertag",E46="Wochenende"),0,IF('ZD Vorerfassung'!$E$11="automatisch",AX46,IF(D46="UU","UU",IF(E46=Param2,AX46/24,IF(E46=Param9,AX46/48,"")))))),0)</f>
        <v>0</v>
      </c>
      <c r="I46" s="105"/>
      <c r="J46" s="106">
        <f>IF('ZD Vorerfassung'!$E$12="manuell",SUM(K46:AI46),IF(OR(E46="Feiertag",E46="Wochenende"),0,IF('ZD Vorerfassung'!$E$12="automatisch",AY46,IF(D46="UU","UU",IF(E46=Param2,AY46/24,IF(E46=Param9,AY46/48,""))))))</f>
        <v>0</v>
      </c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7">
        <f t="shared" si="13"/>
        <v>0</v>
      </c>
      <c r="AK46" s="105"/>
      <c r="AL46" s="105"/>
      <c r="AM46" s="105"/>
      <c r="AN46" s="105"/>
      <c r="AO46" s="105"/>
      <c r="AP46" s="105"/>
      <c r="AQ46" s="108">
        <f t="shared" si="14"/>
        <v>0</v>
      </c>
      <c r="AR46" s="108">
        <f t="shared" si="15"/>
        <v>0</v>
      </c>
      <c r="AS46" s="109">
        <f t="shared" si="16"/>
        <v>0</v>
      </c>
      <c r="AU46" s="110">
        <f t="shared" si="7"/>
        <v>0</v>
      </c>
      <c r="AV46" s="111">
        <f>IF(D46="NR",
IF('ZD Vorerfassung'!$E$22="",0,IF(AND(B46&gt;='ZD Vorerfassung'!$C$22,B46&lt;='ZD Vorerfassung'!$D$22),HLOOKUP(TEXT(C46,"ttt"),'ZD Vorerfassung'!$H$21:$L$36,2,0),0))+
IF('ZD Vorerfassung'!$E$23="",0,IF(AND(B46&gt;='ZD Vorerfassung'!$C$23,B46&lt;='ZD Vorerfassung'!$D$23),HLOOKUP(TEXT(C46,"ttt"),'ZD Vorerfassung'!$H$21:$L$36,3,0),0))+
IF('ZD Vorerfassung'!$E$24="",0,IF(AND(B46&gt;='ZD Vorerfassung'!$C$24,B46&lt;='ZD Vorerfassung'!$D$24),HLOOKUP(TEXT(C46,"ttt"),'ZD Vorerfassung'!$H$21:$L$36,4,0),0))+
IF('ZD Vorerfassung'!$E$25="",0,IF(AND(B46&gt;='ZD Vorerfassung'!$C$25,B46&lt;='ZD Vorerfassung'!$D$25),HLOOKUP(TEXT(C46,"ttt"),'ZD Vorerfassung'!$H$21:$L$36,5,0),0))+
IF('ZD Vorerfassung'!$E$26="",0,IF(AND(B46&gt;='ZD Vorerfassung'!$C$26,B46&lt;='ZD Vorerfassung'!$D$26),HLOOKUP(TEXT(C46,"ttt"),'ZD Vorerfassung'!$H$21:$L$36,6,0),0))+
IF('ZD Vorerfassung'!$E$27="",0,IF(AND(B46&gt;='ZD Vorerfassung'!$C$27,B46&lt;='ZD Vorerfassung'!$D$27),HLOOKUP(TEXT(C46,"ttt"),'ZD Vorerfassung'!$H$21:$L$36,7,0),0))+
IF('ZD Vorerfassung'!$E$28="",0,IF(AND(B46&gt;='ZD Vorerfassung'!$C$28,B46&lt;='ZD Vorerfassung'!$D$28),HLOOKUP(TEXT(C46,"ttt"),'ZD Vorerfassung'!$H$21:$L$36,8,0),0))+
IF('ZD Vorerfassung'!$E$29="",0,IF(AND(B46&gt;='ZD Vorerfassung'!$C$29,B46&lt;='ZD Vorerfassung'!$D$29),HLOOKUP(TEXT(C46,"ttt"),'ZD Vorerfassung'!$H$21:$L$36,9,0),0))+
IF('ZD Vorerfassung'!$E$30="",0,IF(AND(B46&gt;='ZD Vorerfassung'!$C$30,B46&lt;='ZD Vorerfassung'!$D$30),HLOOKUP(TEXT(C46,"ttt"),'ZD Vorerfassung'!$H$21:$L$36,10,0),0))+
IF('ZD Vorerfassung'!$E$31="",0,IF(AND(B46&gt;='ZD Vorerfassung'!$C$31,B46&lt;='ZD Vorerfassung'!$D$31),HLOOKUP(TEXT(C46,"ttt"),'ZD Vorerfassung'!$H$21:$L$36,11,0),0))+
IF('ZD Vorerfassung'!$E$32="",0,IF(AND(B46&gt;='ZD Vorerfassung'!$C$32,B46&lt;='ZD Vorerfassung'!$D$32),HLOOKUP(TEXT(C46,"ttt"),'ZD Vorerfassung'!$H$21:$L$36,12,0),0))+
IF('ZD Vorerfassung'!$E$33="",0,IF(AND(B46&gt;='ZD Vorerfassung'!$C$33,B46&lt;='ZD Vorerfassung'!$D$33),HLOOKUP(TEXT(C46,"ttt"),'ZD Vorerfassung'!$H$21:$L$36,13,0),0))+
IF('ZD Vorerfassung'!$E$34="",0,IF(AND(B46&gt;='ZD Vorerfassung'!$C$34,B46&lt;='ZD Vorerfassung'!$D$34),HLOOKUP(TEXT(C46,"ttt"),'ZD Vorerfassung'!$H$21:$L$36,14,0),0))+
IF('ZD Vorerfassung'!$E$35="",0,IF(AND(B46&gt;='ZD Vorerfassung'!$C$35,B46&lt;='ZD Vorerfassung'!$D$35),HLOOKUP(TEXT(C46,"ttt"),'ZD Vorerfassung'!$H$21:$L$36,15,0),0))+
IF('ZD Vorerfassung'!$E$36="",0,IF(AND(B46&gt;='ZD Vorerfassung'!$C$36,B46&lt;='ZD Vorerfassung'!$D$36),HLOOKUP(TEXT(C46,"ttt"),'ZD Vorerfassung'!$H$21:$L$36,16,0),0)),"")</f>
        <v>0</v>
      </c>
      <c r="AW46" s="110">
        <f t="array" ref="AW46">IF(OR(D46="UU",D46="FT",D46="WE"),0,
IF(D46="NR",SUM(IF(B46&gt;=_xlfn.NUMBERVALUE('ZD Vorerfassung'!$C$22:$C$36),1,0)*IF(B46&lt;=_xlfn.NUMBERVALUE('ZD Vorerfassung'!$D$22:$D$36),1,0)*'ZD Vorerfassung'!$Q$22:$Q$36),
IF(OR(D46="SF",D46="FH"),SUM(IF(B46&gt;=_xlfn.NUMBERVALUE('ZD Vorerfassung'!$C$22:$C$36),1,0)*IF(B46&lt;=_xlfn.NUMBERVALUE('ZD Vorerfassung'!$D$22:$D$36),1,0)*'ZD Vorerfassung'!$R$22:$R$36*IF(D46="FH",0.5,1)),
"prüfen")))</f>
        <v>0</v>
      </c>
      <c r="AX46" s="110">
        <f t="array" ref="AX46">IF(OR(D46="UU",D46="FT",D46="WE",E46="Ferien"),0,
IF(D46="NR",SUM(IF(B46&gt;=_xlfn.NUMBERVALUE('ZD Vorerfassung'!$C$22:$C$36),1,0)*IF(B46&lt;=_xlfn.NUMBERVALUE('ZD Vorerfassung'!$D$22:$D$36),1,0)*'ZD Vorerfassung'!$W$22:$W$36),
IF(OR(D46="SF",D46="FH"),SUM(IF(B46&gt;=_xlfn.NUMBERVALUE('ZD Vorerfassung'!$C$22:$C$36),1,0)*IF(B46&lt;=_xlfn.NUMBERVALUE('ZD Vorerfassung'!$D$22:$D$36),1,0)*'ZD Vorerfassung'!$X$22:$X$36*IF(D46="FH",0.5,1)),
"prüfen")))</f>
        <v>0</v>
      </c>
      <c r="AY46" s="110">
        <f t="array" ref="AY46">IF(OR(D46="UU",D46="FT",D46="WE",E46="Ferien"),0,
IF(D46="NR",SUM(IF(B46&gt;=_xlfn.NUMBERVALUE('ZD Vorerfassung'!$C$22:$C$36),1,0)*IF(B46&lt;=_xlfn.NUMBERVALUE('ZD Vorerfassung'!$D$22:$D$36),1,0)*'ZD Vorerfassung'!$U$22:$U$36),
IF(OR(D46="SF",D46="FH"),SUM(IF(B46&gt;=_xlfn.NUMBERVALUE('ZD Vorerfassung'!$C$22:$C$36),1,0)*IF(B46&lt;=_xlfn.NUMBERVALUE('ZD Vorerfassung'!$D$22:$D$36),1,0)*'ZD Vorerfassung'!$V$22:$V$36*IF(D46="FH",0.5,1)),
"prüfen")))</f>
        <v>0</v>
      </c>
      <c r="AZ46" s="110">
        <f t="array" ref="AZ46">IF(OR(D46="UU",D46="FT",D46="WE",E46="Ferien"),0,
IF(D46="NR",SUM(IF(B46&gt;=_xlfn.NUMBERVALUE('ZD Vorerfassung'!$C$22:$C$36),1,0)*IF(B46&lt;=_xlfn.NUMBERVALUE('ZD Vorerfassung'!$D$22:$D$36),1,0)*'ZD Vorerfassung'!$S$22:$S$36),
IF(OR(D46="SF",D46="FH"),SUM(IF(B46&gt;=_xlfn.NUMBERVALUE('ZD Vorerfassung'!$C$22:$C$36),1,0)*IF(B46&lt;=_xlfn.NUMBERVALUE('ZD Vorerfassung'!$D$22:$D$36),1,0)*'ZD Vorerfassung'!$T$22:$T$36*IF(D46="FH",0.5,1)),
"prüfen")))</f>
        <v>0</v>
      </c>
      <c r="BA46" s="112">
        <f t="shared" si="8"/>
        <v>9</v>
      </c>
    </row>
    <row r="47" spans="1:54" ht="19.5" thickTop="1" thickBot="1" x14ac:dyDescent="0.3">
      <c r="B47" s="99">
        <f t="shared" si="0"/>
        <v>44812</v>
      </c>
      <c r="C47" s="100">
        <f t="shared" si="9"/>
        <v>44812</v>
      </c>
      <c r="D47" s="101" t="str">
        <f t="shared" si="10"/>
        <v>NR</v>
      </c>
      <c r="E47" s="102" t="str">
        <f t="shared" si="2"/>
        <v>Unterrichtstag</v>
      </c>
      <c r="F47" s="103">
        <f t="shared" si="11"/>
        <v>0</v>
      </c>
      <c r="G47" s="104">
        <f t="shared" si="12"/>
        <v>0</v>
      </c>
      <c r="H47" s="104">
        <f>IFERROR(IF('ZD Vorerfassung'!$E$11="manuell",SUM(I47),IF(OR(E47="Feiertag",E47="Wochenende"),0,IF('ZD Vorerfassung'!$E$11="automatisch",AX47,IF(D47="UU","UU",IF(E47=Param2,AX47/24,IF(E47=Param9,AX47/48,"")))))),0)</f>
        <v>0</v>
      </c>
      <c r="I47" s="105"/>
      <c r="J47" s="106">
        <f>IF('ZD Vorerfassung'!$E$12="manuell",SUM(K47:AI47),IF(OR(E47="Feiertag",E47="Wochenende"),0,IF('ZD Vorerfassung'!$E$12="automatisch",AY47,IF(D47="UU","UU",IF(E47=Param2,AY47/24,IF(E47=Param9,AY47/48,""))))))</f>
        <v>0</v>
      </c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5"/>
      <c r="AF47" s="105"/>
      <c r="AG47" s="105"/>
      <c r="AH47" s="105"/>
      <c r="AI47" s="105"/>
      <c r="AJ47" s="107">
        <f t="shared" si="13"/>
        <v>0</v>
      </c>
      <c r="AK47" s="105"/>
      <c r="AL47" s="105"/>
      <c r="AM47" s="105"/>
      <c r="AN47" s="105"/>
      <c r="AO47" s="105"/>
      <c r="AP47" s="105"/>
      <c r="AQ47" s="108">
        <f t="shared" si="14"/>
        <v>0</v>
      </c>
      <c r="AR47" s="108">
        <f t="shared" si="15"/>
        <v>0</v>
      </c>
      <c r="AS47" s="109">
        <f t="shared" si="16"/>
        <v>0</v>
      </c>
      <c r="AU47" s="110">
        <f t="shared" si="7"/>
        <v>0</v>
      </c>
      <c r="AV47" s="111">
        <f>IF(D47="NR",
IF('ZD Vorerfassung'!$E$22="",0,IF(AND(B47&gt;='ZD Vorerfassung'!$C$22,B47&lt;='ZD Vorerfassung'!$D$22),HLOOKUP(TEXT(C47,"ttt"),'ZD Vorerfassung'!$H$21:$L$36,2,0),0))+
IF('ZD Vorerfassung'!$E$23="",0,IF(AND(B47&gt;='ZD Vorerfassung'!$C$23,B47&lt;='ZD Vorerfassung'!$D$23),HLOOKUP(TEXT(C47,"ttt"),'ZD Vorerfassung'!$H$21:$L$36,3,0),0))+
IF('ZD Vorerfassung'!$E$24="",0,IF(AND(B47&gt;='ZD Vorerfassung'!$C$24,B47&lt;='ZD Vorerfassung'!$D$24),HLOOKUP(TEXT(C47,"ttt"),'ZD Vorerfassung'!$H$21:$L$36,4,0),0))+
IF('ZD Vorerfassung'!$E$25="",0,IF(AND(B47&gt;='ZD Vorerfassung'!$C$25,B47&lt;='ZD Vorerfassung'!$D$25),HLOOKUP(TEXT(C47,"ttt"),'ZD Vorerfassung'!$H$21:$L$36,5,0),0))+
IF('ZD Vorerfassung'!$E$26="",0,IF(AND(B47&gt;='ZD Vorerfassung'!$C$26,B47&lt;='ZD Vorerfassung'!$D$26),HLOOKUP(TEXT(C47,"ttt"),'ZD Vorerfassung'!$H$21:$L$36,6,0),0))+
IF('ZD Vorerfassung'!$E$27="",0,IF(AND(B47&gt;='ZD Vorerfassung'!$C$27,B47&lt;='ZD Vorerfassung'!$D$27),HLOOKUP(TEXT(C47,"ttt"),'ZD Vorerfassung'!$H$21:$L$36,7,0),0))+
IF('ZD Vorerfassung'!$E$28="",0,IF(AND(B47&gt;='ZD Vorerfassung'!$C$28,B47&lt;='ZD Vorerfassung'!$D$28),HLOOKUP(TEXT(C47,"ttt"),'ZD Vorerfassung'!$H$21:$L$36,8,0),0))+
IF('ZD Vorerfassung'!$E$29="",0,IF(AND(B47&gt;='ZD Vorerfassung'!$C$29,B47&lt;='ZD Vorerfassung'!$D$29),HLOOKUP(TEXT(C47,"ttt"),'ZD Vorerfassung'!$H$21:$L$36,9,0),0))+
IF('ZD Vorerfassung'!$E$30="",0,IF(AND(B47&gt;='ZD Vorerfassung'!$C$30,B47&lt;='ZD Vorerfassung'!$D$30),HLOOKUP(TEXT(C47,"ttt"),'ZD Vorerfassung'!$H$21:$L$36,10,0),0))+
IF('ZD Vorerfassung'!$E$31="",0,IF(AND(B47&gt;='ZD Vorerfassung'!$C$31,B47&lt;='ZD Vorerfassung'!$D$31),HLOOKUP(TEXT(C47,"ttt"),'ZD Vorerfassung'!$H$21:$L$36,11,0),0))+
IF('ZD Vorerfassung'!$E$32="",0,IF(AND(B47&gt;='ZD Vorerfassung'!$C$32,B47&lt;='ZD Vorerfassung'!$D$32),HLOOKUP(TEXT(C47,"ttt"),'ZD Vorerfassung'!$H$21:$L$36,12,0),0))+
IF('ZD Vorerfassung'!$E$33="",0,IF(AND(B47&gt;='ZD Vorerfassung'!$C$33,B47&lt;='ZD Vorerfassung'!$D$33),HLOOKUP(TEXT(C47,"ttt"),'ZD Vorerfassung'!$H$21:$L$36,13,0),0))+
IF('ZD Vorerfassung'!$E$34="",0,IF(AND(B47&gt;='ZD Vorerfassung'!$C$34,B47&lt;='ZD Vorerfassung'!$D$34),HLOOKUP(TEXT(C47,"ttt"),'ZD Vorerfassung'!$H$21:$L$36,14,0),0))+
IF('ZD Vorerfassung'!$E$35="",0,IF(AND(B47&gt;='ZD Vorerfassung'!$C$35,B47&lt;='ZD Vorerfassung'!$D$35),HLOOKUP(TEXT(C47,"ttt"),'ZD Vorerfassung'!$H$21:$L$36,15,0),0))+
IF('ZD Vorerfassung'!$E$36="",0,IF(AND(B47&gt;='ZD Vorerfassung'!$C$36,B47&lt;='ZD Vorerfassung'!$D$36),HLOOKUP(TEXT(C47,"ttt"),'ZD Vorerfassung'!$H$21:$L$36,16,0),0)),"")</f>
        <v>0</v>
      </c>
      <c r="AW47" s="110">
        <f t="array" ref="AW47">IF(OR(D47="UU",D47="FT",D47="WE"),0,
IF(D47="NR",SUM(IF(B47&gt;=_xlfn.NUMBERVALUE('ZD Vorerfassung'!$C$22:$C$36),1,0)*IF(B47&lt;=_xlfn.NUMBERVALUE('ZD Vorerfassung'!$D$22:$D$36),1,0)*'ZD Vorerfassung'!$Q$22:$Q$36),
IF(OR(D47="SF",D47="FH"),SUM(IF(B47&gt;=_xlfn.NUMBERVALUE('ZD Vorerfassung'!$C$22:$C$36),1,0)*IF(B47&lt;=_xlfn.NUMBERVALUE('ZD Vorerfassung'!$D$22:$D$36),1,0)*'ZD Vorerfassung'!$R$22:$R$36*IF(D47="FH",0.5,1)),
"prüfen")))</f>
        <v>0</v>
      </c>
      <c r="AX47" s="110">
        <f t="array" ref="AX47">IF(OR(D47="UU",D47="FT",D47="WE",E47="Ferien"),0,
IF(D47="NR",SUM(IF(B47&gt;=_xlfn.NUMBERVALUE('ZD Vorerfassung'!$C$22:$C$36),1,0)*IF(B47&lt;=_xlfn.NUMBERVALUE('ZD Vorerfassung'!$D$22:$D$36),1,0)*'ZD Vorerfassung'!$W$22:$W$36),
IF(OR(D47="SF",D47="FH"),SUM(IF(B47&gt;=_xlfn.NUMBERVALUE('ZD Vorerfassung'!$C$22:$C$36),1,0)*IF(B47&lt;=_xlfn.NUMBERVALUE('ZD Vorerfassung'!$D$22:$D$36),1,0)*'ZD Vorerfassung'!$X$22:$X$36*IF(D47="FH",0.5,1)),
"prüfen")))</f>
        <v>0</v>
      </c>
      <c r="AY47" s="110">
        <f t="array" ref="AY47">IF(OR(D47="UU",D47="FT",D47="WE",E47="Ferien"),0,
IF(D47="NR",SUM(IF(B47&gt;=_xlfn.NUMBERVALUE('ZD Vorerfassung'!$C$22:$C$36),1,0)*IF(B47&lt;=_xlfn.NUMBERVALUE('ZD Vorerfassung'!$D$22:$D$36),1,0)*'ZD Vorerfassung'!$U$22:$U$36),
IF(OR(D47="SF",D47="FH"),SUM(IF(B47&gt;=_xlfn.NUMBERVALUE('ZD Vorerfassung'!$C$22:$C$36),1,0)*IF(B47&lt;=_xlfn.NUMBERVALUE('ZD Vorerfassung'!$D$22:$D$36),1,0)*'ZD Vorerfassung'!$V$22:$V$36*IF(D47="FH",0.5,1)),
"prüfen")))</f>
        <v>0</v>
      </c>
      <c r="AZ47" s="110">
        <f t="array" ref="AZ47">IF(OR(D47="UU",D47="FT",D47="WE",E47="Ferien"),0,
IF(D47="NR",SUM(IF(B47&gt;=_xlfn.NUMBERVALUE('ZD Vorerfassung'!$C$22:$C$36),1,0)*IF(B47&lt;=_xlfn.NUMBERVALUE('ZD Vorerfassung'!$D$22:$D$36),1,0)*'ZD Vorerfassung'!$S$22:$S$36),
IF(OR(D47="SF",D47="FH"),SUM(IF(B47&gt;=_xlfn.NUMBERVALUE('ZD Vorerfassung'!$C$22:$C$36),1,0)*IF(B47&lt;=_xlfn.NUMBERVALUE('ZD Vorerfassung'!$D$22:$D$36),1,0)*'ZD Vorerfassung'!$T$22:$T$36*IF(D47="FH",0.5,1)),
"prüfen")))</f>
        <v>0</v>
      </c>
      <c r="BA47" s="112">
        <f t="shared" si="8"/>
        <v>9</v>
      </c>
    </row>
    <row r="48" spans="1:54" ht="19.5" thickTop="1" thickBot="1" x14ac:dyDescent="0.3">
      <c r="B48" s="99">
        <f t="shared" si="0"/>
        <v>44813</v>
      </c>
      <c r="C48" s="100">
        <f t="shared" si="9"/>
        <v>44813</v>
      </c>
      <c r="D48" s="101" t="str">
        <f t="shared" si="10"/>
        <v>NR</v>
      </c>
      <c r="E48" s="102" t="str">
        <f t="shared" si="2"/>
        <v>Unterrichtstag</v>
      </c>
      <c r="F48" s="103">
        <f t="shared" si="11"/>
        <v>0</v>
      </c>
      <c r="G48" s="104">
        <f t="shared" si="12"/>
        <v>0</v>
      </c>
      <c r="H48" s="104">
        <f>IFERROR(IF('ZD Vorerfassung'!$E$11="manuell",SUM(I48),IF(OR(E48="Feiertag",E48="Wochenende"),0,IF('ZD Vorerfassung'!$E$11="automatisch",AX48,IF(D48="UU","UU",IF(E48=Param2,AX48/24,IF(E48=Param9,AX48/48,"")))))),0)</f>
        <v>0</v>
      </c>
      <c r="I48" s="105"/>
      <c r="J48" s="106">
        <f>IF('ZD Vorerfassung'!$E$12="manuell",SUM(K48:AI48),IF(OR(E48="Feiertag",E48="Wochenende"),0,IF('ZD Vorerfassung'!$E$12="automatisch",AY48,IF(D48="UU","UU",IF(E48=Param2,AY48/24,IF(E48=Param9,AY48/48,""))))))</f>
        <v>0</v>
      </c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  <c r="AE48" s="105"/>
      <c r="AF48" s="105"/>
      <c r="AG48" s="105"/>
      <c r="AH48" s="105"/>
      <c r="AI48" s="105"/>
      <c r="AJ48" s="107">
        <f t="shared" si="13"/>
        <v>0</v>
      </c>
      <c r="AK48" s="105"/>
      <c r="AL48" s="105"/>
      <c r="AM48" s="105"/>
      <c r="AN48" s="105"/>
      <c r="AO48" s="105"/>
      <c r="AP48" s="105"/>
      <c r="AQ48" s="108">
        <f t="shared" si="14"/>
        <v>0</v>
      </c>
      <c r="AR48" s="108">
        <f t="shared" si="15"/>
        <v>0</v>
      </c>
      <c r="AS48" s="109">
        <f t="shared" si="16"/>
        <v>0</v>
      </c>
      <c r="AU48" s="110">
        <f t="shared" si="7"/>
        <v>0</v>
      </c>
      <c r="AV48" s="111">
        <f>IF(D48="NR",
IF('ZD Vorerfassung'!$E$22="",0,IF(AND(B48&gt;='ZD Vorerfassung'!$C$22,B48&lt;='ZD Vorerfassung'!$D$22),HLOOKUP(TEXT(C48,"ttt"),'ZD Vorerfassung'!$H$21:$L$36,2,0),0))+
IF('ZD Vorerfassung'!$E$23="",0,IF(AND(B48&gt;='ZD Vorerfassung'!$C$23,B48&lt;='ZD Vorerfassung'!$D$23),HLOOKUP(TEXT(C48,"ttt"),'ZD Vorerfassung'!$H$21:$L$36,3,0),0))+
IF('ZD Vorerfassung'!$E$24="",0,IF(AND(B48&gt;='ZD Vorerfassung'!$C$24,B48&lt;='ZD Vorerfassung'!$D$24),HLOOKUP(TEXT(C48,"ttt"),'ZD Vorerfassung'!$H$21:$L$36,4,0),0))+
IF('ZD Vorerfassung'!$E$25="",0,IF(AND(B48&gt;='ZD Vorerfassung'!$C$25,B48&lt;='ZD Vorerfassung'!$D$25),HLOOKUP(TEXT(C48,"ttt"),'ZD Vorerfassung'!$H$21:$L$36,5,0),0))+
IF('ZD Vorerfassung'!$E$26="",0,IF(AND(B48&gt;='ZD Vorerfassung'!$C$26,B48&lt;='ZD Vorerfassung'!$D$26),HLOOKUP(TEXT(C48,"ttt"),'ZD Vorerfassung'!$H$21:$L$36,6,0),0))+
IF('ZD Vorerfassung'!$E$27="",0,IF(AND(B48&gt;='ZD Vorerfassung'!$C$27,B48&lt;='ZD Vorerfassung'!$D$27),HLOOKUP(TEXT(C48,"ttt"),'ZD Vorerfassung'!$H$21:$L$36,7,0),0))+
IF('ZD Vorerfassung'!$E$28="",0,IF(AND(B48&gt;='ZD Vorerfassung'!$C$28,B48&lt;='ZD Vorerfassung'!$D$28),HLOOKUP(TEXT(C48,"ttt"),'ZD Vorerfassung'!$H$21:$L$36,8,0),0))+
IF('ZD Vorerfassung'!$E$29="",0,IF(AND(B48&gt;='ZD Vorerfassung'!$C$29,B48&lt;='ZD Vorerfassung'!$D$29),HLOOKUP(TEXT(C48,"ttt"),'ZD Vorerfassung'!$H$21:$L$36,9,0),0))+
IF('ZD Vorerfassung'!$E$30="",0,IF(AND(B48&gt;='ZD Vorerfassung'!$C$30,B48&lt;='ZD Vorerfassung'!$D$30),HLOOKUP(TEXT(C48,"ttt"),'ZD Vorerfassung'!$H$21:$L$36,10,0),0))+
IF('ZD Vorerfassung'!$E$31="",0,IF(AND(B48&gt;='ZD Vorerfassung'!$C$31,B48&lt;='ZD Vorerfassung'!$D$31),HLOOKUP(TEXT(C48,"ttt"),'ZD Vorerfassung'!$H$21:$L$36,11,0),0))+
IF('ZD Vorerfassung'!$E$32="",0,IF(AND(B48&gt;='ZD Vorerfassung'!$C$32,B48&lt;='ZD Vorerfassung'!$D$32),HLOOKUP(TEXT(C48,"ttt"),'ZD Vorerfassung'!$H$21:$L$36,12,0),0))+
IF('ZD Vorerfassung'!$E$33="",0,IF(AND(B48&gt;='ZD Vorerfassung'!$C$33,B48&lt;='ZD Vorerfassung'!$D$33),HLOOKUP(TEXT(C48,"ttt"),'ZD Vorerfassung'!$H$21:$L$36,13,0),0))+
IF('ZD Vorerfassung'!$E$34="",0,IF(AND(B48&gt;='ZD Vorerfassung'!$C$34,B48&lt;='ZD Vorerfassung'!$D$34),HLOOKUP(TEXT(C48,"ttt"),'ZD Vorerfassung'!$H$21:$L$36,14,0),0))+
IF('ZD Vorerfassung'!$E$35="",0,IF(AND(B48&gt;='ZD Vorerfassung'!$C$35,B48&lt;='ZD Vorerfassung'!$D$35),HLOOKUP(TEXT(C48,"ttt"),'ZD Vorerfassung'!$H$21:$L$36,15,0),0))+
IF('ZD Vorerfassung'!$E$36="",0,IF(AND(B48&gt;='ZD Vorerfassung'!$C$36,B48&lt;='ZD Vorerfassung'!$D$36),HLOOKUP(TEXT(C48,"ttt"),'ZD Vorerfassung'!$H$21:$L$36,16,0),0)),"")</f>
        <v>0</v>
      </c>
      <c r="AW48" s="110">
        <f t="array" ref="AW48">IF(OR(D48="UU",D48="FT",D48="WE"),0,
IF(D48="NR",SUM(IF(B48&gt;=_xlfn.NUMBERVALUE('ZD Vorerfassung'!$C$22:$C$36),1,0)*IF(B48&lt;=_xlfn.NUMBERVALUE('ZD Vorerfassung'!$D$22:$D$36),1,0)*'ZD Vorerfassung'!$Q$22:$Q$36),
IF(OR(D48="SF",D48="FH"),SUM(IF(B48&gt;=_xlfn.NUMBERVALUE('ZD Vorerfassung'!$C$22:$C$36),1,0)*IF(B48&lt;=_xlfn.NUMBERVALUE('ZD Vorerfassung'!$D$22:$D$36),1,0)*'ZD Vorerfassung'!$R$22:$R$36*IF(D48="FH",0.5,1)),
"prüfen")))</f>
        <v>0</v>
      </c>
      <c r="AX48" s="110">
        <f t="array" ref="AX48">IF(OR(D48="UU",D48="FT",D48="WE",E48="Ferien"),0,
IF(D48="NR",SUM(IF(B48&gt;=_xlfn.NUMBERVALUE('ZD Vorerfassung'!$C$22:$C$36),1,0)*IF(B48&lt;=_xlfn.NUMBERVALUE('ZD Vorerfassung'!$D$22:$D$36),1,0)*'ZD Vorerfassung'!$W$22:$W$36),
IF(OR(D48="SF",D48="FH"),SUM(IF(B48&gt;=_xlfn.NUMBERVALUE('ZD Vorerfassung'!$C$22:$C$36),1,0)*IF(B48&lt;=_xlfn.NUMBERVALUE('ZD Vorerfassung'!$D$22:$D$36),1,0)*'ZD Vorerfassung'!$X$22:$X$36*IF(D48="FH",0.5,1)),
"prüfen")))</f>
        <v>0</v>
      </c>
      <c r="AY48" s="110">
        <f t="array" ref="AY48">IF(OR(D48="UU",D48="FT",D48="WE",E48="Ferien"),0,
IF(D48="NR",SUM(IF(B48&gt;=_xlfn.NUMBERVALUE('ZD Vorerfassung'!$C$22:$C$36),1,0)*IF(B48&lt;=_xlfn.NUMBERVALUE('ZD Vorerfassung'!$D$22:$D$36),1,0)*'ZD Vorerfassung'!$U$22:$U$36),
IF(OR(D48="SF",D48="FH"),SUM(IF(B48&gt;=_xlfn.NUMBERVALUE('ZD Vorerfassung'!$C$22:$C$36),1,0)*IF(B48&lt;=_xlfn.NUMBERVALUE('ZD Vorerfassung'!$D$22:$D$36),1,0)*'ZD Vorerfassung'!$V$22:$V$36*IF(D48="FH",0.5,1)),
"prüfen")))</f>
        <v>0</v>
      </c>
      <c r="AZ48" s="110">
        <f t="array" ref="AZ48">IF(OR(D48="UU",D48="FT",D48="WE",E48="Ferien"),0,
IF(D48="NR",SUM(IF(B48&gt;=_xlfn.NUMBERVALUE('ZD Vorerfassung'!$C$22:$C$36),1,0)*IF(B48&lt;=_xlfn.NUMBERVALUE('ZD Vorerfassung'!$D$22:$D$36),1,0)*'ZD Vorerfassung'!$S$22:$S$36),
IF(OR(D48="SF",D48="FH"),SUM(IF(B48&gt;=_xlfn.NUMBERVALUE('ZD Vorerfassung'!$C$22:$C$36),1,0)*IF(B48&lt;=_xlfn.NUMBERVALUE('ZD Vorerfassung'!$D$22:$D$36),1,0)*'ZD Vorerfassung'!$T$22:$T$36*IF(D48="FH",0.5,1)),
"prüfen")))</f>
        <v>0</v>
      </c>
      <c r="BA48" s="112">
        <f t="shared" si="8"/>
        <v>9</v>
      </c>
    </row>
    <row r="49" spans="2:53" ht="19.5" thickTop="1" thickBot="1" x14ac:dyDescent="0.3">
      <c r="B49" s="99">
        <f t="shared" si="0"/>
        <v>44814</v>
      </c>
      <c r="C49" s="100">
        <f t="shared" si="9"/>
        <v>44814</v>
      </c>
      <c r="D49" s="101" t="str">
        <f t="shared" si="10"/>
        <v>NR</v>
      </c>
      <c r="E49" s="102" t="str">
        <f t="shared" si="2"/>
        <v>Unterrichtstag</v>
      </c>
      <c r="F49" s="103">
        <f t="shared" si="11"/>
        <v>0</v>
      </c>
      <c r="G49" s="104">
        <f t="shared" si="12"/>
        <v>0</v>
      </c>
      <c r="H49" s="104">
        <f>IFERROR(IF('ZD Vorerfassung'!$E$11="manuell",SUM(I49),IF(OR(E49="Feiertag",E49="Wochenende"),0,IF('ZD Vorerfassung'!$E$11="automatisch",AX49,IF(D49="UU","UU",IF(E49=Param2,AX49/24,IF(E49=Param9,AX49/48,"")))))),0)</f>
        <v>0</v>
      </c>
      <c r="I49" s="105"/>
      <c r="J49" s="106">
        <f>IF('ZD Vorerfassung'!$E$12="manuell",SUM(K49:AI49),IF(OR(E49="Feiertag",E49="Wochenende"),0,IF('ZD Vorerfassung'!$E$12="automatisch",AY49,IF(D49="UU","UU",IF(E49=Param2,AY49/24,IF(E49=Param9,AY49/48,""))))))</f>
        <v>0</v>
      </c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105"/>
      <c r="AG49" s="105"/>
      <c r="AH49" s="105"/>
      <c r="AI49" s="105"/>
      <c r="AJ49" s="107">
        <f t="shared" si="13"/>
        <v>0</v>
      </c>
      <c r="AK49" s="105"/>
      <c r="AL49" s="105"/>
      <c r="AM49" s="105"/>
      <c r="AN49" s="105"/>
      <c r="AO49" s="105"/>
      <c r="AP49" s="105"/>
      <c r="AQ49" s="108">
        <f t="shared" si="14"/>
        <v>0</v>
      </c>
      <c r="AR49" s="108">
        <f t="shared" si="15"/>
        <v>0</v>
      </c>
      <c r="AS49" s="109">
        <f t="shared" si="16"/>
        <v>0</v>
      </c>
      <c r="AU49" s="110">
        <f t="shared" si="7"/>
        <v>0</v>
      </c>
      <c r="AV49" s="111">
        <f>IF(D49="NR",
IF('ZD Vorerfassung'!$E$22="",0,IF(AND(B49&gt;='ZD Vorerfassung'!$C$22,B49&lt;='ZD Vorerfassung'!$D$22),HLOOKUP(TEXT(C49,"ttt"),'ZD Vorerfassung'!$H$21:$L$36,2,0),0))+
IF('ZD Vorerfassung'!$E$23="",0,IF(AND(B49&gt;='ZD Vorerfassung'!$C$23,B49&lt;='ZD Vorerfassung'!$D$23),HLOOKUP(TEXT(C49,"ttt"),'ZD Vorerfassung'!$H$21:$L$36,3,0),0))+
IF('ZD Vorerfassung'!$E$24="",0,IF(AND(B49&gt;='ZD Vorerfassung'!$C$24,B49&lt;='ZD Vorerfassung'!$D$24),HLOOKUP(TEXT(C49,"ttt"),'ZD Vorerfassung'!$H$21:$L$36,4,0),0))+
IF('ZD Vorerfassung'!$E$25="",0,IF(AND(B49&gt;='ZD Vorerfassung'!$C$25,B49&lt;='ZD Vorerfassung'!$D$25),HLOOKUP(TEXT(C49,"ttt"),'ZD Vorerfassung'!$H$21:$L$36,5,0),0))+
IF('ZD Vorerfassung'!$E$26="",0,IF(AND(B49&gt;='ZD Vorerfassung'!$C$26,B49&lt;='ZD Vorerfassung'!$D$26),HLOOKUP(TEXT(C49,"ttt"),'ZD Vorerfassung'!$H$21:$L$36,6,0),0))+
IF('ZD Vorerfassung'!$E$27="",0,IF(AND(B49&gt;='ZD Vorerfassung'!$C$27,B49&lt;='ZD Vorerfassung'!$D$27),HLOOKUP(TEXT(C49,"ttt"),'ZD Vorerfassung'!$H$21:$L$36,7,0),0))+
IF('ZD Vorerfassung'!$E$28="",0,IF(AND(B49&gt;='ZD Vorerfassung'!$C$28,B49&lt;='ZD Vorerfassung'!$D$28),HLOOKUP(TEXT(C49,"ttt"),'ZD Vorerfassung'!$H$21:$L$36,8,0),0))+
IF('ZD Vorerfassung'!$E$29="",0,IF(AND(B49&gt;='ZD Vorerfassung'!$C$29,B49&lt;='ZD Vorerfassung'!$D$29),HLOOKUP(TEXT(C49,"ttt"),'ZD Vorerfassung'!$H$21:$L$36,9,0),0))+
IF('ZD Vorerfassung'!$E$30="",0,IF(AND(B49&gt;='ZD Vorerfassung'!$C$30,B49&lt;='ZD Vorerfassung'!$D$30),HLOOKUP(TEXT(C49,"ttt"),'ZD Vorerfassung'!$H$21:$L$36,10,0),0))+
IF('ZD Vorerfassung'!$E$31="",0,IF(AND(B49&gt;='ZD Vorerfassung'!$C$31,B49&lt;='ZD Vorerfassung'!$D$31),HLOOKUP(TEXT(C49,"ttt"),'ZD Vorerfassung'!$H$21:$L$36,11,0),0))+
IF('ZD Vorerfassung'!$E$32="",0,IF(AND(B49&gt;='ZD Vorerfassung'!$C$32,B49&lt;='ZD Vorerfassung'!$D$32),HLOOKUP(TEXT(C49,"ttt"),'ZD Vorerfassung'!$H$21:$L$36,12,0),0))+
IF('ZD Vorerfassung'!$E$33="",0,IF(AND(B49&gt;='ZD Vorerfassung'!$C$33,B49&lt;='ZD Vorerfassung'!$D$33),HLOOKUP(TEXT(C49,"ttt"),'ZD Vorerfassung'!$H$21:$L$36,13,0),0))+
IF('ZD Vorerfassung'!$E$34="",0,IF(AND(B49&gt;='ZD Vorerfassung'!$C$34,B49&lt;='ZD Vorerfassung'!$D$34),HLOOKUP(TEXT(C49,"ttt"),'ZD Vorerfassung'!$H$21:$L$36,14,0),0))+
IF('ZD Vorerfassung'!$E$35="",0,IF(AND(B49&gt;='ZD Vorerfassung'!$C$35,B49&lt;='ZD Vorerfassung'!$D$35),HLOOKUP(TEXT(C49,"ttt"),'ZD Vorerfassung'!$H$21:$L$36,15,0),0))+
IF('ZD Vorerfassung'!$E$36="",0,IF(AND(B49&gt;='ZD Vorerfassung'!$C$36,B49&lt;='ZD Vorerfassung'!$D$36),HLOOKUP(TEXT(C49,"ttt"),'ZD Vorerfassung'!$H$21:$L$36,16,0),0)),"")</f>
        <v>0</v>
      </c>
      <c r="AW49" s="110">
        <f t="array" ref="AW49">IF(OR(D49="UU",D49="FT",D49="WE"),0,
IF(D49="NR",SUM(IF(B49&gt;=_xlfn.NUMBERVALUE('ZD Vorerfassung'!$C$22:$C$36),1,0)*IF(B49&lt;=_xlfn.NUMBERVALUE('ZD Vorerfassung'!$D$22:$D$36),1,0)*'ZD Vorerfassung'!$Q$22:$Q$36),
IF(OR(D49="SF",D49="FH"),SUM(IF(B49&gt;=_xlfn.NUMBERVALUE('ZD Vorerfassung'!$C$22:$C$36),1,0)*IF(B49&lt;=_xlfn.NUMBERVALUE('ZD Vorerfassung'!$D$22:$D$36),1,0)*'ZD Vorerfassung'!$R$22:$R$36*IF(D49="FH",0.5,1)),
"prüfen")))</f>
        <v>0</v>
      </c>
      <c r="AX49" s="110">
        <f t="array" ref="AX49">IF(OR(D49="UU",D49="FT",D49="WE",E49="Ferien"),0,
IF(D49="NR",SUM(IF(B49&gt;=_xlfn.NUMBERVALUE('ZD Vorerfassung'!$C$22:$C$36),1,0)*IF(B49&lt;=_xlfn.NUMBERVALUE('ZD Vorerfassung'!$D$22:$D$36),1,0)*'ZD Vorerfassung'!$W$22:$W$36),
IF(OR(D49="SF",D49="FH"),SUM(IF(B49&gt;=_xlfn.NUMBERVALUE('ZD Vorerfassung'!$C$22:$C$36),1,0)*IF(B49&lt;=_xlfn.NUMBERVALUE('ZD Vorerfassung'!$D$22:$D$36),1,0)*'ZD Vorerfassung'!$X$22:$X$36*IF(D49="FH",0.5,1)),
"prüfen")))</f>
        <v>0</v>
      </c>
      <c r="AY49" s="110">
        <f t="array" ref="AY49">IF(OR(D49="UU",D49="FT",D49="WE",E49="Ferien"),0,
IF(D49="NR",SUM(IF(B49&gt;=_xlfn.NUMBERVALUE('ZD Vorerfassung'!$C$22:$C$36),1,0)*IF(B49&lt;=_xlfn.NUMBERVALUE('ZD Vorerfassung'!$D$22:$D$36),1,0)*'ZD Vorerfassung'!$U$22:$U$36),
IF(OR(D49="SF",D49="FH"),SUM(IF(B49&gt;=_xlfn.NUMBERVALUE('ZD Vorerfassung'!$C$22:$C$36),1,0)*IF(B49&lt;=_xlfn.NUMBERVALUE('ZD Vorerfassung'!$D$22:$D$36),1,0)*'ZD Vorerfassung'!$V$22:$V$36*IF(D49="FH",0.5,1)),
"prüfen")))</f>
        <v>0</v>
      </c>
      <c r="AZ49" s="110">
        <f t="array" ref="AZ49">IF(OR(D49="UU",D49="FT",D49="WE",E49="Ferien"),0,
IF(D49="NR",SUM(IF(B49&gt;=_xlfn.NUMBERVALUE('ZD Vorerfassung'!$C$22:$C$36),1,0)*IF(B49&lt;=_xlfn.NUMBERVALUE('ZD Vorerfassung'!$D$22:$D$36),1,0)*'ZD Vorerfassung'!$S$22:$S$36),
IF(OR(D49="SF",D49="FH"),SUM(IF(B49&gt;=_xlfn.NUMBERVALUE('ZD Vorerfassung'!$C$22:$C$36),1,0)*IF(B49&lt;=_xlfn.NUMBERVALUE('ZD Vorerfassung'!$D$22:$D$36),1,0)*'ZD Vorerfassung'!$T$22:$T$36*IF(D49="FH",0.5,1)),
"prüfen")))</f>
        <v>0</v>
      </c>
      <c r="BA49" s="112">
        <f t="shared" si="8"/>
        <v>9</v>
      </c>
    </row>
    <row r="50" spans="2:53" ht="19.5" thickTop="1" thickBot="1" x14ac:dyDescent="0.3">
      <c r="B50" s="99">
        <f t="shared" si="0"/>
        <v>44815</v>
      </c>
      <c r="C50" s="100">
        <f t="shared" si="9"/>
        <v>44815</v>
      </c>
      <c r="D50" s="101" t="str">
        <f t="shared" si="10"/>
        <v>WE</v>
      </c>
      <c r="E50" s="102" t="str">
        <f t="shared" si="2"/>
        <v>Wochenende</v>
      </c>
      <c r="F50" s="103" t="str">
        <f t="shared" si="11"/>
        <v/>
      </c>
      <c r="G50" s="104" t="str">
        <f t="shared" si="12"/>
        <v/>
      </c>
      <c r="H50" s="104">
        <f>IFERROR(IF('ZD Vorerfassung'!$E$11="manuell",SUM(I50),IF(OR(E50="Feiertag",E50="Wochenende"),0,IF('ZD Vorerfassung'!$E$11="automatisch",AX50,IF(D50="UU","UU",IF(E50=Param2,AX50/24,IF(E50=Param9,AX50/48,"")))))),0)</f>
        <v>0</v>
      </c>
      <c r="I50" s="105"/>
      <c r="J50" s="106">
        <f>IF('ZD Vorerfassung'!$E$12="manuell",SUM(K50:AI50),IF(OR(E50="Feiertag",E50="Wochenende"),0,IF('ZD Vorerfassung'!$E$12="automatisch",AY50,IF(D50="UU","UU",IF(E50=Param2,AY50/24,IF(E50=Param9,AY50/48,""))))))</f>
        <v>0</v>
      </c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105"/>
      <c r="AG50" s="105"/>
      <c r="AH50" s="105"/>
      <c r="AI50" s="105"/>
      <c r="AJ50" s="107">
        <f t="shared" si="13"/>
        <v>0</v>
      </c>
      <c r="AK50" s="105"/>
      <c r="AL50" s="105"/>
      <c r="AM50" s="105"/>
      <c r="AN50" s="105"/>
      <c r="AO50" s="105"/>
      <c r="AP50" s="105"/>
      <c r="AQ50" s="108">
        <f t="shared" si="14"/>
        <v>0</v>
      </c>
      <c r="AR50" s="108">
        <f t="shared" si="15"/>
        <v>0</v>
      </c>
      <c r="AS50" s="109">
        <f t="shared" si="16"/>
        <v>0</v>
      </c>
      <c r="AU50" s="110">
        <f t="shared" si="7"/>
        <v>0</v>
      </c>
      <c r="AV50" s="111" t="str">
        <f>IF(D50="NR",
IF('ZD Vorerfassung'!$E$22="",0,IF(AND(B50&gt;='ZD Vorerfassung'!$C$22,B50&lt;='ZD Vorerfassung'!$D$22),HLOOKUP(TEXT(C50,"ttt"),'ZD Vorerfassung'!$H$21:$L$36,2,0),0))+
IF('ZD Vorerfassung'!$E$23="",0,IF(AND(B50&gt;='ZD Vorerfassung'!$C$23,B50&lt;='ZD Vorerfassung'!$D$23),HLOOKUP(TEXT(C50,"ttt"),'ZD Vorerfassung'!$H$21:$L$36,3,0),0))+
IF('ZD Vorerfassung'!$E$24="",0,IF(AND(B50&gt;='ZD Vorerfassung'!$C$24,B50&lt;='ZD Vorerfassung'!$D$24),HLOOKUP(TEXT(C50,"ttt"),'ZD Vorerfassung'!$H$21:$L$36,4,0),0))+
IF('ZD Vorerfassung'!$E$25="",0,IF(AND(B50&gt;='ZD Vorerfassung'!$C$25,B50&lt;='ZD Vorerfassung'!$D$25),HLOOKUP(TEXT(C50,"ttt"),'ZD Vorerfassung'!$H$21:$L$36,5,0),0))+
IF('ZD Vorerfassung'!$E$26="",0,IF(AND(B50&gt;='ZD Vorerfassung'!$C$26,B50&lt;='ZD Vorerfassung'!$D$26),HLOOKUP(TEXT(C50,"ttt"),'ZD Vorerfassung'!$H$21:$L$36,6,0),0))+
IF('ZD Vorerfassung'!$E$27="",0,IF(AND(B50&gt;='ZD Vorerfassung'!$C$27,B50&lt;='ZD Vorerfassung'!$D$27),HLOOKUP(TEXT(C50,"ttt"),'ZD Vorerfassung'!$H$21:$L$36,7,0),0))+
IF('ZD Vorerfassung'!$E$28="",0,IF(AND(B50&gt;='ZD Vorerfassung'!$C$28,B50&lt;='ZD Vorerfassung'!$D$28),HLOOKUP(TEXT(C50,"ttt"),'ZD Vorerfassung'!$H$21:$L$36,8,0),0))+
IF('ZD Vorerfassung'!$E$29="",0,IF(AND(B50&gt;='ZD Vorerfassung'!$C$29,B50&lt;='ZD Vorerfassung'!$D$29),HLOOKUP(TEXT(C50,"ttt"),'ZD Vorerfassung'!$H$21:$L$36,9,0),0))+
IF('ZD Vorerfassung'!$E$30="",0,IF(AND(B50&gt;='ZD Vorerfassung'!$C$30,B50&lt;='ZD Vorerfassung'!$D$30),HLOOKUP(TEXT(C50,"ttt"),'ZD Vorerfassung'!$H$21:$L$36,10,0),0))+
IF('ZD Vorerfassung'!$E$31="",0,IF(AND(B50&gt;='ZD Vorerfassung'!$C$31,B50&lt;='ZD Vorerfassung'!$D$31),HLOOKUP(TEXT(C50,"ttt"),'ZD Vorerfassung'!$H$21:$L$36,11,0),0))+
IF('ZD Vorerfassung'!$E$32="",0,IF(AND(B50&gt;='ZD Vorerfassung'!$C$32,B50&lt;='ZD Vorerfassung'!$D$32),HLOOKUP(TEXT(C50,"ttt"),'ZD Vorerfassung'!$H$21:$L$36,12,0),0))+
IF('ZD Vorerfassung'!$E$33="",0,IF(AND(B50&gt;='ZD Vorerfassung'!$C$33,B50&lt;='ZD Vorerfassung'!$D$33),HLOOKUP(TEXT(C50,"ttt"),'ZD Vorerfassung'!$H$21:$L$36,13,0),0))+
IF('ZD Vorerfassung'!$E$34="",0,IF(AND(B50&gt;='ZD Vorerfassung'!$C$34,B50&lt;='ZD Vorerfassung'!$D$34),HLOOKUP(TEXT(C50,"ttt"),'ZD Vorerfassung'!$H$21:$L$36,14,0),0))+
IF('ZD Vorerfassung'!$E$35="",0,IF(AND(B50&gt;='ZD Vorerfassung'!$C$35,B50&lt;='ZD Vorerfassung'!$D$35),HLOOKUP(TEXT(C50,"ttt"),'ZD Vorerfassung'!$H$21:$L$36,15,0),0))+
IF('ZD Vorerfassung'!$E$36="",0,IF(AND(B50&gt;='ZD Vorerfassung'!$C$36,B50&lt;='ZD Vorerfassung'!$D$36),HLOOKUP(TEXT(C50,"ttt"),'ZD Vorerfassung'!$H$21:$L$36,16,0),0)),"")</f>
        <v/>
      </c>
      <c r="AW50" s="110">
        <f t="array" ref="AW50">IF(OR(D50="UU",D50="FT",D50="WE"),0,
IF(D50="NR",SUM(IF(B50&gt;=_xlfn.NUMBERVALUE('ZD Vorerfassung'!$C$22:$C$36),1,0)*IF(B50&lt;=_xlfn.NUMBERVALUE('ZD Vorerfassung'!$D$22:$D$36),1,0)*'ZD Vorerfassung'!$Q$22:$Q$36),
IF(OR(D50="SF",D50="FH"),SUM(IF(B50&gt;=_xlfn.NUMBERVALUE('ZD Vorerfassung'!$C$22:$C$36),1,0)*IF(B50&lt;=_xlfn.NUMBERVALUE('ZD Vorerfassung'!$D$22:$D$36),1,0)*'ZD Vorerfassung'!$R$22:$R$36*IF(D50="FH",0.5,1)),
"prüfen")))</f>
        <v>0</v>
      </c>
      <c r="AX50" s="110">
        <f t="array" ref="AX50">IF(OR(D50="UU",D50="FT",D50="WE",E50="Ferien"),0,
IF(D50="NR",SUM(IF(B50&gt;=_xlfn.NUMBERVALUE('ZD Vorerfassung'!$C$22:$C$36),1,0)*IF(B50&lt;=_xlfn.NUMBERVALUE('ZD Vorerfassung'!$D$22:$D$36),1,0)*'ZD Vorerfassung'!$W$22:$W$36),
IF(OR(D50="SF",D50="FH"),SUM(IF(B50&gt;=_xlfn.NUMBERVALUE('ZD Vorerfassung'!$C$22:$C$36),1,0)*IF(B50&lt;=_xlfn.NUMBERVALUE('ZD Vorerfassung'!$D$22:$D$36),1,0)*'ZD Vorerfassung'!$X$22:$X$36*IF(D50="FH",0.5,1)),
"prüfen")))</f>
        <v>0</v>
      </c>
      <c r="AY50" s="110">
        <f t="array" ref="AY50">IF(OR(D50="UU",D50="FT",D50="WE",E50="Ferien"),0,
IF(D50="NR",SUM(IF(B50&gt;=_xlfn.NUMBERVALUE('ZD Vorerfassung'!$C$22:$C$36),1,0)*IF(B50&lt;=_xlfn.NUMBERVALUE('ZD Vorerfassung'!$D$22:$D$36),1,0)*'ZD Vorerfassung'!$U$22:$U$36),
IF(OR(D50="SF",D50="FH"),SUM(IF(B50&gt;=_xlfn.NUMBERVALUE('ZD Vorerfassung'!$C$22:$C$36),1,0)*IF(B50&lt;=_xlfn.NUMBERVALUE('ZD Vorerfassung'!$D$22:$D$36),1,0)*'ZD Vorerfassung'!$V$22:$V$36*IF(D50="FH",0.5,1)),
"prüfen")))</f>
        <v>0</v>
      </c>
      <c r="AZ50" s="110">
        <f t="array" ref="AZ50">IF(OR(D50="UU",D50="FT",D50="WE",E50="Ferien"),0,
IF(D50="NR",SUM(IF(B50&gt;=_xlfn.NUMBERVALUE('ZD Vorerfassung'!$C$22:$C$36),1,0)*IF(B50&lt;=_xlfn.NUMBERVALUE('ZD Vorerfassung'!$D$22:$D$36),1,0)*'ZD Vorerfassung'!$S$22:$S$36),
IF(OR(D50="SF",D50="FH"),SUM(IF(B50&gt;=_xlfn.NUMBERVALUE('ZD Vorerfassung'!$C$22:$C$36),1,0)*IF(B50&lt;=_xlfn.NUMBERVALUE('ZD Vorerfassung'!$D$22:$D$36),1,0)*'ZD Vorerfassung'!$T$22:$T$36*IF(D50="FH",0.5,1)),
"prüfen")))</f>
        <v>0</v>
      </c>
      <c r="BA50" s="112">
        <f t="shared" si="8"/>
        <v>9</v>
      </c>
    </row>
    <row r="51" spans="2:53" ht="19.5" thickTop="1" thickBot="1" x14ac:dyDescent="0.3">
      <c r="B51" s="99">
        <f t="shared" si="0"/>
        <v>44816</v>
      </c>
      <c r="C51" s="100">
        <f t="shared" si="9"/>
        <v>44816</v>
      </c>
      <c r="D51" s="101" t="str">
        <f t="shared" si="10"/>
        <v>WE</v>
      </c>
      <c r="E51" s="102" t="str">
        <f t="shared" si="2"/>
        <v>Wochenende</v>
      </c>
      <c r="F51" s="103" t="str">
        <f t="shared" si="11"/>
        <v/>
      </c>
      <c r="G51" s="104" t="str">
        <f t="shared" si="12"/>
        <v/>
      </c>
      <c r="H51" s="104">
        <f>IFERROR(IF('ZD Vorerfassung'!$E$11="manuell",SUM(I51),IF(OR(E51="Feiertag",E51="Wochenende"),0,IF('ZD Vorerfassung'!$E$11="automatisch",AX51,IF(D51="UU","UU",IF(E51=Param2,AX51/24,IF(E51=Param9,AX51/48,"")))))),0)</f>
        <v>0</v>
      </c>
      <c r="I51" s="105"/>
      <c r="J51" s="106">
        <f>IF('ZD Vorerfassung'!$E$12="manuell",SUM(K51:AI51),IF(OR(E51="Feiertag",E51="Wochenende"),0,IF('ZD Vorerfassung'!$E$12="automatisch",AY51,IF(D51="UU","UU",IF(E51=Param2,AY51/24,IF(E51=Param9,AY51/48,""))))))</f>
        <v>0</v>
      </c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  <c r="AE51" s="105"/>
      <c r="AF51" s="105"/>
      <c r="AG51" s="105"/>
      <c r="AH51" s="105"/>
      <c r="AI51" s="105"/>
      <c r="AJ51" s="107">
        <f t="shared" si="13"/>
        <v>0</v>
      </c>
      <c r="AK51" s="105"/>
      <c r="AL51" s="105"/>
      <c r="AM51" s="105"/>
      <c r="AN51" s="105"/>
      <c r="AO51" s="105"/>
      <c r="AP51" s="105"/>
      <c r="AQ51" s="108">
        <f t="shared" si="14"/>
        <v>0</v>
      </c>
      <c r="AR51" s="108">
        <f t="shared" si="15"/>
        <v>0</v>
      </c>
      <c r="AS51" s="109">
        <f t="shared" si="16"/>
        <v>0</v>
      </c>
      <c r="AU51" s="110">
        <f t="shared" si="7"/>
        <v>0</v>
      </c>
      <c r="AV51" s="111" t="str">
        <f>IF(D51="NR",
IF('ZD Vorerfassung'!$E$22="",0,IF(AND(B51&gt;='ZD Vorerfassung'!$C$22,B51&lt;='ZD Vorerfassung'!$D$22),HLOOKUP(TEXT(C51,"ttt"),'ZD Vorerfassung'!$H$21:$L$36,2,0),0))+
IF('ZD Vorerfassung'!$E$23="",0,IF(AND(B51&gt;='ZD Vorerfassung'!$C$23,B51&lt;='ZD Vorerfassung'!$D$23),HLOOKUP(TEXT(C51,"ttt"),'ZD Vorerfassung'!$H$21:$L$36,3,0),0))+
IF('ZD Vorerfassung'!$E$24="",0,IF(AND(B51&gt;='ZD Vorerfassung'!$C$24,B51&lt;='ZD Vorerfassung'!$D$24),HLOOKUP(TEXT(C51,"ttt"),'ZD Vorerfassung'!$H$21:$L$36,4,0),0))+
IF('ZD Vorerfassung'!$E$25="",0,IF(AND(B51&gt;='ZD Vorerfassung'!$C$25,B51&lt;='ZD Vorerfassung'!$D$25),HLOOKUP(TEXT(C51,"ttt"),'ZD Vorerfassung'!$H$21:$L$36,5,0),0))+
IF('ZD Vorerfassung'!$E$26="",0,IF(AND(B51&gt;='ZD Vorerfassung'!$C$26,B51&lt;='ZD Vorerfassung'!$D$26),HLOOKUP(TEXT(C51,"ttt"),'ZD Vorerfassung'!$H$21:$L$36,6,0),0))+
IF('ZD Vorerfassung'!$E$27="",0,IF(AND(B51&gt;='ZD Vorerfassung'!$C$27,B51&lt;='ZD Vorerfassung'!$D$27),HLOOKUP(TEXT(C51,"ttt"),'ZD Vorerfassung'!$H$21:$L$36,7,0),0))+
IF('ZD Vorerfassung'!$E$28="",0,IF(AND(B51&gt;='ZD Vorerfassung'!$C$28,B51&lt;='ZD Vorerfassung'!$D$28),HLOOKUP(TEXT(C51,"ttt"),'ZD Vorerfassung'!$H$21:$L$36,8,0),0))+
IF('ZD Vorerfassung'!$E$29="",0,IF(AND(B51&gt;='ZD Vorerfassung'!$C$29,B51&lt;='ZD Vorerfassung'!$D$29),HLOOKUP(TEXT(C51,"ttt"),'ZD Vorerfassung'!$H$21:$L$36,9,0),0))+
IF('ZD Vorerfassung'!$E$30="",0,IF(AND(B51&gt;='ZD Vorerfassung'!$C$30,B51&lt;='ZD Vorerfassung'!$D$30),HLOOKUP(TEXT(C51,"ttt"),'ZD Vorerfassung'!$H$21:$L$36,10,0),0))+
IF('ZD Vorerfassung'!$E$31="",0,IF(AND(B51&gt;='ZD Vorerfassung'!$C$31,B51&lt;='ZD Vorerfassung'!$D$31),HLOOKUP(TEXT(C51,"ttt"),'ZD Vorerfassung'!$H$21:$L$36,11,0),0))+
IF('ZD Vorerfassung'!$E$32="",0,IF(AND(B51&gt;='ZD Vorerfassung'!$C$32,B51&lt;='ZD Vorerfassung'!$D$32),HLOOKUP(TEXT(C51,"ttt"),'ZD Vorerfassung'!$H$21:$L$36,12,0),0))+
IF('ZD Vorerfassung'!$E$33="",0,IF(AND(B51&gt;='ZD Vorerfassung'!$C$33,B51&lt;='ZD Vorerfassung'!$D$33),HLOOKUP(TEXT(C51,"ttt"),'ZD Vorerfassung'!$H$21:$L$36,13,0),0))+
IF('ZD Vorerfassung'!$E$34="",0,IF(AND(B51&gt;='ZD Vorerfassung'!$C$34,B51&lt;='ZD Vorerfassung'!$D$34),HLOOKUP(TEXT(C51,"ttt"),'ZD Vorerfassung'!$H$21:$L$36,14,0),0))+
IF('ZD Vorerfassung'!$E$35="",0,IF(AND(B51&gt;='ZD Vorerfassung'!$C$35,B51&lt;='ZD Vorerfassung'!$D$35),HLOOKUP(TEXT(C51,"ttt"),'ZD Vorerfassung'!$H$21:$L$36,15,0),0))+
IF('ZD Vorerfassung'!$E$36="",0,IF(AND(B51&gt;='ZD Vorerfassung'!$C$36,B51&lt;='ZD Vorerfassung'!$D$36),HLOOKUP(TEXT(C51,"ttt"),'ZD Vorerfassung'!$H$21:$L$36,16,0),0)),"")</f>
        <v/>
      </c>
      <c r="AW51" s="110">
        <f t="array" ref="AW51">IF(OR(D51="UU",D51="FT",D51="WE"),0,
IF(D51="NR",SUM(IF(B51&gt;=_xlfn.NUMBERVALUE('ZD Vorerfassung'!$C$22:$C$36),1,0)*IF(B51&lt;=_xlfn.NUMBERVALUE('ZD Vorerfassung'!$D$22:$D$36),1,0)*'ZD Vorerfassung'!$Q$22:$Q$36),
IF(OR(D51="SF",D51="FH"),SUM(IF(B51&gt;=_xlfn.NUMBERVALUE('ZD Vorerfassung'!$C$22:$C$36),1,0)*IF(B51&lt;=_xlfn.NUMBERVALUE('ZD Vorerfassung'!$D$22:$D$36),1,0)*'ZD Vorerfassung'!$R$22:$R$36*IF(D51="FH",0.5,1)),
"prüfen")))</f>
        <v>0</v>
      </c>
      <c r="AX51" s="110">
        <f t="array" ref="AX51">IF(OR(D51="UU",D51="FT",D51="WE",E51="Ferien"),0,
IF(D51="NR",SUM(IF(B51&gt;=_xlfn.NUMBERVALUE('ZD Vorerfassung'!$C$22:$C$36),1,0)*IF(B51&lt;=_xlfn.NUMBERVALUE('ZD Vorerfassung'!$D$22:$D$36),1,0)*'ZD Vorerfassung'!$W$22:$W$36),
IF(OR(D51="SF",D51="FH"),SUM(IF(B51&gt;=_xlfn.NUMBERVALUE('ZD Vorerfassung'!$C$22:$C$36),1,0)*IF(B51&lt;=_xlfn.NUMBERVALUE('ZD Vorerfassung'!$D$22:$D$36),1,0)*'ZD Vorerfassung'!$X$22:$X$36*IF(D51="FH",0.5,1)),
"prüfen")))</f>
        <v>0</v>
      </c>
      <c r="AY51" s="110">
        <f t="array" ref="AY51">IF(OR(D51="UU",D51="FT",D51="WE",E51="Ferien"),0,
IF(D51="NR",SUM(IF(B51&gt;=_xlfn.NUMBERVALUE('ZD Vorerfassung'!$C$22:$C$36),1,0)*IF(B51&lt;=_xlfn.NUMBERVALUE('ZD Vorerfassung'!$D$22:$D$36),1,0)*'ZD Vorerfassung'!$U$22:$U$36),
IF(OR(D51="SF",D51="FH"),SUM(IF(B51&gt;=_xlfn.NUMBERVALUE('ZD Vorerfassung'!$C$22:$C$36),1,0)*IF(B51&lt;=_xlfn.NUMBERVALUE('ZD Vorerfassung'!$D$22:$D$36),1,0)*'ZD Vorerfassung'!$V$22:$V$36*IF(D51="FH",0.5,1)),
"prüfen")))</f>
        <v>0</v>
      </c>
      <c r="AZ51" s="110">
        <f t="array" ref="AZ51">IF(OR(D51="UU",D51="FT",D51="WE",E51="Ferien"),0,
IF(D51="NR",SUM(IF(B51&gt;=_xlfn.NUMBERVALUE('ZD Vorerfassung'!$C$22:$C$36),1,0)*IF(B51&lt;=_xlfn.NUMBERVALUE('ZD Vorerfassung'!$D$22:$D$36),1,0)*'ZD Vorerfassung'!$S$22:$S$36),
IF(OR(D51="SF",D51="FH"),SUM(IF(B51&gt;=_xlfn.NUMBERVALUE('ZD Vorerfassung'!$C$22:$C$36),1,0)*IF(B51&lt;=_xlfn.NUMBERVALUE('ZD Vorerfassung'!$D$22:$D$36),1,0)*'ZD Vorerfassung'!$T$22:$T$36*IF(D51="FH",0.5,1)),
"prüfen")))</f>
        <v>0</v>
      </c>
      <c r="BA51" s="112">
        <f t="shared" si="8"/>
        <v>9</v>
      </c>
    </row>
    <row r="52" spans="2:53" ht="19.5" thickTop="1" thickBot="1" x14ac:dyDescent="0.3">
      <c r="B52" s="99">
        <f t="shared" si="0"/>
        <v>44817</v>
      </c>
      <c r="C52" s="100">
        <f t="shared" si="9"/>
        <v>44817</v>
      </c>
      <c r="D52" s="101" t="str">
        <f t="shared" si="10"/>
        <v>NR</v>
      </c>
      <c r="E52" s="102" t="str">
        <f t="shared" si="2"/>
        <v>Unterrichtstag</v>
      </c>
      <c r="F52" s="103">
        <f t="shared" si="11"/>
        <v>0</v>
      </c>
      <c r="G52" s="104">
        <f t="shared" si="12"/>
        <v>0</v>
      </c>
      <c r="H52" s="104">
        <f>IFERROR(IF('ZD Vorerfassung'!$E$11="manuell",SUM(I52),IF(OR(E52="Feiertag",E52="Wochenende"),0,IF('ZD Vorerfassung'!$E$11="automatisch",AX52,IF(D52="UU","UU",IF(E52=Param2,AX52/24,IF(E52=Param9,AX52/48,"")))))),0)</f>
        <v>0</v>
      </c>
      <c r="I52" s="105"/>
      <c r="J52" s="106">
        <f>IF('ZD Vorerfassung'!$E$12="manuell",SUM(K52:AI52),IF(OR(E52="Feiertag",E52="Wochenende"),0,IF('ZD Vorerfassung'!$E$12="automatisch",AY52,IF(D52="UU","UU",IF(E52=Param2,AY52/24,IF(E52=Param9,AY52/48,""))))))</f>
        <v>0</v>
      </c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7">
        <f t="shared" si="13"/>
        <v>0</v>
      </c>
      <c r="AK52" s="105"/>
      <c r="AL52" s="105"/>
      <c r="AM52" s="105"/>
      <c r="AN52" s="105"/>
      <c r="AO52" s="105"/>
      <c r="AP52" s="105"/>
      <c r="AQ52" s="108">
        <f t="shared" si="14"/>
        <v>0</v>
      </c>
      <c r="AR52" s="108">
        <f t="shared" si="15"/>
        <v>0</v>
      </c>
      <c r="AS52" s="109">
        <f t="shared" si="16"/>
        <v>0</v>
      </c>
      <c r="AU52" s="110">
        <f t="shared" si="7"/>
        <v>0</v>
      </c>
      <c r="AV52" s="111">
        <f>IF(D52="NR",
IF('ZD Vorerfassung'!$E$22="",0,IF(AND(B52&gt;='ZD Vorerfassung'!$C$22,B52&lt;='ZD Vorerfassung'!$D$22),HLOOKUP(TEXT(C52,"ttt"),'ZD Vorerfassung'!$H$21:$L$36,2,0),0))+
IF('ZD Vorerfassung'!$E$23="",0,IF(AND(B52&gt;='ZD Vorerfassung'!$C$23,B52&lt;='ZD Vorerfassung'!$D$23),HLOOKUP(TEXT(C52,"ttt"),'ZD Vorerfassung'!$H$21:$L$36,3,0),0))+
IF('ZD Vorerfassung'!$E$24="",0,IF(AND(B52&gt;='ZD Vorerfassung'!$C$24,B52&lt;='ZD Vorerfassung'!$D$24),HLOOKUP(TEXT(C52,"ttt"),'ZD Vorerfassung'!$H$21:$L$36,4,0),0))+
IF('ZD Vorerfassung'!$E$25="",0,IF(AND(B52&gt;='ZD Vorerfassung'!$C$25,B52&lt;='ZD Vorerfassung'!$D$25),HLOOKUP(TEXT(C52,"ttt"),'ZD Vorerfassung'!$H$21:$L$36,5,0),0))+
IF('ZD Vorerfassung'!$E$26="",0,IF(AND(B52&gt;='ZD Vorerfassung'!$C$26,B52&lt;='ZD Vorerfassung'!$D$26),HLOOKUP(TEXT(C52,"ttt"),'ZD Vorerfassung'!$H$21:$L$36,6,0),0))+
IF('ZD Vorerfassung'!$E$27="",0,IF(AND(B52&gt;='ZD Vorerfassung'!$C$27,B52&lt;='ZD Vorerfassung'!$D$27),HLOOKUP(TEXT(C52,"ttt"),'ZD Vorerfassung'!$H$21:$L$36,7,0),0))+
IF('ZD Vorerfassung'!$E$28="",0,IF(AND(B52&gt;='ZD Vorerfassung'!$C$28,B52&lt;='ZD Vorerfassung'!$D$28),HLOOKUP(TEXT(C52,"ttt"),'ZD Vorerfassung'!$H$21:$L$36,8,0),0))+
IF('ZD Vorerfassung'!$E$29="",0,IF(AND(B52&gt;='ZD Vorerfassung'!$C$29,B52&lt;='ZD Vorerfassung'!$D$29),HLOOKUP(TEXT(C52,"ttt"),'ZD Vorerfassung'!$H$21:$L$36,9,0),0))+
IF('ZD Vorerfassung'!$E$30="",0,IF(AND(B52&gt;='ZD Vorerfassung'!$C$30,B52&lt;='ZD Vorerfassung'!$D$30),HLOOKUP(TEXT(C52,"ttt"),'ZD Vorerfassung'!$H$21:$L$36,10,0),0))+
IF('ZD Vorerfassung'!$E$31="",0,IF(AND(B52&gt;='ZD Vorerfassung'!$C$31,B52&lt;='ZD Vorerfassung'!$D$31),HLOOKUP(TEXT(C52,"ttt"),'ZD Vorerfassung'!$H$21:$L$36,11,0),0))+
IF('ZD Vorerfassung'!$E$32="",0,IF(AND(B52&gt;='ZD Vorerfassung'!$C$32,B52&lt;='ZD Vorerfassung'!$D$32),HLOOKUP(TEXT(C52,"ttt"),'ZD Vorerfassung'!$H$21:$L$36,12,0),0))+
IF('ZD Vorerfassung'!$E$33="",0,IF(AND(B52&gt;='ZD Vorerfassung'!$C$33,B52&lt;='ZD Vorerfassung'!$D$33),HLOOKUP(TEXT(C52,"ttt"),'ZD Vorerfassung'!$H$21:$L$36,13,0),0))+
IF('ZD Vorerfassung'!$E$34="",0,IF(AND(B52&gt;='ZD Vorerfassung'!$C$34,B52&lt;='ZD Vorerfassung'!$D$34),HLOOKUP(TEXT(C52,"ttt"),'ZD Vorerfassung'!$H$21:$L$36,14,0),0))+
IF('ZD Vorerfassung'!$E$35="",0,IF(AND(B52&gt;='ZD Vorerfassung'!$C$35,B52&lt;='ZD Vorerfassung'!$D$35),HLOOKUP(TEXT(C52,"ttt"),'ZD Vorerfassung'!$H$21:$L$36,15,0),0))+
IF('ZD Vorerfassung'!$E$36="",0,IF(AND(B52&gt;='ZD Vorerfassung'!$C$36,B52&lt;='ZD Vorerfassung'!$D$36),HLOOKUP(TEXT(C52,"ttt"),'ZD Vorerfassung'!$H$21:$L$36,16,0),0)),"")</f>
        <v>0</v>
      </c>
      <c r="AW52" s="110">
        <f t="array" ref="AW52">IF(OR(D52="UU",D52="FT",D52="WE"),0,
IF(D52="NR",SUM(IF(B52&gt;=_xlfn.NUMBERVALUE('ZD Vorerfassung'!$C$22:$C$36),1,0)*IF(B52&lt;=_xlfn.NUMBERVALUE('ZD Vorerfassung'!$D$22:$D$36),1,0)*'ZD Vorerfassung'!$Q$22:$Q$36),
IF(OR(D52="SF",D52="FH"),SUM(IF(B52&gt;=_xlfn.NUMBERVALUE('ZD Vorerfassung'!$C$22:$C$36),1,0)*IF(B52&lt;=_xlfn.NUMBERVALUE('ZD Vorerfassung'!$D$22:$D$36),1,0)*'ZD Vorerfassung'!$R$22:$R$36*IF(D52="FH",0.5,1)),
"prüfen")))</f>
        <v>0</v>
      </c>
      <c r="AX52" s="110">
        <f t="array" ref="AX52">IF(OR(D52="UU",D52="FT",D52="WE",E52="Ferien"),0,
IF(D52="NR",SUM(IF(B52&gt;=_xlfn.NUMBERVALUE('ZD Vorerfassung'!$C$22:$C$36),1,0)*IF(B52&lt;=_xlfn.NUMBERVALUE('ZD Vorerfassung'!$D$22:$D$36),1,0)*'ZD Vorerfassung'!$W$22:$W$36),
IF(OR(D52="SF",D52="FH"),SUM(IF(B52&gt;=_xlfn.NUMBERVALUE('ZD Vorerfassung'!$C$22:$C$36),1,0)*IF(B52&lt;=_xlfn.NUMBERVALUE('ZD Vorerfassung'!$D$22:$D$36),1,0)*'ZD Vorerfassung'!$X$22:$X$36*IF(D52="FH",0.5,1)),
"prüfen")))</f>
        <v>0</v>
      </c>
      <c r="AY52" s="110">
        <f t="array" ref="AY52">IF(OR(D52="UU",D52="FT",D52="WE",E52="Ferien"),0,
IF(D52="NR",SUM(IF(B52&gt;=_xlfn.NUMBERVALUE('ZD Vorerfassung'!$C$22:$C$36),1,0)*IF(B52&lt;=_xlfn.NUMBERVALUE('ZD Vorerfassung'!$D$22:$D$36),1,0)*'ZD Vorerfassung'!$U$22:$U$36),
IF(OR(D52="SF",D52="FH"),SUM(IF(B52&gt;=_xlfn.NUMBERVALUE('ZD Vorerfassung'!$C$22:$C$36),1,0)*IF(B52&lt;=_xlfn.NUMBERVALUE('ZD Vorerfassung'!$D$22:$D$36),1,0)*'ZD Vorerfassung'!$V$22:$V$36*IF(D52="FH",0.5,1)),
"prüfen")))</f>
        <v>0</v>
      </c>
      <c r="AZ52" s="110">
        <f t="array" ref="AZ52">IF(OR(D52="UU",D52="FT",D52="WE",E52="Ferien"),0,
IF(D52="NR",SUM(IF(B52&gt;=_xlfn.NUMBERVALUE('ZD Vorerfassung'!$C$22:$C$36),1,0)*IF(B52&lt;=_xlfn.NUMBERVALUE('ZD Vorerfassung'!$D$22:$D$36),1,0)*'ZD Vorerfassung'!$S$22:$S$36),
IF(OR(D52="SF",D52="FH"),SUM(IF(B52&gt;=_xlfn.NUMBERVALUE('ZD Vorerfassung'!$C$22:$C$36),1,0)*IF(B52&lt;=_xlfn.NUMBERVALUE('ZD Vorerfassung'!$D$22:$D$36),1,0)*'ZD Vorerfassung'!$T$22:$T$36*IF(D52="FH",0.5,1)),
"prüfen")))</f>
        <v>0</v>
      </c>
      <c r="BA52" s="112">
        <f t="shared" si="8"/>
        <v>9</v>
      </c>
    </row>
    <row r="53" spans="2:53" ht="19.5" thickTop="1" thickBot="1" x14ac:dyDescent="0.3">
      <c r="B53" s="99">
        <f t="shared" si="0"/>
        <v>44818</v>
      </c>
      <c r="C53" s="100">
        <f t="shared" si="9"/>
        <v>44818</v>
      </c>
      <c r="D53" s="101" t="str">
        <f t="shared" si="10"/>
        <v>NR</v>
      </c>
      <c r="E53" s="102" t="str">
        <f t="shared" si="2"/>
        <v>Unterrichtstag</v>
      </c>
      <c r="F53" s="103">
        <f t="shared" si="11"/>
        <v>0</v>
      </c>
      <c r="G53" s="104">
        <f t="shared" si="12"/>
        <v>0</v>
      </c>
      <c r="H53" s="104">
        <f>IFERROR(IF('ZD Vorerfassung'!$E$11="manuell",SUM(I53),IF(OR(E53="Feiertag",E53="Wochenende"),0,IF('ZD Vorerfassung'!$E$11="automatisch",AX53,IF(D53="UU","UU",IF(E53=Param2,AX53/24,IF(E53=Param9,AX53/48,"")))))),0)</f>
        <v>0</v>
      </c>
      <c r="I53" s="105"/>
      <c r="J53" s="106">
        <f>IF('ZD Vorerfassung'!$E$12="manuell",SUM(K53:AI53),IF(OR(E53="Feiertag",E53="Wochenende"),0,IF('ZD Vorerfassung'!$E$12="automatisch",AY53,IF(D53="UU","UU",IF(E53=Param2,AY53/24,IF(E53=Param9,AY53/48,""))))))</f>
        <v>0</v>
      </c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7">
        <f t="shared" si="13"/>
        <v>0</v>
      </c>
      <c r="AK53" s="105"/>
      <c r="AL53" s="105"/>
      <c r="AM53" s="105"/>
      <c r="AN53" s="105"/>
      <c r="AO53" s="105"/>
      <c r="AP53" s="105"/>
      <c r="AQ53" s="108">
        <f t="shared" si="14"/>
        <v>0</v>
      </c>
      <c r="AR53" s="108">
        <f t="shared" si="15"/>
        <v>0</v>
      </c>
      <c r="AS53" s="109">
        <f t="shared" si="16"/>
        <v>0</v>
      </c>
      <c r="AU53" s="110">
        <f t="shared" si="7"/>
        <v>0</v>
      </c>
      <c r="AV53" s="111">
        <f>IF(D53="NR",
IF('ZD Vorerfassung'!$E$22="",0,IF(AND(B53&gt;='ZD Vorerfassung'!$C$22,B53&lt;='ZD Vorerfassung'!$D$22),HLOOKUP(TEXT(C53,"ttt"),'ZD Vorerfassung'!$H$21:$L$36,2,0),0))+
IF('ZD Vorerfassung'!$E$23="",0,IF(AND(B53&gt;='ZD Vorerfassung'!$C$23,B53&lt;='ZD Vorerfassung'!$D$23),HLOOKUP(TEXT(C53,"ttt"),'ZD Vorerfassung'!$H$21:$L$36,3,0),0))+
IF('ZD Vorerfassung'!$E$24="",0,IF(AND(B53&gt;='ZD Vorerfassung'!$C$24,B53&lt;='ZD Vorerfassung'!$D$24),HLOOKUP(TEXT(C53,"ttt"),'ZD Vorerfassung'!$H$21:$L$36,4,0),0))+
IF('ZD Vorerfassung'!$E$25="",0,IF(AND(B53&gt;='ZD Vorerfassung'!$C$25,B53&lt;='ZD Vorerfassung'!$D$25),HLOOKUP(TEXT(C53,"ttt"),'ZD Vorerfassung'!$H$21:$L$36,5,0),0))+
IF('ZD Vorerfassung'!$E$26="",0,IF(AND(B53&gt;='ZD Vorerfassung'!$C$26,B53&lt;='ZD Vorerfassung'!$D$26),HLOOKUP(TEXT(C53,"ttt"),'ZD Vorerfassung'!$H$21:$L$36,6,0),0))+
IF('ZD Vorerfassung'!$E$27="",0,IF(AND(B53&gt;='ZD Vorerfassung'!$C$27,B53&lt;='ZD Vorerfassung'!$D$27),HLOOKUP(TEXT(C53,"ttt"),'ZD Vorerfassung'!$H$21:$L$36,7,0),0))+
IF('ZD Vorerfassung'!$E$28="",0,IF(AND(B53&gt;='ZD Vorerfassung'!$C$28,B53&lt;='ZD Vorerfassung'!$D$28),HLOOKUP(TEXT(C53,"ttt"),'ZD Vorerfassung'!$H$21:$L$36,8,0),0))+
IF('ZD Vorerfassung'!$E$29="",0,IF(AND(B53&gt;='ZD Vorerfassung'!$C$29,B53&lt;='ZD Vorerfassung'!$D$29),HLOOKUP(TEXT(C53,"ttt"),'ZD Vorerfassung'!$H$21:$L$36,9,0),0))+
IF('ZD Vorerfassung'!$E$30="",0,IF(AND(B53&gt;='ZD Vorerfassung'!$C$30,B53&lt;='ZD Vorerfassung'!$D$30),HLOOKUP(TEXT(C53,"ttt"),'ZD Vorerfassung'!$H$21:$L$36,10,0),0))+
IF('ZD Vorerfassung'!$E$31="",0,IF(AND(B53&gt;='ZD Vorerfassung'!$C$31,B53&lt;='ZD Vorerfassung'!$D$31),HLOOKUP(TEXT(C53,"ttt"),'ZD Vorerfassung'!$H$21:$L$36,11,0),0))+
IF('ZD Vorerfassung'!$E$32="",0,IF(AND(B53&gt;='ZD Vorerfassung'!$C$32,B53&lt;='ZD Vorerfassung'!$D$32),HLOOKUP(TEXT(C53,"ttt"),'ZD Vorerfassung'!$H$21:$L$36,12,0),0))+
IF('ZD Vorerfassung'!$E$33="",0,IF(AND(B53&gt;='ZD Vorerfassung'!$C$33,B53&lt;='ZD Vorerfassung'!$D$33),HLOOKUP(TEXT(C53,"ttt"),'ZD Vorerfassung'!$H$21:$L$36,13,0),0))+
IF('ZD Vorerfassung'!$E$34="",0,IF(AND(B53&gt;='ZD Vorerfassung'!$C$34,B53&lt;='ZD Vorerfassung'!$D$34),HLOOKUP(TEXT(C53,"ttt"),'ZD Vorerfassung'!$H$21:$L$36,14,0),0))+
IF('ZD Vorerfassung'!$E$35="",0,IF(AND(B53&gt;='ZD Vorerfassung'!$C$35,B53&lt;='ZD Vorerfassung'!$D$35),HLOOKUP(TEXT(C53,"ttt"),'ZD Vorerfassung'!$H$21:$L$36,15,0),0))+
IF('ZD Vorerfassung'!$E$36="",0,IF(AND(B53&gt;='ZD Vorerfassung'!$C$36,B53&lt;='ZD Vorerfassung'!$D$36),HLOOKUP(TEXT(C53,"ttt"),'ZD Vorerfassung'!$H$21:$L$36,16,0),0)),"")</f>
        <v>0</v>
      </c>
      <c r="AW53" s="110">
        <f t="array" ref="AW53">IF(OR(D53="UU",D53="FT",D53="WE"),0,
IF(D53="NR",SUM(IF(B53&gt;=_xlfn.NUMBERVALUE('ZD Vorerfassung'!$C$22:$C$36),1,0)*IF(B53&lt;=_xlfn.NUMBERVALUE('ZD Vorerfassung'!$D$22:$D$36),1,0)*'ZD Vorerfassung'!$Q$22:$Q$36),
IF(OR(D53="SF",D53="FH"),SUM(IF(B53&gt;=_xlfn.NUMBERVALUE('ZD Vorerfassung'!$C$22:$C$36),1,0)*IF(B53&lt;=_xlfn.NUMBERVALUE('ZD Vorerfassung'!$D$22:$D$36),1,0)*'ZD Vorerfassung'!$R$22:$R$36*IF(D53="FH",0.5,1)),
"prüfen")))</f>
        <v>0</v>
      </c>
      <c r="AX53" s="110">
        <f t="array" ref="AX53">IF(OR(D53="UU",D53="FT",D53="WE",E53="Ferien"),0,
IF(D53="NR",SUM(IF(B53&gt;=_xlfn.NUMBERVALUE('ZD Vorerfassung'!$C$22:$C$36),1,0)*IF(B53&lt;=_xlfn.NUMBERVALUE('ZD Vorerfassung'!$D$22:$D$36),1,0)*'ZD Vorerfassung'!$W$22:$W$36),
IF(OR(D53="SF",D53="FH"),SUM(IF(B53&gt;=_xlfn.NUMBERVALUE('ZD Vorerfassung'!$C$22:$C$36),1,0)*IF(B53&lt;=_xlfn.NUMBERVALUE('ZD Vorerfassung'!$D$22:$D$36),1,0)*'ZD Vorerfassung'!$X$22:$X$36*IF(D53="FH",0.5,1)),
"prüfen")))</f>
        <v>0</v>
      </c>
      <c r="AY53" s="110">
        <f t="array" ref="AY53">IF(OR(D53="UU",D53="FT",D53="WE",E53="Ferien"),0,
IF(D53="NR",SUM(IF(B53&gt;=_xlfn.NUMBERVALUE('ZD Vorerfassung'!$C$22:$C$36),1,0)*IF(B53&lt;=_xlfn.NUMBERVALUE('ZD Vorerfassung'!$D$22:$D$36),1,0)*'ZD Vorerfassung'!$U$22:$U$36),
IF(OR(D53="SF",D53="FH"),SUM(IF(B53&gt;=_xlfn.NUMBERVALUE('ZD Vorerfassung'!$C$22:$C$36),1,0)*IF(B53&lt;=_xlfn.NUMBERVALUE('ZD Vorerfassung'!$D$22:$D$36),1,0)*'ZD Vorerfassung'!$V$22:$V$36*IF(D53="FH",0.5,1)),
"prüfen")))</f>
        <v>0</v>
      </c>
      <c r="AZ53" s="110">
        <f t="array" ref="AZ53">IF(OR(D53="UU",D53="FT",D53="WE",E53="Ferien"),0,
IF(D53="NR",SUM(IF(B53&gt;=_xlfn.NUMBERVALUE('ZD Vorerfassung'!$C$22:$C$36),1,0)*IF(B53&lt;=_xlfn.NUMBERVALUE('ZD Vorerfassung'!$D$22:$D$36),1,0)*'ZD Vorerfassung'!$S$22:$S$36),
IF(OR(D53="SF",D53="FH"),SUM(IF(B53&gt;=_xlfn.NUMBERVALUE('ZD Vorerfassung'!$C$22:$C$36),1,0)*IF(B53&lt;=_xlfn.NUMBERVALUE('ZD Vorerfassung'!$D$22:$D$36),1,0)*'ZD Vorerfassung'!$T$22:$T$36*IF(D53="FH",0.5,1)),
"prüfen")))</f>
        <v>0</v>
      </c>
      <c r="BA53" s="112">
        <f t="shared" si="8"/>
        <v>9</v>
      </c>
    </row>
    <row r="54" spans="2:53" ht="19.5" thickTop="1" thickBot="1" x14ac:dyDescent="0.3">
      <c r="B54" s="99">
        <f t="shared" si="0"/>
        <v>44819</v>
      </c>
      <c r="C54" s="100">
        <f t="shared" si="9"/>
        <v>44819</v>
      </c>
      <c r="D54" s="101" t="str">
        <f t="shared" si="10"/>
        <v>NR</v>
      </c>
      <c r="E54" s="102" t="str">
        <f t="shared" si="2"/>
        <v>Unterrichtstag</v>
      </c>
      <c r="F54" s="103">
        <f t="shared" si="11"/>
        <v>0</v>
      </c>
      <c r="G54" s="104">
        <f t="shared" si="12"/>
        <v>0</v>
      </c>
      <c r="H54" s="104">
        <f>IFERROR(IF('ZD Vorerfassung'!$E$11="manuell",SUM(I54),IF(OR(E54="Feiertag",E54="Wochenende"),0,IF('ZD Vorerfassung'!$E$11="automatisch",AX54,IF(D54="UU","UU",IF(E54=Param2,AX54/24,IF(E54=Param9,AX54/48,"")))))),0)</f>
        <v>0</v>
      </c>
      <c r="I54" s="105"/>
      <c r="J54" s="106">
        <f>IF('ZD Vorerfassung'!$E$12="manuell",SUM(K54:AI54),IF(OR(E54="Feiertag",E54="Wochenende"),0,IF('ZD Vorerfassung'!$E$12="automatisch",AY54,IF(D54="UU","UU",IF(E54=Param2,AY54/24,IF(E54=Param9,AY54/48,""))))))</f>
        <v>0</v>
      </c>
      <c r="K54" s="105"/>
      <c r="L54" s="105"/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5"/>
      <c r="AD54" s="105"/>
      <c r="AE54" s="105"/>
      <c r="AF54" s="105"/>
      <c r="AG54" s="105"/>
      <c r="AH54" s="105"/>
      <c r="AI54" s="105"/>
      <c r="AJ54" s="107">
        <f t="shared" si="13"/>
        <v>0</v>
      </c>
      <c r="AK54" s="105"/>
      <c r="AL54" s="105"/>
      <c r="AM54" s="105"/>
      <c r="AN54" s="105"/>
      <c r="AO54" s="105"/>
      <c r="AP54" s="105"/>
      <c r="AQ54" s="108">
        <f t="shared" si="14"/>
        <v>0</v>
      </c>
      <c r="AR54" s="108">
        <f t="shared" si="15"/>
        <v>0</v>
      </c>
      <c r="AS54" s="109">
        <f t="shared" si="16"/>
        <v>0</v>
      </c>
      <c r="AU54" s="110">
        <f t="shared" si="7"/>
        <v>0</v>
      </c>
      <c r="AV54" s="111">
        <f>IF(D54="NR",
IF('ZD Vorerfassung'!$E$22="",0,IF(AND(B54&gt;='ZD Vorerfassung'!$C$22,B54&lt;='ZD Vorerfassung'!$D$22),HLOOKUP(TEXT(C54,"ttt"),'ZD Vorerfassung'!$H$21:$L$36,2,0),0))+
IF('ZD Vorerfassung'!$E$23="",0,IF(AND(B54&gt;='ZD Vorerfassung'!$C$23,B54&lt;='ZD Vorerfassung'!$D$23),HLOOKUP(TEXT(C54,"ttt"),'ZD Vorerfassung'!$H$21:$L$36,3,0),0))+
IF('ZD Vorerfassung'!$E$24="",0,IF(AND(B54&gt;='ZD Vorerfassung'!$C$24,B54&lt;='ZD Vorerfassung'!$D$24),HLOOKUP(TEXT(C54,"ttt"),'ZD Vorerfassung'!$H$21:$L$36,4,0),0))+
IF('ZD Vorerfassung'!$E$25="",0,IF(AND(B54&gt;='ZD Vorerfassung'!$C$25,B54&lt;='ZD Vorerfassung'!$D$25),HLOOKUP(TEXT(C54,"ttt"),'ZD Vorerfassung'!$H$21:$L$36,5,0),0))+
IF('ZD Vorerfassung'!$E$26="",0,IF(AND(B54&gt;='ZD Vorerfassung'!$C$26,B54&lt;='ZD Vorerfassung'!$D$26),HLOOKUP(TEXT(C54,"ttt"),'ZD Vorerfassung'!$H$21:$L$36,6,0),0))+
IF('ZD Vorerfassung'!$E$27="",0,IF(AND(B54&gt;='ZD Vorerfassung'!$C$27,B54&lt;='ZD Vorerfassung'!$D$27),HLOOKUP(TEXT(C54,"ttt"),'ZD Vorerfassung'!$H$21:$L$36,7,0),0))+
IF('ZD Vorerfassung'!$E$28="",0,IF(AND(B54&gt;='ZD Vorerfassung'!$C$28,B54&lt;='ZD Vorerfassung'!$D$28),HLOOKUP(TEXT(C54,"ttt"),'ZD Vorerfassung'!$H$21:$L$36,8,0),0))+
IF('ZD Vorerfassung'!$E$29="",0,IF(AND(B54&gt;='ZD Vorerfassung'!$C$29,B54&lt;='ZD Vorerfassung'!$D$29),HLOOKUP(TEXT(C54,"ttt"),'ZD Vorerfassung'!$H$21:$L$36,9,0),0))+
IF('ZD Vorerfassung'!$E$30="",0,IF(AND(B54&gt;='ZD Vorerfassung'!$C$30,B54&lt;='ZD Vorerfassung'!$D$30),HLOOKUP(TEXT(C54,"ttt"),'ZD Vorerfassung'!$H$21:$L$36,10,0),0))+
IF('ZD Vorerfassung'!$E$31="",0,IF(AND(B54&gt;='ZD Vorerfassung'!$C$31,B54&lt;='ZD Vorerfassung'!$D$31),HLOOKUP(TEXT(C54,"ttt"),'ZD Vorerfassung'!$H$21:$L$36,11,0),0))+
IF('ZD Vorerfassung'!$E$32="",0,IF(AND(B54&gt;='ZD Vorerfassung'!$C$32,B54&lt;='ZD Vorerfassung'!$D$32),HLOOKUP(TEXT(C54,"ttt"),'ZD Vorerfassung'!$H$21:$L$36,12,0),0))+
IF('ZD Vorerfassung'!$E$33="",0,IF(AND(B54&gt;='ZD Vorerfassung'!$C$33,B54&lt;='ZD Vorerfassung'!$D$33),HLOOKUP(TEXT(C54,"ttt"),'ZD Vorerfassung'!$H$21:$L$36,13,0),0))+
IF('ZD Vorerfassung'!$E$34="",0,IF(AND(B54&gt;='ZD Vorerfassung'!$C$34,B54&lt;='ZD Vorerfassung'!$D$34),HLOOKUP(TEXT(C54,"ttt"),'ZD Vorerfassung'!$H$21:$L$36,14,0),0))+
IF('ZD Vorerfassung'!$E$35="",0,IF(AND(B54&gt;='ZD Vorerfassung'!$C$35,B54&lt;='ZD Vorerfassung'!$D$35),HLOOKUP(TEXT(C54,"ttt"),'ZD Vorerfassung'!$H$21:$L$36,15,0),0))+
IF('ZD Vorerfassung'!$E$36="",0,IF(AND(B54&gt;='ZD Vorerfassung'!$C$36,B54&lt;='ZD Vorerfassung'!$D$36),HLOOKUP(TEXT(C54,"ttt"),'ZD Vorerfassung'!$H$21:$L$36,16,0),0)),"")</f>
        <v>0</v>
      </c>
      <c r="AW54" s="110">
        <f t="array" ref="AW54">IF(OR(D54="UU",D54="FT",D54="WE"),0,
IF(D54="NR",SUM(IF(B54&gt;=_xlfn.NUMBERVALUE('ZD Vorerfassung'!$C$22:$C$36),1,0)*IF(B54&lt;=_xlfn.NUMBERVALUE('ZD Vorerfassung'!$D$22:$D$36),1,0)*'ZD Vorerfassung'!$Q$22:$Q$36),
IF(OR(D54="SF",D54="FH"),SUM(IF(B54&gt;=_xlfn.NUMBERVALUE('ZD Vorerfassung'!$C$22:$C$36),1,0)*IF(B54&lt;=_xlfn.NUMBERVALUE('ZD Vorerfassung'!$D$22:$D$36),1,0)*'ZD Vorerfassung'!$R$22:$R$36*IF(D54="FH",0.5,1)),
"prüfen")))</f>
        <v>0</v>
      </c>
      <c r="AX54" s="110">
        <f t="array" ref="AX54">IF(OR(D54="UU",D54="FT",D54="WE",E54="Ferien"),0,
IF(D54="NR",SUM(IF(B54&gt;=_xlfn.NUMBERVALUE('ZD Vorerfassung'!$C$22:$C$36),1,0)*IF(B54&lt;=_xlfn.NUMBERVALUE('ZD Vorerfassung'!$D$22:$D$36),1,0)*'ZD Vorerfassung'!$W$22:$W$36),
IF(OR(D54="SF",D54="FH"),SUM(IF(B54&gt;=_xlfn.NUMBERVALUE('ZD Vorerfassung'!$C$22:$C$36),1,0)*IF(B54&lt;=_xlfn.NUMBERVALUE('ZD Vorerfassung'!$D$22:$D$36),1,0)*'ZD Vorerfassung'!$X$22:$X$36*IF(D54="FH",0.5,1)),
"prüfen")))</f>
        <v>0</v>
      </c>
      <c r="AY54" s="110">
        <f t="array" ref="AY54">IF(OR(D54="UU",D54="FT",D54="WE",E54="Ferien"),0,
IF(D54="NR",SUM(IF(B54&gt;=_xlfn.NUMBERVALUE('ZD Vorerfassung'!$C$22:$C$36),1,0)*IF(B54&lt;=_xlfn.NUMBERVALUE('ZD Vorerfassung'!$D$22:$D$36),1,0)*'ZD Vorerfassung'!$U$22:$U$36),
IF(OR(D54="SF",D54="FH"),SUM(IF(B54&gt;=_xlfn.NUMBERVALUE('ZD Vorerfassung'!$C$22:$C$36),1,0)*IF(B54&lt;=_xlfn.NUMBERVALUE('ZD Vorerfassung'!$D$22:$D$36),1,0)*'ZD Vorerfassung'!$V$22:$V$36*IF(D54="FH",0.5,1)),
"prüfen")))</f>
        <v>0</v>
      </c>
      <c r="AZ54" s="110">
        <f t="array" ref="AZ54">IF(OR(D54="UU",D54="FT",D54="WE",E54="Ferien"),0,
IF(D54="NR",SUM(IF(B54&gt;=_xlfn.NUMBERVALUE('ZD Vorerfassung'!$C$22:$C$36),1,0)*IF(B54&lt;=_xlfn.NUMBERVALUE('ZD Vorerfassung'!$D$22:$D$36),1,0)*'ZD Vorerfassung'!$S$22:$S$36),
IF(OR(D54="SF",D54="FH"),SUM(IF(B54&gt;=_xlfn.NUMBERVALUE('ZD Vorerfassung'!$C$22:$C$36),1,0)*IF(B54&lt;=_xlfn.NUMBERVALUE('ZD Vorerfassung'!$D$22:$D$36),1,0)*'ZD Vorerfassung'!$T$22:$T$36*IF(D54="FH",0.5,1)),
"prüfen")))</f>
        <v>0</v>
      </c>
      <c r="BA54" s="112">
        <f t="shared" si="8"/>
        <v>9</v>
      </c>
    </row>
    <row r="55" spans="2:53" ht="19.5" thickTop="1" thickBot="1" x14ac:dyDescent="0.3">
      <c r="B55" s="99">
        <f t="shared" si="0"/>
        <v>44820</v>
      </c>
      <c r="C55" s="100">
        <f t="shared" si="9"/>
        <v>44820</v>
      </c>
      <c r="D55" s="101" t="str">
        <f t="shared" si="10"/>
        <v>NR</v>
      </c>
      <c r="E55" s="102" t="str">
        <f t="shared" si="2"/>
        <v>Unterrichtstag</v>
      </c>
      <c r="F55" s="103">
        <f t="shared" si="11"/>
        <v>0</v>
      </c>
      <c r="G55" s="104">
        <f t="shared" si="12"/>
        <v>0</v>
      </c>
      <c r="H55" s="104">
        <f>IFERROR(IF('ZD Vorerfassung'!$E$11="manuell",SUM(I55),IF(OR(E55="Feiertag",E55="Wochenende"),0,IF('ZD Vorerfassung'!$E$11="automatisch",AX55,IF(D55="UU","UU",IF(E55=Param2,AX55/24,IF(E55=Param9,AX55/48,"")))))),0)</f>
        <v>0</v>
      </c>
      <c r="I55" s="105"/>
      <c r="J55" s="106">
        <f>IF('ZD Vorerfassung'!$E$12="manuell",SUM(K55:AI55),IF(OR(E55="Feiertag",E55="Wochenende"),0,IF('ZD Vorerfassung'!$E$12="automatisch",AY55,IF(D55="UU","UU",IF(E55=Param2,AY55/24,IF(E55=Param9,AY55/48,""))))))</f>
        <v>0</v>
      </c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7">
        <f t="shared" si="13"/>
        <v>0</v>
      </c>
      <c r="AK55" s="105"/>
      <c r="AL55" s="105"/>
      <c r="AM55" s="105"/>
      <c r="AN55" s="105"/>
      <c r="AO55" s="105"/>
      <c r="AP55" s="105"/>
      <c r="AQ55" s="108">
        <f t="shared" si="14"/>
        <v>0</v>
      </c>
      <c r="AR55" s="108">
        <f t="shared" si="15"/>
        <v>0</v>
      </c>
      <c r="AS55" s="109">
        <f t="shared" si="16"/>
        <v>0</v>
      </c>
      <c r="AU55" s="110">
        <f t="shared" si="7"/>
        <v>0</v>
      </c>
      <c r="AV55" s="111">
        <f>IF(D55="NR",
IF('ZD Vorerfassung'!$E$22="",0,IF(AND(B55&gt;='ZD Vorerfassung'!$C$22,B55&lt;='ZD Vorerfassung'!$D$22),HLOOKUP(TEXT(C55,"ttt"),'ZD Vorerfassung'!$H$21:$L$36,2,0),0))+
IF('ZD Vorerfassung'!$E$23="",0,IF(AND(B55&gt;='ZD Vorerfassung'!$C$23,B55&lt;='ZD Vorerfassung'!$D$23),HLOOKUP(TEXT(C55,"ttt"),'ZD Vorerfassung'!$H$21:$L$36,3,0),0))+
IF('ZD Vorerfassung'!$E$24="",0,IF(AND(B55&gt;='ZD Vorerfassung'!$C$24,B55&lt;='ZD Vorerfassung'!$D$24),HLOOKUP(TEXT(C55,"ttt"),'ZD Vorerfassung'!$H$21:$L$36,4,0),0))+
IF('ZD Vorerfassung'!$E$25="",0,IF(AND(B55&gt;='ZD Vorerfassung'!$C$25,B55&lt;='ZD Vorerfassung'!$D$25),HLOOKUP(TEXT(C55,"ttt"),'ZD Vorerfassung'!$H$21:$L$36,5,0),0))+
IF('ZD Vorerfassung'!$E$26="",0,IF(AND(B55&gt;='ZD Vorerfassung'!$C$26,B55&lt;='ZD Vorerfassung'!$D$26),HLOOKUP(TEXT(C55,"ttt"),'ZD Vorerfassung'!$H$21:$L$36,6,0),0))+
IF('ZD Vorerfassung'!$E$27="",0,IF(AND(B55&gt;='ZD Vorerfassung'!$C$27,B55&lt;='ZD Vorerfassung'!$D$27),HLOOKUP(TEXT(C55,"ttt"),'ZD Vorerfassung'!$H$21:$L$36,7,0),0))+
IF('ZD Vorerfassung'!$E$28="",0,IF(AND(B55&gt;='ZD Vorerfassung'!$C$28,B55&lt;='ZD Vorerfassung'!$D$28),HLOOKUP(TEXT(C55,"ttt"),'ZD Vorerfassung'!$H$21:$L$36,8,0),0))+
IF('ZD Vorerfassung'!$E$29="",0,IF(AND(B55&gt;='ZD Vorerfassung'!$C$29,B55&lt;='ZD Vorerfassung'!$D$29),HLOOKUP(TEXT(C55,"ttt"),'ZD Vorerfassung'!$H$21:$L$36,9,0),0))+
IF('ZD Vorerfassung'!$E$30="",0,IF(AND(B55&gt;='ZD Vorerfassung'!$C$30,B55&lt;='ZD Vorerfassung'!$D$30),HLOOKUP(TEXT(C55,"ttt"),'ZD Vorerfassung'!$H$21:$L$36,10,0),0))+
IF('ZD Vorerfassung'!$E$31="",0,IF(AND(B55&gt;='ZD Vorerfassung'!$C$31,B55&lt;='ZD Vorerfassung'!$D$31),HLOOKUP(TEXT(C55,"ttt"),'ZD Vorerfassung'!$H$21:$L$36,11,0),0))+
IF('ZD Vorerfassung'!$E$32="",0,IF(AND(B55&gt;='ZD Vorerfassung'!$C$32,B55&lt;='ZD Vorerfassung'!$D$32),HLOOKUP(TEXT(C55,"ttt"),'ZD Vorerfassung'!$H$21:$L$36,12,0),0))+
IF('ZD Vorerfassung'!$E$33="",0,IF(AND(B55&gt;='ZD Vorerfassung'!$C$33,B55&lt;='ZD Vorerfassung'!$D$33),HLOOKUP(TEXT(C55,"ttt"),'ZD Vorerfassung'!$H$21:$L$36,13,0),0))+
IF('ZD Vorerfassung'!$E$34="",0,IF(AND(B55&gt;='ZD Vorerfassung'!$C$34,B55&lt;='ZD Vorerfassung'!$D$34),HLOOKUP(TEXT(C55,"ttt"),'ZD Vorerfassung'!$H$21:$L$36,14,0),0))+
IF('ZD Vorerfassung'!$E$35="",0,IF(AND(B55&gt;='ZD Vorerfassung'!$C$35,B55&lt;='ZD Vorerfassung'!$D$35),HLOOKUP(TEXT(C55,"ttt"),'ZD Vorerfassung'!$H$21:$L$36,15,0),0))+
IF('ZD Vorerfassung'!$E$36="",0,IF(AND(B55&gt;='ZD Vorerfassung'!$C$36,B55&lt;='ZD Vorerfassung'!$D$36),HLOOKUP(TEXT(C55,"ttt"),'ZD Vorerfassung'!$H$21:$L$36,16,0),0)),"")</f>
        <v>0</v>
      </c>
      <c r="AW55" s="110">
        <f t="array" ref="AW55">IF(OR(D55="UU",D55="FT",D55="WE"),0,
IF(D55="NR",SUM(IF(B55&gt;=_xlfn.NUMBERVALUE('ZD Vorerfassung'!$C$22:$C$36),1,0)*IF(B55&lt;=_xlfn.NUMBERVALUE('ZD Vorerfassung'!$D$22:$D$36),1,0)*'ZD Vorerfassung'!$Q$22:$Q$36),
IF(OR(D55="SF",D55="FH"),SUM(IF(B55&gt;=_xlfn.NUMBERVALUE('ZD Vorerfassung'!$C$22:$C$36),1,0)*IF(B55&lt;=_xlfn.NUMBERVALUE('ZD Vorerfassung'!$D$22:$D$36),1,0)*'ZD Vorerfassung'!$R$22:$R$36*IF(D55="FH",0.5,1)),
"prüfen")))</f>
        <v>0</v>
      </c>
      <c r="AX55" s="110">
        <f t="array" ref="AX55">IF(OR(D55="UU",D55="FT",D55="WE",E55="Ferien"),0,
IF(D55="NR",SUM(IF(B55&gt;=_xlfn.NUMBERVALUE('ZD Vorerfassung'!$C$22:$C$36),1,0)*IF(B55&lt;=_xlfn.NUMBERVALUE('ZD Vorerfassung'!$D$22:$D$36),1,0)*'ZD Vorerfassung'!$W$22:$W$36),
IF(OR(D55="SF",D55="FH"),SUM(IF(B55&gt;=_xlfn.NUMBERVALUE('ZD Vorerfassung'!$C$22:$C$36),1,0)*IF(B55&lt;=_xlfn.NUMBERVALUE('ZD Vorerfassung'!$D$22:$D$36),1,0)*'ZD Vorerfassung'!$X$22:$X$36*IF(D55="FH",0.5,1)),
"prüfen")))</f>
        <v>0</v>
      </c>
      <c r="AY55" s="110">
        <f t="array" ref="AY55">IF(OR(D55="UU",D55="FT",D55="WE",E55="Ferien"),0,
IF(D55="NR",SUM(IF(B55&gt;=_xlfn.NUMBERVALUE('ZD Vorerfassung'!$C$22:$C$36),1,0)*IF(B55&lt;=_xlfn.NUMBERVALUE('ZD Vorerfassung'!$D$22:$D$36),1,0)*'ZD Vorerfassung'!$U$22:$U$36),
IF(OR(D55="SF",D55="FH"),SUM(IF(B55&gt;=_xlfn.NUMBERVALUE('ZD Vorerfassung'!$C$22:$C$36),1,0)*IF(B55&lt;=_xlfn.NUMBERVALUE('ZD Vorerfassung'!$D$22:$D$36),1,0)*'ZD Vorerfassung'!$V$22:$V$36*IF(D55="FH",0.5,1)),
"prüfen")))</f>
        <v>0</v>
      </c>
      <c r="AZ55" s="110">
        <f t="array" ref="AZ55">IF(OR(D55="UU",D55="FT",D55="WE",E55="Ferien"),0,
IF(D55="NR",SUM(IF(B55&gt;=_xlfn.NUMBERVALUE('ZD Vorerfassung'!$C$22:$C$36),1,0)*IF(B55&lt;=_xlfn.NUMBERVALUE('ZD Vorerfassung'!$D$22:$D$36),1,0)*'ZD Vorerfassung'!$S$22:$S$36),
IF(OR(D55="SF",D55="FH"),SUM(IF(B55&gt;=_xlfn.NUMBERVALUE('ZD Vorerfassung'!$C$22:$C$36),1,0)*IF(B55&lt;=_xlfn.NUMBERVALUE('ZD Vorerfassung'!$D$22:$D$36),1,0)*'ZD Vorerfassung'!$T$22:$T$36*IF(D55="FH",0.5,1)),
"prüfen")))</f>
        <v>0</v>
      </c>
      <c r="BA55" s="112">
        <f t="shared" si="8"/>
        <v>9</v>
      </c>
    </row>
    <row r="56" spans="2:53" ht="19.5" thickTop="1" thickBot="1" x14ac:dyDescent="0.3">
      <c r="B56" s="99">
        <f t="shared" si="0"/>
        <v>44821</v>
      </c>
      <c r="C56" s="100">
        <f t="shared" si="9"/>
        <v>44821</v>
      </c>
      <c r="D56" s="101" t="str">
        <f t="shared" si="10"/>
        <v>NR</v>
      </c>
      <c r="E56" s="102" t="str">
        <f t="shared" si="2"/>
        <v>Unterrichtstag</v>
      </c>
      <c r="F56" s="103">
        <f t="shared" si="11"/>
        <v>0</v>
      </c>
      <c r="G56" s="104">
        <f t="shared" si="12"/>
        <v>0</v>
      </c>
      <c r="H56" s="104">
        <f>IFERROR(IF('ZD Vorerfassung'!$E$11="manuell",SUM(I56),IF(OR(E56="Feiertag",E56="Wochenende"),0,IF('ZD Vorerfassung'!$E$11="automatisch",AX56,IF(D56="UU","UU",IF(E56=Param2,AX56/24,IF(E56=Param9,AX56/48,"")))))),0)</f>
        <v>0</v>
      </c>
      <c r="I56" s="105"/>
      <c r="J56" s="106">
        <f>IF('ZD Vorerfassung'!$E$12="manuell",SUM(K56:AI56),IF(OR(E56="Feiertag",E56="Wochenende"),0,IF('ZD Vorerfassung'!$E$12="automatisch",AY56,IF(D56="UU","UU",IF(E56=Param2,AY56/24,IF(E56=Param9,AY56/48,""))))))</f>
        <v>0</v>
      </c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7">
        <f t="shared" si="13"/>
        <v>0</v>
      </c>
      <c r="AK56" s="105"/>
      <c r="AL56" s="105"/>
      <c r="AM56" s="105"/>
      <c r="AN56" s="105"/>
      <c r="AO56" s="105"/>
      <c r="AP56" s="105"/>
      <c r="AQ56" s="108">
        <f t="shared" si="14"/>
        <v>0</v>
      </c>
      <c r="AR56" s="108">
        <f t="shared" si="15"/>
        <v>0</v>
      </c>
      <c r="AS56" s="109">
        <f t="shared" si="16"/>
        <v>0</v>
      </c>
      <c r="AU56" s="110">
        <f t="shared" si="7"/>
        <v>0</v>
      </c>
      <c r="AV56" s="111">
        <f>IF(D56="NR",
IF('ZD Vorerfassung'!$E$22="",0,IF(AND(B56&gt;='ZD Vorerfassung'!$C$22,B56&lt;='ZD Vorerfassung'!$D$22),HLOOKUP(TEXT(C56,"ttt"),'ZD Vorerfassung'!$H$21:$L$36,2,0),0))+
IF('ZD Vorerfassung'!$E$23="",0,IF(AND(B56&gt;='ZD Vorerfassung'!$C$23,B56&lt;='ZD Vorerfassung'!$D$23),HLOOKUP(TEXT(C56,"ttt"),'ZD Vorerfassung'!$H$21:$L$36,3,0),0))+
IF('ZD Vorerfassung'!$E$24="",0,IF(AND(B56&gt;='ZD Vorerfassung'!$C$24,B56&lt;='ZD Vorerfassung'!$D$24),HLOOKUP(TEXT(C56,"ttt"),'ZD Vorerfassung'!$H$21:$L$36,4,0),0))+
IF('ZD Vorerfassung'!$E$25="",0,IF(AND(B56&gt;='ZD Vorerfassung'!$C$25,B56&lt;='ZD Vorerfassung'!$D$25),HLOOKUP(TEXT(C56,"ttt"),'ZD Vorerfassung'!$H$21:$L$36,5,0),0))+
IF('ZD Vorerfassung'!$E$26="",0,IF(AND(B56&gt;='ZD Vorerfassung'!$C$26,B56&lt;='ZD Vorerfassung'!$D$26),HLOOKUP(TEXT(C56,"ttt"),'ZD Vorerfassung'!$H$21:$L$36,6,0),0))+
IF('ZD Vorerfassung'!$E$27="",0,IF(AND(B56&gt;='ZD Vorerfassung'!$C$27,B56&lt;='ZD Vorerfassung'!$D$27),HLOOKUP(TEXT(C56,"ttt"),'ZD Vorerfassung'!$H$21:$L$36,7,0),0))+
IF('ZD Vorerfassung'!$E$28="",0,IF(AND(B56&gt;='ZD Vorerfassung'!$C$28,B56&lt;='ZD Vorerfassung'!$D$28),HLOOKUP(TEXT(C56,"ttt"),'ZD Vorerfassung'!$H$21:$L$36,8,0),0))+
IF('ZD Vorerfassung'!$E$29="",0,IF(AND(B56&gt;='ZD Vorerfassung'!$C$29,B56&lt;='ZD Vorerfassung'!$D$29),HLOOKUP(TEXT(C56,"ttt"),'ZD Vorerfassung'!$H$21:$L$36,9,0),0))+
IF('ZD Vorerfassung'!$E$30="",0,IF(AND(B56&gt;='ZD Vorerfassung'!$C$30,B56&lt;='ZD Vorerfassung'!$D$30),HLOOKUP(TEXT(C56,"ttt"),'ZD Vorerfassung'!$H$21:$L$36,10,0),0))+
IF('ZD Vorerfassung'!$E$31="",0,IF(AND(B56&gt;='ZD Vorerfassung'!$C$31,B56&lt;='ZD Vorerfassung'!$D$31),HLOOKUP(TEXT(C56,"ttt"),'ZD Vorerfassung'!$H$21:$L$36,11,0),0))+
IF('ZD Vorerfassung'!$E$32="",0,IF(AND(B56&gt;='ZD Vorerfassung'!$C$32,B56&lt;='ZD Vorerfassung'!$D$32),HLOOKUP(TEXT(C56,"ttt"),'ZD Vorerfassung'!$H$21:$L$36,12,0),0))+
IF('ZD Vorerfassung'!$E$33="",0,IF(AND(B56&gt;='ZD Vorerfassung'!$C$33,B56&lt;='ZD Vorerfassung'!$D$33),HLOOKUP(TEXT(C56,"ttt"),'ZD Vorerfassung'!$H$21:$L$36,13,0),0))+
IF('ZD Vorerfassung'!$E$34="",0,IF(AND(B56&gt;='ZD Vorerfassung'!$C$34,B56&lt;='ZD Vorerfassung'!$D$34),HLOOKUP(TEXT(C56,"ttt"),'ZD Vorerfassung'!$H$21:$L$36,14,0),0))+
IF('ZD Vorerfassung'!$E$35="",0,IF(AND(B56&gt;='ZD Vorerfassung'!$C$35,B56&lt;='ZD Vorerfassung'!$D$35),HLOOKUP(TEXT(C56,"ttt"),'ZD Vorerfassung'!$H$21:$L$36,15,0),0))+
IF('ZD Vorerfassung'!$E$36="",0,IF(AND(B56&gt;='ZD Vorerfassung'!$C$36,B56&lt;='ZD Vorerfassung'!$D$36),HLOOKUP(TEXT(C56,"ttt"),'ZD Vorerfassung'!$H$21:$L$36,16,0),0)),"")</f>
        <v>0</v>
      </c>
      <c r="AW56" s="110">
        <f t="array" ref="AW56">IF(OR(D56="UU",D56="FT",D56="WE"),0,
IF(D56="NR",SUM(IF(B56&gt;=_xlfn.NUMBERVALUE('ZD Vorerfassung'!$C$22:$C$36),1,0)*IF(B56&lt;=_xlfn.NUMBERVALUE('ZD Vorerfassung'!$D$22:$D$36),1,0)*'ZD Vorerfassung'!$Q$22:$Q$36),
IF(OR(D56="SF",D56="FH"),SUM(IF(B56&gt;=_xlfn.NUMBERVALUE('ZD Vorerfassung'!$C$22:$C$36),1,0)*IF(B56&lt;=_xlfn.NUMBERVALUE('ZD Vorerfassung'!$D$22:$D$36),1,0)*'ZD Vorerfassung'!$R$22:$R$36*IF(D56="FH",0.5,1)),
"prüfen")))</f>
        <v>0</v>
      </c>
      <c r="AX56" s="110">
        <f t="array" ref="AX56">IF(OR(D56="UU",D56="FT",D56="WE",E56="Ferien"),0,
IF(D56="NR",SUM(IF(B56&gt;=_xlfn.NUMBERVALUE('ZD Vorerfassung'!$C$22:$C$36),1,0)*IF(B56&lt;=_xlfn.NUMBERVALUE('ZD Vorerfassung'!$D$22:$D$36),1,0)*'ZD Vorerfassung'!$W$22:$W$36),
IF(OR(D56="SF",D56="FH"),SUM(IF(B56&gt;=_xlfn.NUMBERVALUE('ZD Vorerfassung'!$C$22:$C$36),1,0)*IF(B56&lt;=_xlfn.NUMBERVALUE('ZD Vorerfassung'!$D$22:$D$36),1,0)*'ZD Vorerfassung'!$X$22:$X$36*IF(D56="FH",0.5,1)),
"prüfen")))</f>
        <v>0</v>
      </c>
      <c r="AY56" s="110">
        <f t="array" ref="AY56">IF(OR(D56="UU",D56="FT",D56="WE",E56="Ferien"),0,
IF(D56="NR",SUM(IF(B56&gt;=_xlfn.NUMBERVALUE('ZD Vorerfassung'!$C$22:$C$36),1,0)*IF(B56&lt;=_xlfn.NUMBERVALUE('ZD Vorerfassung'!$D$22:$D$36),1,0)*'ZD Vorerfassung'!$U$22:$U$36),
IF(OR(D56="SF",D56="FH"),SUM(IF(B56&gt;=_xlfn.NUMBERVALUE('ZD Vorerfassung'!$C$22:$C$36),1,0)*IF(B56&lt;=_xlfn.NUMBERVALUE('ZD Vorerfassung'!$D$22:$D$36),1,0)*'ZD Vorerfassung'!$V$22:$V$36*IF(D56="FH",0.5,1)),
"prüfen")))</f>
        <v>0</v>
      </c>
      <c r="AZ56" s="110">
        <f t="array" ref="AZ56">IF(OR(D56="UU",D56="FT",D56="WE",E56="Ferien"),0,
IF(D56="NR",SUM(IF(B56&gt;=_xlfn.NUMBERVALUE('ZD Vorerfassung'!$C$22:$C$36),1,0)*IF(B56&lt;=_xlfn.NUMBERVALUE('ZD Vorerfassung'!$D$22:$D$36),1,0)*'ZD Vorerfassung'!$S$22:$S$36),
IF(OR(D56="SF",D56="FH"),SUM(IF(B56&gt;=_xlfn.NUMBERVALUE('ZD Vorerfassung'!$C$22:$C$36),1,0)*IF(B56&lt;=_xlfn.NUMBERVALUE('ZD Vorerfassung'!$D$22:$D$36),1,0)*'ZD Vorerfassung'!$T$22:$T$36*IF(D56="FH",0.5,1)),
"prüfen")))</f>
        <v>0</v>
      </c>
      <c r="BA56" s="112">
        <f t="shared" si="8"/>
        <v>9</v>
      </c>
    </row>
    <row r="57" spans="2:53" ht="19.5" thickTop="1" thickBot="1" x14ac:dyDescent="0.3">
      <c r="B57" s="99">
        <f t="shared" si="0"/>
        <v>44822</v>
      </c>
      <c r="C57" s="100">
        <f t="shared" si="9"/>
        <v>44822</v>
      </c>
      <c r="D57" s="101" t="str">
        <f t="shared" si="10"/>
        <v>WE</v>
      </c>
      <c r="E57" s="102" t="str">
        <f t="shared" si="2"/>
        <v>Wochenende</v>
      </c>
      <c r="F57" s="103" t="str">
        <f t="shared" si="11"/>
        <v/>
      </c>
      <c r="G57" s="104" t="str">
        <f t="shared" si="12"/>
        <v/>
      </c>
      <c r="H57" s="104">
        <f>IFERROR(IF('ZD Vorerfassung'!$E$11="manuell",SUM(I57),IF(OR(E57="Feiertag",E57="Wochenende"),0,IF('ZD Vorerfassung'!$E$11="automatisch",AX57,IF(D57="UU","UU",IF(E57=Param2,AX57/24,IF(E57=Param9,AX57/48,"")))))),0)</f>
        <v>0</v>
      </c>
      <c r="I57" s="105"/>
      <c r="J57" s="106">
        <f>IF('ZD Vorerfassung'!$E$12="manuell",SUM(K57:AI57),IF(OR(E57="Feiertag",E57="Wochenende"),0,IF('ZD Vorerfassung'!$E$12="automatisch",AY57,IF(D57="UU","UU",IF(E57=Param2,AY57/24,IF(E57=Param9,AY57/48,""))))))</f>
        <v>0</v>
      </c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7">
        <f t="shared" si="13"/>
        <v>0</v>
      </c>
      <c r="AK57" s="105"/>
      <c r="AL57" s="105"/>
      <c r="AM57" s="105"/>
      <c r="AN57" s="105"/>
      <c r="AO57" s="105"/>
      <c r="AP57" s="105"/>
      <c r="AQ57" s="108">
        <f t="shared" si="14"/>
        <v>0</v>
      </c>
      <c r="AR57" s="108">
        <f t="shared" si="15"/>
        <v>0</v>
      </c>
      <c r="AS57" s="109">
        <f t="shared" si="16"/>
        <v>0</v>
      </c>
      <c r="AU57" s="110">
        <f t="shared" si="7"/>
        <v>0</v>
      </c>
      <c r="AV57" s="111" t="str">
        <f>IF(D57="NR",
IF('ZD Vorerfassung'!$E$22="",0,IF(AND(B57&gt;='ZD Vorerfassung'!$C$22,B57&lt;='ZD Vorerfassung'!$D$22),HLOOKUP(TEXT(C57,"ttt"),'ZD Vorerfassung'!$H$21:$L$36,2,0),0))+
IF('ZD Vorerfassung'!$E$23="",0,IF(AND(B57&gt;='ZD Vorerfassung'!$C$23,B57&lt;='ZD Vorerfassung'!$D$23),HLOOKUP(TEXT(C57,"ttt"),'ZD Vorerfassung'!$H$21:$L$36,3,0),0))+
IF('ZD Vorerfassung'!$E$24="",0,IF(AND(B57&gt;='ZD Vorerfassung'!$C$24,B57&lt;='ZD Vorerfassung'!$D$24),HLOOKUP(TEXT(C57,"ttt"),'ZD Vorerfassung'!$H$21:$L$36,4,0),0))+
IF('ZD Vorerfassung'!$E$25="",0,IF(AND(B57&gt;='ZD Vorerfassung'!$C$25,B57&lt;='ZD Vorerfassung'!$D$25),HLOOKUP(TEXT(C57,"ttt"),'ZD Vorerfassung'!$H$21:$L$36,5,0),0))+
IF('ZD Vorerfassung'!$E$26="",0,IF(AND(B57&gt;='ZD Vorerfassung'!$C$26,B57&lt;='ZD Vorerfassung'!$D$26),HLOOKUP(TEXT(C57,"ttt"),'ZD Vorerfassung'!$H$21:$L$36,6,0),0))+
IF('ZD Vorerfassung'!$E$27="",0,IF(AND(B57&gt;='ZD Vorerfassung'!$C$27,B57&lt;='ZD Vorerfassung'!$D$27),HLOOKUP(TEXT(C57,"ttt"),'ZD Vorerfassung'!$H$21:$L$36,7,0),0))+
IF('ZD Vorerfassung'!$E$28="",0,IF(AND(B57&gt;='ZD Vorerfassung'!$C$28,B57&lt;='ZD Vorerfassung'!$D$28),HLOOKUP(TEXT(C57,"ttt"),'ZD Vorerfassung'!$H$21:$L$36,8,0),0))+
IF('ZD Vorerfassung'!$E$29="",0,IF(AND(B57&gt;='ZD Vorerfassung'!$C$29,B57&lt;='ZD Vorerfassung'!$D$29),HLOOKUP(TEXT(C57,"ttt"),'ZD Vorerfassung'!$H$21:$L$36,9,0),0))+
IF('ZD Vorerfassung'!$E$30="",0,IF(AND(B57&gt;='ZD Vorerfassung'!$C$30,B57&lt;='ZD Vorerfassung'!$D$30),HLOOKUP(TEXT(C57,"ttt"),'ZD Vorerfassung'!$H$21:$L$36,10,0),0))+
IF('ZD Vorerfassung'!$E$31="",0,IF(AND(B57&gt;='ZD Vorerfassung'!$C$31,B57&lt;='ZD Vorerfassung'!$D$31),HLOOKUP(TEXT(C57,"ttt"),'ZD Vorerfassung'!$H$21:$L$36,11,0),0))+
IF('ZD Vorerfassung'!$E$32="",0,IF(AND(B57&gt;='ZD Vorerfassung'!$C$32,B57&lt;='ZD Vorerfassung'!$D$32),HLOOKUP(TEXT(C57,"ttt"),'ZD Vorerfassung'!$H$21:$L$36,12,0),0))+
IF('ZD Vorerfassung'!$E$33="",0,IF(AND(B57&gt;='ZD Vorerfassung'!$C$33,B57&lt;='ZD Vorerfassung'!$D$33),HLOOKUP(TEXT(C57,"ttt"),'ZD Vorerfassung'!$H$21:$L$36,13,0),0))+
IF('ZD Vorerfassung'!$E$34="",0,IF(AND(B57&gt;='ZD Vorerfassung'!$C$34,B57&lt;='ZD Vorerfassung'!$D$34),HLOOKUP(TEXT(C57,"ttt"),'ZD Vorerfassung'!$H$21:$L$36,14,0),0))+
IF('ZD Vorerfassung'!$E$35="",0,IF(AND(B57&gt;='ZD Vorerfassung'!$C$35,B57&lt;='ZD Vorerfassung'!$D$35),HLOOKUP(TEXT(C57,"ttt"),'ZD Vorerfassung'!$H$21:$L$36,15,0),0))+
IF('ZD Vorerfassung'!$E$36="",0,IF(AND(B57&gt;='ZD Vorerfassung'!$C$36,B57&lt;='ZD Vorerfassung'!$D$36),HLOOKUP(TEXT(C57,"ttt"),'ZD Vorerfassung'!$H$21:$L$36,16,0),0)),"")</f>
        <v/>
      </c>
      <c r="AW57" s="110">
        <f t="array" ref="AW57">IF(OR(D57="UU",D57="FT",D57="WE"),0,
IF(D57="NR",SUM(IF(B57&gt;=_xlfn.NUMBERVALUE('ZD Vorerfassung'!$C$22:$C$36),1,0)*IF(B57&lt;=_xlfn.NUMBERVALUE('ZD Vorerfassung'!$D$22:$D$36),1,0)*'ZD Vorerfassung'!$Q$22:$Q$36),
IF(OR(D57="SF",D57="FH"),SUM(IF(B57&gt;=_xlfn.NUMBERVALUE('ZD Vorerfassung'!$C$22:$C$36),1,0)*IF(B57&lt;=_xlfn.NUMBERVALUE('ZD Vorerfassung'!$D$22:$D$36),1,0)*'ZD Vorerfassung'!$R$22:$R$36*IF(D57="FH",0.5,1)),
"prüfen")))</f>
        <v>0</v>
      </c>
      <c r="AX57" s="110">
        <f t="array" ref="AX57">IF(OR(D57="UU",D57="FT",D57="WE",E57="Ferien"),0,
IF(D57="NR",SUM(IF(B57&gt;=_xlfn.NUMBERVALUE('ZD Vorerfassung'!$C$22:$C$36),1,0)*IF(B57&lt;=_xlfn.NUMBERVALUE('ZD Vorerfassung'!$D$22:$D$36),1,0)*'ZD Vorerfassung'!$W$22:$W$36),
IF(OR(D57="SF",D57="FH"),SUM(IF(B57&gt;=_xlfn.NUMBERVALUE('ZD Vorerfassung'!$C$22:$C$36),1,0)*IF(B57&lt;=_xlfn.NUMBERVALUE('ZD Vorerfassung'!$D$22:$D$36),1,0)*'ZD Vorerfassung'!$X$22:$X$36*IF(D57="FH",0.5,1)),
"prüfen")))</f>
        <v>0</v>
      </c>
      <c r="AY57" s="110">
        <f t="array" ref="AY57">IF(OR(D57="UU",D57="FT",D57="WE",E57="Ferien"),0,
IF(D57="NR",SUM(IF(B57&gt;=_xlfn.NUMBERVALUE('ZD Vorerfassung'!$C$22:$C$36),1,0)*IF(B57&lt;=_xlfn.NUMBERVALUE('ZD Vorerfassung'!$D$22:$D$36),1,0)*'ZD Vorerfassung'!$U$22:$U$36),
IF(OR(D57="SF",D57="FH"),SUM(IF(B57&gt;=_xlfn.NUMBERVALUE('ZD Vorerfassung'!$C$22:$C$36),1,0)*IF(B57&lt;=_xlfn.NUMBERVALUE('ZD Vorerfassung'!$D$22:$D$36),1,0)*'ZD Vorerfassung'!$V$22:$V$36*IF(D57="FH",0.5,1)),
"prüfen")))</f>
        <v>0</v>
      </c>
      <c r="AZ57" s="110">
        <f t="array" ref="AZ57">IF(OR(D57="UU",D57="FT",D57="WE",E57="Ferien"),0,
IF(D57="NR",SUM(IF(B57&gt;=_xlfn.NUMBERVALUE('ZD Vorerfassung'!$C$22:$C$36),1,0)*IF(B57&lt;=_xlfn.NUMBERVALUE('ZD Vorerfassung'!$D$22:$D$36),1,0)*'ZD Vorerfassung'!$S$22:$S$36),
IF(OR(D57="SF",D57="FH"),SUM(IF(B57&gt;=_xlfn.NUMBERVALUE('ZD Vorerfassung'!$C$22:$C$36),1,0)*IF(B57&lt;=_xlfn.NUMBERVALUE('ZD Vorerfassung'!$D$22:$D$36),1,0)*'ZD Vorerfassung'!$T$22:$T$36*IF(D57="FH",0.5,1)),
"prüfen")))</f>
        <v>0</v>
      </c>
      <c r="BA57" s="112">
        <f t="shared" si="8"/>
        <v>9</v>
      </c>
    </row>
    <row r="58" spans="2:53" ht="19.5" thickTop="1" thickBot="1" x14ac:dyDescent="0.3">
      <c r="B58" s="99">
        <f t="shared" si="0"/>
        <v>44823</v>
      </c>
      <c r="C58" s="100">
        <f t="shared" si="9"/>
        <v>44823</v>
      </c>
      <c r="D58" s="101" t="str">
        <f t="shared" si="10"/>
        <v>WE</v>
      </c>
      <c r="E58" s="102" t="str">
        <f t="shared" si="2"/>
        <v>Wochenende</v>
      </c>
      <c r="F58" s="103" t="str">
        <f t="shared" si="11"/>
        <v/>
      </c>
      <c r="G58" s="104" t="str">
        <f t="shared" si="12"/>
        <v/>
      </c>
      <c r="H58" s="104">
        <f>IFERROR(IF('ZD Vorerfassung'!$E$11="manuell",SUM(I58),IF(OR(E58="Feiertag",E58="Wochenende"),0,IF('ZD Vorerfassung'!$E$11="automatisch",AX58,IF(D58="UU","UU",IF(E58=Param2,AX58/24,IF(E58=Param9,AX58/48,"")))))),0)</f>
        <v>0</v>
      </c>
      <c r="I58" s="105"/>
      <c r="J58" s="106">
        <f>IF('ZD Vorerfassung'!$E$12="manuell",SUM(K58:AI58),IF(OR(E58="Feiertag",E58="Wochenende"),0,IF('ZD Vorerfassung'!$E$12="automatisch",AY58,IF(D58="UU","UU",IF(E58=Param2,AY58/24,IF(E58=Param9,AY58/48,""))))))</f>
        <v>0</v>
      </c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7">
        <f t="shared" si="13"/>
        <v>0</v>
      </c>
      <c r="AK58" s="105"/>
      <c r="AL58" s="105"/>
      <c r="AM58" s="105"/>
      <c r="AN58" s="105"/>
      <c r="AO58" s="105"/>
      <c r="AP58" s="105"/>
      <c r="AQ58" s="108">
        <f t="shared" si="14"/>
        <v>0</v>
      </c>
      <c r="AR58" s="108">
        <f t="shared" si="15"/>
        <v>0</v>
      </c>
      <c r="AS58" s="109">
        <f t="shared" si="16"/>
        <v>0</v>
      </c>
      <c r="AU58" s="110">
        <f t="shared" si="7"/>
        <v>0</v>
      </c>
      <c r="AV58" s="111" t="str">
        <f>IF(D58="NR",
IF('ZD Vorerfassung'!$E$22="",0,IF(AND(B58&gt;='ZD Vorerfassung'!$C$22,B58&lt;='ZD Vorerfassung'!$D$22),HLOOKUP(TEXT(C58,"ttt"),'ZD Vorerfassung'!$H$21:$L$36,2,0),0))+
IF('ZD Vorerfassung'!$E$23="",0,IF(AND(B58&gt;='ZD Vorerfassung'!$C$23,B58&lt;='ZD Vorerfassung'!$D$23),HLOOKUP(TEXT(C58,"ttt"),'ZD Vorerfassung'!$H$21:$L$36,3,0),0))+
IF('ZD Vorerfassung'!$E$24="",0,IF(AND(B58&gt;='ZD Vorerfassung'!$C$24,B58&lt;='ZD Vorerfassung'!$D$24),HLOOKUP(TEXT(C58,"ttt"),'ZD Vorerfassung'!$H$21:$L$36,4,0),0))+
IF('ZD Vorerfassung'!$E$25="",0,IF(AND(B58&gt;='ZD Vorerfassung'!$C$25,B58&lt;='ZD Vorerfassung'!$D$25),HLOOKUP(TEXT(C58,"ttt"),'ZD Vorerfassung'!$H$21:$L$36,5,0),0))+
IF('ZD Vorerfassung'!$E$26="",0,IF(AND(B58&gt;='ZD Vorerfassung'!$C$26,B58&lt;='ZD Vorerfassung'!$D$26),HLOOKUP(TEXT(C58,"ttt"),'ZD Vorerfassung'!$H$21:$L$36,6,0),0))+
IF('ZD Vorerfassung'!$E$27="",0,IF(AND(B58&gt;='ZD Vorerfassung'!$C$27,B58&lt;='ZD Vorerfassung'!$D$27),HLOOKUP(TEXT(C58,"ttt"),'ZD Vorerfassung'!$H$21:$L$36,7,0),0))+
IF('ZD Vorerfassung'!$E$28="",0,IF(AND(B58&gt;='ZD Vorerfassung'!$C$28,B58&lt;='ZD Vorerfassung'!$D$28),HLOOKUP(TEXT(C58,"ttt"),'ZD Vorerfassung'!$H$21:$L$36,8,0),0))+
IF('ZD Vorerfassung'!$E$29="",0,IF(AND(B58&gt;='ZD Vorerfassung'!$C$29,B58&lt;='ZD Vorerfassung'!$D$29),HLOOKUP(TEXT(C58,"ttt"),'ZD Vorerfassung'!$H$21:$L$36,9,0),0))+
IF('ZD Vorerfassung'!$E$30="",0,IF(AND(B58&gt;='ZD Vorerfassung'!$C$30,B58&lt;='ZD Vorerfassung'!$D$30),HLOOKUP(TEXT(C58,"ttt"),'ZD Vorerfassung'!$H$21:$L$36,10,0),0))+
IF('ZD Vorerfassung'!$E$31="",0,IF(AND(B58&gt;='ZD Vorerfassung'!$C$31,B58&lt;='ZD Vorerfassung'!$D$31),HLOOKUP(TEXT(C58,"ttt"),'ZD Vorerfassung'!$H$21:$L$36,11,0),0))+
IF('ZD Vorerfassung'!$E$32="",0,IF(AND(B58&gt;='ZD Vorerfassung'!$C$32,B58&lt;='ZD Vorerfassung'!$D$32),HLOOKUP(TEXT(C58,"ttt"),'ZD Vorerfassung'!$H$21:$L$36,12,0),0))+
IF('ZD Vorerfassung'!$E$33="",0,IF(AND(B58&gt;='ZD Vorerfassung'!$C$33,B58&lt;='ZD Vorerfassung'!$D$33),HLOOKUP(TEXT(C58,"ttt"),'ZD Vorerfassung'!$H$21:$L$36,13,0),0))+
IF('ZD Vorerfassung'!$E$34="",0,IF(AND(B58&gt;='ZD Vorerfassung'!$C$34,B58&lt;='ZD Vorerfassung'!$D$34),HLOOKUP(TEXT(C58,"ttt"),'ZD Vorerfassung'!$H$21:$L$36,14,0),0))+
IF('ZD Vorerfassung'!$E$35="",0,IF(AND(B58&gt;='ZD Vorerfassung'!$C$35,B58&lt;='ZD Vorerfassung'!$D$35),HLOOKUP(TEXT(C58,"ttt"),'ZD Vorerfassung'!$H$21:$L$36,15,0),0))+
IF('ZD Vorerfassung'!$E$36="",0,IF(AND(B58&gt;='ZD Vorerfassung'!$C$36,B58&lt;='ZD Vorerfassung'!$D$36),HLOOKUP(TEXT(C58,"ttt"),'ZD Vorerfassung'!$H$21:$L$36,16,0),0)),"")</f>
        <v/>
      </c>
      <c r="AW58" s="110">
        <f t="array" ref="AW58">IF(OR(D58="UU",D58="FT",D58="WE"),0,
IF(D58="NR",SUM(IF(B58&gt;=_xlfn.NUMBERVALUE('ZD Vorerfassung'!$C$22:$C$36),1,0)*IF(B58&lt;=_xlfn.NUMBERVALUE('ZD Vorerfassung'!$D$22:$D$36),1,0)*'ZD Vorerfassung'!$Q$22:$Q$36),
IF(OR(D58="SF",D58="FH"),SUM(IF(B58&gt;=_xlfn.NUMBERVALUE('ZD Vorerfassung'!$C$22:$C$36),1,0)*IF(B58&lt;=_xlfn.NUMBERVALUE('ZD Vorerfassung'!$D$22:$D$36),1,0)*'ZD Vorerfassung'!$R$22:$R$36*IF(D58="FH",0.5,1)),
"prüfen")))</f>
        <v>0</v>
      </c>
      <c r="AX58" s="110">
        <f t="array" ref="AX58">IF(OR(D58="UU",D58="FT",D58="WE",E58="Ferien"),0,
IF(D58="NR",SUM(IF(B58&gt;=_xlfn.NUMBERVALUE('ZD Vorerfassung'!$C$22:$C$36),1,0)*IF(B58&lt;=_xlfn.NUMBERVALUE('ZD Vorerfassung'!$D$22:$D$36),1,0)*'ZD Vorerfassung'!$W$22:$W$36),
IF(OR(D58="SF",D58="FH"),SUM(IF(B58&gt;=_xlfn.NUMBERVALUE('ZD Vorerfassung'!$C$22:$C$36),1,0)*IF(B58&lt;=_xlfn.NUMBERVALUE('ZD Vorerfassung'!$D$22:$D$36),1,0)*'ZD Vorerfassung'!$X$22:$X$36*IF(D58="FH",0.5,1)),
"prüfen")))</f>
        <v>0</v>
      </c>
      <c r="AY58" s="110">
        <f t="array" ref="AY58">IF(OR(D58="UU",D58="FT",D58="WE",E58="Ferien"),0,
IF(D58="NR",SUM(IF(B58&gt;=_xlfn.NUMBERVALUE('ZD Vorerfassung'!$C$22:$C$36),1,0)*IF(B58&lt;=_xlfn.NUMBERVALUE('ZD Vorerfassung'!$D$22:$D$36),1,0)*'ZD Vorerfassung'!$U$22:$U$36),
IF(OR(D58="SF",D58="FH"),SUM(IF(B58&gt;=_xlfn.NUMBERVALUE('ZD Vorerfassung'!$C$22:$C$36),1,0)*IF(B58&lt;=_xlfn.NUMBERVALUE('ZD Vorerfassung'!$D$22:$D$36),1,0)*'ZD Vorerfassung'!$V$22:$V$36*IF(D58="FH",0.5,1)),
"prüfen")))</f>
        <v>0</v>
      </c>
      <c r="AZ58" s="110">
        <f t="array" ref="AZ58">IF(OR(D58="UU",D58="FT",D58="WE",E58="Ferien"),0,
IF(D58="NR",SUM(IF(B58&gt;=_xlfn.NUMBERVALUE('ZD Vorerfassung'!$C$22:$C$36),1,0)*IF(B58&lt;=_xlfn.NUMBERVALUE('ZD Vorerfassung'!$D$22:$D$36),1,0)*'ZD Vorerfassung'!$S$22:$S$36),
IF(OR(D58="SF",D58="FH"),SUM(IF(B58&gt;=_xlfn.NUMBERVALUE('ZD Vorerfassung'!$C$22:$C$36),1,0)*IF(B58&lt;=_xlfn.NUMBERVALUE('ZD Vorerfassung'!$D$22:$D$36),1,0)*'ZD Vorerfassung'!$T$22:$T$36*IF(D58="FH",0.5,1)),
"prüfen")))</f>
        <v>0</v>
      </c>
      <c r="BA58" s="112">
        <f t="shared" si="8"/>
        <v>9</v>
      </c>
    </row>
    <row r="59" spans="2:53" ht="19.5" thickTop="1" thickBot="1" x14ac:dyDescent="0.3">
      <c r="B59" s="99">
        <f t="shared" si="0"/>
        <v>44824</v>
      </c>
      <c r="C59" s="100">
        <f t="shared" si="9"/>
        <v>44824</v>
      </c>
      <c r="D59" s="101" t="str">
        <f t="shared" si="10"/>
        <v>NR</v>
      </c>
      <c r="E59" s="102" t="str">
        <f t="shared" si="2"/>
        <v>Unterrichtstag</v>
      </c>
      <c r="F59" s="103">
        <f t="shared" si="11"/>
        <v>0</v>
      </c>
      <c r="G59" s="104">
        <f t="shared" si="12"/>
        <v>0</v>
      </c>
      <c r="H59" s="104">
        <f>IFERROR(IF('ZD Vorerfassung'!$E$11="manuell",SUM(I59),IF(OR(E59="Feiertag",E59="Wochenende"),0,IF('ZD Vorerfassung'!$E$11="automatisch",AX59,IF(D59="UU","UU",IF(E59=Param2,AX59/24,IF(E59=Param9,AX59/48,"")))))),0)</f>
        <v>0</v>
      </c>
      <c r="I59" s="105"/>
      <c r="J59" s="106">
        <f>IF('ZD Vorerfassung'!$E$12="manuell",SUM(K59:AI59),IF(OR(E59="Feiertag",E59="Wochenende"),0,IF('ZD Vorerfassung'!$E$12="automatisch",AY59,IF(D59="UU","UU",IF(E59=Param2,AY59/24,IF(E59=Param9,AY59/48,""))))))</f>
        <v>0</v>
      </c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7">
        <f t="shared" si="13"/>
        <v>0</v>
      </c>
      <c r="AK59" s="105"/>
      <c r="AL59" s="105"/>
      <c r="AM59" s="105"/>
      <c r="AN59" s="105"/>
      <c r="AO59" s="105"/>
      <c r="AP59" s="105"/>
      <c r="AQ59" s="108">
        <f t="shared" si="14"/>
        <v>0</v>
      </c>
      <c r="AR59" s="108">
        <f t="shared" si="15"/>
        <v>0</v>
      </c>
      <c r="AS59" s="109">
        <f t="shared" si="16"/>
        <v>0</v>
      </c>
      <c r="AU59" s="110">
        <f t="shared" si="7"/>
        <v>0</v>
      </c>
      <c r="AV59" s="111">
        <f>IF(D59="NR",
IF('ZD Vorerfassung'!$E$22="",0,IF(AND(B59&gt;='ZD Vorerfassung'!$C$22,B59&lt;='ZD Vorerfassung'!$D$22),HLOOKUP(TEXT(C59,"ttt"),'ZD Vorerfassung'!$H$21:$L$36,2,0),0))+
IF('ZD Vorerfassung'!$E$23="",0,IF(AND(B59&gt;='ZD Vorerfassung'!$C$23,B59&lt;='ZD Vorerfassung'!$D$23),HLOOKUP(TEXT(C59,"ttt"),'ZD Vorerfassung'!$H$21:$L$36,3,0),0))+
IF('ZD Vorerfassung'!$E$24="",0,IF(AND(B59&gt;='ZD Vorerfassung'!$C$24,B59&lt;='ZD Vorerfassung'!$D$24),HLOOKUP(TEXT(C59,"ttt"),'ZD Vorerfassung'!$H$21:$L$36,4,0),0))+
IF('ZD Vorerfassung'!$E$25="",0,IF(AND(B59&gt;='ZD Vorerfassung'!$C$25,B59&lt;='ZD Vorerfassung'!$D$25),HLOOKUP(TEXT(C59,"ttt"),'ZD Vorerfassung'!$H$21:$L$36,5,0),0))+
IF('ZD Vorerfassung'!$E$26="",0,IF(AND(B59&gt;='ZD Vorerfassung'!$C$26,B59&lt;='ZD Vorerfassung'!$D$26),HLOOKUP(TEXT(C59,"ttt"),'ZD Vorerfassung'!$H$21:$L$36,6,0),0))+
IF('ZD Vorerfassung'!$E$27="",0,IF(AND(B59&gt;='ZD Vorerfassung'!$C$27,B59&lt;='ZD Vorerfassung'!$D$27),HLOOKUP(TEXT(C59,"ttt"),'ZD Vorerfassung'!$H$21:$L$36,7,0),0))+
IF('ZD Vorerfassung'!$E$28="",0,IF(AND(B59&gt;='ZD Vorerfassung'!$C$28,B59&lt;='ZD Vorerfassung'!$D$28),HLOOKUP(TEXT(C59,"ttt"),'ZD Vorerfassung'!$H$21:$L$36,8,0),0))+
IF('ZD Vorerfassung'!$E$29="",0,IF(AND(B59&gt;='ZD Vorerfassung'!$C$29,B59&lt;='ZD Vorerfassung'!$D$29),HLOOKUP(TEXT(C59,"ttt"),'ZD Vorerfassung'!$H$21:$L$36,9,0),0))+
IF('ZD Vorerfassung'!$E$30="",0,IF(AND(B59&gt;='ZD Vorerfassung'!$C$30,B59&lt;='ZD Vorerfassung'!$D$30),HLOOKUP(TEXT(C59,"ttt"),'ZD Vorerfassung'!$H$21:$L$36,10,0),0))+
IF('ZD Vorerfassung'!$E$31="",0,IF(AND(B59&gt;='ZD Vorerfassung'!$C$31,B59&lt;='ZD Vorerfassung'!$D$31),HLOOKUP(TEXT(C59,"ttt"),'ZD Vorerfassung'!$H$21:$L$36,11,0),0))+
IF('ZD Vorerfassung'!$E$32="",0,IF(AND(B59&gt;='ZD Vorerfassung'!$C$32,B59&lt;='ZD Vorerfassung'!$D$32),HLOOKUP(TEXT(C59,"ttt"),'ZD Vorerfassung'!$H$21:$L$36,12,0),0))+
IF('ZD Vorerfassung'!$E$33="",0,IF(AND(B59&gt;='ZD Vorerfassung'!$C$33,B59&lt;='ZD Vorerfassung'!$D$33),HLOOKUP(TEXT(C59,"ttt"),'ZD Vorerfassung'!$H$21:$L$36,13,0),0))+
IF('ZD Vorerfassung'!$E$34="",0,IF(AND(B59&gt;='ZD Vorerfassung'!$C$34,B59&lt;='ZD Vorerfassung'!$D$34),HLOOKUP(TEXT(C59,"ttt"),'ZD Vorerfassung'!$H$21:$L$36,14,0),0))+
IF('ZD Vorerfassung'!$E$35="",0,IF(AND(B59&gt;='ZD Vorerfassung'!$C$35,B59&lt;='ZD Vorerfassung'!$D$35),HLOOKUP(TEXT(C59,"ttt"),'ZD Vorerfassung'!$H$21:$L$36,15,0),0))+
IF('ZD Vorerfassung'!$E$36="",0,IF(AND(B59&gt;='ZD Vorerfassung'!$C$36,B59&lt;='ZD Vorerfassung'!$D$36),HLOOKUP(TEXT(C59,"ttt"),'ZD Vorerfassung'!$H$21:$L$36,16,0),0)),"")</f>
        <v>0</v>
      </c>
      <c r="AW59" s="110">
        <f t="array" ref="AW59">IF(OR(D59="UU",D59="FT",D59="WE"),0,
IF(D59="NR",SUM(IF(B59&gt;=_xlfn.NUMBERVALUE('ZD Vorerfassung'!$C$22:$C$36),1,0)*IF(B59&lt;=_xlfn.NUMBERVALUE('ZD Vorerfassung'!$D$22:$D$36),1,0)*'ZD Vorerfassung'!$Q$22:$Q$36),
IF(OR(D59="SF",D59="FH"),SUM(IF(B59&gt;=_xlfn.NUMBERVALUE('ZD Vorerfassung'!$C$22:$C$36),1,0)*IF(B59&lt;=_xlfn.NUMBERVALUE('ZD Vorerfassung'!$D$22:$D$36),1,0)*'ZD Vorerfassung'!$R$22:$R$36*IF(D59="FH",0.5,1)),
"prüfen")))</f>
        <v>0</v>
      </c>
      <c r="AX59" s="110">
        <f t="array" ref="AX59">IF(OR(D59="UU",D59="FT",D59="WE",E59="Ferien"),0,
IF(D59="NR",SUM(IF(B59&gt;=_xlfn.NUMBERVALUE('ZD Vorerfassung'!$C$22:$C$36),1,0)*IF(B59&lt;=_xlfn.NUMBERVALUE('ZD Vorerfassung'!$D$22:$D$36),1,0)*'ZD Vorerfassung'!$W$22:$W$36),
IF(OR(D59="SF",D59="FH"),SUM(IF(B59&gt;=_xlfn.NUMBERVALUE('ZD Vorerfassung'!$C$22:$C$36),1,0)*IF(B59&lt;=_xlfn.NUMBERVALUE('ZD Vorerfassung'!$D$22:$D$36),1,0)*'ZD Vorerfassung'!$X$22:$X$36*IF(D59="FH",0.5,1)),
"prüfen")))</f>
        <v>0</v>
      </c>
      <c r="AY59" s="110">
        <f t="array" ref="AY59">IF(OR(D59="UU",D59="FT",D59="WE",E59="Ferien"),0,
IF(D59="NR",SUM(IF(B59&gt;=_xlfn.NUMBERVALUE('ZD Vorerfassung'!$C$22:$C$36),1,0)*IF(B59&lt;=_xlfn.NUMBERVALUE('ZD Vorerfassung'!$D$22:$D$36),1,0)*'ZD Vorerfassung'!$U$22:$U$36),
IF(OR(D59="SF",D59="FH"),SUM(IF(B59&gt;=_xlfn.NUMBERVALUE('ZD Vorerfassung'!$C$22:$C$36),1,0)*IF(B59&lt;=_xlfn.NUMBERVALUE('ZD Vorerfassung'!$D$22:$D$36),1,0)*'ZD Vorerfassung'!$V$22:$V$36*IF(D59="FH",0.5,1)),
"prüfen")))</f>
        <v>0</v>
      </c>
      <c r="AZ59" s="110">
        <f t="array" ref="AZ59">IF(OR(D59="UU",D59="FT",D59="WE",E59="Ferien"),0,
IF(D59="NR",SUM(IF(B59&gt;=_xlfn.NUMBERVALUE('ZD Vorerfassung'!$C$22:$C$36),1,0)*IF(B59&lt;=_xlfn.NUMBERVALUE('ZD Vorerfassung'!$D$22:$D$36),1,0)*'ZD Vorerfassung'!$S$22:$S$36),
IF(OR(D59="SF",D59="FH"),SUM(IF(B59&gt;=_xlfn.NUMBERVALUE('ZD Vorerfassung'!$C$22:$C$36),1,0)*IF(B59&lt;=_xlfn.NUMBERVALUE('ZD Vorerfassung'!$D$22:$D$36),1,0)*'ZD Vorerfassung'!$T$22:$T$36*IF(D59="FH",0.5,1)),
"prüfen")))</f>
        <v>0</v>
      </c>
      <c r="BA59" s="112">
        <f t="shared" si="8"/>
        <v>9</v>
      </c>
    </row>
    <row r="60" spans="2:53" ht="19.5" thickTop="1" thickBot="1" x14ac:dyDescent="0.3">
      <c r="B60" s="99">
        <f t="shared" si="0"/>
        <v>44825</v>
      </c>
      <c r="C60" s="100">
        <f t="shared" si="9"/>
        <v>44825</v>
      </c>
      <c r="D60" s="101" t="str">
        <f t="shared" si="10"/>
        <v>NR</v>
      </c>
      <c r="E60" s="102" t="str">
        <f t="shared" si="2"/>
        <v>Unterrichtstag</v>
      </c>
      <c r="F60" s="103">
        <f t="shared" si="11"/>
        <v>0</v>
      </c>
      <c r="G60" s="104">
        <f t="shared" si="12"/>
        <v>0</v>
      </c>
      <c r="H60" s="104">
        <f>IFERROR(IF('ZD Vorerfassung'!$E$11="manuell",SUM(I60),IF(OR(E60="Feiertag",E60="Wochenende"),0,IF('ZD Vorerfassung'!$E$11="automatisch",AX60,IF(D60="UU","UU",IF(E60=Param2,AX60/24,IF(E60=Param9,AX60/48,"")))))),0)</f>
        <v>0</v>
      </c>
      <c r="I60" s="105"/>
      <c r="J60" s="106">
        <f>IF('ZD Vorerfassung'!$E$12="manuell",SUM(K60:AI60),IF(OR(E60="Feiertag",E60="Wochenende"),0,IF('ZD Vorerfassung'!$E$12="automatisch",AY60,IF(D60="UU","UU",IF(E60=Param2,AY60/24,IF(E60=Param9,AY60/48,""))))))</f>
        <v>0</v>
      </c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7">
        <f t="shared" si="13"/>
        <v>0</v>
      </c>
      <c r="AK60" s="105"/>
      <c r="AL60" s="105"/>
      <c r="AM60" s="105"/>
      <c r="AN60" s="105"/>
      <c r="AO60" s="105"/>
      <c r="AP60" s="105"/>
      <c r="AQ60" s="108">
        <f t="shared" si="14"/>
        <v>0</v>
      </c>
      <c r="AR60" s="108">
        <f t="shared" si="15"/>
        <v>0</v>
      </c>
      <c r="AS60" s="109">
        <f t="shared" si="16"/>
        <v>0</v>
      </c>
      <c r="AU60" s="110">
        <f t="shared" si="7"/>
        <v>0</v>
      </c>
      <c r="AV60" s="111">
        <f>IF(D60="NR",
IF('ZD Vorerfassung'!$E$22="",0,IF(AND(B60&gt;='ZD Vorerfassung'!$C$22,B60&lt;='ZD Vorerfassung'!$D$22),HLOOKUP(TEXT(C60,"ttt"),'ZD Vorerfassung'!$H$21:$L$36,2,0),0))+
IF('ZD Vorerfassung'!$E$23="",0,IF(AND(B60&gt;='ZD Vorerfassung'!$C$23,B60&lt;='ZD Vorerfassung'!$D$23),HLOOKUP(TEXT(C60,"ttt"),'ZD Vorerfassung'!$H$21:$L$36,3,0),0))+
IF('ZD Vorerfassung'!$E$24="",0,IF(AND(B60&gt;='ZD Vorerfassung'!$C$24,B60&lt;='ZD Vorerfassung'!$D$24),HLOOKUP(TEXT(C60,"ttt"),'ZD Vorerfassung'!$H$21:$L$36,4,0),0))+
IF('ZD Vorerfassung'!$E$25="",0,IF(AND(B60&gt;='ZD Vorerfassung'!$C$25,B60&lt;='ZD Vorerfassung'!$D$25),HLOOKUP(TEXT(C60,"ttt"),'ZD Vorerfassung'!$H$21:$L$36,5,0),0))+
IF('ZD Vorerfassung'!$E$26="",0,IF(AND(B60&gt;='ZD Vorerfassung'!$C$26,B60&lt;='ZD Vorerfassung'!$D$26),HLOOKUP(TEXT(C60,"ttt"),'ZD Vorerfassung'!$H$21:$L$36,6,0),0))+
IF('ZD Vorerfassung'!$E$27="",0,IF(AND(B60&gt;='ZD Vorerfassung'!$C$27,B60&lt;='ZD Vorerfassung'!$D$27),HLOOKUP(TEXT(C60,"ttt"),'ZD Vorerfassung'!$H$21:$L$36,7,0),0))+
IF('ZD Vorerfassung'!$E$28="",0,IF(AND(B60&gt;='ZD Vorerfassung'!$C$28,B60&lt;='ZD Vorerfassung'!$D$28),HLOOKUP(TEXT(C60,"ttt"),'ZD Vorerfassung'!$H$21:$L$36,8,0),0))+
IF('ZD Vorerfassung'!$E$29="",0,IF(AND(B60&gt;='ZD Vorerfassung'!$C$29,B60&lt;='ZD Vorerfassung'!$D$29),HLOOKUP(TEXT(C60,"ttt"),'ZD Vorerfassung'!$H$21:$L$36,9,0),0))+
IF('ZD Vorerfassung'!$E$30="",0,IF(AND(B60&gt;='ZD Vorerfassung'!$C$30,B60&lt;='ZD Vorerfassung'!$D$30),HLOOKUP(TEXT(C60,"ttt"),'ZD Vorerfassung'!$H$21:$L$36,10,0),0))+
IF('ZD Vorerfassung'!$E$31="",0,IF(AND(B60&gt;='ZD Vorerfassung'!$C$31,B60&lt;='ZD Vorerfassung'!$D$31),HLOOKUP(TEXT(C60,"ttt"),'ZD Vorerfassung'!$H$21:$L$36,11,0),0))+
IF('ZD Vorerfassung'!$E$32="",0,IF(AND(B60&gt;='ZD Vorerfassung'!$C$32,B60&lt;='ZD Vorerfassung'!$D$32),HLOOKUP(TEXT(C60,"ttt"),'ZD Vorerfassung'!$H$21:$L$36,12,0),0))+
IF('ZD Vorerfassung'!$E$33="",0,IF(AND(B60&gt;='ZD Vorerfassung'!$C$33,B60&lt;='ZD Vorerfassung'!$D$33),HLOOKUP(TEXT(C60,"ttt"),'ZD Vorerfassung'!$H$21:$L$36,13,0),0))+
IF('ZD Vorerfassung'!$E$34="",0,IF(AND(B60&gt;='ZD Vorerfassung'!$C$34,B60&lt;='ZD Vorerfassung'!$D$34),HLOOKUP(TEXT(C60,"ttt"),'ZD Vorerfassung'!$H$21:$L$36,14,0),0))+
IF('ZD Vorerfassung'!$E$35="",0,IF(AND(B60&gt;='ZD Vorerfassung'!$C$35,B60&lt;='ZD Vorerfassung'!$D$35),HLOOKUP(TEXT(C60,"ttt"),'ZD Vorerfassung'!$H$21:$L$36,15,0),0))+
IF('ZD Vorerfassung'!$E$36="",0,IF(AND(B60&gt;='ZD Vorerfassung'!$C$36,B60&lt;='ZD Vorerfassung'!$D$36),HLOOKUP(TEXT(C60,"ttt"),'ZD Vorerfassung'!$H$21:$L$36,16,0),0)),"")</f>
        <v>0</v>
      </c>
      <c r="AW60" s="110">
        <f t="array" ref="AW60">IF(OR(D60="UU",D60="FT",D60="WE"),0,
IF(D60="NR",SUM(IF(B60&gt;=_xlfn.NUMBERVALUE('ZD Vorerfassung'!$C$22:$C$36),1,0)*IF(B60&lt;=_xlfn.NUMBERVALUE('ZD Vorerfassung'!$D$22:$D$36),1,0)*'ZD Vorerfassung'!$Q$22:$Q$36),
IF(OR(D60="SF",D60="FH"),SUM(IF(B60&gt;=_xlfn.NUMBERVALUE('ZD Vorerfassung'!$C$22:$C$36),1,0)*IF(B60&lt;=_xlfn.NUMBERVALUE('ZD Vorerfassung'!$D$22:$D$36),1,0)*'ZD Vorerfassung'!$R$22:$R$36*IF(D60="FH",0.5,1)),
"prüfen")))</f>
        <v>0</v>
      </c>
      <c r="AX60" s="110">
        <f t="array" ref="AX60">IF(OR(D60="UU",D60="FT",D60="WE",E60="Ferien"),0,
IF(D60="NR",SUM(IF(B60&gt;=_xlfn.NUMBERVALUE('ZD Vorerfassung'!$C$22:$C$36),1,0)*IF(B60&lt;=_xlfn.NUMBERVALUE('ZD Vorerfassung'!$D$22:$D$36),1,0)*'ZD Vorerfassung'!$W$22:$W$36),
IF(OR(D60="SF",D60="FH"),SUM(IF(B60&gt;=_xlfn.NUMBERVALUE('ZD Vorerfassung'!$C$22:$C$36),1,0)*IF(B60&lt;=_xlfn.NUMBERVALUE('ZD Vorerfassung'!$D$22:$D$36),1,0)*'ZD Vorerfassung'!$X$22:$X$36*IF(D60="FH",0.5,1)),
"prüfen")))</f>
        <v>0</v>
      </c>
      <c r="AY60" s="110">
        <f t="array" ref="AY60">IF(OR(D60="UU",D60="FT",D60="WE",E60="Ferien"),0,
IF(D60="NR",SUM(IF(B60&gt;=_xlfn.NUMBERVALUE('ZD Vorerfassung'!$C$22:$C$36),1,0)*IF(B60&lt;=_xlfn.NUMBERVALUE('ZD Vorerfassung'!$D$22:$D$36),1,0)*'ZD Vorerfassung'!$U$22:$U$36),
IF(OR(D60="SF",D60="FH"),SUM(IF(B60&gt;=_xlfn.NUMBERVALUE('ZD Vorerfassung'!$C$22:$C$36),1,0)*IF(B60&lt;=_xlfn.NUMBERVALUE('ZD Vorerfassung'!$D$22:$D$36),1,0)*'ZD Vorerfassung'!$V$22:$V$36*IF(D60="FH",0.5,1)),
"prüfen")))</f>
        <v>0</v>
      </c>
      <c r="AZ60" s="110">
        <f t="array" ref="AZ60">IF(OR(D60="UU",D60="FT",D60="WE",E60="Ferien"),0,
IF(D60="NR",SUM(IF(B60&gt;=_xlfn.NUMBERVALUE('ZD Vorerfassung'!$C$22:$C$36),1,0)*IF(B60&lt;=_xlfn.NUMBERVALUE('ZD Vorerfassung'!$D$22:$D$36),1,0)*'ZD Vorerfassung'!$S$22:$S$36),
IF(OR(D60="SF",D60="FH"),SUM(IF(B60&gt;=_xlfn.NUMBERVALUE('ZD Vorerfassung'!$C$22:$C$36),1,0)*IF(B60&lt;=_xlfn.NUMBERVALUE('ZD Vorerfassung'!$D$22:$D$36),1,0)*'ZD Vorerfassung'!$T$22:$T$36*IF(D60="FH",0.5,1)),
"prüfen")))</f>
        <v>0</v>
      </c>
      <c r="BA60" s="112">
        <f t="shared" si="8"/>
        <v>9</v>
      </c>
    </row>
    <row r="61" spans="2:53" ht="19.5" thickTop="1" thickBot="1" x14ac:dyDescent="0.3">
      <c r="B61" s="99">
        <f t="shared" si="0"/>
        <v>44826</v>
      </c>
      <c r="C61" s="100">
        <f t="shared" si="9"/>
        <v>44826</v>
      </c>
      <c r="D61" s="101" t="str">
        <f t="shared" si="10"/>
        <v>NR</v>
      </c>
      <c r="E61" s="102" t="str">
        <f t="shared" si="2"/>
        <v>Unterrichtstag</v>
      </c>
      <c r="F61" s="103">
        <f t="shared" si="11"/>
        <v>0</v>
      </c>
      <c r="G61" s="104">
        <f t="shared" si="12"/>
        <v>0</v>
      </c>
      <c r="H61" s="104">
        <f>IFERROR(IF('ZD Vorerfassung'!$E$11="manuell",SUM(I61),IF(OR(E61="Feiertag",E61="Wochenende"),0,IF('ZD Vorerfassung'!$E$11="automatisch",AX61,IF(D61="UU","UU",IF(E61=Param2,AX61/24,IF(E61=Param9,AX61/48,"")))))),0)</f>
        <v>0</v>
      </c>
      <c r="I61" s="105"/>
      <c r="J61" s="106">
        <f>IF('ZD Vorerfassung'!$E$12="manuell",SUM(K61:AI61),IF(OR(E61="Feiertag",E61="Wochenende"),0,IF('ZD Vorerfassung'!$E$12="automatisch",AY61,IF(D61="UU","UU",IF(E61=Param2,AY61/24,IF(E61=Param9,AY61/48,""))))))</f>
        <v>0</v>
      </c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  <c r="AA61" s="105"/>
      <c r="AB61" s="105"/>
      <c r="AC61" s="105"/>
      <c r="AD61" s="105"/>
      <c r="AE61" s="105"/>
      <c r="AF61" s="105"/>
      <c r="AG61" s="105"/>
      <c r="AH61" s="105"/>
      <c r="AI61" s="105"/>
      <c r="AJ61" s="107">
        <f t="shared" si="13"/>
        <v>0</v>
      </c>
      <c r="AK61" s="105"/>
      <c r="AL61" s="105"/>
      <c r="AM61" s="105"/>
      <c r="AN61" s="105"/>
      <c r="AO61" s="105"/>
      <c r="AP61" s="105"/>
      <c r="AQ61" s="108">
        <f t="shared" si="14"/>
        <v>0</v>
      </c>
      <c r="AR61" s="108">
        <f t="shared" si="15"/>
        <v>0</v>
      </c>
      <c r="AS61" s="109">
        <f t="shared" si="16"/>
        <v>0</v>
      </c>
      <c r="AU61" s="110">
        <f t="shared" si="7"/>
        <v>0</v>
      </c>
      <c r="AV61" s="111">
        <f>IF(D61="NR",
IF('ZD Vorerfassung'!$E$22="",0,IF(AND(B61&gt;='ZD Vorerfassung'!$C$22,B61&lt;='ZD Vorerfassung'!$D$22),HLOOKUP(TEXT(C61,"ttt"),'ZD Vorerfassung'!$H$21:$L$36,2,0),0))+
IF('ZD Vorerfassung'!$E$23="",0,IF(AND(B61&gt;='ZD Vorerfassung'!$C$23,B61&lt;='ZD Vorerfassung'!$D$23),HLOOKUP(TEXT(C61,"ttt"),'ZD Vorerfassung'!$H$21:$L$36,3,0),0))+
IF('ZD Vorerfassung'!$E$24="",0,IF(AND(B61&gt;='ZD Vorerfassung'!$C$24,B61&lt;='ZD Vorerfassung'!$D$24),HLOOKUP(TEXT(C61,"ttt"),'ZD Vorerfassung'!$H$21:$L$36,4,0),0))+
IF('ZD Vorerfassung'!$E$25="",0,IF(AND(B61&gt;='ZD Vorerfassung'!$C$25,B61&lt;='ZD Vorerfassung'!$D$25),HLOOKUP(TEXT(C61,"ttt"),'ZD Vorerfassung'!$H$21:$L$36,5,0),0))+
IF('ZD Vorerfassung'!$E$26="",0,IF(AND(B61&gt;='ZD Vorerfassung'!$C$26,B61&lt;='ZD Vorerfassung'!$D$26),HLOOKUP(TEXT(C61,"ttt"),'ZD Vorerfassung'!$H$21:$L$36,6,0),0))+
IF('ZD Vorerfassung'!$E$27="",0,IF(AND(B61&gt;='ZD Vorerfassung'!$C$27,B61&lt;='ZD Vorerfassung'!$D$27),HLOOKUP(TEXT(C61,"ttt"),'ZD Vorerfassung'!$H$21:$L$36,7,0),0))+
IF('ZD Vorerfassung'!$E$28="",0,IF(AND(B61&gt;='ZD Vorerfassung'!$C$28,B61&lt;='ZD Vorerfassung'!$D$28),HLOOKUP(TEXT(C61,"ttt"),'ZD Vorerfassung'!$H$21:$L$36,8,0),0))+
IF('ZD Vorerfassung'!$E$29="",0,IF(AND(B61&gt;='ZD Vorerfassung'!$C$29,B61&lt;='ZD Vorerfassung'!$D$29),HLOOKUP(TEXT(C61,"ttt"),'ZD Vorerfassung'!$H$21:$L$36,9,0),0))+
IF('ZD Vorerfassung'!$E$30="",0,IF(AND(B61&gt;='ZD Vorerfassung'!$C$30,B61&lt;='ZD Vorerfassung'!$D$30),HLOOKUP(TEXT(C61,"ttt"),'ZD Vorerfassung'!$H$21:$L$36,10,0),0))+
IF('ZD Vorerfassung'!$E$31="",0,IF(AND(B61&gt;='ZD Vorerfassung'!$C$31,B61&lt;='ZD Vorerfassung'!$D$31),HLOOKUP(TEXT(C61,"ttt"),'ZD Vorerfassung'!$H$21:$L$36,11,0),0))+
IF('ZD Vorerfassung'!$E$32="",0,IF(AND(B61&gt;='ZD Vorerfassung'!$C$32,B61&lt;='ZD Vorerfassung'!$D$32),HLOOKUP(TEXT(C61,"ttt"),'ZD Vorerfassung'!$H$21:$L$36,12,0),0))+
IF('ZD Vorerfassung'!$E$33="",0,IF(AND(B61&gt;='ZD Vorerfassung'!$C$33,B61&lt;='ZD Vorerfassung'!$D$33),HLOOKUP(TEXT(C61,"ttt"),'ZD Vorerfassung'!$H$21:$L$36,13,0),0))+
IF('ZD Vorerfassung'!$E$34="",0,IF(AND(B61&gt;='ZD Vorerfassung'!$C$34,B61&lt;='ZD Vorerfassung'!$D$34),HLOOKUP(TEXT(C61,"ttt"),'ZD Vorerfassung'!$H$21:$L$36,14,0),0))+
IF('ZD Vorerfassung'!$E$35="",0,IF(AND(B61&gt;='ZD Vorerfassung'!$C$35,B61&lt;='ZD Vorerfassung'!$D$35),HLOOKUP(TEXT(C61,"ttt"),'ZD Vorerfassung'!$H$21:$L$36,15,0),0))+
IF('ZD Vorerfassung'!$E$36="",0,IF(AND(B61&gt;='ZD Vorerfassung'!$C$36,B61&lt;='ZD Vorerfassung'!$D$36),HLOOKUP(TEXT(C61,"ttt"),'ZD Vorerfassung'!$H$21:$L$36,16,0),0)),"")</f>
        <v>0</v>
      </c>
      <c r="AW61" s="110">
        <f t="array" ref="AW61">IF(OR(D61="UU",D61="FT",D61="WE"),0,
IF(D61="NR",SUM(IF(B61&gt;=_xlfn.NUMBERVALUE('ZD Vorerfassung'!$C$22:$C$36),1,0)*IF(B61&lt;=_xlfn.NUMBERVALUE('ZD Vorerfassung'!$D$22:$D$36),1,0)*'ZD Vorerfassung'!$Q$22:$Q$36),
IF(OR(D61="SF",D61="FH"),SUM(IF(B61&gt;=_xlfn.NUMBERVALUE('ZD Vorerfassung'!$C$22:$C$36),1,0)*IF(B61&lt;=_xlfn.NUMBERVALUE('ZD Vorerfassung'!$D$22:$D$36),1,0)*'ZD Vorerfassung'!$R$22:$R$36*IF(D61="FH",0.5,1)),
"prüfen")))</f>
        <v>0</v>
      </c>
      <c r="AX61" s="110">
        <f t="array" ref="AX61">IF(OR(D61="UU",D61="FT",D61="WE",E61="Ferien"),0,
IF(D61="NR",SUM(IF(B61&gt;=_xlfn.NUMBERVALUE('ZD Vorerfassung'!$C$22:$C$36),1,0)*IF(B61&lt;=_xlfn.NUMBERVALUE('ZD Vorerfassung'!$D$22:$D$36),1,0)*'ZD Vorerfassung'!$W$22:$W$36),
IF(OR(D61="SF",D61="FH"),SUM(IF(B61&gt;=_xlfn.NUMBERVALUE('ZD Vorerfassung'!$C$22:$C$36),1,0)*IF(B61&lt;=_xlfn.NUMBERVALUE('ZD Vorerfassung'!$D$22:$D$36),1,0)*'ZD Vorerfassung'!$X$22:$X$36*IF(D61="FH",0.5,1)),
"prüfen")))</f>
        <v>0</v>
      </c>
      <c r="AY61" s="110">
        <f t="array" ref="AY61">IF(OR(D61="UU",D61="FT",D61="WE",E61="Ferien"),0,
IF(D61="NR",SUM(IF(B61&gt;=_xlfn.NUMBERVALUE('ZD Vorerfassung'!$C$22:$C$36),1,0)*IF(B61&lt;=_xlfn.NUMBERVALUE('ZD Vorerfassung'!$D$22:$D$36),1,0)*'ZD Vorerfassung'!$U$22:$U$36),
IF(OR(D61="SF",D61="FH"),SUM(IF(B61&gt;=_xlfn.NUMBERVALUE('ZD Vorerfassung'!$C$22:$C$36),1,0)*IF(B61&lt;=_xlfn.NUMBERVALUE('ZD Vorerfassung'!$D$22:$D$36),1,0)*'ZD Vorerfassung'!$V$22:$V$36*IF(D61="FH",0.5,1)),
"prüfen")))</f>
        <v>0</v>
      </c>
      <c r="AZ61" s="110">
        <f t="array" ref="AZ61">IF(OR(D61="UU",D61="FT",D61="WE",E61="Ferien"),0,
IF(D61="NR",SUM(IF(B61&gt;=_xlfn.NUMBERVALUE('ZD Vorerfassung'!$C$22:$C$36),1,0)*IF(B61&lt;=_xlfn.NUMBERVALUE('ZD Vorerfassung'!$D$22:$D$36),1,0)*'ZD Vorerfassung'!$S$22:$S$36),
IF(OR(D61="SF",D61="FH"),SUM(IF(B61&gt;=_xlfn.NUMBERVALUE('ZD Vorerfassung'!$C$22:$C$36),1,0)*IF(B61&lt;=_xlfn.NUMBERVALUE('ZD Vorerfassung'!$D$22:$D$36),1,0)*'ZD Vorerfassung'!$T$22:$T$36*IF(D61="FH",0.5,1)),
"prüfen")))</f>
        <v>0</v>
      </c>
      <c r="BA61" s="112">
        <f t="shared" si="8"/>
        <v>9</v>
      </c>
    </row>
    <row r="62" spans="2:53" ht="19.5" thickTop="1" thickBot="1" x14ac:dyDescent="0.3">
      <c r="B62" s="99">
        <f t="shared" si="0"/>
        <v>44827</v>
      </c>
      <c r="C62" s="100">
        <f t="shared" si="9"/>
        <v>44827</v>
      </c>
      <c r="D62" s="101" t="str">
        <f t="shared" si="10"/>
        <v>NR</v>
      </c>
      <c r="E62" s="102" t="str">
        <f t="shared" si="2"/>
        <v>Unterrichtstag</v>
      </c>
      <c r="F62" s="103">
        <f t="shared" si="11"/>
        <v>0</v>
      </c>
      <c r="G62" s="104">
        <f t="shared" si="12"/>
        <v>0</v>
      </c>
      <c r="H62" s="104">
        <f>IFERROR(IF('ZD Vorerfassung'!$E$11="manuell",SUM(I62),IF(OR(E62="Feiertag",E62="Wochenende"),0,IF('ZD Vorerfassung'!$E$11="automatisch",AX62,IF(D62="UU","UU",IF(E62=Param2,AX62/24,IF(E62=Param9,AX62/48,"")))))),0)</f>
        <v>0</v>
      </c>
      <c r="I62" s="105"/>
      <c r="J62" s="106">
        <f>IF('ZD Vorerfassung'!$E$12="manuell",SUM(K62:AI62),IF(OR(E62="Feiertag",E62="Wochenende"),0,IF('ZD Vorerfassung'!$E$12="automatisch",AY62,IF(D62="UU","UU",IF(E62=Param2,AY62/24,IF(E62=Param9,AY62/48,""))))))</f>
        <v>0</v>
      </c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105"/>
      <c r="AI62" s="105"/>
      <c r="AJ62" s="107">
        <f t="shared" si="13"/>
        <v>0</v>
      </c>
      <c r="AK62" s="105"/>
      <c r="AL62" s="105"/>
      <c r="AM62" s="105"/>
      <c r="AN62" s="105"/>
      <c r="AO62" s="105"/>
      <c r="AP62" s="105"/>
      <c r="AQ62" s="108">
        <f t="shared" si="14"/>
        <v>0</v>
      </c>
      <c r="AR62" s="108">
        <f t="shared" si="15"/>
        <v>0</v>
      </c>
      <c r="AS62" s="109">
        <f t="shared" si="16"/>
        <v>0</v>
      </c>
      <c r="AU62" s="110">
        <f t="shared" si="7"/>
        <v>0</v>
      </c>
      <c r="AV62" s="111">
        <f>IF(D62="NR",
IF('ZD Vorerfassung'!$E$22="",0,IF(AND(B62&gt;='ZD Vorerfassung'!$C$22,B62&lt;='ZD Vorerfassung'!$D$22),HLOOKUP(TEXT(C62,"ttt"),'ZD Vorerfassung'!$H$21:$L$36,2,0),0))+
IF('ZD Vorerfassung'!$E$23="",0,IF(AND(B62&gt;='ZD Vorerfassung'!$C$23,B62&lt;='ZD Vorerfassung'!$D$23),HLOOKUP(TEXT(C62,"ttt"),'ZD Vorerfassung'!$H$21:$L$36,3,0),0))+
IF('ZD Vorerfassung'!$E$24="",0,IF(AND(B62&gt;='ZD Vorerfassung'!$C$24,B62&lt;='ZD Vorerfassung'!$D$24),HLOOKUP(TEXT(C62,"ttt"),'ZD Vorerfassung'!$H$21:$L$36,4,0),0))+
IF('ZD Vorerfassung'!$E$25="",0,IF(AND(B62&gt;='ZD Vorerfassung'!$C$25,B62&lt;='ZD Vorerfassung'!$D$25),HLOOKUP(TEXT(C62,"ttt"),'ZD Vorerfassung'!$H$21:$L$36,5,0),0))+
IF('ZD Vorerfassung'!$E$26="",0,IF(AND(B62&gt;='ZD Vorerfassung'!$C$26,B62&lt;='ZD Vorerfassung'!$D$26),HLOOKUP(TEXT(C62,"ttt"),'ZD Vorerfassung'!$H$21:$L$36,6,0),0))+
IF('ZD Vorerfassung'!$E$27="",0,IF(AND(B62&gt;='ZD Vorerfassung'!$C$27,B62&lt;='ZD Vorerfassung'!$D$27),HLOOKUP(TEXT(C62,"ttt"),'ZD Vorerfassung'!$H$21:$L$36,7,0),0))+
IF('ZD Vorerfassung'!$E$28="",0,IF(AND(B62&gt;='ZD Vorerfassung'!$C$28,B62&lt;='ZD Vorerfassung'!$D$28),HLOOKUP(TEXT(C62,"ttt"),'ZD Vorerfassung'!$H$21:$L$36,8,0),0))+
IF('ZD Vorerfassung'!$E$29="",0,IF(AND(B62&gt;='ZD Vorerfassung'!$C$29,B62&lt;='ZD Vorerfassung'!$D$29),HLOOKUP(TEXT(C62,"ttt"),'ZD Vorerfassung'!$H$21:$L$36,9,0),0))+
IF('ZD Vorerfassung'!$E$30="",0,IF(AND(B62&gt;='ZD Vorerfassung'!$C$30,B62&lt;='ZD Vorerfassung'!$D$30),HLOOKUP(TEXT(C62,"ttt"),'ZD Vorerfassung'!$H$21:$L$36,10,0),0))+
IF('ZD Vorerfassung'!$E$31="",0,IF(AND(B62&gt;='ZD Vorerfassung'!$C$31,B62&lt;='ZD Vorerfassung'!$D$31),HLOOKUP(TEXT(C62,"ttt"),'ZD Vorerfassung'!$H$21:$L$36,11,0),0))+
IF('ZD Vorerfassung'!$E$32="",0,IF(AND(B62&gt;='ZD Vorerfassung'!$C$32,B62&lt;='ZD Vorerfassung'!$D$32),HLOOKUP(TEXT(C62,"ttt"),'ZD Vorerfassung'!$H$21:$L$36,12,0),0))+
IF('ZD Vorerfassung'!$E$33="",0,IF(AND(B62&gt;='ZD Vorerfassung'!$C$33,B62&lt;='ZD Vorerfassung'!$D$33),HLOOKUP(TEXT(C62,"ttt"),'ZD Vorerfassung'!$H$21:$L$36,13,0),0))+
IF('ZD Vorerfassung'!$E$34="",0,IF(AND(B62&gt;='ZD Vorerfassung'!$C$34,B62&lt;='ZD Vorerfassung'!$D$34),HLOOKUP(TEXT(C62,"ttt"),'ZD Vorerfassung'!$H$21:$L$36,14,0),0))+
IF('ZD Vorerfassung'!$E$35="",0,IF(AND(B62&gt;='ZD Vorerfassung'!$C$35,B62&lt;='ZD Vorerfassung'!$D$35),HLOOKUP(TEXT(C62,"ttt"),'ZD Vorerfassung'!$H$21:$L$36,15,0),0))+
IF('ZD Vorerfassung'!$E$36="",0,IF(AND(B62&gt;='ZD Vorerfassung'!$C$36,B62&lt;='ZD Vorerfassung'!$D$36),HLOOKUP(TEXT(C62,"ttt"),'ZD Vorerfassung'!$H$21:$L$36,16,0),0)),"")</f>
        <v>0</v>
      </c>
      <c r="AW62" s="110">
        <f t="array" ref="AW62">IF(OR(D62="UU",D62="FT",D62="WE"),0,
IF(D62="NR",SUM(IF(B62&gt;=_xlfn.NUMBERVALUE('ZD Vorerfassung'!$C$22:$C$36),1,0)*IF(B62&lt;=_xlfn.NUMBERVALUE('ZD Vorerfassung'!$D$22:$D$36),1,0)*'ZD Vorerfassung'!$Q$22:$Q$36),
IF(OR(D62="SF",D62="FH"),SUM(IF(B62&gt;=_xlfn.NUMBERVALUE('ZD Vorerfassung'!$C$22:$C$36),1,0)*IF(B62&lt;=_xlfn.NUMBERVALUE('ZD Vorerfassung'!$D$22:$D$36),1,0)*'ZD Vorerfassung'!$R$22:$R$36*IF(D62="FH",0.5,1)),
"prüfen")))</f>
        <v>0</v>
      </c>
      <c r="AX62" s="110">
        <f t="array" ref="AX62">IF(OR(D62="UU",D62="FT",D62="WE",E62="Ferien"),0,
IF(D62="NR",SUM(IF(B62&gt;=_xlfn.NUMBERVALUE('ZD Vorerfassung'!$C$22:$C$36),1,0)*IF(B62&lt;=_xlfn.NUMBERVALUE('ZD Vorerfassung'!$D$22:$D$36),1,0)*'ZD Vorerfassung'!$W$22:$W$36),
IF(OR(D62="SF",D62="FH"),SUM(IF(B62&gt;=_xlfn.NUMBERVALUE('ZD Vorerfassung'!$C$22:$C$36),1,0)*IF(B62&lt;=_xlfn.NUMBERVALUE('ZD Vorerfassung'!$D$22:$D$36),1,0)*'ZD Vorerfassung'!$X$22:$X$36*IF(D62="FH",0.5,1)),
"prüfen")))</f>
        <v>0</v>
      </c>
      <c r="AY62" s="110">
        <f t="array" ref="AY62">IF(OR(D62="UU",D62="FT",D62="WE",E62="Ferien"),0,
IF(D62="NR",SUM(IF(B62&gt;=_xlfn.NUMBERVALUE('ZD Vorerfassung'!$C$22:$C$36),1,0)*IF(B62&lt;=_xlfn.NUMBERVALUE('ZD Vorerfassung'!$D$22:$D$36),1,0)*'ZD Vorerfassung'!$U$22:$U$36),
IF(OR(D62="SF",D62="FH"),SUM(IF(B62&gt;=_xlfn.NUMBERVALUE('ZD Vorerfassung'!$C$22:$C$36),1,0)*IF(B62&lt;=_xlfn.NUMBERVALUE('ZD Vorerfassung'!$D$22:$D$36),1,0)*'ZD Vorerfassung'!$V$22:$V$36*IF(D62="FH",0.5,1)),
"prüfen")))</f>
        <v>0</v>
      </c>
      <c r="AZ62" s="110">
        <f t="array" ref="AZ62">IF(OR(D62="UU",D62="FT",D62="WE",E62="Ferien"),0,
IF(D62="NR",SUM(IF(B62&gt;=_xlfn.NUMBERVALUE('ZD Vorerfassung'!$C$22:$C$36),1,0)*IF(B62&lt;=_xlfn.NUMBERVALUE('ZD Vorerfassung'!$D$22:$D$36),1,0)*'ZD Vorerfassung'!$S$22:$S$36),
IF(OR(D62="SF",D62="FH"),SUM(IF(B62&gt;=_xlfn.NUMBERVALUE('ZD Vorerfassung'!$C$22:$C$36),1,0)*IF(B62&lt;=_xlfn.NUMBERVALUE('ZD Vorerfassung'!$D$22:$D$36),1,0)*'ZD Vorerfassung'!$T$22:$T$36*IF(D62="FH",0.5,1)),
"prüfen")))</f>
        <v>0</v>
      </c>
      <c r="BA62" s="112">
        <f t="shared" si="8"/>
        <v>9</v>
      </c>
    </row>
    <row r="63" spans="2:53" ht="19.5" thickTop="1" thickBot="1" x14ac:dyDescent="0.3">
      <c r="B63" s="99">
        <f t="shared" si="0"/>
        <v>44828</v>
      </c>
      <c r="C63" s="100">
        <f t="shared" si="9"/>
        <v>44828</v>
      </c>
      <c r="D63" s="101" t="str">
        <f t="shared" si="10"/>
        <v>NR</v>
      </c>
      <c r="E63" s="102" t="str">
        <f t="shared" si="2"/>
        <v>Unterrichtstag</v>
      </c>
      <c r="F63" s="103">
        <f t="shared" si="11"/>
        <v>0</v>
      </c>
      <c r="G63" s="104">
        <f t="shared" si="12"/>
        <v>0</v>
      </c>
      <c r="H63" s="104">
        <f>IFERROR(IF('ZD Vorerfassung'!$E$11="manuell",SUM(I63),IF(OR(E63="Feiertag",E63="Wochenende"),0,IF('ZD Vorerfassung'!$E$11="automatisch",AX63,IF(D63="UU","UU",IF(E63=Param2,AX63/24,IF(E63=Param9,AX63/48,"")))))),0)</f>
        <v>0</v>
      </c>
      <c r="I63" s="105"/>
      <c r="J63" s="106">
        <f>IF('ZD Vorerfassung'!$E$12="manuell",SUM(K63:AI63),IF(OR(E63="Feiertag",E63="Wochenende"),0,IF('ZD Vorerfassung'!$E$12="automatisch",AY63,IF(D63="UU","UU",IF(E63=Param2,AY63/24,IF(E63=Param9,AY63/48,""))))))</f>
        <v>0</v>
      </c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5"/>
      <c r="Z63" s="105"/>
      <c r="AA63" s="105"/>
      <c r="AB63" s="105"/>
      <c r="AC63" s="105"/>
      <c r="AD63" s="105"/>
      <c r="AE63" s="105"/>
      <c r="AF63" s="105"/>
      <c r="AG63" s="105"/>
      <c r="AH63" s="105"/>
      <c r="AI63" s="105"/>
      <c r="AJ63" s="107">
        <f t="shared" si="13"/>
        <v>0</v>
      </c>
      <c r="AK63" s="105"/>
      <c r="AL63" s="105"/>
      <c r="AM63" s="105"/>
      <c r="AN63" s="105"/>
      <c r="AO63" s="105"/>
      <c r="AP63" s="105"/>
      <c r="AQ63" s="108">
        <f t="shared" si="14"/>
        <v>0</v>
      </c>
      <c r="AR63" s="108">
        <f t="shared" si="15"/>
        <v>0</v>
      </c>
      <c r="AS63" s="109">
        <f t="shared" si="16"/>
        <v>0</v>
      </c>
      <c r="AU63" s="110">
        <f t="shared" si="7"/>
        <v>0</v>
      </c>
      <c r="AV63" s="111">
        <f>IF(D63="NR",
IF('ZD Vorerfassung'!$E$22="",0,IF(AND(B63&gt;='ZD Vorerfassung'!$C$22,B63&lt;='ZD Vorerfassung'!$D$22),HLOOKUP(TEXT(C63,"ttt"),'ZD Vorerfassung'!$H$21:$L$36,2,0),0))+
IF('ZD Vorerfassung'!$E$23="",0,IF(AND(B63&gt;='ZD Vorerfassung'!$C$23,B63&lt;='ZD Vorerfassung'!$D$23),HLOOKUP(TEXT(C63,"ttt"),'ZD Vorerfassung'!$H$21:$L$36,3,0),0))+
IF('ZD Vorerfassung'!$E$24="",0,IF(AND(B63&gt;='ZD Vorerfassung'!$C$24,B63&lt;='ZD Vorerfassung'!$D$24),HLOOKUP(TEXT(C63,"ttt"),'ZD Vorerfassung'!$H$21:$L$36,4,0),0))+
IF('ZD Vorerfassung'!$E$25="",0,IF(AND(B63&gt;='ZD Vorerfassung'!$C$25,B63&lt;='ZD Vorerfassung'!$D$25),HLOOKUP(TEXT(C63,"ttt"),'ZD Vorerfassung'!$H$21:$L$36,5,0),0))+
IF('ZD Vorerfassung'!$E$26="",0,IF(AND(B63&gt;='ZD Vorerfassung'!$C$26,B63&lt;='ZD Vorerfassung'!$D$26),HLOOKUP(TEXT(C63,"ttt"),'ZD Vorerfassung'!$H$21:$L$36,6,0),0))+
IF('ZD Vorerfassung'!$E$27="",0,IF(AND(B63&gt;='ZD Vorerfassung'!$C$27,B63&lt;='ZD Vorerfassung'!$D$27),HLOOKUP(TEXT(C63,"ttt"),'ZD Vorerfassung'!$H$21:$L$36,7,0),0))+
IF('ZD Vorerfassung'!$E$28="",0,IF(AND(B63&gt;='ZD Vorerfassung'!$C$28,B63&lt;='ZD Vorerfassung'!$D$28),HLOOKUP(TEXT(C63,"ttt"),'ZD Vorerfassung'!$H$21:$L$36,8,0),0))+
IF('ZD Vorerfassung'!$E$29="",0,IF(AND(B63&gt;='ZD Vorerfassung'!$C$29,B63&lt;='ZD Vorerfassung'!$D$29),HLOOKUP(TEXT(C63,"ttt"),'ZD Vorerfassung'!$H$21:$L$36,9,0),0))+
IF('ZD Vorerfassung'!$E$30="",0,IF(AND(B63&gt;='ZD Vorerfassung'!$C$30,B63&lt;='ZD Vorerfassung'!$D$30),HLOOKUP(TEXT(C63,"ttt"),'ZD Vorerfassung'!$H$21:$L$36,10,0),0))+
IF('ZD Vorerfassung'!$E$31="",0,IF(AND(B63&gt;='ZD Vorerfassung'!$C$31,B63&lt;='ZD Vorerfassung'!$D$31),HLOOKUP(TEXT(C63,"ttt"),'ZD Vorerfassung'!$H$21:$L$36,11,0),0))+
IF('ZD Vorerfassung'!$E$32="",0,IF(AND(B63&gt;='ZD Vorerfassung'!$C$32,B63&lt;='ZD Vorerfassung'!$D$32),HLOOKUP(TEXT(C63,"ttt"),'ZD Vorerfassung'!$H$21:$L$36,12,0),0))+
IF('ZD Vorerfassung'!$E$33="",0,IF(AND(B63&gt;='ZD Vorerfassung'!$C$33,B63&lt;='ZD Vorerfassung'!$D$33),HLOOKUP(TEXT(C63,"ttt"),'ZD Vorerfassung'!$H$21:$L$36,13,0),0))+
IF('ZD Vorerfassung'!$E$34="",0,IF(AND(B63&gt;='ZD Vorerfassung'!$C$34,B63&lt;='ZD Vorerfassung'!$D$34),HLOOKUP(TEXT(C63,"ttt"),'ZD Vorerfassung'!$H$21:$L$36,14,0),0))+
IF('ZD Vorerfassung'!$E$35="",0,IF(AND(B63&gt;='ZD Vorerfassung'!$C$35,B63&lt;='ZD Vorerfassung'!$D$35),HLOOKUP(TEXT(C63,"ttt"),'ZD Vorerfassung'!$H$21:$L$36,15,0),0))+
IF('ZD Vorerfassung'!$E$36="",0,IF(AND(B63&gt;='ZD Vorerfassung'!$C$36,B63&lt;='ZD Vorerfassung'!$D$36),HLOOKUP(TEXT(C63,"ttt"),'ZD Vorerfassung'!$H$21:$L$36,16,0),0)),"")</f>
        <v>0</v>
      </c>
      <c r="AW63" s="110">
        <f t="array" ref="AW63">IF(OR(D63="UU",D63="FT",D63="WE"),0,
IF(D63="NR",SUM(IF(B63&gt;=_xlfn.NUMBERVALUE('ZD Vorerfassung'!$C$22:$C$36),1,0)*IF(B63&lt;=_xlfn.NUMBERVALUE('ZD Vorerfassung'!$D$22:$D$36),1,0)*'ZD Vorerfassung'!$Q$22:$Q$36),
IF(OR(D63="SF",D63="FH"),SUM(IF(B63&gt;=_xlfn.NUMBERVALUE('ZD Vorerfassung'!$C$22:$C$36),1,0)*IF(B63&lt;=_xlfn.NUMBERVALUE('ZD Vorerfassung'!$D$22:$D$36),1,0)*'ZD Vorerfassung'!$R$22:$R$36*IF(D63="FH",0.5,1)),
"prüfen")))</f>
        <v>0</v>
      </c>
      <c r="AX63" s="110">
        <f t="array" ref="AX63">IF(OR(D63="UU",D63="FT",D63="WE",E63="Ferien"),0,
IF(D63="NR",SUM(IF(B63&gt;=_xlfn.NUMBERVALUE('ZD Vorerfassung'!$C$22:$C$36),1,0)*IF(B63&lt;=_xlfn.NUMBERVALUE('ZD Vorerfassung'!$D$22:$D$36),1,0)*'ZD Vorerfassung'!$W$22:$W$36),
IF(OR(D63="SF",D63="FH"),SUM(IF(B63&gt;=_xlfn.NUMBERVALUE('ZD Vorerfassung'!$C$22:$C$36),1,0)*IF(B63&lt;=_xlfn.NUMBERVALUE('ZD Vorerfassung'!$D$22:$D$36),1,0)*'ZD Vorerfassung'!$X$22:$X$36*IF(D63="FH",0.5,1)),
"prüfen")))</f>
        <v>0</v>
      </c>
      <c r="AY63" s="110">
        <f t="array" ref="AY63">IF(OR(D63="UU",D63="FT",D63="WE",E63="Ferien"),0,
IF(D63="NR",SUM(IF(B63&gt;=_xlfn.NUMBERVALUE('ZD Vorerfassung'!$C$22:$C$36),1,0)*IF(B63&lt;=_xlfn.NUMBERVALUE('ZD Vorerfassung'!$D$22:$D$36),1,0)*'ZD Vorerfassung'!$U$22:$U$36),
IF(OR(D63="SF",D63="FH"),SUM(IF(B63&gt;=_xlfn.NUMBERVALUE('ZD Vorerfassung'!$C$22:$C$36),1,0)*IF(B63&lt;=_xlfn.NUMBERVALUE('ZD Vorerfassung'!$D$22:$D$36),1,0)*'ZD Vorerfassung'!$V$22:$V$36*IF(D63="FH",0.5,1)),
"prüfen")))</f>
        <v>0</v>
      </c>
      <c r="AZ63" s="110">
        <f t="array" ref="AZ63">IF(OR(D63="UU",D63="FT",D63="WE",E63="Ferien"),0,
IF(D63="NR",SUM(IF(B63&gt;=_xlfn.NUMBERVALUE('ZD Vorerfassung'!$C$22:$C$36),1,0)*IF(B63&lt;=_xlfn.NUMBERVALUE('ZD Vorerfassung'!$D$22:$D$36),1,0)*'ZD Vorerfassung'!$S$22:$S$36),
IF(OR(D63="SF",D63="FH"),SUM(IF(B63&gt;=_xlfn.NUMBERVALUE('ZD Vorerfassung'!$C$22:$C$36),1,0)*IF(B63&lt;=_xlfn.NUMBERVALUE('ZD Vorerfassung'!$D$22:$D$36),1,0)*'ZD Vorerfassung'!$T$22:$T$36*IF(D63="FH",0.5,1)),
"prüfen")))</f>
        <v>0</v>
      </c>
      <c r="BA63" s="112">
        <f t="shared" si="8"/>
        <v>9</v>
      </c>
    </row>
    <row r="64" spans="2:53" ht="19.5" thickTop="1" thickBot="1" x14ac:dyDescent="0.3">
      <c r="B64" s="99">
        <f t="shared" si="0"/>
        <v>44829</v>
      </c>
      <c r="C64" s="100">
        <f t="shared" si="9"/>
        <v>44829</v>
      </c>
      <c r="D64" s="101" t="str">
        <f t="shared" si="10"/>
        <v>WE</v>
      </c>
      <c r="E64" s="102" t="str">
        <f t="shared" si="2"/>
        <v>Wochenende</v>
      </c>
      <c r="F64" s="103" t="str">
        <f t="shared" si="11"/>
        <v/>
      </c>
      <c r="G64" s="104" t="str">
        <f t="shared" si="12"/>
        <v/>
      </c>
      <c r="H64" s="104">
        <f>IFERROR(IF('ZD Vorerfassung'!$E$11="manuell",SUM(I64),IF(OR(E64="Feiertag",E64="Wochenende"),0,IF('ZD Vorerfassung'!$E$11="automatisch",AX64,IF(D64="UU","UU",IF(E64=Param2,AX64/24,IF(E64=Param9,AX64/48,"")))))),0)</f>
        <v>0</v>
      </c>
      <c r="I64" s="105"/>
      <c r="J64" s="106">
        <f>IF('ZD Vorerfassung'!$E$12="manuell",SUM(K64:AI64),IF(OR(E64="Feiertag",E64="Wochenende"),0,IF('ZD Vorerfassung'!$E$12="automatisch",AY64,IF(D64="UU","UU",IF(E64=Param2,AY64/24,IF(E64=Param9,AY64/48,""))))))</f>
        <v>0</v>
      </c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7">
        <f t="shared" si="13"/>
        <v>0</v>
      </c>
      <c r="AK64" s="105"/>
      <c r="AL64" s="105"/>
      <c r="AM64" s="105"/>
      <c r="AN64" s="105"/>
      <c r="AO64" s="105"/>
      <c r="AP64" s="105"/>
      <c r="AQ64" s="108">
        <f t="shared" si="14"/>
        <v>0</v>
      </c>
      <c r="AR64" s="108">
        <f t="shared" si="15"/>
        <v>0</v>
      </c>
      <c r="AS64" s="109">
        <f t="shared" si="16"/>
        <v>0</v>
      </c>
      <c r="AU64" s="110">
        <f t="shared" si="7"/>
        <v>0</v>
      </c>
      <c r="AV64" s="111" t="str">
        <f>IF(D64="NR",
IF('ZD Vorerfassung'!$E$22="",0,IF(AND(B64&gt;='ZD Vorerfassung'!$C$22,B64&lt;='ZD Vorerfassung'!$D$22),HLOOKUP(TEXT(C64,"ttt"),'ZD Vorerfassung'!$H$21:$L$36,2,0),0))+
IF('ZD Vorerfassung'!$E$23="",0,IF(AND(B64&gt;='ZD Vorerfassung'!$C$23,B64&lt;='ZD Vorerfassung'!$D$23),HLOOKUP(TEXT(C64,"ttt"),'ZD Vorerfassung'!$H$21:$L$36,3,0),0))+
IF('ZD Vorerfassung'!$E$24="",0,IF(AND(B64&gt;='ZD Vorerfassung'!$C$24,B64&lt;='ZD Vorerfassung'!$D$24),HLOOKUP(TEXT(C64,"ttt"),'ZD Vorerfassung'!$H$21:$L$36,4,0),0))+
IF('ZD Vorerfassung'!$E$25="",0,IF(AND(B64&gt;='ZD Vorerfassung'!$C$25,B64&lt;='ZD Vorerfassung'!$D$25),HLOOKUP(TEXT(C64,"ttt"),'ZD Vorerfassung'!$H$21:$L$36,5,0),0))+
IF('ZD Vorerfassung'!$E$26="",0,IF(AND(B64&gt;='ZD Vorerfassung'!$C$26,B64&lt;='ZD Vorerfassung'!$D$26),HLOOKUP(TEXT(C64,"ttt"),'ZD Vorerfassung'!$H$21:$L$36,6,0),0))+
IF('ZD Vorerfassung'!$E$27="",0,IF(AND(B64&gt;='ZD Vorerfassung'!$C$27,B64&lt;='ZD Vorerfassung'!$D$27),HLOOKUP(TEXT(C64,"ttt"),'ZD Vorerfassung'!$H$21:$L$36,7,0),0))+
IF('ZD Vorerfassung'!$E$28="",0,IF(AND(B64&gt;='ZD Vorerfassung'!$C$28,B64&lt;='ZD Vorerfassung'!$D$28),HLOOKUP(TEXT(C64,"ttt"),'ZD Vorerfassung'!$H$21:$L$36,8,0),0))+
IF('ZD Vorerfassung'!$E$29="",0,IF(AND(B64&gt;='ZD Vorerfassung'!$C$29,B64&lt;='ZD Vorerfassung'!$D$29),HLOOKUP(TEXT(C64,"ttt"),'ZD Vorerfassung'!$H$21:$L$36,9,0),0))+
IF('ZD Vorerfassung'!$E$30="",0,IF(AND(B64&gt;='ZD Vorerfassung'!$C$30,B64&lt;='ZD Vorerfassung'!$D$30),HLOOKUP(TEXT(C64,"ttt"),'ZD Vorerfassung'!$H$21:$L$36,10,0),0))+
IF('ZD Vorerfassung'!$E$31="",0,IF(AND(B64&gt;='ZD Vorerfassung'!$C$31,B64&lt;='ZD Vorerfassung'!$D$31),HLOOKUP(TEXT(C64,"ttt"),'ZD Vorerfassung'!$H$21:$L$36,11,0),0))+
IF('ZD Vorerfassung'!$E$32="",0,IF(AND(B64&gt;='ZD Vorerfassung'!$C$32,B64&lt;='ZD Vorerfassung'!$D$32),HLOOKUP(TEXT(C64,"ttt"),'ZD Vorerfassung'!$H$21:$L$36,12,0),0))+
IF('ZD Vorerfassung'!$E$33="",0,IF(AND(B64&gt;='ZD Vorerfassung'!$C$33,B64&lt;='ZD Vorerfassung'!$D$33),HLOOKUP(TEXT(C64,"ttt"),'ZD Vorerfassung'!$H$21:$L$36,13,0),0))+
IF('ZD Vorerfassung'!$E$34="",0,IF(AND(B64&gt;='ZD Vorerfassung'!$C$34,B64&lt;='ZD Vorerfassung'!$D$34),HLOOKUP(TEXT(C64,"ttt"),'ZD Vorerfassung'!$H$21:$L$36,14,0),0))+
IF('ZD Vorerfassung'!$E$35="",0,IF(AND(B64&gt;='ZD Vorerfassung'!$C$35,B64&lt;='ZD Vorerfassung'!$D$35),HLOOKUP(TEXT(C64,"ttt"),'ZD Vorerfassung'!$H$21:$L$36,15,0),0))+
IF('ZD Vorerfassung'!$E$36="",0,IF(AND(B64&gt;='ZD Vorerfassung'!$C$36,B64&lt;='ZD Vorerfassung'!$D$36),HLOOKUP(TEXT(C64,"ttt"),'ZD Vorerfassung'!$H$21:$L$36,16,0),0)),"")</f>
        <v/>
      </c>
      <c r="AW64" s="110">
        <f t="array" ref="AW64">IF(OR(D64="UU",D64="FT",D64="WE"),0,
IF(D64="NR",SUM(IF(B64&gt;=_xlfn.NUMBERVALUE('ZD Vorerfassung'!$C$22:$C$36),1,0)*IF(B64&lt;=_xlfn.NUMBERVALUE('ZD Vorerfassung'!$D$22:$D$36),1,0)*'ZD Vorerfassung'!$Q$22:$Q$36),
IF(OR(D64="SF",D64="FH"),SUM(IF(B64&gt;=_xlfn.NUMBERVALUE('ZD Vorerfassung'!$C$22:$C$36),1,0)*IF(B64&lt;=_xlfn.NUMBERVALUE('ZD Vorerfassung'!$D$22:$D$36),1,0)*'ZD Vorerfassung'!$R$22:$R$36*IF(D64="FH",0.5,1)),
"prüfen")))</f>
        <v>0</v>
      </c>
      <c r="AX64" s="110">
        <f t="array" ref="AX64">IF(OR(D64="UU",D64="FT",D64="WE",E64="Ferien"),0,
IF(D64="NR",SUM(IF(B64&gt;=_xlfn.NUMBERVALUE('ZD Vorerfassung'!$C$22:$C$36),1,0)*IF(B64&lt;=_xlfn.NUMBERVALUE('ZD Vorerfassung'!$D$22:$D$36),1,0)*'ZD Vorerfassung'!$W$22:$W$36),
IF(OR(D64="SF",D64="FH"),SUM(IF(B64&gt;=_xlfn.NUMBERVALUE('ZD Vorerfassung'!$C$22:$C$36),1,0)*IF(B64&lt;=_xlfn.NUMBERVALUE('ZD Vorerfassung'!$D$22:$D$36),1,0)*'ZD Vorerfassung'!$X$22:$X$36*IF(D64="FH",0.5,1)),
"prüfen")))</f>
        <v>0</v>
      </c>
      <c r="AY64" s="110">
        <f t="array" ref="AY64">IF(OR(D64="UU",D64="FT",D64="WE",E64="Ferien"),0,
IF(D64="NR",SUM(IF(B64&gt;=_xlfn.NUMBERVALUE('ZD Vorerfassung'!$C$22:$C$36),1,0)*IF(B64&lt;=_xlfn.NUMBERVALUE('ZD Vorerfassung'!$D$22:$D$36),1,0)*'ZD Vorerfassung'!$U$22:$U$36),
IF(OR(D64="SF",D64="FH"),SUM(IF(B64&gt;=_xlfn.NUMBERVALUE('ZD Vorerfassung'!$C$22:$C$36),1,0)*IF(B64&lt;=_xlfn.NUMBERVALUE('ZD Vorerfassung'!$D$22:$D$36),1,0)*'ZD Vorerfassung'!$V$22:$V$36*IF(D64="FH",0.5,1)),
"prüfen")))</f>
        <v>0</v>
      </c>
      <c r="AZ64" s="110">
        <f t="array" ref="AZ64">IF(OR(D64="UU",D64="FT",D64="WE",E64="Ferien"),0,
IF(D64="NR",SUM(IF(B64&gt;=_xlfn.NUMBERVALUE('ZD Vorerfassung'!$C$22:$C$36),1,0)*IF(B64&lt;=_xlfn.NUMBERVALUE('ZD Vorerfassung'!$D$22:$D$36),1,0)*'ZD Vorerfassung'!$S$22:$S$36),
IF(OR(D64="SF",D64="FH"),SUM(IF(B64&gt;=_xlfn.NUMBERVALUE('ZD Vorerfassung'!$C$22:$C$36),1,0)*IF(B64&lt;=_xlfn.NUMBERVALUE('ZD Vorerfassung'!$D$22:$D$36),1,0)*'ZD Vorerfassung'!$T$22:$T$36*IF(D64="FH",0.5,1)),
"prüfen")))</f>
        <v>0</v>
      </c>
      <c r="BA64" s="112">
        <f t="shared" si="8"/>
        <v>9</v>
      </c>
    </row>
    <row r="65" spans="2:53" ht="19.5" thickTop="1" thickBot="1" x14ac:dyDescent="0.3">
      <c r="B65" s="99">
        <f t="shared" si="0"/>
        <v>44830</v>
      </c>
      <c r="C65" s="100">
        <f t="shared" si="9"/>
        <v>44830</v>
      </c>
      <c r="D65" s="101" t="str">
        <f t="shared" si="10"/>
        <v>WE</v>
      </c>
      <c r="E65" s="102" t="str">
        <f t="shared" si="2"/>
        <v>Wochenende</v>
      </c>
      <c r="F65" s="103" t="str">
        <f t="shared" si="11"/>
        <v/>
      </c>
      <c r="G65" s="104" t="str">
        <f t="shared" si="12"/>
        <v/>
      </c>
      <c r="H65" s="104">
        <f>IFERROR(IF('ZD Vorerfassung'!$E$11="manuell",SUM(I65),IF(OR(E65="Feiertag",E65="Wochenende"),0,IF('ZD Vorerfassung'!$E$11="automatisch",AX65,IF(D65="UU","UU",IF(E65=Param2,AX65/24,IF(E65=Param9,AX65/48,"")))))),0)</f>
        <v>0</v>
      </c>
      <c r="I65" s="105"/>
      <c r="J65" s="106">
        <f>IF('ZD Vorerfassung'!$E$12="manuell",SUM(K65:AI65),IF(OR(E65="Feiertag",E65="Wochenende"),0,IF('ZD Vorerfassung'!$E$12="automatisch",AY65,IF(D65="UU","UU",IF(E65=Param2,AY65/24,IF(E65=Param9,AY65/48,""))))))</f>
        <v>0</v>
      </c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7">
        <f t="shared" si="13"/>
        <v>0</v>
      </c>
      <c r="AK65" s="105"/>
      <c r="AL65" s="105"/>
      <c r="AM65" s="105"/>
      <c r="AN65" s="105"/>
      <c r="AO65" s="105"/>
      <c r="AP65" s="105"/>
      <c r="AQ65" s="108">
        <f t="shared" si="14"/>
        <v>0</v>
      </c>
      <c r="AR65" s="108">
        <f t="shared" si="15"/>
        <v>0</v>
      </c>
      <c r="AS65" s="109">
        <f t="shared" si="16"/>
        <v>0</v>
      </c>
      <c r="AU65" s="110">
        <f t="shared" si="7"/>
        <v>0</v>
      </c>
      <c r="AV65" s="111" t="str">
        <f>IF(D65="NR",
IF('ZD Vorerfassung'!$E$22="",0,IF(AND(B65&gt;='ZD Vorerfassung'!$C$22,B65&lt;='ZD Vorerfassung'!$D$22),HLOOKUP(TEXT(C65,"ttt"),'ZD Vorerfassung'!$H$21:$L$36,2,0),0))+
IF('ZD Vorerfassung'!$E$23="",0,IF(AND(B65&gt;='ZD Vorerfassung'!$C$23,B65&lt;='ZD Vorerfassung'!$D$23),HLOOKUP(TEXT(C65,"ttt"),'ZD Vorerfassung'!$H$21:$L$36,3,0),0))+
IF('ZD Vorerfassung'!$E$24="",0,IF(AND(B65&gt;='ZD Vorerfassung'!$C$24,B65&lt;='ZD Vorerfassung'!$D$24),HLOOKUP(TEXT(C65,"ttt"),'ZD Vorerfassung'!$H$21:$L$36,4,0),0))+
IF('ZD Vorerfassung'!$E$25="",0,IF(AND(B65&gt;='ZD Vorerfassung'!$C$25,B65&lt;='ZD Vorerfassung'!$D$25),HLOOKUP(TEXT(C65,"ttt"),'ZD Vorerfassung'!$H$21:$L$36,5,0),0))+
IF('ZD Vorerfassung'!$E$26="",0,IF(AND(B65&gt;='ZD Vorerfassung'!$C$26,B65&lt;='ZD Vorerfassung'!$D$26),HLOOKUP(TEXT(C65,"ttt"),'ZD Vorerfassung'!$H$21:$L$36,6,0),0))+
IF('ZD Vorerfassung'!$E$27="",0,IF(AND(B65&gt;='ZD Vorerfassung'!$C$27,B65&lt;='ZD Vorerfassung'!$D$27),HLOOKUP(TEXT(C65,"ttt"),'ZD Vorerfassung'!$H$21:$L$36,7,0),0))+
IF('ZD Vorerfassung'!$E$28="",0,IF(AND(B65&gt;='ZD Vorerfassung'!$C$28,B65&lt;='ZD Vorerfassung'!$D$28),HLOOKUP(TEXT(C65,"ttt"),'ZD Vorerfassung'!$H$21:$L$36,8,0),0))+
IF('ZD Vorerfassung'!$E$29="",0,IF(AND(B65&gt;='ZD Vorerfassung'!$C$29,B65&lt;='ZD Vorerfassung'!$D$29),HLOOKUP(TEXT(C65,"ttt"),'ZD Vorerfassung'!$H$21:$L$36,9,0),0))+
IF('ZD Vorerfassung'!$E$30="",0,IF(AND(B65&gt;='ZD Vorerfassung'!$C$30,B65&lt;='ZD Vorerfassung'!$D$30),HLOOKUP(TEXT(C65,"ttt"),'ZD Vorerfassung'!$H$21:$L$36,10,0),0))+
IF('ZD Vorerfassung'!$E$31="",0,IF(AND(B65&gt;='ZD Vorerfassung'!$C$31,B65&lt;='ZD Vorerfassung'!$D$31),HLOOKUP(TEXT(C65,"ttt"),'ZD Vorerfassung'!$H$21:$L$36,11,0),0))+
IF('ZD Vorerfassung'!$E$32="",0,IF(AND(B65&gt;='ZD Vorerfassung'!$C$32,B65&lt;='ZD Vorerfassung'!$D$32),HLOOKUP(TEXT(C65,"ttt"),'ZD Vorerfassung'!$H$21:$L$36,12,0),0))+
IF('ZD Vorerfassung'!$E$33="",0,IF(AND(B65&gt;='ZD Vorerfassung'!$C$33,B65&lt;='ZD Vorerfassung'!$D$33),HLOOKUP(TEXT(C65,"ttt"),'ZD Vorerfassung'!$H$21:$L$36,13,0),0))+
IF('ZD Vorerfassung'!$E$34="",0,IF(AND(B65&gt;='ZD Vorerfassung'!$C$34,B65&lt;='ZD Vorerfassung'!$D$34),HLOOKUP(TEXT(C65,"ttt"),'ZD Vorerfassung'!$H$21:$L$36,14,0),0))+
IF('ZD Vorerfassung'!$E$35="",0,IF(AND(B65&gt;='ZD Vorerfassung'!$C$35,B65&lt;='ZD Vorerfassung'!$D$35),HLOOKUP(TEXT(C65,"ttt"),'ZD Vorerfassung'!$H$21:$L$36,15,0),0))+
IF('ZD Vorerfassung'!$E$36="",0,IF(AND(B65&gt;='ZD Vorerfassung'!$C$36,B65&lt;='ZD Vorerfassung'!$D$36),HLOOKUP(TEXT(C65,"ttt"),'ZD Vorerfassung'!$H$21:$L$36,16,0),0)),"")</f>
        <v/>
      </c>
      <c r="AW65" s="110">
        <f t="array" ref="AW65">IF(OR(D65="UU",D65="FT",D65="WE"),0,
IF(D65="NR",SUM(IF(B65&gt;=_xlfn.NUMBERVALUE('ZD Vorerfassung'!$C$22:$C$36),1,0)*IF(B65&lt;=_xlfn.NUMBERVALUE('ZD Vorerfassung'!$D$22:$D$36),1,0)*'ZD Vorerfassung'!$Q$22:$Q$36),
IF(OR(D65="SF",D65="FH"),SUM(IF(B65&gt;=_xlfn.NUMBERVALUE('ZD Vorerfassung'!$C$22:$C$36),1,0)*IF(B65&lt;=_xlfn.NUMBERVALUE('ZD Vorerfassung'!$D$22:$D$36),1,0)*'ZD Vorerfassung'!$R$22:$R$36*IF(D65="FH",0.5,1)),
"prüfen")))</f>
        <v>0</v>
      </c>
      <c r="AX65" s="110">
        <f t="array" ref="AX65">IF(OR(D65="UU",D65="FT",D65="WE",E65="Ferien"),0,
IF(D65="NR",SUM(IF(B65&gt;=_xlfn.NUMBERVALUE('ZD Vorerfassung'!$C$22:$C$36),1,0)*IF(B65&lt;=_xlfn.NUMBERVALUE('ZD Vorerfassung'!$D$22:$D$36),1,0)*'ZD Vorerfassung'!$W$22:$W$36),
IF(OR(D65="SF",D65="FH"),SUM(IF(B65&gt;=_xlfn.NUMBERVALUE('ZD Vorerfassung'!$C$22:$C$36),1,0)*IF(B65&lt;=_xlfn.NUMBERVALUE('ZD Vorerfassung'!$D$22:$D$36),1,0)*'ZD Vorerfassung'!$X$22:$X$36*IF(D65="FH",0.5,1)),
"prüfen")))</f>
        <v>0</v>
      </c>
      <c r="AY65" s="110">
        <f t="array" ref="AY65">IF(OR(D65="UU",D65="FT",D65="WE",E65="Ferien"),0,
IF(D65="NR",SUM(IF(B65&gt;=_xlfn.NUMBERVALUE('ZD Vorerfassung'!$C$22:$C$36),1,0)*IF(B65&lt;=_xlfn.NUMBERVALUE('ZD Vorerfassung'!$D$22:$D$36),1,0)*'ZD Vorerfassung'!$U$22:$U$36),
IF(OR(D65="SF",D65="FH"),SUM(IF(B65&gt;=_xlfn.NUMBERVALUE('ZD Vorerfassung'!$C$22:$C$36),1,0)*IF(B65&lt;=_xlfn.NUMBERVALUE('ZD Vorerfassung'!$D$22:$D$36),1,0)*'ZD Vorerfassung'!$V$22:$V$36*IF(D65="FH",0.5,1)),
"prüfen")))</f>
        <v>0</v>
      </c>
      <c r="AZ65" s="110">
        <f t="array" ref="AZ65">IF(OR(D65="UU",D65="FT",D65="WE",E65="Ferien"),0,
IF(D65="NR",SUM(IF(B65&gt;=_xlfn.NUMBERVALUE('ZD Vorerfassung'!$C$22:$C$36),1,0)*IF(B65&lt;=_xlfn.NUMBERVALUE('ZD Vorerfassung'!$D$22:$D$36),1,0)*'ZD Vorerfassung'!$S$22:$S$36),
IF(OR(D65="SF",D65="FH"),SUM(IF(B65&gt;=_xlfn.NUMBERVALUE('ZD Vorerfassung'!$C$22:$C$36),1,0)*IF(B65&lt;=_xlfn.NUMBERVALUE('ZD Vorerfassung'!$D$22:$D$36),1,0)*'ZD Vorerfassung'!$T$22:$T$36*IF(D65="FH",0.5,1)),
"prüfen")))</f>
        <v>0</v>
      </c>
      <c r="BA65" s="112">
        <f t="shared" si="8"/>
        <v>9</v>
      </c>
    </row>
    <row r="66" spans="2:53" ht="19.5" thickTop="1" thickBot="1" x14ac:dyDescent="0.3">
      <c r="B66" s="99">
        <f t="shared" si="0"/>
        <v>44831</v>
      </c>
      <c r="C66" s="100">
        <f t="shared" si="9"/>
        <v>44831</v>
      </c>
      <c r="D66" s="101" t="str">
        <f t="shared" si="10"/>
        <v>SF</v>
      </c>
      <c r="E66" s="102" t="str">
        <f t="shared" si="2"/>
        <v>unterrichtsfreie Arbeitszeit</v>
      </c>
      <c r="F66" s="103" t="str">
        <f t="shared" si="11"/>
        <v/>
      </c>
      <c r="G66" s="104" t="str">
        <f t="shared" si="12"/>
        <v/>
      </c>
      <c r="H66" s="104">
        <f>IFERROR(IF('ZD Vorerfassung'!$E$11="manuell",SUM(I66),IF(OR(E66="Feiertag",E66="Wochenende"),0,IF('ZD Vorerfassung'!$E$11="automatisch",AX66,IF(D66="UU","UU",IF(E66=Param2,AX66/24,IF(E66=Param9,AX66/48,"")))))),0)</f>
        <v>0</v>
      </c>
      <c r="I66" s="105"/>
      <c r="J66" s="106">
        <f>IF('ZD Vorerfassung'!$E$12="manuell",SUM(K66:AI66),IF(OR(E66="Feiertag",E66="Wochenende"),0,IF('ZD Vorerfassung'!$E$12="automatisch",AY66,IF(D66="UU","UU",IF(E66=Param2,AY66/24,IF(E66=Param9,AY66/48,""))))))</f>
        <v>0</v>
      </c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7">
        <f t="shared" si="13"/>
        <v>0</v>
      </c>
      <c r="AK66" s="105"/>
      <c r="AL66" s="105"/>
      <c r="AM66" s="105"/>
      <c r="AN66" s="105"/>
      <c r="AO66" s="105"/>
      <c r="AP66" s="105"/>
      <c r="AQ66" s="108">
        <f t="shared" si="14"/>
        <v>0</v>
      </c>
      <c r="AR66" s="108">
        <f t="shared" si="15"/>
        <v>0</v>
      </c>
      <c r="AS66" s="109">
        <f t="shared" si="16"/>
        <v>0</v>
      </c>
      <c r="AU66" s="110">
        <f t="shared" si="7"/>
        <v>0</v>
      </c>
      <c r="AV66" s="111" t="str">
        <f>IF(D66="NR",
IF('ZD Vorerfassung'!$E$22="",0,IF(AND(B66&gt;='ZD Vorerfassung'!$C$22,B66&lt;='ZD Vorerfassung'!$D$22),HLOOKUP(TEXT(C66,"ttt"),'ZD Vorerfassung'!$H$21:$L$36,2,0),0))+
IF('ZD Vorerfassung'!$E$23="",0,IF(AND(B66&gt;='ZD Vorerfassung'!$C$23,B66&lt;='ZD Vorerfassung'!$D$23),HLOOKUP(TEXT(C66,"ttt"),'ZD Vorerfassung'!$H$21:$L$36,3,0),0))+
IF('ZD Vorerfassung'!$E$24="",0,IF(AND(B66&gt;='ZD Vorerfassung'!$C$24,B66&lt;='ZD Vorerfassung'!$D$24),HLOOKUP(TEXT(C66,"ttt"),'ZD Vorerfassung'!$H$21:$L$36,4,0),0))+
IF('ZD Vorerfassung'!$E$25="",0,IF(AND(B66&gt;='ZD Vorerfassung'!$C$25,B66&lt;='ZD Vorerfassung'!$D$25),HLOOKUP(TEXT(C66,"ttt"),'ZD Vorerfassung'!$H$21:$L$36,5,0),0))+
IF('ZD Vorerfassung'!$E$26="",0,IF(AND(B66&gt;='ZD Vorerfassung'!$C$26,B66&lt;='ZD Vorerfassung'!$D$26),HLOOKUP(TEXT(C66,"ttt"),'ZD Vorerfassung'!$H$21:$L$36,6,0),0))+
IF('ZD Vorerfassung'!$E$27="",0,IF(AND(B66&gt;='ZD Vorerfassung'!$C$27,B66&lt;='ZD Vorerfassung'!$D$27),HLOOKUP(TEXT(C66,"ttt"),'ZD Vorerfassung'!$H$21:$L$36,7,0),0))+
IF('ZD Vorerfassung'!$E$28="",0,IF(AND(B66&gt;='ZD Vorerfassung'!$C$28,B66&lt;='ZD Vorerfassung'!$D$28),HLOOKUP(TEXT(C66,"ttt"),'ZD Vorerfassung'!$H$21:$L$36,8,0),0))+
IF('ZD Vorerfassung'!$E$29="",0,IF(AND(B66&gt;='ZD Vorerfassung'!$C$29,B66&lt;='ZD Vorerfassung'!$D$29),HLOOKUP(TEXT(C66,"ttt"),'ZD Vorerfassung'!$H$21:$L$36,9,0),0))+
IF('ZD Vorerfassung'!$E$30="",0,IF(AND(B66&gt;='ZD Vorerfassung'!$C$30,B66&lt;='ZD Vorerfassung'!$D$30),HLOOKUP(TEXT(C66,"ttt"),'ZD Vorerfassung'!$H$21:$L$36,10,0),0))+
IF('ZD Vorerfassung'!$E$31="",0,IF(AND(B66&gt;='ZD Vorerfassung'!$C$31,B66&lt;='ZD Vorerfassung'!$D$31),HLOOKUP(TEXT(C66,"ttt"),'ZD Vorerfassung'!$H$21:$L$36,11,0),0))+
IF('ZD Vorerfassung'!$E$32="",0,IF(AND(B66&gt;='ZD Vorerfassung'!$C$32,B66&lt;='ZD Vorerfassung'!$D$32),HLOOKUP(TEXT(C66,"ttt"),'ZD Vorerfassung'!$H$21:$L$36,12,0),0))+
IF('ZD Vorerfassung'!$E$33="",0,IF(AND(B66&gt;='ZD Vorerfassung'!$C$33,B66&lt;='ZD Vorerfassung'!$D$33),HLOOKUP(TEXT(C66,"ttt"),'ZD Vorerfassung'!$H$21:$L$36,13,0),0))+
IF('ZD Vorerfassung'!$E$34="",0,IF(AND(B66&gt;='ZD Vorerfassung'!$C$34,B66&lt;='ZD Vorerfassung'!$D$34),HLOOKUP(TEXT(C66,"ttt"),'ZD Vorerfassung'!$H$21:$L$36,14,0),0))+
IF('ZD Vorerfassung'!$E$35="",0,IF(AND(B66&gt;='ZD Vorerfassung'!$C$35,B66&lt;='ZD Vorerfassung'!$D$35),HLOOKUP(TEXT(C66,"ttt"),'ZD Vorerfassung'!$H$21:$L$36,15,0),0))+
IF('ZD Vorerfassung'!$E$36="",0,IF(AND(B66&gt;='ZD Vorerfassung'!$C$36,B66&lt;='ZD Vorerfassung'!$D$36),HLOOKUP(TEXT(C66,"ttt"),'ZD Vorerfassung'!$H$21:$L$36,16,0),0)),"")</f>
        <v/>
      </c>
      <c r="AW66" s="110">
        <f t="array" ref="AW66">IF(OR(D66="UU",D66="FT",D66="WE"),0,
IF(D66="NR",SUM(IF(B66&gt;=_xlfn.NUMBERVALUE('ZD Vorerfassung'!$C$22:$C$36),1,0)*IF(B66&lt;=_xlfn.NUMBERVALUE('ZD Vorerfassung'!$D$22:$D$36),1,0)*'ZD Vorerfassung'!$Q$22:$Q$36),
IF(OR(D66="SF",D66="FH"),SUM(IF(B66&gt;=_xlfn.NUMBERVALUE('ZD Vorerfassung'!$C$22:$C$36),1,0)*IF(B66&lt;=_xlfn.NUMBERVALUE('ZD Vorerfassung'!$D$22:$D$36),1,0)*'ZD Vorerfassung'!$R$22:$R$36*IF(D66="FH",0.5,1)),
"prüfen")))</f>
        <v>0</v>
      </c>
      <c r="AX66" s="110">
        <f t="array" ref="AX66">IF(OR(D66="UU",D66="FT",D66="WE",E66="Ferien"),0,
IF(D66="NR",SUM(IF(B66&gt;=_xlfn.NUMBERVALUE('ZD Vorerfassung'!$C$22:$C$36),1,0)*IF(B66&lt;=_xlfn.NUMBERVALUE('ZD Vorerfassung'!$D$22:$D$36),1,0)*'ZD Vorerfassung'!$W$22:$W$36),
IF(OR(D66="SF",D66="FH"),SUM(IF(B66&gt;=_xlfn.NUMBERVALUE('ZD Vorerfassung'!$C$22:$C$36),1,0)*IF(B66&lt;=_xlfn.NUMBERVALUE('ZD Vorerfassung'!$D$22:$D$36),1,0)*'ZD Vorerfassung'!$X$22:$X$36*IF(D66="FH",0.5,1)),
"prüfen")))</f>
        <v>0</v>
      </c>
      <c r="AY66" s="110">
        <f t="array" ref="AY66">IF(OR(D66="UU",D66="FT",D66="WE",E66="Ferien"),0,
IF(D66="NR",SUM(IF(B66&gt;=_xlfn.NUMBERVALUE('ZD Vorerfassung'!$C$22:$C$36),1,0)*IF(B66&lt;=_xlfn.NUMBERVALUE('ZD Vorerfassung'!$D$22:$D$36),1,0)*'ZD Vorerfassung'!$U$22:$U$36),
IF(OR(D66="SF",D66="FH"),SUM(IF(B66&gt;=_xlfn.NUMBERVALUE('ZD Vorerfassung'!$C$22:$C$36),1,0)*IF(B66&lt;=_xlfn.NUMBERVALUE('ZD Vorerfassung'!$D$22:$D$36),1,0)*'ZD Vorerfassung'!$V$22:$V$36*IF(D66="FH",0.5,1)),
"prüfen")))</f>
        <v>0</v>
      </c>
      <c r="AZ66" s="110">
        <f t="array" ref="AZ66">IF(OR(D66="UU",D66="FT",D66="WE",E66="Ferien"),0,
IF(D66="NR",SUM(IF(B66&gt;=_xlfn.NUMBERVALUE('ZD Vorerfassung'!$C$22:$C$36),1,0)*IF(B66&lt;=_xlfn.NUMBERVALUE('ZD Vorerfassung'!$D$22:$D$36),1,0)*'ZD Vorerfassung'!$S$22:$S$36),
IF(OR(D66="SF",D66="FH"),SUM(IF(B66&gt;=_xlfn.NUMBERVALUE('ZD Vorerfassung'!$C$22:$C$36),1,0)*IF(B66&lt;=_xlfn.NUMBERVALUE('ZD Vorerfassung'!$D$22:$D$36),1,0)*'ZD Vorerfassung'!$T$22:$T$36*IF(D66="FH",0.5,1)),
"prüfen")))</f>
        <v>0</v>
      </c>
      <c r="BA66" s="112">
        <f t="shared" si="8"/>
        <v>9</v>
      </c>
    </row>
    <row r="67" spans="2:53" ht="19.5" thickTop="1" thickBot="1" x14ac:dyDescent="0.3">
      <c r="B67" s="99">
        <f t="shared" si="0"/>
        <v>44832</v>
      </c>
      <c r="C67" s="100">
        <f t="shared" si="9"/>
        <v>44832</v>
      </c>
      <c r="D67" s="101" t="str">
        <f t="shared" si="10"/>
        <v>SF</v>
      </c>
      <c r="E67" s="102" t="str">
        <f t="shared" si="2"/>
        <v>unterrichtsfreie Arbeitszeit</v>
      </c>
      <c r="F67" s="103" t="str">
        <f t="shared" si="11"/>
        <v/>
      </c>
      <c r="G67" s="104" t="str">
        <f t="shared" si="12"/>
        <v/>
      </c>
      <c r="H67" s="104">
        <f>IFERROR(IF('ZD Vorerfassung'!$E$11="manuell",SUM(I67),IF(OR(E67="Feiertag",E67="Wochenende"),0,IF('ZD Vorerfassung'!$E$11="automatisch",AX67,IF(D67="UU","UU",IF(E67=Param2,AX67/24,IF(E67=Param9,AX67/48,"")))))),0)</f>
        <v>0</v>
      </c>
      <c r="I67" s="105"/>
      <c r="J67" s="106">
        <f>IF('ZD Vorerfassung'!$E$12="manuell",SUM(K67:AI67),IF(OR(E67="Feiertag",E67="Wochenende"),0,IF('ZD Vorerfassung'!$E$12="automatisch",AY67,IF(D67="UU","UU",IF(E67=Param2,AY67/24,IF(E67=Param9,AY67/48,""))))))</f>
        <v>0</v>
      </c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7">
        <f t="shared" si="13"/>
        <v>0</v>
      </c>
      <c r="AK67" s="105"/>
      <c r="AL67" s="105"/>
      <c r="AM67" s="105"/>
      <c r="AN67" s="105"/>
      <c r="AO67" s="105"/>
      <c r="AP67" s="105"/>
      <c r="AQ67" s="108">
        <f t="shared" si="14"/>
        <v>0</v>
      </c>
      <c r="AR67" s="108">
        <f t="shared" si="15"/>
        <v>0</v>
      </c>
      <c r="AS67" s="109">
        <f t="shared" si="16"/>
        <v>0</v>
      </c>
      <c r="AU67" s="110">
        <f t="shared" si="7"/>
        <v>0</v>
      </c>
      <c r="AV67" s="111" t="str">
        <f>IF(D67="NR",
IF('ZD Vorerfassung'!$E$22="",0,IF(AND(B67&gt;='ZD Vorerfassung'!$C$22,B67&lt;='ZD Vorerfassung'!$D$22),HLOOKUP(TEXT(C67,"ttt"),'ZD Vorerfassung'!$H$21:$L$36,2,0),0))+
IF('ZD Vorerfassung'!$E$23="",0,IF(AND(B67&gt;='ZD Vorerfassung'!$C$23,B67&lt;='ZD Vorerfassung'!$D$23),HLOOKUP(TEXT(C67,"ttt"),'ZD Vorerfassung'!$H$21:$L$36,3,0),0))+
IF('ZD Vorerfassung'!$E$24="",0,IF(AND(B67&gt;='ZD Vorerfassung'!$C$24,B67&lt;='ZD Vorerfassung'!$D$24),HLOOKUP(TEXT(C67,"ttt"),'ZD Vorerfassung'!$H$21:$L$36,4,0),0))+
IF('ZD Vorerfassung'!$E$25="",0,IF(AND(B67&gt;='ZD Vorerfassung'!$C$25,B67&lt;='ZD Vorerfassung'!$D$25),HLOOKUP(TEXT(C67,"ttt"),'ZD Vorerfassung'!$H$21:$L$36,5,0),0))+
IF('ZD Vorerfassung'!$E$26="",0,IF(AND(B67&gt;='ZD Vorerfassung'!$C$26,B67&lt;='ZD Vorerfassung'!$D$26),HLOOKUP(TEXT(C67,"ttt"),'ZD Vorerfassung'!$H$21:$L$36,6,0),0))+
IF('ZD Vorerfassung'!$E$27="",0,IF(AND(B67&gt;='ZD Vorerfassung'!$C$27,B67&lt;='ZD Vorerfassung'!$D$27),HLOOKUP(TEXT(C67,"ttt"),'ZD Vorerfassung'!$H$21:$L$36,7,0),0))+
IF('ZD Vorerfassung'!$E$28="",0,IF(AND(B67&gt;='ZD Vorerfassung'!$C$28,B67&lt;='ZD Vorerfassung'!$D$28),HLOOKUP(TEXT(C67,"ttt"),'ZD Vorerfassung'!$H$21:$L$36,8,0),0))+
IF('ZD Vorerfassung'!$E$29="",0,IF(AND(B67&gt;='ZD Vorerfassung'!$C$29,B67&lt;='ZD Vorerfassung'!$D$29),HLOOKUP(TEXT(C67,"ttt"),'ZD Vorerfassung'!$H$21:$L$36,9,0),0))+
IF('ZD Vorerfassung'!$E$30="",0,IF(AND(B67&gt;='ZD Vorerfassung'!$C$30,B67&lt;='ZD Vorerfassung'!$D$30),HLOOKUP(TEXT(C67,"ttt"),'ZD Vorerfassung'!$H$21:$L$36,10,0),0))+
IF('ZD Vorerfassung'!$E$31="",0,IF(AND(B67&gt;='ZD Vorerfassung'!$C$31,B67&lt;='ZD Vorerfassung'!$D$31),HLOOKUP(TEXT(C67,"ttt"),'ZD Vorerfassung'!$H$21:$L$36,11,0),0))+
IF('ZD Vorerfassung'!$E$32="",0,IF(AND(B67&gt;='ZD Vorerfassung'!$C$32,B67&lt;='ZD Vorerfassung'!$D$32),HLOOKUP(TEXT(C67,"ttt"),'ZD Vorerfassung'!$H$21:$L$36,12,0),0))+
IF('ZD Vorerfassung'!$E$33="",0,IF(AND(B67&gt;='ZD Vorerfassung'!$C$33,B67&lt;='ZD Vorerfassung'!$D$33),HLOOKUP(TEXT(C67,"ttt"),'ZD Vorerfassung'!$H$21:$L$36,13,0),0))+
IF('ZD Vorerfassung'!$E$34="",0,IF(AND(B67&gt;='ZD Vorerfassung'!$C$34,B67&lt;='ZD Vorerfassung'!$D$34),HLOOKUP(TEXT(C67,"ttt"),'ZD Vorerfassung'!$H$21:$L$36,14,0),0))+
IF('ZD Vorerfassung'!$E$35="",0,IF(AND(B67&gt;='ZD Vorerfassung'!$C$35,B67&lt;='ZD Vorerfassung'!$D$35),HLOOKUP(TEXT(C67,"ttt"),'ZD Vorerfassung'!$H$21:$L$36,15,0),0))+
IF('ZD Vorerfassung'!$E$36="",0,IF(AND(B67&gt;='ZD Vorerfassung'!$C$36,B67&lt;='ZD Vorerfassung'!$D$36),HLOOKUP(TEXT(C67,"ttt"),'ZD Vorerfassung'!$H$21:$L$36,16,0),0)),"")</f>
        <v/>
      </c>
      <c r="AW67" s="110">
        <f t="array" ref="AW67">IF(OR(D67="UU",D67="FT",D67="WE"),0,
IF(D67="NR",SUM(IF(B67&gt;=_xlfn.NUMBERVALUE('ZD Vorerfassung'!$C$22:$C$36),1,0)*IF(B67&lt;=_xlfn.NUMBERVALUE('ZD Vorerfassung'!$D$22:$D$36),1,0)*'ZD Vorerfassung'!$Q$22:$Q$36),
IF(OR(D67="SF",D67="FH"),SUM(IF(B67&gt;=_xlfn.NUMBERVALUE('ZD Vorerfassung'!$C$22:$C$36),1,0)*IF(B67&lt;=_xlfn.NUMBERVALUE('ZD Vorerfassung'!$D$22:$D$36),1,0)*'ZD Vorerfassung'!$R$22:$R$36*IF(D67="FH",0.5,1)),
"prüfen")))</f>
        <v>0</v>
      </c>
      <c r="AX67" s="110">
        <f t="array" ref="AX67">IF(OR(D67="UU",D67="FT",D67="WE",E67="Ferien"),0,
IF(D67="NR",SUM(IF(B67&gt;=_xlfn.NUMBERVALUE('ZD Vorerfassung'!$C$22:$C$36),1,0)*IF(B67&lt;=_xlfn.NUMBERVALUE('ZD Vorerfassung'!$D$22:$D$36),1,0)*'ZD Vorerfassung'!$W$22:$W$36),
IF(OR(D67="SF",D67="FH"),SUM(IF(B67&gt;=_xlfn.NUMBERVALUE('ZD Vorerfassung'!$C$22:$C$36),1,0)*IF(B67&lt;=_xlfn.NUMBERVALUE('ZD Vorerfassung'!$D$22:$D$36),1,0)*'ZD Vorerfassung'!$X$22:$X$36*IF(D67="FH",0.5,1)),
"prüfen")))</f>
        <v>0</v>
      </c>
      <c r="AY67" s="110">
        <f t="array" ref="AY67">IF(OR(D67="UU",D67="FT",D67="WE",E67="Ferien"),0,
IF(D67="NR",SUM(IF(B67&gt;=_xlfn.NUMBERVALUE('ZD Vorerfassung'!$C$22:$C$36),1,0)*IF(B67&lt;=_xlfn.NUMBERVALUE('ZD Vorerfassung'!$D$22:$D$36),1,0)*'ZD Vorerfassung'!$U$22:$U$36),
IF(OR(D67="SF",D67="FH"),SUM(IF(B67&gt;=_xlfn.NUMBERVALUE('ZD Vorerfassung'!$C$22:$C$36),1,0)*IF(B67&lt;=_xlfn.NUMBERVALUE('ZD Vorerfassung'!$D$22:$D$36),1,0)*'ZD Vorerfassung'!$V$22:$V$36*IF(D67="FH",0.5,1)),
"prüfen")))</f>
        <v>0</v>
      </c>
      <c r="AZ67" s="110">
        <f t="array" ref="AZ67">IF(OR(D67="UU",D67="FT",D67="WE",E67="Ferien"),0,
IF(D67="NR",SUM(IF(B67&gt;=_xlfn.NUMBERVALUE('ZD Vorerfassung'!$C$22:$C$36),1,0)*IF(B67&lt;=_xlfn.NUMBERVALUE('ZD Vorerfassung'!$D$22:$D$36),1,0)*'ZD Vorerfassung'!$S$22:$S$36),
IF(OR(D67="SF",D67="FH"),SUM(IF(B67&gt;=_xlfn.NUMBERVALUE('ZD Vorerfassung'!$C$22:$C$36),1,0)*IF(B67&lt;=_xlfn.NUMBERVALUE('ZD Vorerfassung'!$D$22:$D$36),1,0)*'ZD Vorerfassung'!$T$22:$T$36*IF(D67="FH",0.5,1)),
"prüfen")))</f>
        <v>0</v>
      </c>
      <c r="BA67" s="112">
        <f t="shared" si="8"/>
        <v>9</v>
      </c>
    </row>
    <row r="68" spans="2:53" ht="19.5" thickTop="1" thickBot="1" x14ac:dyDescent="0.3">
      <c r="B68" s="99">
        <f t="shared" si="0"/>
        <v>44833</v>
      </c>
      <c r="C68" s="100">
        <f t="shared" si="9"/>
        <v>44833</v>
      </c>
      <c r="D68" s="101" t="str">
        <f t="shared" si="10"/>
        <v>SF</v>
      </c>
      <c r="E68" s="102" t="str">
        <f t="shared" si="2"/>
        <v>unterrichtsfreie Arbeitszeit</v>
      </c>
      <c r="F68" s="103" t="str">
        <f t="shared" si="11"/>
        <v/>
      </c>
      <c r="G68" s="104" t="str">
        <f t="shared" si="12"/>
        <v/>
      </c>
      <c r="H68" s="104">
        <f>IFERROR(IF('ZD Vorerfassung'!$E$11="manuell",SUM(I68),IF(OR(E68="Feiertag",E68="Wochenende"),0,IF('ZD Vorerfassung'!$E$11="automatisch",AX68,IF(D68="UU","UU",IF(E68=Param2,AX68/24,IF(E68=Param9,AX68/48,"")))))),0)</f>
        <v>0</v>
      </c>
      <c r="I68" s="105"/>
      <c r="J68" s="106">
        <f>IF('ZD Vorerfassung'!$E$12="manuell",SUM(K68:AI68),IF(OR(E68="Feiertag",E68="Wochenende"),0,IF('ZD Vorerfassung'!$E$12="automatisch",AY68,IF(D68="UU","UU",IF(E68=Param2,AY68/24,IF(E68=Param9,AY68/48,""))))))</f>
        <v>0</v>
      </c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  <c r="AE68" s="105"/>
      <c r="AF68" s="105"/>
      <c r="AG68" s="105"/>
      <c r="AH68" s="105"/>
      <c r="AI68" s="105"/>
      <c r="AJ68" s="107">
        <f t="shared" si="13"/>
        <v>0</v>
      </c>
      <c r="AK68" s="105"/>
      <c r="AL68" s="105"/>
      <c r="AM68" s="105"/>
      <c r="AN68" s="105"/>
      <c r="AO68" s="105"/>
      <c r="AP68" s="105"/>
      <c r="AQ68" s="108">
        <f t="shared" si="14"/>
        <v>0</v>
      </c>
      <c r="AR68" s="108">
        <f t="shared" si="15"/>
        <v>0</v>
      </c>
      <c r="AS68" s="109">
        <f t="shared" si="16"/>
        <v>0</v>
      </c>
      <c r="AU68" s="110">
        <f t="shared" si="7"/>
        <v>0</v>
      </c>
      <c r="AV68" s="111" t="str">
        <f>IF(D68="NR",
IF('ZD Vorerfassung'!$E$22="",0,IF(AND(B68&gt;='ZD Vorerfassung'!$C$22,B68&lt;='ZD Vorerfassung'!$D$22),HLOOKUP(TEXT(C68,"ttt"),'ZD Vorerfassung'!$H$21:$L$36,2,0),0))+
IF('ZD Vorerfassung'!$E$23="",0,IF(AND(B68&gt;='ZD Vorerfassung'!$C$23,B68&lt;='ZD Vorerfassung'!$D$23),HLOOKUP(TEXT(C68,"ttt"),'ZD Vorerfassung'!$H$21:$L$36,3,0),0))+
IF('ZD Vorerfassung'!$E$24="",0,IF(AND(B68&gt;='ZD Vorerfassung'!$C$24,B68&lt;='ZD Vorerfassung'!$D$24),HLOOKUP(TEXT(C68,"ttt"),'ZD Vorerfassung'!$H$21:$L$36,4,0),0))+
IF('ZD Vorerfassung'!$E$25="",0,IF(AND(B68&gt;='ZD Vorerfassung'!$C$25,B68&lt;='ZD Vorerfassung'!$D$25),HLOOKUP(TEXT(C68,"ttt"),'ZD Vorerfassung'!$H$21:$L$36,5,0),0))+
IF('ZD Vorerfassung'!$E$26="",0,IF(AND(B68&gt;='ZD Vorerfassung'!$C$26,B68&lt;='ZD Vorerfassung'!$D$26),HLOOKUP(TEXT(C68,"ttt"),'ZD Vorerfassung'!$H$21:$L$36,6,0),0))+
IF('ZD Vorerfassung'!$E$27="",0,IF(AND(B68&gt;='ZD Vorerfassung'!$C$27,B68&lt;='ZD Vorerfassung'!$D$27),HLOOKUP(TEXT(C68,"ttt"),'ZD Vorerfassung'!$H$21:$L$36,7,0),0))+
IF('ZD Vorerfassung'!$E$28="",0,IF(AND(B68&gt;='ZD Vorerfassung'!$C$28,B68&lt;='ZD Vorerfassung'!$D$28),HLOOKUP(TEXT(C68,"ttt"),'ZD Vorerfassung'!$H$21:$L$36,8,0),0))+
IF('ZD Vorerfassung'!$E$29="",0,IF(AND(B68&gt;='ZD Vorerfassung'!$C$29,B68&lt;='ZD Vorerfassung'!$D$29),HLOOKUP(TEXT(C68,"ttt"),'ZD Vorerfassung'!$H$21:$L$36,9,0),0))+
IF('ZD Vorerfassung'!$E$30="",0,IF(AND(B68&gt;='ZD Vorerfassung'!$C$30,B68&lt;='ZD Vorerfassung'!$D$30),HLOOKUP(TEXT(C68,"ttt"),'ZD Vorerfassung'!$H$21:$L$36,10,0),0))+
IF('ZD Vorerfassung'!$E$31="",0,IF(AND(B68&gt;='ZD Vorerfassung'!$C$31,B68&lt;='ZD Vorerfassung'!$D$31),HLOOKUP(TEXT(C68,"ttt"),'ZD Vorerfassung'!$H$21:$L$36,11,0),0))+
IF('ZD Vorerfassung'!$E$32="",0,IF(AND(B68&gt;='ZD Vorerfassung'!$C$32,B68&lt;='ZD Vorerfassung'!$D$32),HLOOKUP(TEXT(C68,"ttt"),'ZD Vorerfassung'!$H$21:$L$36,12,0),0))+
IF('ZD Vorerfassung'!$E$33="",0,IF(AND(B68&gt;='ZD Vorerfassung'!$C$33,B68&lt;='ZD Vorerfassung'!$D$33),HLOOKUP(TEXT(C68,"ttt"),'ZD Vorerfassung'!$H$21:$L$36,13,0),0))+
IF('ZD Vorerfassung'!$E$34="",0,IF(AND(B68&gt;='ZD Vorerfassung'!$C$34,B68&lt;='ZD Vorerfassung'!$D$34),HLOOKUP(TEXT(C68,"ttt"),'ZD Vorerfassung'!$H$21:$L$36,14,0),0))+
IF('ZD Vorerfassung'!$E$35="",0,IF(AND(B68&gt;='ZD Vorerfassung'!$C$35,B68&lt;='ZD Vorerfassung'!$D$35),HLOOKUP(TEXT(C68,"ttt"),'ZD Vorerfassung'!$H$21:$L$36,15,0),0))+
IF('ZD Vorerfassung'!$E$36="",0,IF(AND(B68&gt;='ZD Vorerfassung'!$C$36,B68&lt;='ZD Vorerfassung'!$D$36),HLOOKUP(TEXT(C68,"ttt"),'ZD Vorerfassung'!$H$21:$L$36,16,0),0)),"")</f>
        <v/>
      </c>
      <c r="AW68" s="110">
        <f t="array" ref="AW68">IF(OR(D68="UU",D68="FT",D68="WE"),0,
IF(D68="NR",SUM(IF(B68&gt;=_xlfn.NUMBERVALUE('ZD Vorerfassung'!$C$22:$C$36),1,0)*IF(B68&lt;=_xlfn.NUMBERVALUE('ZD Vorerfassung'!$D$22:$D$36),1,0)*'ZD Vorerfassung'!$Q$22:$Q$36),
IF(OR(D68="SF",D68="FH"),SUM(IF(B68&gt;=_xlfn.NUMBERVALUE('ZD Vorerfassung'!$C$22:$C$36),1,0)*IF(B68&lt;=_xlfn.NUMBERVALUE('ZD Vorerfassung'!$D$22:$D$36),1,0)*'ZD Vorerfassung'!$R$22:$R$36*IF(D68="FH",0.5,1)),
"prüfen")))</f>
        <v>0</v>
      </c>
      <c r="AX68" s="110">
        <f t="array" ref="AX68">IF(OR(D68="UU",D68="FT",D68="WE",E68="Ferien"),0,
IF(D68="NR",SUM(IF(B68&gt;=_xlfn.NUMBERVALUE('ZD Vorerfassung'!$C$22:$C$36),1,0)*IF(B68&lt;=_xlfn.NUMBERVALUE('ZD Vorerfassung'!$D$22:$D$36),1,0)*'ZD Vorerfassung'!$W$22:$W$36),
IF(OR(D68="SF",D68="FH"),SUM(IF(B68&gt;=_xlfn.NUMBERVALUE('ZD Vorerfassung'!$C$22:$C$36),1,0)*IF(B68&lt;=_xlfn.NUMBERVALUE('ZD Vorerfassung'!$D$22:$D$36),1,0)*'ZD Vorerfassung'!$X$22:$X$36*IF(D68="FH",0.5,1)),
"prüfen")))</f>
        <v>0</v>
      </c>
      <c r="AY68" s="110">
        <f t="array" ref="AY68">IF(OR(D68="UU",D68="FT",D68="WE",E68="Ferien"),0,
IF(D68="NR",SUM(IF(B68&gt;=_xlfn.NUMBERVALUE('ZD Vorerfassung'!$C$22:$C$36),1,0)*IF(B68&lt;=_xlfn.NUMBERVALUE('ZD Vorerfassung'!$D$22:$D$36),1,0)*'ZD Vorerfassung'!$U$22:$U$36),
IF(OR(D68="SF",D68="FH"),SUM(IF(B68&gt;=_xlfn.NUMBERVALUE('ZD Vorerfassung'!$C$22:$C$36),1,0)*IF(B68&lt;=_xlfn.NUMBERVALUE('ZD Vorerfassung'!$D$22:$D$36),1,0)*'ZD Vorerfassung'!$V$22:$V$36*IF(D68="FH",0.5,1)),
"prüfen")))</f>
        <v>0</v>
      </c>
      <c r="AZ68" s="110">
        <f t="array" ref="AZ68">IF(OR(D68="UU",D68="FT",D68="WE",E68="Ferien"),0,
IF(D68="NR",SUM(IF(B68&gt;=_xlfn.NUMBERVALUE('ZD Vorerfassung'!$C$22:$C$36),1,0)*IF(B68&lt;=_xlfn.NUMBERVALUE('ZD Vorerfassung'!$D$22:$D$36),1,0)*'ZD Vorerfassung'!$S$22:$S$36),
IF(OR(D68="SF",D68="FH"),SUM(IF(B68&gt;=_xlfn.NUMBERVALUE('ZD Vorerfassung'!$C$22:$C$36),1,0)*IF(B68&lt;=_xlfn.NUMBERVALUE('ZD Vorerfassung'!$D$22:$D$36),1,0)*'ZD Vorerfassung'!$T$22:$T$36*IF(D68="FH",0.5,1)),
"prüfen")))</f>
        <v>0</v>
      </c>
      <c r="BA68" s="112">
        <f t="shared" si="8"/>
        <v>9</v>
      </c>
    </row>
    <row r="69" spans="2:53" ht="19.5" thickTop="1" thickBot="1" x14ac:dyDescent="0.3">
      <c r="B69" s="99">
        <f t="shared" si="0"/>
        <v>44834</v>
      </c>
      <c r="C69" s="100">
        <f t="shared" si="9"/>
        <v>44834</v>
      </c>
      <c r="D69" s="101" t="str">
        <f t="shared" si="10"/>
        <v>SF</v>
      </c>
      <c r="E69" s="102" t="str">
        <f t="shared" si="2"/>
        <v>unterrichtsfreie Arbeitszeit</v>
      </c>
      <c r="F69" s="103" t="str">
        <f t="shared" si="11"/>
        <v/>
      </c>
      <c r="G69" s="104" t="str">
        <f t="shared" si="12"/>
        <v/>
      </c>
      <c r="H69" s="104">
        <f>IFERROR(IF('ZD Vorerfassung'!$E$11="manuell",SUM(I69),IF(OR(E69="Feiertag",E69="Wochenende"),0,IF('ZD Vorerfassung'!$E$11="automatisch",AX69,IF(D69="UU","UU",IF(E69=Param2,AX69/24,IF(E69=Param9,AX69/48,"")))))),0)</f>
        <v>0</v>
      </c>
      <c r="I69" s="105"/>
      <c r="J69" s="106">
        <f>IF('ZD Vorerfassung'!$E$12="manuell",SUM(K69:AI69),IF(OR(E69="Feiertag",E69="Wochenende"),0,IF('ZD Vorerfassung'!$E$12="automatisch",AY69,IF(D69="UU","UU",IF(E69=Param2,AY69/24,IF(E69=Param9,AY69/48,""))))))</f>
        <v>0</v>
      </c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5"/>
      <c r="AI69" s="105"/>
      <c r="AJ69" s="107">
        <f t="shared" si="13"/>
        <v>0</v>
      </c>
      <c r="AK69" s="105"/>
      <c r="AL69" s="105"/>
      <c r="AM69" s="105"/>
      <c r="AN69" s="105"/>
      <c r="AO69" s="105"/>
      <c r="AP69" s="105"/>
      <c r="AQ69" s="108">
        <f t="shared" si="14"/>
        <v>0</v>
      </c>
      <c r="AR69" s="108">
        <f t="shared" si="15"/>
        <v>0</v>
      </c>
      <c r="AS69" s="109">
        <f t="shared" si="16"/>
        <v>0</v>
      </c>
      <c r="AU69" s="110">
        <f t="shared" si="7"/>
        <v>0</v>
      </c>
      <c r="AV69" s="111" t="str">
        <f>IF(D69="NR",
IF('ZD Vorerfassung'!$E$22="",0,IF(AND(B69&gt;='ZD Vorerfassung'!$C$22,B69&lt;='ZD Vorerfassung'!$D$22),HLOOKUP(TEXT(C69,"ttt"),'ZD Vorerfassung'!$H$21:$L$36,2,0),0))+
IF('ZD Vorerfassung'!$E$23="",0,IF(AND(B69&gt;='ZD Vorerfassung'!$C$23,B69&lt;='ZD Vorerfassung'!$D$23),HLOOKUP(TEXT(C69,"ttt"),'ZD Vorerfassung'!$H$21:$L$36,3,0),0))+
IF('ZD Vorerfassung'!$E$24="",0,IF(AND(B69&gt;='ZD Vorerfassung'!$C$24,B69&lt;='ZD Vorerfassung'!$D$24),HLOOKUP(TEXT(C69,"ttt"),'ZD Vorerfassung'!$H$21:$L$36,4,0),0))+
IF('ZD Vorerfassung'!$E$25="",0,IF(AND(B69&gt;='ZD Vorerfassung'!$C$25,B69&lt;='ZD Vorerfassung'!$D$25),HLOOKUP(TEXT(C69,"ttt"),'ZD Vorerfassung'!$H$21:$L$36,5,0),0))+
IF('ZD Vorerfassung'!$E$26="",0,IF(AND(B69&gt;='ZD Vorerfassung'!$C$26,B69&lt;='ZD Vorerfassung'!$D$26),HLOOKUP(TEXT(C69,"ttt"),'ZD Vorerfassung'!$H$21:$L$36,6,0),0))+
IF('ZD Vorerfassung'!$E$27="",0,IF(AND(B69&gt;='ZD Vorerfassung'!$C$27,B69&lt;='ZD Vorerfassung'!$D$27),HLOOKUP(TEXT(C69,"ttt"),'ZD Vorerfassung'!$H$21:$L$36,7,0),0))+
IF('ZD Vorerfassung'!$E$28="",0,IF(AND(B69&gt;='ZD Vorerfassung'!$C$28,B69&lt;='ZD Vorerfassung'!$D$28),HLOOKUP(TEXT(C69,"ttt"),'ZD Vorerfassung'!$H$21:$L$36,8,0),0))+
IF('ZD Vorerfassung'!$E$29="",0,IF(AND(B69&gt;='ZD Vorerfassung'!$C$29,B69&lt;='ZD Vorerfassung'!$D$29),HLOOKUP(TEXT(C69,"ttt"),'ZD Vorerfassung'!$H$21:$L$36,9,0),0))+
IF('ZD Vorerfassung'!$E$30="",0,IF(AND(B69&gt;='ZD Vorerfassung'!$C$30,B69&lt;='ZD Vorerfassung'!$D$30),HLOOKUP(TEXT(C69,"ttt"),'ZD Vorerfassung'!$H$21:$L$36,10,0),0))+
IF('ZD Vorerfassung'!$E$31="",0,IF(AND(B69&gt;='ZD Vorerfassung'!$C$31,B69&lt;='ZD Vorerfassung'!$D$31),HLOOKUP(TEXT(C69,"ttt"),'ZD Vorerfassung'!$H$21:$L$36,11,0),0))+
IF('ZD Vorerfassung'!$E$32="",0,IF(AND(B69&gt;='ZD Vorerfassung'!$C$32,B69&lt;='ZD Vorerfassung'!$D$32),HLOOKUP(TEXT(C69,"ttt"),'ZD Vorerfassung'!$H$21:$L$36,12,0),0))+
IF('ZD Vorerfassung'!$E$33="",0,IF(AND(B69&gt;='ZD Vorerfassung'!$C$33,B69&lt;='ZD Vorerfassung'!$D$33),HLOOKUP(TEXT(C69,"ttt"),'ZD Vorerfassung'!$H$21:$L$36,13,0),0))+
IF('ZD Vorerfassung'!$E$34="",0,IF(AND(B69&gt;='ZD Vorerfassung'!$C$34,B69&lt;='ZD Vorerfassung'!$D$34),HLOOKUP(TEXT(C69,"ttt"),'ZD Vorerfassung'!$H$21:$L$36,14,0),0))+
IF('ZD Vorerfassung'!$E$35="",0,IF(AND(B69&gt;='ZD Vorerfassung'!$C$35,B69&lt;='ZD Vorerfassung'!$D$35),HLOOKUP(TEXT(C69,"ttt"),'ZD Vorerfassung'!$H$21:$L$36,15,0),0))+
IF('ZD Vorerfassung'!$E$36="",0,IF(AND(B69&gt;='ZD Vorerfassung'!$C$36,B69&lt;='ZD Vorerfassung'!$D$36),HLOOKUP(TEXT(C69,"ttt"),'ZD Vorerfassung'!$H$21:$L$36,16,0),0)),"")</f>
        <v/>
      </c>
      <c r="AW69" s="110">
        <f t="array" ref="AW69">IF(OR(D69="UU",D69="FT",D69="WE"),0,
IF(D69="NR",SUM(IF(B69&gt;=_xlfn.NUMBERVALUE('ZD Vorerfassung'!$C$22:$C$36),1,0)*IF(B69&lt;=_xlfn.NUMBERVALUE('ZD Vorerfassung'!$D$22:$D$36),1,0)*'ZD Vorerfassung'!$Q$22:$Q$36),
IF(OR(D69="SF",D69="FH"),SUM(IF(B69&gt;=_xlfn.NUMBERVALUE('ZD Vorerfassung'!$C$22:$C$36),1,0)*IF(B69&lt;=_xlfn.NUMBERVALUE('ZD Vorerfassung'!$D$22:$D$36),1,0)*'ZD Vorerfassung'!$R$22:$R$36*IF(D69="FH",0.5,1)),
"prüfen")))</f>
        <v>0</v>
      </c>
      <c r="AX69" s="110">
        <f t="array" ref="AX69">IF(OR(D69="UU",D69="FT",D69="WE",E69="Ferien"),0,
IF(D69="NR",SUM(IF(B69&gt;=_xlfn.NUMBERVALUE('ZD Vorerfassung'!$C$22:$C$36),1,0)*IF(B69&lt;=_xlfn.NUMBERVALUE('ZD Vorerfassung'!$D$22:$D$36),1,0)*'ZD Vorerfassung'!$W$22:$W$36),
IF(OR(D69="SF",D69="FH"),SUM(IF(B69&gt;=_xlfn.NUMBERVALUE('ZD Vorerfassung'!$C$22:$C$36),1,0)*IF(B69&lt;=_xlfn.NUMBERVALUE('ZD Vorerfassung'!$D$22:$D$36),1,0)*'ZD Vorerfassung'!$X$22:$X$36*IF(D69="FH",0.5,1)),
"prüfen")))</f>
        <v>0</v>
      </c>
      <c r="AY69" s="110">
        <f t="array" ref="AY69">IF(OR(D69="UU",D69="FT",D69="WE",E69="Ferien"),0,
IF(D69="NR",SUM(IF(B69&gt;=_xlfn.NUMBERVALUE('ZD Vorerfassung'!$C$22:$C$36),1,0)*IF(B69&lt;=_xlfn.NUMBERVALUE('ZD Vorerfassung'!$D$22:$D$36),1,0)*'ZD Vorerfassung'!$U$22:$U$36),
IF(OR(D69="SF",D69="FH"),SUM(IF(B69&gt;=_xlfn.NUMBERVALUE('ZD Vorerfassung'!$C$22:$C$36),1,0)*IF(B69&lt;=_xlfn.NUMBERVALUE('ZD Vorerfassung'!$D$22:$D$36),1,0)*'ZD Vorerfassung'!$V$22:$V$36*IF(D69="FH",0.5,1)),
"prüfen")))</f>
        <v>0</v>
      </c>
      <c r="AZ69" s="110">
        <f t="array" ref="AZ69">IF(OR(D69="UU",D69="FT",D69="WE",E69="Ferien"),0,
IF(D69="NR",SUM(IF(B69&gt;=_xlfn.NUMBERVALUE('ZD Vorerfassung'!$C$22:$C$36),1,0)*IF(B69&lt;=_xlfn.NUMBERVALUE('ZD Vorerfassung'!$D$22:$D$36),1,0)*'ZD Vorerfassung'!$S$22:$S$36),
IF(OR(D69="SF",D69="FH"),SUM(IF(B69&gt;=_xlfn.NUMBERVALUE('ZD Vorerfassung'!$C$22:$C$36),1,0)*IF(B69&lt;=_xlfn.NUMBERVALUE('ZD Vorerfassung'!$D$22:$D$36),1,0)*'ZD Vorerfassung'!$T$22:$T$36*IF(D69="FH",0.5,1)),
"prüfen")))</f>
        <v>0</v>
      </c>
      <c r="BA69" s="112">
        <f t="shared" si="8"/>
        <v>10</v>
      </c>
    </row>
    <row r="70" spans="2:53" ht="19.5" thickTop="1" thickBot="1" x14ac:dyDescent="0.3">
      <c r="B70" s="99">
        <f t="shared" si="0"/>
        <v>44835</v>
      </c>
      <c r="C70" s="100">
        <f t="shared" si="9"/>
        <v>44835</v>
      </c>
      <c r="D70" s="101" t="str">
        <f t="shared" si="10"/>
        <v>SF</v>
      </c>
      <c r="E70" s="102" t="str">
        <f t="shared" si="2"/>
        <v>unterrichtsfreie Arbeitszeit</v>
      </c>
      <c r="F70" s="103" t="str">
        <f t="shared" si="11"/>
        <v/>
      </c>
      <c r="G70" s="104" t="str">
        <f t="shared" si="12"/>
        <v/>
      </c>
      <c r="H70" s="104">
        <f>IFERROR(IF('ZD Vorerfassung'!$E$11="manuell",SUM(I70),IF(OR(E70="Feiertag",E70="Wochenende"),0,IF('ZD Vorerfassung'!$E$11="automatisch",AX70,IF(D70="UU","UU",IF(E70=Param2,AX70/24,IF(E70=Param9,AX70/48,"")))))),0)</f>
        <v>0</v>
      </c>
      <c r="I70" s="105"/>
      <c r="J70" s="106">
        <f>IF('ZD Vorerfassung'!$E$12="manuell",SUM(K70:AI70),IF(OR(E70="Feiertag",E70="Wochenende"),0,IF('ZD Vorerfassung'!$E$12="automatisch",AY70,IF(D70="UU","UU",IF(E70=Param2,AY70/24,IF(E70=Param9,AY70/48,""))))))</f>
        <v>0</v>
      </c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5"/>
      <c r="AD70" s="105"/>
      <c r="AE70" s="105"/>
      <c r="AF70" s="105"/>
      <c r="AG70" s="105"/>
      <c r="AH70" s="105"/>
      <c r="AI70" s="105"/>
      <c r="AJ70" s="107">
        <f t="shared" si="13"/>
        <v>0</v>
      </c>
      <c r="AK70" s="105"/>
      <c r="AL70" s="105"/>
      <c r="AM70" s="105"/>
      <c r="AN70" s="105"/>
      <c r="AO70" s="105"/>
      <c r="AP70" s="105"/>
      <c r="AQ70" s="108">
        <f t="shared" si="14"/>
        <v>0</v>
      </c>
      <c r="AR70" s="108">
        <f t="shared" si="15"/>
        <v>0</v>
      </c>
      <c r="AS70" s="109">
        <f t="shared" si="16"/>
        <v>0</v>
      </c>
      <c r="AU70" s="110">
        <f t="shared" si="7"/>
        <v>0</v>
      </c>
      <c r="AV70" s="111" t="str">
        <f>IF(D70="NR",
IF('ZD Vorerfassung'!$E$22="",0,IF(AND(B70&gt;='ZD Vorerfassung'!$C$22,B70&lt;='ZD Vorerfassung'!$D$22),HLOOKUP(TEXT(C70,"ttt"),'ZD Vorerfassung'!$H$21:$L$36,2,0),0))+
IF('ZD Vorerfassung'!$E$23="",0,IF(AND(B70&gt;='ZD Vorerfassung'!$C$23,B70&lt;='ZD Vorerfassung'!$D$23),HLOOKUP(TEXT(C70,"ttt"),'ZD Vorerfassung'!$H$21:$L$36,3,0),0))+
IF('ZD Vorerfassung'!$E$24="",0,IF(AND(B70&gt;='ZD Vorerfassung'!$C$24,B70&lt;='ZD Vorerfassung'!$D$24),HLOOKUP(TEXT(C70,"ttt"),'ZD Vorerfassung'!$H$21:$L$36,4,0),0))+
IF('ZD Vorerfassung'!$E$25="",0,IF(AND(B70&gt;='ZD Vorerfassung'!$C$25,B70&lt;='ZD Vorerfassung'!$D$25),HLOOKUP(TEXT(C70,"ttt"),'ZD Vorerfassung'!$H$21:$L$36,5,0),0))+
IF('ZD Vorerfassung'!$E$26="",0,IF(AND(B70&gt;='ZD Vorerfassung'!$C$26,B70&lt;='ZD Vorerfassung'!$D$26),HLOOKUP(TEXT(C70,"ttt"),'ZD Vorerfassung'!$H$21:$L$36,6,0),0))+
IF('ZD Vorerfassung'!$E$27="",0,IF(AND(B70&gt;='ZD Vorerfassung'!$C$27,B70&lt;='ZD Vorerfassung'!$D$27),HLOOKUP(TEXT(C70,"ttt"),'ZD Vorerfassung'!$H$21:$L$36,7,0),0))+
IF('ZD Vorerfassung'!$E$28="",0,IF(AND(B70&gt;='ZD Vorerfassung'!$C$28,B70&lt;='ZD Vorerfassung'!$D$28),HLOOKUP(TEXT(C70,"ttt"),'ZD Vorerfassung'!$H$21:$L$36,8,0),0))+
IF('ZD Vorerfassung'!$E$29="",0,IF(AND(B70&gt;='ZD Vorerfassung'!$C$29,B70&lt;='ZD Vorerfassung'!$D$29),HLOOKUP(TEXT(C70,"ttt"),'ZD Vorerfassung'!$H$21:$L$36,9,0),0))+
IF('ZD Vorerfassung'!$E$30="",0,IF(AND(B70&gt;='ZD Vorerfassung'!$C$30,B70&lt;='ZD Vorerfassung'!$D$30),HLOOKUP(TEXT(C70,"ttt"),'ZD Vorerfassung'!$H$21:$L$36,10,0),0))+
IF('ZD Vorerfassung'!$E$31="",0,IF(AND(B70&gt;='ZD Vorerfassung'!$C$31,B70&lt;='ZD Vorerfassung'!$D$31),HLOOKUP(TEXT(C70,"ttt"),'ZD Vorerfassung'!$H$21:$L$36,11,0),0))+
IF('ZD Vorerfassung'!$E$32="",0,IF(AND(B70&gt;='ZD Vorerfassung'!$C$32,B70&lt;='ZD Vorerfassung'!$D$32),HLOOKUP(TEXT(C70,"ttt"),'ZD Vorerfassung'!$H$21:$L$36,12,0),0))+
IF('ZD Vorerfassung'!$E$33="",0,IF(AND(B70&gt;='ZD Vorerfassung'!$C$33,B70&lt;='ZD Vorerfassung'!$D$33),HLOOKUP(TEXT(C70,"ttt"),'ZD Vorerfassung'!$H$21:$L$36,13,0),0))+
IF('ZD Vorerfassung'!$E$34="",0,IF(AND(B70&gt;='ZD Vorerfassung'!$C$34,B70&lt;='ZD Vorerfassung'!$D$34),HLOOKUP(TEXT(C70,"ttt"),'ZD Vorerfassung'!$H$21:$L$36,14,0),0))+
IF('ZD Vorerfassung'!$E$35="",0,IF(AND(B70&gt;='ZD Vorerfassung'!$C$35,B70&lt;='ZD Vorerfassung'!$D$35),HLOOKUP(TEXT(C70,"ttt"),'ZD Vorerfassung'!$H$21:$L$36,15,0),0))+
IF('ZD Vorerfassung'!$E$36="",0,IF(AND(B70&gt;='ZD Vorerfassung'!$C$36,B70&lt;='ZD Vorerfassung'!$D$36),HLOOKUP(TEXT(C70,"ttt"),'ZD Vorerfassung'!$H$21:$L$36,16,0),0)),"")</f>
        <v/>
      </c>
      <c r="AW70" s="110">
        <f t="array" ref="AW70">IF(OR(D70="UU",D70="FT",D70="WE"),0,
IF(D70="NR",SUM(IF(B70&gt;=_xlfn.NUMBERVALUE('ZD Vorerfassung'!$C$22:$C$36),1,0)*IF(B70&lt;=_xlfn.NUMBERVALUE('ZD Vorerfassung'!$D$22:$D$36),1,0)*'ZD Vorerfassung'!$Q$22:$Q$36),
IF(OR(D70="SF",D70="FH"),SUM(IF(B70&gt;=_xlfn.NUMBERVALUE('ZD Vorerfassung'!$C$22:$C$36),1,0)*IF(B70&lt;=_xlfn.NUMBERVALUE('ZD Vorerfassung'!$D$22:$D$36),1,0)*'ZD Vorerfassung'!$R$22:$R$36*IF(D70="FH",0.5,1)),
"prüfen")))</f>
        <v>0</v>
      </c>
      <c r="AX70" s="110">
        <f t="array" ref="AX70">IF(OR(D70="UU",D70="FT",D70="WE",E70="Ferien"),0,
IF(D70="NR",SUM(IF(B70&gt;=_xlfn.NUMBERVALUE('ZD Vorerfassung'!$C$22:$C$36),1,0)*IF(B70&lt;=_xlfn.NUMBERVALUE('ZD Vorerfassung'!$D$22:$D$36),1,0)*'ZD Vorerfassung'!$W$22:$W$36),
IF(OR(D70="SF",D70="FH"),SUM(IF(B70&gt;=_xlfn.NUMBERVALUE('ZD Vorerfassung'!$C$22:$C$36),1,0)*IF(B70&lt;=_xlfn.NUMBERVALUE('ZD Vorerfassung'!$D$22:$D$36),1,0)*'ZD Vorerfassung'!$X$22:$X$36*IF(D70="FH",0.5,1)),
"prüfen")))</f>
        <v>0</v>
      </c>
      <c r="AY70" s="110">
        <f t="array" ref="AY70">IF(OR(D70="UU",D70="FT",D70="WE",E70="Ferien"),0,
IF(D70="NR",SUM(IF(B70&gt;=_xlfn.NUMBERVALUE('ZD Vorerfassung'!$C$22:$C$36),1,0)*IF(B70&lt;=_xlfn.NUMBERVALUE('ZD Vorerfassung'!$D$22:$D$36),1,0)*'ZD Vorerfassung'!$U$22:$U$36),
IF(OR(D70="SF",D70="FH"),SUM(IF(B70&gt;=_xlfn.NUMBERVALUE('ZD Vorerfassung'!$C$22:$C$36),1,0)*IF(B70&lt;=_xlfn.NUMBERVALUE('ZD Vorerfassung'!$D$22:$D$36),1,0)*'ZD Vorerfassung'!$V$22:$V$36*IF(D70="FH",0.5,1)),
"prüfen")))</f>
        <v>0</v>
      </c>
      <c r="AZ70" s="110">
        <f t="array" ref="AZ70">IF(OR(D70="UU",D70="FT",D70="WE",E70="Ferien"),0,
IF(D70="NR",SUM(IF(B70&gt;=_xlfn.NUMBERVALUE('ZD Vorerfassung'!$C$22:$C$36),1,0)*IF(B70&lt;=_xlfn.NUMBERVALUE('ZD Vorerfassung'!$D$22:$D$36),1,0)*'ZD Vorerfassung'!$S$22:$S$36),
IF(OR(D70="SF",D70="FH"),SUM(IF(B70&gt;=_xlfn.NUMBERVALUE('ZD Vorerfassung'!$C$22:$C$36),1,0)*IF(B70&lt;=_xlfn.NUMBERVALUE('ZD Vorerfassung'!$D$22:$D$36),1,0)*'ZD Vorerfassung'!$T$22:$T$36*IF(D70="FH",0.5,1)),
"prüfen")))</f>
        <v>0</v>
      </c>
      <c r="BA70" s="112">
        <f t="shared" si="8"/>
        <v>10</v>
      </c>
    </row>
    <row r="71" spans="2:53" ht="19.5" thickTop="1" thickBot="1" x14ac:dyDescent="0.3">
      <c r="B71" s="99">
        <f t="shared" si="0"/>
        <v>44836</v>
      </c>
      <c r="C71" s="100">
        <f t="shared" si="9"/>
        <v>44836</v>
      </c>
      <c r="D71" s="101" t="str">
        <f t="shared" si="10"/>
        <v>WE</v>
      </c>
      <c r="E71" s="102" t="str">
        <f t="shared" si="2"/>
        <v>Wochenende</v>
      </c>
      <c r="F71" s="103" t="str">
        <f t="shared" si="11"/>
        <v/>
      </c>
      <c r="G71" s="104" t="str">
        <f t="shared" si="12"/>
        <v/>
      </c>
      <c r="H71" s="104">
        <f>IFERROR(IF('ZD Vorerfassung'!$E$11="manuell",SUM(I71),IF(OR(E71="Feiertag",E71="Wochenende"),0,IF('ZD Vorerfassung'!$E$11="automatisch",AX71,IF(D71="UU","UU",IF(E71=Param2,AX71/24,IF(E71=Param9,AX71/48,"")))))),0)</f>
        <v>0</v>
      </c>
      <c r="I71" s="105"/>
      <c r="J71" s="106">
        <f>IF('ZD Vorerfassung'!$E$12="manuell",SUM(K71:AI71),IF(OR(E71="Feiertag",E71="Wochenende"),0,IF('ZD Vorerfassung'!$E$12="automatisch",AY71,IF(D71="UU","UU",IF(E71=Param2,AY71/24,IF(E71=Param9,AY71/48,""))))))</f>
        <v>0</v>
      </c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5"/>
      <c r="AI71" s="105"/>
      <c r="AJ71" s="107">
        <f t="shared" si="13"/>
        <v>0</v>
      </c>
      <c r="AK71" s="105"/>
      <c r="AL71" s="105"/>
      <c r="AM71" s="105"/>
      <c r="AN71" s="105"/>
      <c r="AO71" s="105"/>
      <c r="AP71" s="105"/>
      <c r="AQ71" s="108">
        <f t="shared" si="14"/>
        <v>0</v>
      </c>
      <c r="AR71" s="108">
        <f t="shared" si="15"/>
        <v>0</v>
      </c>
      <c r="AS71" s="109">
        <f t="shared" si="16"/>
        <v>0</v>
      </c>
      <c r="AU71" s="110">
        <f t="shared" si="7"/>
        <v>0</v>
      </c>
      <c r="AV71" s="111" t="str">
        <f>IF(D71="NR",
IF('ZD Vorerfassung'!$E$22="",0,IF(AND(B71&gt;='ZD Vorerfassung'!$C$22,B71&lt;='ZD Vorerfassung'!$D$22),HLOOKUP(TEXT(C71,"ttt"),'ZD Vorerfassung'!$H$21:$L$36,2,0),0))+
IF('ZD Vorerfassung'!$E$23="",0,IF(AND(B71&gt;='ZD Vorerfassung'!$C$23,B71&lt;='ZD Vorerfassung'!$D$23),HLOOKUP(TEXT(C71,"ttt"),'ZD Vorerfassung'!$H$21:$L$36,3,0),0))+
IF('ZD Vorerfassung'!$E$24="",0,IF(AND(B71&gt;='ZD Vorerfassung'!$C$24,B71&lt;='ZD Vorerfassung'!$D$24),HLOOKUP(TEXT(C71,"ttt"),'ZD Vorerfassung'!$H$21:$L$36,4,0),0))+
IF('ZD Vorerfassung'!$E$25="",0,IF(AND(B71&gt;='ZD Vorerfassung'!$C$25,B71&lt;='ZD Vorerfassung'!$D$25),HLOOKUP(TEXT(C71,"ttt"),'ZD Vorerfassung'!$H$21:$L$36,5,0),0))+
IF('ZD Vorerfassung'!$E$26="",0,IF(AND(B71&gt;='ZD Vorerfassung'!$C$26,B71&lt;='ZD Vorerfassung'!$D$26),HLOOKUP(TEXT(C71,"ttt"),'ZD Vorerfassung'!$H$21:$L$36,6,0),0))+
IF('ZD Vorerfassung'!$E$27="",0,IF(AND(B71&gt;='ZD Vorerfassung'!$C$27,B71&lt;='ZD Vorerfassung'!$D$27),HLOOKUP(TEXT(C71,"ttt"),'ZD Vorerfassung'!$H$21:$L$36,7,0),0))+
IF('ZD Vorerfassung'!$E$28="",0,IF(AND(B71&gt;='ZD Vorerfassung'!$C$28,B71&lt;='ZD Vorerfassung'!$D$28),HLOOKUP(TEXT(C71,"ttt"),'ZD Vorerfassung'!$H$21:$L$36,8,0),0))+
IF('ZD Vorerfassung'!$E$29="",0,IF(AND(B71&gt;='ZD Vorerfassung'!$C$29,B71&lt;='ZD Vorerfassung'!$D$29),HLOOKUP(TEXT(C71,"ttt"),'ZD Vorerfassung'!$H$21:$L$36,9,0),0))+
IF('ZD Vorerfassung'!$E$30="",0,IF(AND(B71&gt;='ZD Vorerfassung'!$C$30,B71&lt;='ZD Vorerfassung'!$D$30),HLOOKUP(TEXT(C71,"ttt"),'ZD Vorerfassung'!$H$21:$L$36,10,0),0))+
IF('ZD Vorerfassung'!$E$31="",0,IF(AND(B71&gt;='ZD Vorerfassung'!$C$31,B71&lt;='ZD Vorerfassung'!$D$31),HLOOKUP(TEXT(C71,"ttt"),'ZD Vorerfassung'!$H$21:$L$36,11,0),0))+
IF('ZD Vorerfassung'!$E$32="",0,IF(AND(B71&gt;='ZD Vorerfassung'!$C$32,B71&lt;='ZD Vorerfassung'!$D$32),HLOOKUP(TEXT(C71,"ttt"),'ZD Vorerfassung'!$H$21:$L$36,12,0),0))+
IF('ZD Vorerfassung'!$E$33="",0,IF(AND(B71&gt;='ZD Vorerfassung'!$C$33,B71&lt;='ZD Vorerfassung'!$D$33),HLOOKUP(TEXT(C71,"ttt"),'ZD Vorerfassung'!$H$21:$L$36,13,0),0))+
IF('ZD Vorerfassung'!$E$34="",0,IF(AND(B71&gt;='ZD Vorerfassung'!$C$34,B71&lt;='ZD Vorerfassung'!$D$34),HLOOKUP(TEXT(C71,"ttt"),'ZD Vorerfassung'!$H$21:$L$36,14,0),0))+
IF('ZD Vorerfassung'!$E$35="",0,IF(AND(B71&gt;='ZD Vorerfassung'!$C$35,B71&lt;='ZD Vorerfassung'!$D$35),HLOOKUP(TEXT(C71,"ttt"),'ZD Vorerfassung'!$H$21:$L$36,15,0),0))+
IF('ZD Vorerfassung'!$E$36="",0,IF(AND(B71&gt;='ZD Vorerfassung'!$C$36,B71&lt;='ZD Vorerfassung'!$D$36),HLOOKUP(TEXT(C71,"ttt"),'ZD Vorerfassung'!$H$21:$L$36,16,0),0)),"")</f>
        <v/>
      </c>
      <c r="AW71" s="110">
        <f t="array" ref="AW71">IF(OR(D71="UU",D71="FT",D71="WE"),0,
IF(D71="NR",SUM(IF(B71&gt;=_xlfn.NUMBERVALUE('ZD Vorerfassung'!$C$22:$C$36),1,0)*IF(B71&lt;=_xlfn.NUMBERVALUE('ZD Vorerfassung'!$D$22:$D$36),1,0)*'ZD Vorerfassung'!$Q$22:$Q$36),
IF(OR(D71="SF",D71="FH"),SUM(IF(B71&gt;=_xlfn.NUMBERVALUE('ZD Vorerfassung'!$C$22:$C$36),1,0)*IF(B71&lt;=_xlfn.NUMBERVALUE('ZD Vorerfassung'!$D$22:$D$36),1,0)*'ZD Vorerfassung'!$R$22:$R$36*IF(D71="FH",0.5,1)),
"prüfen")))</f>
        <v>0</v>
      </c>
      <c r="AX71" s="110">
        <f t="array" ref="AX71">IF(OR(D71="UU",D71="FT",D71="WE",E71="Ferien"),0,
IF(D71="NR",SUM(IF(B71&gt;=_xlfn.NUMBERVALUE('ZD Vorerfassung'!$C$22:$C$36),1,0)*IF(B71&lt;=_xlfn.NUMBERVALUE('ZD Vorerfassung'!$D$22:$D$36),1,0)*'ZD Vorerfassung'!$W$22:$W$36),
IF(OR(D71="SF",D71="FH"),SUM(IF(B71&gt;=_xlfn.NUMBERVALUE('ZD Vorerfassung'!$C$22:$C$36),1,0)*IF(B71&lt;=_xlfn.NUMBERVALUE('ZD Vorerfassung'!$D$22:$D$36),1,0)*'ZD Vorerfassung'!$X$22:$X$36*IF(D71="FH",0.5,1)),
"prüfen")))</f>
        <v>0</v>
      </c>
      <c r="AY71" s="110">
        <f t="array" ref="AY71">IF(OR(D71="UU",D71="FT",D71="WE",E71="Ferien"),0,
IF(D71="NR",SUM(IF(B71&gt;=_xlfn.NUMBERVALUE('ZD Vorerfassung'!$C$22:$C$36),1,0)*IF(B71&lt;=_xlfn.NUMBERVALUE('ZD Vorerfassung'!$D$22:$D$36),1,0)*'ZD Vorerfassung'!$U$22:$U$36),
IF(OR(D71="SF",D71="FH"),SUM(IF(B71&gt;=_xlfn.NUMBERVALUE('ZD Vorerfassung'!$C$22:$C$36),1,0)*IF(B71&lt;=_xlfn.NUMBERVALUE('ZD Vorerfassung'!$D$22:$D$36),1,0)*'ZD Vorerfassung'!$V$22:$V$36*IF(D71="FH",0.5,1)),
"prüfen")))</f>
        <v>0</v>
      </c>
      <c r="AZ71" s="110">
        <f t="array" ref="AZ71">IF(OR(D71="UU",D71="FT",D71="WE",E71="Ferien"),0,
IF(D71="NR",SUM(IF(B71&gt;=_xlfn.NUMBERVALUE('ZD Vorerfassung'!$C$22:$C$36),1,0)*IF(B71&lt;=_xlfn.NUMBERVALUE('ZD Vorerfassung'!$D$22:$D$36),1,0)*'ZD Vorerfassung'!$S$22:$S$36),
IF(OR(D71="SF",D71="FH"),SUM(IF(B71&gt;=_xlfn.NUMBERVALUE('ZD Vorerfassung'!$C$22:$C$36),1,0)*IF(B71&lt;=_xlfn.NUMBERVALUE('ZD Vorerfassung'!$D$22:$D$36),1,0)*'ZD Vorerfassung'!$T$22:$T$36*IF(D71="FH",0.5,1)),
"prüfen")))</f>
        <v>0</v>
      </c>
      <c r="BA71" s="112">
        <f t="shared" si="8"/>
        <v>10</v>
      </c>
    </row>
    <row r="72" spans="2:53" ht="19.5" thickTop="1" thickBot="1" x14ac:dyDescent="0.3">
      <c r="B72" s="99">
        <f t="shared" ref="B72:B135" si="17">IF(B71="Datum",DATE(LEFT(Schuljahr,4),8,1),B71+1)</f>
        <v>44837</v>
      </c>
      <c r="C72" s="100">
        <f t="shared" si="9"/>
        <v>44837</v>
      </c>
      <c r="D72" s="101" t="str">
        <f t="shared" si="10"/>
        <v>WE</v>
      </c>
      <c r="E72" s="102" t="str">
        <f t="shared" ref="E72:E135" si="18">IF(D72="FT",Param8,
IF(D72="FH",Param9,
IF(D72="WE",Param7,
IF(D72="SF",Param2,
IF(D72="NR",Param1,
IF(D72="UU",Param10,
""))))))</f>
        <v>Wochenende</v>
      </c>
      <c r="F72" s="103" t="str">
        <f t="shared" si="11"/>
        <v/>
      </c>
      <c r="G72" s="104" t="str">
        <f t="shared" si="12"/>
        <v/>
      </c>
      <c r="H72" s="104">
        <f>IFERROR(IF('ZD Vorerfassung'!$E$11="manuell",SUM(I72),IF(OR(E72="Feiertag",E72="Wochenende"),0,IF('ZD Vorerfassung'!$E$11="automatisch",AX72,IF(D72="UU","UU",IF(E72=Param2,AX72/24,IF(E72=Param9,AX72/48,"")))))),0)</f>
        <v>0</v>
      </c>
      <c r="I72" s="105"/>
      <c r="J72" s="106">
        <f>IF('ZD Vorerfassung'!$E$12="manuell",SUM(K72:AI72),IF(OR(E72="Feiertag",E72="Wochenende"),0,IF('ZD Vorerfassung'!$E$12="automatisch",AY72,IF(D72="UU","UU",IF(E72=Param2,AY72/24,IF(E72=Param9,AY72/48,""))))))</f>
        <v>0</v>
      </c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5"/>
      <c r="Z72" s="105"/>
      <c r="AA72" s="105"/>
      <c r="AB72" s="105"/>
      <c r="AC72" s="105"/>
      <c r="AD72" s="105"/>
      <c r="AE72" s="105"/>
      <c r="AF72" s="105"/>
      <c r="AG72" s="105"/>
      <c r="AH72" s="105"/>
      <c r="AI72" s="105"/>
      <c r="AJ72" s="107">
        <f t="shared" si="13"/>
        <v>0</v>
      </c>
      <c r="AK72" s="105"/>
      <c r="AL72" s="105"/>
      <c r="AM72" s="105"/>
      <c r="AN72" s="105"/>
      <c r="AO72" s="105"/>
      <c r="AP72" s="105"/>
      <c r="AQ72" s="108">
        <f t="shared" si="14"/>
        <v>0</v>
      </c>
      <c r="AR72" s="108">
        <f t="shared" si="15"/>
        <v>0</v>
      </c>
      <c r="AS72" s="109">
        <f t="shared" si="16"/>
        <v>0</v>
      </c>
      <c r="AU72" s="110">
        <f t="shared" ref="AU72:AU135" si="19">SUM(AW72:AZ72)</f>
        <v>0</v>
      </c>
      <c r="AV72" s="111" t="str">
        <f>IF(D72="NR",
IF('ZD Vorerfassung'!$E$22="",0,IF(AND(B72&gt;='ZD Vorerfassung'!$C$22,B72&lt;='ZD Vorerfassung'!$D$22),HLOOKUP(TEXT(C72,"ttt"),'ZD Vorerfassung'!$H$21:$L$36,2,0),0))+
IF('ZD Vorerfassung'!$E$23="",0,IF(AND(B72&gt;='ZD Vorerfassung'!$C$23,B72&lt;='ZD Vorerfassung'!$D$23),HLOOKUP(TEXT(C72,"ttt"),'ZD Vorerfassung'!$H$21:$L$36,3,0),0))+
IF('ZD Vorerfassung'!$E$24="",0,IF(AND(B72&gt;='ZD Vorerfassung'!$C$24,B72&lt;='ZD Vorerfassung'!$D$24),HLOOKUP(TEXT(C72,"ttt"),'ZD Vorerfassung'!$H$21:$L$36,4,0),0))+
IF('ZD Vorerfassung'!$E$25="",0,IF(AND(B72&gt;='ZD Vorerfassung'!$C$25,B72&lt;='ZD Vorerfassung'!$D$25),HLOOKUP(TEXT(C72,"ttt"),'ZD Vorerfassung'!$H$21:$L$36,5,0),0))+
IF('ZD Vorerfassung'!$E$26="",0,IF(AND(B72&gt;='ZD Vorerfassung'!$C$26,B72&lt;='ZD Vorerfassung'!$D$26),HLOOKUP(TEXT(C72,"ttt"),'ZD Vorerfassung'!$H$21:$L$36,6,0),0))+
IF('ZD Vorerfassung'!$E$27="",0,IF(AND(B72&gt;='ZD Vorerfassung'!$C$27,B72&lt;='ZD Vorerfassung'!$D$27),HLOOKUP(TEXT(C72,"ttt"),'ZD Vorerfassung'!$H$21:$L$36,7,0),0))+
IF('ZD Vorerfassung'!$E$28="",0,IF(AND(B72&gt;='ZD Vorerfassung'!$C$28,B72&lt;='ZD Vorerfassung'!$D$28),HLOOKUP(TEXT(C72,"ttt"),'ZD Vorerfassung'!$H$21:$L$36,8,0),0))+
IF('ZD Vorerfassung'!$E$29="",0,IF(AND(B72&gt;='ZD Vorerfassung'!$C$29,B72&lt;='ZD Vorerfassung'!$D$29),HLOOKUP(TEXT(C72,"ttt"),'ZD Vorerfassung'!$H$21:$L$36,9,0),0))+
IF('ZD Vorerfassung'!$E$30="",0,IF(AND(B72&gt;='ZD Vorerfassung'!$C$30,B72&lt;='ZD Vorerfassung'!$D$30),HLOOKUP(TEXT(C72,"ttt"),'ZD Vorerfassung'!$H$21:$L$36,10,0),0))+
IF('ZD Vorerfassung'!$E$31="",0,IF(AND(B72&gt;='ZD Vorerfassung'!$C$31,B72&lt;='ZD Vorerfassung'!$D$31),HLOOKUP(TEXT(C72,"ttt"),'ZD Vorerfassung'!$H$21:$L$36,11,0),0))+
IF('ZD Vorerfassung'!$E$32="",0,IF(AND(B72&gt;='ZD Vorerfassung'!$C$32,B72&lt;='ZD Vorerfassung'!$D$32),HLOOKUP(TEXT(C72,"ttt"),'ZD Vorerfassung'!$H$21:$L$36,12,0),0))+
IF('ZD Vorerfassung'!$E$33="",0,IF(AND(B72&gt;='ZD Vorerfassung'!$C$33,B72&lt;='ZD Vorerfassung'!$D$33),HLOOKUP(TEXT(C72,"ttt"),'ZD Vorerfassung'!$H$21:$L$36,13,0),0))+
IF('ZD Vorerfassung'!$E$34="",0,IF(AND(B72&gt;='ZD Vorerfassung'!$C$34,B72&lt;='ZD Vorerfassung'!$D$34),HLOOKUP(TEXT(C72,"ttt"),'ZD Vorerfassung'!$H$21:$L$36,14,0),0))+
IF('ZD Vorerfassung'!$E$35="",0,IF(AND(B72&gt;='ZD Vorerfassung'!$C$35,B72&lt;='ZD Vorerfassung'!$D$35),HLOOKUP(TEXT(C72,"ttt"),'ZD Vorerfassung'!$H$21:$L$36,15,0),0))+
IF('ZD Vorerfassung'!$E$36="",0,IF(AND(B72&gt;='ZD Vorerfassung'!$C$36,B72&lt;='ZD Vorerfassung'!$D$36),HLOOKUP(TEXT(C72,"ttt"),'ZD Vorerfassung'!$H$21:$L$36,16,0),0)),"")</f>
        <v/>
      </c>
      <c r="AW72" s="110">
        <f t="array" ref="AW72">IF(OR(D72="UU",D72="FT",D72="WE"),0,
IF(D72="NR",SUM(IF(B72&gt;=_xlfn.NUMBERVALUE('ZD Vorerfassung'!$C$22:$C$36),1,0)*IF(B72&lt;=_xlfn.NUMBERVALUE('ZD Vorerfassung'!$D$22:$D$36),1,0)*'ZD Vorerfassung'!$Q$22:$Q$36),
IF(OR(D72="SF",D72="FH"),SUM(IF(B72&gt;=_xlfn.NUMBERVALUE('ZD Vorerfassung'!$C$22:$C$36),1,0)*IF(B72&lt;=_xlfn.NUMBERVALUE('ZD Vorerfassung'!$D$22:$D$36),1,0)*'ZD Vorerfassung'!$R$22:$R$36*IF(D72="FH",0.5,1)),
"prüfen")))</f>
        <v>0</v>
      </c>
      <c r="AX72" s="110">
        <f t="array" ref="AX72">IF(OR(D72="UU",D72="FT",D72="WE",E72="Ferien"),0,
IF(D72="NR",SUM(IF(B72&gt;=_xlfn.NUMBERVALUE('ZD Vorerfassung'!$C$22:$C$36),1,0)*IF(B72&lt;=_xlfn.NUMBERVALUE('ZD Vorerfassung'!$D$22:$D$36),1,0)*'ZD Vorerfassung'!$W$22:$W$36),
IF(OR(D72="SF",D72="FH"),SUM(IF(B72&gt;=_xlfn.NUMBERVALUE('ZD Vorerfassung'!$C$22:$C$36),1,0)*IF(B72&lt;=_xlfn.NUMBERVALUE('ZD Vorerfassung'!$D$22:$D$36),1,0)*'ZD Vorerfassung'!$X$22:$X$36*IF(D72="FH",0.5,1)),
"prüfen")))</f>
        <v>0</v>
      </c>
      <c r="AY72" s="110">
        <f t="array" ref="AY72">IF(OR(D72="UU",D72="FT",D72="WE",E72="Ferien"),0,
IF(D72="NR",SUM(IF(B72&gt;=_xlfn.NUMBERVALUE('ZD Vorerfassung'!$C$22:$C$36),1,0)*IF(B72&lt;=_xlfn.NUMBERVALUE('ZD Vorerfassung'!$D$22:$D$36),1,0)*'ZD Vorerfassung'!$U$22:$U$36),
IF(OR(D72="SF",D72="FH"),SUM(IF(B72&gt;=_xlfn.NUMBERVALUE('ZD Vorerfassung'!$C$22:$C$36),1,0)*IF(B72&lt;=_xlfn.NUMBERVALUE('ZD Vorerfassung'!$D$22:$D$36),1,0)*'ZD Vorerfassung'!$V$22:$V$36*IF(D72="FH",0.5,1)),
"prüfen")))</f>
        <v>0</v>
      </c>
      <c r="AZ72" s="110">
        <f t="array" ref="AZ72">IF(OR(D72="UU",D72="FT",D72="WE",E72="Ferien"),0,
IF(D72="NR",SUM(IF(B72&gt;=_xlfn.NUMBERVALUE('ZD Vorerfassung'!$C$22:$C$36),1,0)*IF(B72&lt;=_xlfn.NUMBERVALUE('ZD Vorerfassung'!$D$22:$D$36),1,0)*'ZD Vorerfassung'!$S$22:$S$36),
IF(OR(D72="SF",D72="FH"),SUM(IF(B72&gt;=_xlfn.NUMBERVALUE('ZD Vorerfassung'!$C$22:$C$36),1,0)*IF(B72&lt;=_xlfn.NUMBERVALUE('ZD Vorerfassung'!$D$22:$D$36),1,0)*'ZD Vorerfassung'!$T$22:$T$36*IF(D72="FH",0.5,1)),
"prüfen")))</f>
        <v>0</v>
      </c>
      <c r="BA72" s="112">
        <f t="shared" ref="BA72:BA135" si="20">MONTH(B72)</f>
        <v>10</v>
      </c>
    </row>
    <row r="73" spans="2:53" ht="19.5" thickTop="1" thickBot="1" x14ac:dyDescent="0.3">
      <c r="B73" s="99">
        <f t="shared" si="17"/>
        <v>44838</v>
      </c>
      <c r="C73" s="100">
        <f t="shared" ref="C73:C136" si="21">B73</f>
        <v>44838</v>
      </c>
      <c r="D73" s="101" t="str">
        <f t="shared" ref="D73:D136" si="22">IF(WEEKDAY(B73,2)&gt;5,"WE",IF(OR(AND(B73&gt;=UU1_start,B73&lt;=UU1_stop),AND(B73&gt;=UU2_start,B73&lt;=UU2_stop),AND(B73&gt;=UU3_start,B73&lt;=UU3_stop)),"UU",
IF(COUNTIF(Data_Feiertage,B73)&gt;0,"FT",
IF(COUNTIF(Data_Feiertage_halb,B73)&gt;0,"FH",
IF(COUNTIF(Data_Schulferien,B73)&gt;0,"SF",
"NR")))))</f>
        <v>SF</v>
      </c>
      <c r="E73" s="102" t="str">
        <f t="shared" si="18"/>
        <v>unterrichtsfreie Arbeitszeit</v>
      </c>
      <c r="F73" s="103" t="str">
        <f t="shared" ref="F73:F136" si="23">IF(E73=Param1,AV73,"")</f>
        <v/>
      </c>
      <c r="G73" s="104" t="str">
        <f t="shared" ref="G73:G136" si="24">IF(F73="","",F73*0.75*60/1440)</f>
        <v/>
      </c>
      <c r="H73" s="104">
        <f>IFERROR(IF('ZD Vorerfassung'!$E$11="manuell",SUM(I73),IF(OR(E73="Feiertag",E73="Wochenende"),0,IF('ZD Vorerfassung'!$E$11="automatisch",AX73,IF(D73="UU","UU",IF(E73=Param2,AX73/24,IF(E73=Param9,AX73/48,"")))))),0)</f>
        <v>0</v>
      </c>
      <c r="I73" s="105"/>
      <c r="J73" s="106">
        <f>IF('ZD Vorerfassung'!$E$12="manuell",SUM(K73:AI73),IF(OR(E73="Feiertag",E73="Wochenende"),0,IF('ZD Vorerfassung'!$E$12="automatisch",AY73,IF(D73="UU","UU",IF(E73=Param2,AY73/24,IF(E73=Param9,AY73/48,""))))))</f>
        <v>0</v>
      </c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5"/>
      <c r="AI73" s="105"/>
      <c r="AJ73" s="107">
        <f t="shared" ref="AJ73:AJ136" si="25">IF(VorsaldoFerien="manuell",SUM(AK73:AP73),IF(OR(E73="Feiertag",E73="Wochenende"),0,IF(VorsaldoFerien="automatisch",AZ73,IF(D73="UU","UU",IF(E73=Param2,AX73/24,IF(E73=Param9,AX73/48,""))))))</f>
        <v>0</v>
      </c>
      <c r="AK73" s="105"/>
      <c r="AL73" s="105"/>
      <c r="AM73" s="105"/>
      <c r="AN73" s="105"/>
      <c r="AO73" s="105"/>
      <c r="AP73" s="105"/>
      <c r="AQ73" s="108">
        <f t="shared" ref="AQ73:AQ136" si="26">IF(OR(D73="FT",D73="WE",D73="UU"),0,
IF(D73="FH",AU73/2,AU73))</f>
        <v>0</v>
      </c>
      <c r="AR73" s="108">
        <f t="shared" ref="AR73:AR136" si="27">IF(E73=Param1,SUM(G73,H73,J73,AJ73),
IF(OR(E73=Param2,E73=Param3,E73=Param7,E73=Param8,E73=Param9),SUM(G73,H73,J73,AJ73),
IF(OR(E73=Param4,E73=Param6),AQ73,
IF(OR(E73=Param5,E73=Param10),0,0))))</f>
        <v>0</v>
      </c>
      <c r="AS73" s="109">
        <f t="shared" ref="AS73:AS136" si="28">IF(AND(DAY(B73)=1,MONTH(B73)=8),0+AR73-AQ73,AS72+AR73-AQ73)</f>
        <v>0</v>
      </c>
      <c r="AU73" s="110">
        <f t="shared" si="19"/>
        <v>0</v>
      </c>
      <c r="AV73" s="111" t="str">
        <f>IF(D73="NR",
IF('ZD Vorerfassung'!$E$22="",0,IF(AND(B73&gt;='ZD Vorerfassung'!$C$22,B73&lt;='ZD Vorerfassung'!$D$22),HLOOKUP(TEXT(C73,"ttt"),'ZD Vorerfassung'!$H$21:$L$36,2,0),0))+
IF('ZD Vorerfassung'!$E$23="",0,IF(AND(B73&gt;='ZD Vorerfassung'!$C$23,B73&lt;='ZD Vorerfassung'!$D$23),HLOOKUP(TEXT(C73,"ttt"),'ZD Vorerfassung'!$H$21:$L$36,3,0),0))+
IF('ZD Vorerfassung'!$E$24="",0,IF(AND(B73&gt;='ZD Vorerfassung'!$C$24,B73&lt;='ZD Vorerfassung'!$D$24),HLOOKUP(TEXT(C73,"ttt"),'ZD Vorerfassung'!$H$21:$L$36,4,0),0))+
IF('ZD Vorerfassung'!$E$25="",0,IF(AND(B73&gt;='ZD Vorerfassung'!$C$25,B73&lt;='ZD Vorerfassung'!$D$25),HLOOKUP(TEXT(C73,"ttt"),'ZD Vorerfassung'!$H$21:$L$36,5,0),0))+
IF('ZD Vorerfassung'!$E$26="",0,IF(AND(B73&gt;='ZD Vorerfassung'!$C$26,B73&lt;='ZD Vorerfassung'!$D$26),HLOOKUP(TEXT(C73,"ttt"),'ZD Vorerfassung'!$H$21:$L$36,6,0),0))+
IF('ZD Vorerfassung'!$E$27="",0,IF(AND(B73&gt;='ZD Vorerfassung'!$C$27,B73&lt;='ZD Vorerfassung'!$D$27),HLOOKUP(TEXT(C73,"ttt"),'ZD Vorerfassung'!$H$21:$L$36,7,0),0))+
IF('ZD Vorerfassung'!$E$28="",0,IF(AND(B73&gt;='ZD Vorerfassung'!$C$28,B73&lt;='ZD Vorerfassung'!$D$28),HLOOKUP(TEXT(C73,"ttt"),'ZD Vorerfassung'!$H$21:$L$36,8,0),0))+
IF('ZD Vorerfassung'!$E$29="",0,IF(AND(B73&gt;='ZD Vorerfassung'!$C$29,B73&lt;='ZD Vorerfassung'!$D$29),HLOOKUP(TEXT(C73,"ttt"),'ZD Vorerfassung'!$H$21:$L$36,9,0),0))+
IF('ZD Vorerfassung'!$E$30="",0,IF(AND(B73&gt;='ZD Vorerfassung'!$C$30,B73&lt;='ZD Vorerfassung'!$D$30),HLOOKUP(TEXT(C73,"ttt"),'ZD Vorerfassung'!$H$21:$L$36,10,0),0))+
IF('ZD Vorerfassung'!$E$31="",0,IF(AND(B73&gt;='ZD Vorerfassung'!$C$31,B73&lt;='ZD Vorerfassung'!$D$31),HLOOKUP(TEXT(C73,"ttt"),'ZD Vorerfassung'!$H$21:$L$36,11,0),0))+
IF('ZD Vorerfassung'!$E$32="",0,IF(AND(B73&gt;='ZD Vorerfassung'!$C$32,B73&lt;='ZD Vorerfassung'!$D$32),HLOOKUP(TEXT(C73,"ttt"),'ZD Vorerfassung'!$H$21:$L$36,12,0),0))+
IF('ZD Vorerfassung'!$E$33="",0,IF(AND(B73&gt;='ZD Vorerfassung'!$C$33,B73&lt;='ZD Vorerfassung'!$D$33),HLOOKUP(TEXT(C73,"ttt"),'ZD Vorerfassung'!$H$21:$L$36,13,0),0))+
IF('ZD Vorerfassung'!$E$34="",0,IF(AND(B73&gt;='ZD Vorerfassung'!$C$34,B73&lt;='ZD Vorerfassung'!$D$34),HLOOKUP(TEXT(C73,"ttt"),'ZD Vorerfassung'!$H$21:$L$36,14,0),0))+
IF('ZD Vorerfassung'!$E$35="",0,IF(AND(B73&gt;='ZD Vorerfassung'!$C$35,B73&lt;='ZD Vorerfassung'!$D$35),HLOOKUP(TEXT(C73,"ttt"),'ZD Vorerfassung'!$H$21:$L$36,15,0),0))+
IF('ZD Vorerfassung'!$E$36="",0,IF(AND(B73&gt;='ZD Vorerfassung'!$C$36,B73&lt;='ZD Vorerfassung'!$D$36),HLOOKUP(TEXT(C73,"ttt"),'ZD Vorerfassung'!$H$21:$L$36,16,0),0)),"")</f>
        <v/>
      </c>
      <c r="AW73" s="110">
        <f t="array" ref="AW73">IF(OR(D73="UU",D73="FT",D73="WE"),0,
IF(D73="NR",SUM(IF(B73&gt;=_xlfn.NUMBERVALUE('ZD Vorerfassung'!$C$22:$C$36),1,0)*IF(B73&lt;=_xlfn.NUMBERVALUE('ZD Vorerfassung'!$D$22:$D$36),1,0)*'ZD Vorerfassung'!$Q$22:$Q$36),
IF(OR(D73="SF",D73="FH"),SUM(IF(B73&gt;=_xlfn.NUMBERVALUE('ZD Vorerfassung'!$C$22:$C$36),1,0)*IF(B73&lt;=_xlfn.NUMBERVALUE('ZD Vorerfassung'!$D$22:$D$36),1,0)*'ZD Vorerfassung'!$R$22:$R$36*IF(D73="FH",0.5,1)),
"prüfen")))</f>
        <v>0</v>
      </c>
      <c r="AX73" s="110">
        <f t="array" ref="AX73">IF(OR(D73="UU",D73="FT",D73="WE",E73="Ferien"),0,
IF(D73="NR",SUM(IF(B73&gt;=_xlfn.NUMBERVALUE('ZD Vorerfassung'!$C$22:$C$36),1,0)*IF(B73&lt;=_xlfn.NUMBERVALUE('ZD Vorerfassung'!$D$22:$D$36),1,0)*'ZD Vorerfassung'!$W$22:$W$36),
IF(OR(D73="SF",D73="FH"),SUM(IF(B73&gt;=_xlfn.NUMBERVALUE('ZD Vorerfassung'!$C$22:$C$36),1,0)*IF(B73&lt;=_xlfn.NUMBERVALUE('ZD Vorerfassung'!$D$22:$D$36),1,0)*'ZD Vorerfassung'!$X$22:$X$36*IF(D73="FH",0.5,1)),
"prüfen")))</f>
        <v>0</v>
      </c>
      <c r="AY73" s="110">
        <f t="array" ref="AY73">IF(OR(D73="UU",D73="FT",D73="WE",E73="Ferien"),0,
IF(D73="NR",SUM(IF(B73&gt;=_xlfn.NUMBERVALUE('ZD Vorerfassung'!$C$22:$C$36),1,0)*IF(B73&lt;=_xlfn.NUMBERVALUE('ZD Vorerfassung'!$D$22:$D$36),1,0)*'ZD Vorerfassung'!$U$22:$U$36),
IF(OR(D73="SF",D73="FH"),SUM(IF(B73&gt;=_xlfn.NUMBERVALUE('ZD Vorerfassung'!$C$22:$C$36),1,0)*IF(B73&lt;=_xlfn.NUMBERVALUE('ZD Vorerfassung'!$D$22:$D$36),1,0)*'ZD Vorerfassung'!$V$22:$V$36*IF(D73="FH",0.5,1)),
"prüfen")))</f>
        <v>0</v>
      </c>
      <c r="AZ73" s="110">
        <f t="array" ref="AZ73">IF(OR(D73="UU",D73="FT",D73="WE",E73="Ferien"),0,
IF(D73="NR",SUM(IF(B73&gt;=_xlfn.NUMBERVALUE('ZD Vorerfassung'!$C$22:$C$36),1,0)*IF(B73&lt;=_xlfn.NUMBERVALUE('ZD Vorerfassung'!$D$22:$D$36),1,0)*'ZD Vorerfassung'!$S$22:$S$36),
IF(OR(D73="SF",D73="FH"),SUM(IF(B73&gt;=_xlfn.NUMBERVALUE('ZD Vorerfassung'!$C$22:$C$36),1,0)*IF(B73&lt;=_xlfn.NUMBERVALUE('ZD Vorerfassung'!$D$22:$D$36),1,0)*'ZD Vorerfassung'!$T$22:$T$36*IF(D73="FH",0.5,1)),
"prüfen")))</f>
        <v>0</v>
      </c>
      <c r="BA73" s="112">
        <f t="shared" si="20"/>
        <v>10</v>
      </c>
    </row>
    <row r="74" spans="2:53" ht="19.5" thickTop="1" thickBot="1" x14ac:dyDescent="0.3">
      <c r="B74" s="99">
        <f t="shared" si="17"/>
        <v>44839</v>
      </c>
      <c r="C74" s="100">
        <f t="shared" si="21"/>
        <v>44839</v>
      </c>
      <c r="D74" s="101" t="str">
        <f t="shared" si="22"/>
        <v>SF</v>
      </c>
      <c r="E74" s="102" t="str">
        <f t="shared" si="18"/>
        <v>unterrichtsfreie Arbeitszeit</v>
      </c>
      <c r="F74" s="103" t="str">
        <f t="shared" si="23"/>
        <v/>
      </c>
      <c r="G74" s="104" t="str">
        <f t="shared" si="24"/>
        <v/>
      </c>
      <c r="H74" s="104">
        <f>IFERROR(IF('ZD Vorerfassung'!$E$11="manuell",SUM(I74),IF(OR(E74="Feiertag",E74="Wochenende"),0,IF('ZD Vorerfassung'!$E$11="automatisch",AX74,IF(D74="UU","UU",IF(E74=Param2,AX74/24,IF(E74=Param9,AX74/48,"")))))),0)</f>
        <v>0</v>
      </c>
      <c r="I74" s="105"/>
      <c r="J74" s="106">
        <f>IF('ZD Vorerfassung'!$E$12="manuell",SUM(K74:AI74),IF(OR(E74="Feiertag",E74="Wochenende"),0,IF('ZD Vorerfassung'!$E$12="automatisch",AY74,IF(D74="UU","UU",IF(E74=Param2,AY74/24,IF(E74=Param9,AY74/48,""))))))</f>
        <v>0</v>
      </c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  <c r="AA74" s="105"/>
      <c r="AB74" s="105"/>
      <c r="AC74" s="105"/>
      <c r="AD74" s="105"/>
      <c r="AE74" s="105"/>
      <c r="AF74" s="105"/>
      <c r="AG74" s="105"/>
      <c r="AH74" s="105"/>
      <c r="AI74" s="105"/>
      <c r="AJ74" s="107">
        <f t="shared" si="25"/>
        <v>0</v>
      </c>
      <c r="AK74" s="105"/>
      <c r="AL74" s="105"/>
      <c r="AM74" s="105"/>
      <c r="AN74" s="105"/>
      <c r="AO74" s="105"/>
      <c r="AP74" s="105"/>
      <c r="AQ74" s="108">
        <f t="shared" si="26"/>
        <v>0</v>
      </c>
      <c r="AR74" s="108">
        <f t="shared" si="27"/>
        <v>0</v>
      </c>
      <c r="AS74" s="109">
        <f t="shared" si="28"/>
        <v>0</v>
      </c>
      <c r="AU74" s="110">
        <f t="shared" si="19"/>
        <v>0</v>
      </c>
      <c r="AV74" s="111" t="str">
        <f>IF(D74="NR",
IF('ZD Vorerfassung'!$E$22="",0,IF(AND(B74&gt;='ZD Vorerfassung'!$C$22,B74&lt;='ZD Vorerfassung'!$D$22),HLOOKUP(TEXT(C74,"ttt"),'ZD Vorerfassung'!$H$21:$L$36,2,0),0))+
IF('ZD Vorerfassung'!$E$23="",0,IF(AND(B74&gt;='ZD Vorerfassung'!$C$23,B74&lt;='ZD Vorerfassung'!$D$23),HLOOKUP(TEXT(C74,"ttt"),'ZD Vorerfassung'!$H$21:$L$36,3,0),0))+
IF('ZD Vorerfassung'!$E$24="",0,IF(AND(B74&gt;='ZD Vorerfassung'!$C$24,B74&lt;='ZD Vorerfassung'!$D$24),HLOOKUP(TEXT(C74,"ttt"),'ZD Vorerfassung'!$H$21:$L$36,4,0),0))+
IF('ZD Vorerfassung'!$E$25="",0,IF(AND(B74&gt;='ZD Vorerfassung'!$C$25,B74&lt;='ZD Vorerfassung'!$D$25),HLOOKUP(TEXT(C74,"ttt"),'ZD Vorerfassung'!$H$21:$L$36,5,0),0))+
IF('ZD Vorerfassung'!$E$26="",0,IF(AND(B74&gt;='ZD Vorerfassung'!$C$26,B74&lt;='ZD Vorerfassung'!$D$26),HLOOKUP(TEXT(C74,"ttt"),'ZD Vorerfassung'!$H$21:$L$36,6,0),0))+
IF('ZD Vorerfassung'!$E$27="",0,IF(AND(B74&gt;='ZD Vorerfassung'!$C$27,B74&lt;='ZD Vorerfassung'!$D$27),HLOOKUP(TEXT(C74,"ttt"),'ZD Vorerfassung'!$H$21:$L$36,7,0),0))+
IF('ZD Vorerfassung'!$E$28="",0,IF(AND(B74&gt;='ZD Vorerfassung'!$C$28,B74&lt;='ZD Vorerfassung'!$D$28),HLOOKUP(TEXT(C74,"ttt"),'ZD Vorerfassung'!$H$21:$L$36,8,0),0))+
IF('ZD Vorerfassung'!$E$29="",0,IF(AND(B74&gt;='ZD Vorerfassung'!$C$29,B74&lt;='ZD Vorerfassung'!$D$29),HLOOKUP(TEXT(C74,"ttt"),'ZD Vorerfassung'!$H$21:$L$36,9,0),0))+
IF('ZD Vorerfassung'!$E$30="",0,IF(AND(B74&gt;='ZD Vorerfassung'!$C$30,B74&lt;='ZD Vorerfassung'!$D$30),HLOOKUP(TEXT(C74,"ttt"),'ZD Vorerfassung'!$H$21:$L$36,10,0),0))+
IF('ZD Vorerfassung'!$E$31="",0,IF(AND(B74&gt;='ZD Vorerfassung'!$C$31,B74&lt;='ZD Vorerfassung'!$D$31),HLOOKUP(TEXT(C74,"ttt"),'ZD Vorerfassung'!$H$21:$L$36,11,0),0))+
IF('ZD Vorerfassung'!$E$32="",0,IF(AND(B74&gt;='ZD Vorerfassung'!$C$32,B74&lt;='ZD Vorerfassung'!$D$32),HLOOKUP(TEXT(C74,"ttt"),'ZD Vorerfassung'!$H$21:$L$36,12,0),0))+
IF('ZD Vorerfassung'!$E$33="",0,IF(AND(B74&gt;='ZD Vorerfassung'!$C$33,B74&lt;='ZD Vorerfassung'!$D$33),HLOOKUP(TEXT(C74,"ttt"),'ZD Vorerfassung'!$H$21:$L$36,13,0),0))+
IF('ZD Vorerfassung'!$E$34="",0,IF(AND(B74&gt;='ZD Vorerfassung'!$C$34,B74&lt;='ZD Vorerfassung'!$D$34),HLOOKUP(TEXT(C74,"ttt"),'ZD Vorerfassung'!$H$21:$L$36,14,0),0))+
IF('ZD Vorerfassung'!$E$35="",0,IF(AND(B74&gt;='ZD Vorerfassung'!$C$35,B74&lt;='ZD Vorerfassung'!$D$35),HLOOKUP(TEXT(C74,"ttt"),'ZD Vorerfassung'!$H$21:$L$36,15,0),0))+
IF('ZD Vorerfassung'!$E$36="",0,IF(AND(B74&gt;='ZD Vorerfassung'!$C$36,B74&lt;='ZD Vorerfassung'!$D$36),HLOOKUP(TEXT(C74,"ttt"),'ZD Vorerfassung'!$H$21:$L$36,16,0),0)),"")</f>
        <v/>
      </c>
      <c r="AW74" s="110">
        <f t="array" ref="AW74">IF(OR(D74="UU",D74="FT",D74="WE"),0,
IF(D74="NR",SUM(IF(B74&gt;=_xlfn.NUMBERVALUE('ZD Vorerfassung'!$C$22:$C$36),1,0)*IF(B74&lt;=_xlfn.NUMBERVALUE('ZD Vorerfassung'!$D$22:$D$36),1,0)*'ZD Vorerfassung'!$Q$22:$Q$36),
IF(OR(D74="SF",D74="FH"),SUM(IF(B74&gt;=_xlfn.NUMBERVALUE('ZD Vorerfassung'!$C$22:$C$36),1,0)*IF(B74&lt;=_xlfn.NUMBERVALUE('ZD Vorerfassung'!$D$22:$D$36),1,0)*'ZD Vorerfassung'!$R$22:$R$36*IF(D74="FH",0.5,1)),
"prüfen")))</f>
        <v>0</v>
      </c>
      <c r="AX74" s="110">
        <f t="array" ref="AX74">IF(OR(D74="UU",D74="FT",D74="WE",E74="Ferien"),0,
IF(D74="NR",SUM(IF(B74&gt;=_xlfn.NUMBERVALUE('ZD Vorerfassung'!$C$22:$C$36),1,0)*IF(B74&lt;=_xlfn.NUMBERVALUE('ZD Vorerfassung'!$D$22:$D$36),1,0)*'ZD Vorerfassung'!$W$22:$W$36),
IF(OR(D74="SF",D74="FH"),SUM(IF(B74&gt;=_xlfn.NUMBERVALUE('ZD Vorerfassung'!$C$22:$C$36),1,0)*IF(B74&lt;=_xlfn.NUMBERVALUE('ZD Vorerfassung'!$D$22:$D$36),1,0)*'ZD Vorerfassung'!$X$22:$X$36*IF(D74="FH",0.5,1)),
"prüfen")))</f>
        <v>0</v>
      </c>
      <c r="AY74" s="110">
        <f t="array" ref="AY74">IF(OR(D74="UU",D74="FT",D74="WE",E74="Ferien"),0,
IF(D74="NR",SUM(IF(B74&gt;=_xlfn.NUMBERVALUE('ZD Vorerfassung'!$C$22:$C$36),1,0)*IF(B74&lt;=_xlfn.NUMBERVALUE('ZD Vorerfassung'!$D$22:$D$36),1,0)*'ZD Vorerfassung'!$U$22:$U$36),
IF(OR(D74="SF",D74="FH"),SUM(IF(B74&gt;=_xlfn.NUMBERVALUE('ZD Vorerfassung'!$C$22:$C$36),1,0)*IF(B74&lt;=_xlfn.NUMBERVALUE('ZD Vorerfassung'!$D$22:$D$36),1,0)*'ZD Vorerfassung'!$V$22:$V$36*IF(D74="FH",0.5,1)),
"prüfen")))</f>
        <v>0</v>
      </c>
      <c r="AZ74" s="110">
        <f t="array" ref="AZ74">IF(OR(D74="UU",D74="FT",D74="WE",E74="Ferien"),0,
IF(D74="NR",SUM(IF(B74&gt;=_xlfn.NUMBERVALUE('ZD Vorerfassung'!$C$22:$C$36),1,0)*IF(B74&lt;=_xlfn.NUMBERVALUE('ZD Vorerfassung'!$D$22:$D$36),1,0)*'ZD Vorerfassung'!$S$22:$S$36),
IF(OR(D74="SF",D74="FH"),SUM(IF(B74&gt;=_xlfn.NUMBERVALUE('ZD Vorerfassung'!$C$22:$C$36),1,0)*IF(B74&lt;=_xlfn.NUMBERVALUE('ZD Vorerfassung'!$D$22:$D$36),1,0)*'ZD Vorerfassung'!$T$22:$T$36*IF(D74="FH",0.5,1)),
"prüfen")))</f>
        <v>0</v>
      </c>
      <c r="BA74" s="112">
        <f t="shared" si="20"/>
        <v>10</v>
      </c>
    </row>
    <row r="75" spans="2:53" ht="19.5" thickTop="1" thickBot="1" x14ac:dyDescent="0.3">
      <c r="B75" s="99">
        <f t="shared" si="17"/>
        <v>44840</v>
      </c>
      <c r="C75" s="100">
        <f t="shared" si="21"/>
        <v>44840</v>
      </c>
      <c r="D75" s="101" t="str">
        <f t="shared" si="22"/>
        <v>SF</v>
      </c>
      <c r="E75" s="102" t="str">
        <f t="shared" si="18"/>
        <v>unterrichtsfreie Arbeitszeit</v>
      </c>
      <c r="F75" s="103" t="str">
        <f t="shared" si="23"/>
        <v/>
      </c>
      <c r="G75" s="104" t="str">
        <f t="shared" si="24"/>
        <v/>
      </c>
      <c r="H75" s="104">
        <f>IFERROR(IF('ZD Vorerfassung'!$E$11="manuell",SUM(I75),IF(OR(E75="Feiertag",E75="Wochenende"),0,IF('ZD Vorerfassung'!$E$11="automatisch",AX75,IF(D75="UU","UU",IF(E75=Param2,AX75/24,IF(E75=Param9,AX75/48,"")))))),0)</f>
        <v>0</v>
      </c>
      <c r="I75" s="105"/>
      <c r="J75" s="106">
        <f>IF('ZD Vorerfassung'!$E$12="manuell",SUM(K75:AI75),IF(OR(E75="Feiertag",E75="Wochenende"),0,IF('ZD Vorerfassung'!$E$12="automatisch",AY75,IF(D75="UU","UU",IF(E75=Param2,AY75/24,IF(E75=Param9,AY75/48,""))))))</f>
        <v>0</v>
      </c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5"/>
      <c r="AI75" s="105"/>
      <c r="AJ75" s="107">
        <f t="shared" si="25"/>
        <v>0</v>
      </c>
      <c r="AK75" s="105"/>
      <c r="AL75" s="105"/>
      <c r="AM75" s="105"/>
      <c r="AN75" s="105"/>
      <c r="AO75" s="105"/>
      <c r="AP75" s="105"/>
      <c r="AQ75" s="108">
        <f t="shared" si="26"/>
        <v>0</v>
      </c>
      <c r="AR75" s="108">
        <f t="shared" si="27"/>
        <v>0</v>
      </c>
      <c r="AS75" s="109">
        <f t="shared" si="28"/>
        <v>0</v>
      </c>
      <c r="AU75" s="110">
        <f t="shared" si="19"/>
        <v>0</v>
      </c>
      <c r="AV75" s="111" t="str">
        <f>IF(D75="NR",
IF('ZD Vorerfassung'!$E$22="",0,IF(AND(B75&gt;='ZD Vorerfassung'!$C$22,B75&lt;='ZD Vorerfassung'!$D$22),HLOOKUP(TEXT(C75,"ttt"),'ZD Vorerfassung'!$H$21:$L$36,2,0),0))+
IF('ZD Vorerfassung'!$E$23="",0,IF(AND(B75&gt;='ZD Vorerfassung'!$C$23,B75&lt;='ZD Vorerfassung'!$D$23),HLOOKUP(TEXT(C75,"ttt"),'ZD Vorerfassung'!$H$21:$L$36,3,0),0))+
IF('ZD Vorerfassung'!$E$24="",0,IF(AND(B75&gt;='ZD Vorerfassung'!$C$24,B75&lt;='ZD Vorerfassung'!$D$24),HLOOKUP(TEXT(C75,"ttt"),'ZD Vorerfassung'!$H$21:$L$36,4,0),0))+
IF('ZD Vorerfassung'!$E$25="",0,IF(AND(B75&gt;='ZD Vorerfassung'!$C$25,B75&lt;='ZD Vorerfassung'!$D$25),HLOOKUP(TEXT(C75,"ttt"),'ZD Vorerfassung'!$H$21:$L$36,5,0),0))+
IF('ZD Vorerfassung'!$E$26="",0,IF(AND(B75&gt;='ZD Vorerfassung'!$C$26,B75&lt;='ZD Vorerfassung'!$D$26),HLOOKUP(TEXT(C75,"ttt"),'ZD Vorerfassung'!$H$21:$L$36,6,0),0))+
IF('ZD Vorerfassung'!$E$27="",0,IF(AND(B75&gt;='ZD Vorerfassung'!$C$27,B75&lt;='ZD Vorerfassung'!$D$27),HLOOKUP(TEXT(C75,"ttt"),'ZD Vorerfassung'!$H$21:$L$36,7,0),0))+
IF('ZD Vorerfassung'!$E$28="",0,IF(AND(B75&gt;='ZD Vorerfassung'!$C$28,B75&lt;='ZD Vorerfassung'!$D$28),HLOOKUP(TEXT(C75,"ttt"),'ZD Vorerfassung'!$H$21:$L$36,8,0),0))+
IF('ZD Vorerfassung'!$E$29="",0,IF(AND(B75&gt;='ZD Vorerfassung'!$C$29,B75&lt;='ZD Vorerfassung'!$D$29),HLOOKUP(TEXT(C75,"ttt"),'ZD Vorerfassung'!$H$21:$L$36,9,0),0))+
IF('ZD Vorerfassung'!$E$30="",0,IF(AND(B75&gt;='ZD Vorerfassung'!$C$30,B75&lt;='ZD Vorerfassung'!$D$30),HLOOKUP(TEXT(C75,"ttt"),'ZD Vorerfassung'!$H$21:$L$36,10,0),0))+
IF('ZD Vorerfassung'!$E$31="",0,IF(AND(B75&gt;='ZD Vorerfassung'!$C$31,B75&lt;='ZD Vorerfassung'!$D$31),HLOOKUP(TEXT(C75,"ttt"),'ZD Vorerfassung'!$H$21:$L$36,11,0),0))+
IF('ZD Vorerfassung'!$E$32="",0,IF(AND(B75&gt;='ZD Vorerfassung'!$C$32,B75&lt;='ZD Vorerfassung'!$D$32),HLOOKUP(TEXT(C75,"ttt"),'ZD Vorerfassung'!$H$21:$L$36,12,0),0))+
IF('ZD Vorerfassung'!$E$33="",0,IF(AND(B75&gt;='ZD Vorerfassung'!$C$33,B75&lt;='ZD Vorerfassung'!$D$33),HLOOKUP(TEXT(C75,"ttt"),'ZD Vorerfassung'!$H$21:$L$36,13,0),0))+
IF('ZD Vorerfassung'!$E$34="",0,IF(AND(B75&gt;='ZD Vorerfassung'!$C$34,B75&lt;='ZD Vorerfassung'!$D$34),HLOOKUP(TEXT(C75,"ttt"),'ZD Vorerfassung'!$H$21:$L$36,14,0),0))+
IF('ZD Vorerfassung'!$E$35="",0,IF(AND(B75&gt;='ZD Vorerfassung'!$C$35,B75&lt;='ZD Vorerfassung'!$D$35),HLOOKUP(TEXT(C75,"ttt"),'ZD Vorerfassung'!$H$21:$L$36,15,0),0))+
IF('ZD Vorerfassung'!$E$36="",0,IF(AND(B75&gt;='ZD Vorerfassung'!$C$36,B75&lt;='ZD Vorerfassung'!$D$36),HLOOKUP(TEXT(C75,"ttt"),'ZD Vorerfassung'!$H$21:$L$36,16,0),0)),"")</f>
        <v/>
      </c>
      <c r="AW75" s="110">
        <f t="array" ref="AW75">IF(OR(D75="UU",D75="FT",D75="WE"),0,
IF(D75="NR",SUM(IF(B75&gt;=_xlfn.NUMBERVALUE('ZD Vorerfassung'!$C$22:$C$36),1,0)*IF(B75&lt;=_xlfn.NUMBERVALUE('ZD Vorerfassung'!$D$22:$D$36),1,0)*'ZD Vorerfassung'!$Q$22:$Q$36),
IF(OR(D75="SF",D75="FH"),SUM(IF(B75&gt;=_xlfn.NUMBERVALUE('ZD Vorerfassung'!$C$22:$C$36),1,0)*IF(B75&lt;=_xlfn.NUMBERVALUE('ZD Vorerfassung'!$D$22:$D$36),1,0)*'ZD Vorerfassung'!$R$22:$R$36*IF(D75="FH",0.5,1)),
"prüfen")))</f>
        <v>0</v>
      </c>
      <c r="AX75" s="110">
        <f t="array" ref="AX75">IF(OR(D75="UU",D75="FT",D75="WE",E75="Ferien"),0,
IF(D75="NR",SUM(IF(B75&gt;=_xlfn.NUMBERVALUE('ZD Vorerfassung'!$C$22:$C$36),1,0)*IF(B75&lt;=_xlfn.NUMBERVALUE('ZD Vorerfassung'!$D$22:$D$36),1,0)*'ZD Vorerfassung'!$W$22:$W$36),
IF(OR(D75="SF",D75="FH"),SUM(IF(B75&gt;=_xlfn.NUMBERVALUE('ZD Vorerfassung'!$C$22:$C$36),1,0)*IF(B75&lt;=_xlfn.NUMBERVALUE('ZD Vorerfassung'!$D$22:$D$36),1,0)*'ZD Vorerfassung'!$X$22:$X$36*IF(D75="FH",0.5,1)),
"prüfen")))</f>
        <v>0</v>
      </c>
      <c r="AY75" s="110">
        <f t="array" ref="AY75">IF(OR(D75="UU",D75="FT",D75="WE",E75="Ferien"),0,
IF(D75="NR",SUM(IF(B75&gt;=_xlfn.NUMBERVALUE('ZD Vorerfassung'!$C$22:$C$36),1,0)*IF(B75&lt;=_xlfn.NUMBERVALUE('ZD Vorerfassung'!$D$22:$D$36),1,0)*'ZD Vorerfassung'!$U$22:$U$36),
IF(OR(D75="SF",D75="FH"),SUM(IF(B75&gt;=_xlfn.NUMBERVALUE('ZD Vorerfassung'!$C$22:$C$36),1,0)*IF(B75&lt;=_xlfn.NUMBERVALUE('ZD Vorerfassung'!$D$22:$D$36),1,0)*'ZD Vorerfassung'!$V$22:$V$36*IF(D75="FH",0.5,1)),
"prüfen")))</f>
        <v>0</v>
      </c>
      <c r="AZ75" s="110">
        <f t="array" ref="AZ75">IF(OR(D75="UU",D75="FT",D75="WE",E75="Ferien"),0,
IF(D75="NR",SUM(IF(B75&gt;=_xlfn.NUMBERVALUE('ZD Vorerfassung'!$C$22:$C$36),1,0)*IF(B75&lt;=_xlfn.NUMBERVALUE('ZD Vorerfassung'!$D$22:$D$36),1,0)*'ZD Vorerfassung'!$S$22:$S$36),
IF(OR(D75="SF",D75="FH"),SUM(IF(B75&gt;=_xlfn.NUMBERVALUE('ZD Vorerfassung'!$C$22:$C$36),1,0)*IF(B75&lt;=_xlfn.NUMBERVALUE('ZD Vorerfassung'!$D$22:$D$36),1,0)*'ZD Vorerfassung'!$T$22:$T$36*IF(D75="FH",0.5,1)),
"prüfen")))</f>
        <v>0</v>
      </c>
      <c r="BA75" s="112">
        <f t="shared" si="20"/>
        <v>10</v>
      </c>
    </row>
    <row r="76" spans="2:53" ht="19.5" thickTop="1" thickBot="1" x14ac:dyDescent="0.3">
      <c r="B76" s="99">
        <f t="shared" si="17"/>
        <v>44841</v>
      </c>
      <c r="C76" s="100">
        <f t="shared" si="21"/>
        <v>44841</v>
      </c>
      <c r="D76" s="101" t="str">
        <f t="shared" si="22"/>
        <v>SF</v>
      </c>
      <c r="E76" s="102" t="str">
        <f t="shared" si="18"/>
        <v>unterrichtsfreie Arbeitszeit</v>
      </c>
      <c r="F76" s="103" t="str">
        <f t="shared" si="23"/>
        <v/>
      </c>
      <c r="G76" s="104" t="str">
        <f t="shared" si="24"/>
        <v/>
      </c>
      <c r="H76" s="104">
        <f>IFERROR(IF('ZD Vorerfassung'!$E$11="manuell",SUM(I76),IF(OR(E76="Feiertag",E76="Wochenende"),0,IF('ZD Vorerfassung'!$E$11="automatisch",AX76,IF(D76="UU","UU",IF(E76=Param2,AX76/24,IF(E76=Param9,AX76/48,"")))))),0)</f>
        <v>0</v>
      </c>
      <c r="I76" s="105"/>
      <c r="J76" s="106">
        <f>IF('ZD Vorerfassung'!$E$12="manuell",SUM(K76:AI76),IF(OR(E76="Feiertag",E76="Wochenende"),0,IF('ZD Vorerfassung'!$E$12="automatisch",AY76,IF(D76="UU","UU",IF(E76=Param2,AY76/24,IF(E76=Param9,AY76/48,""))))))</f>
        <v>0</v>
      </c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  <c r="AE76" s="105"/>
      <c r="AF76" s="105"/>
      <c r="AG76" s="105"/>
      <c r="AH76" s="105"/>
      <c r="AI76" s="105"/>
      <c r="AJ76" s="107">
        <f t="shared" si="25"/>
        <v>0</v>
      </c>
      <c r="AK76" s="105"/>
      <c r="AL76" s="105"/>
      <c r="AM76" s="105"/>
      <c r="AN76" s="105"/>
      <c r="AO76" s="105"/>
      <c r="AP76" s="105"/>
      <c r="AQ76" s="108">
        <f t="shared" si="26"/>
        <v>0</v>
      </c>
      <c r="AR76" s="108">
        <f t="shared" si="27"/>
        <v>0</v>
      </c>
      <c r="AS76" s="109">
        <f t="shared" si="28"/>
        <v>0</v>
      </c>
      <c r="AU76" s="110">
        <f t="shared" si="19"/>
        <v>0</v>
      </c>
      <c r="AV76" s="111" t="str">
        <f>IF(D76="NR",
IF('ZD Vorerfassung'!$E$22="",0,IF(AND(B76&gt;='ZD Vorerfassung'!$C$22,B76&lt;='ZD Vorerfassung'!$D$22),HLOOKUP(TEXT(C76,"ttt"),'ZD Vorerfassung'!$H$21:$L$36,2,0),0))+
IF('ZD Vorerfassung'!$E$23="",0,IF(AND(B76&gt;='ZD Vorerfassung'!$C$23,B76&lt;='ZD Vorerfassung'!$D$23),HLOOKUP(TEXT(C76,"ttt"),'ZD Vorerfassung'!$H$21:$L$36,3,0),0))+
IF('ZD Vorerfassung'!$E$24="",0,IF(AND(B76&gt;='ZD Vorerfassung'!$C$24,B76&lt;='ZD Vorerfassung'!$D$24),HLOOKUP(TEXT(C76,"ttt"),'ZD Vorerfassung'!$H$21:$L$36,4,0),0))+
IF('ZD Vorerfassung'!$E$25="",0,IF(AND(B76&gt;='ZD Vorerfassung'!$C$25,B76&lt;='ZD Vorerfassung'!$D$25),HLOOKUP(TEXT(C76,"ttt"),'ZD Vorerfassung'!$H$21:$L$36,5,0),0))+
IF('ZD Vorerfassung'!$E$26="",0,IF(AND(B76&gt;='ZD Vorerfassung'!$C$26,B76&lt;='ZD Vorerfassung'!$D$26),HLOOKUP(TEXT(C76,"ttt"),'ZD Vorerfassung'!$H$21:$L$36,6,0),0))+
IF('ZD Vorerfassung'!$E$27="",0,IF(AND(B76&gt;='ZD Vorerfassung'!$C$27,B76&lt;='ZD Vorerfassung'!$D$27),HLOOKUP(TEXT(C76,"ttt"),'ZD Vorerfassung'!$H$21:$L$36,7,0),0))+
IF('ZD Vorerfassung'!$E$28="",0,IF(AND(B76&gt;='ZD Vorerfassung'!$C$28,B76&lt;='ZD Vorerfassung'!$D$28),HLOOKUP(TEXT(C76,"ttt"),'ZD Vorerfassung'!$H$21:$L$36,8,0),0))+
IF('ZD Vorerfassung'!$E$29="",0,IF(AND(B76&gt;='ZD Vorerfassung'!$C$29,B76&lt;='ZD Vorerfassung'!$D$29),HLOOKUP(TEXT(C76,"ttt"),'ZD Vorerfassung'!$H$21:$L$36,9,0),0))+
IF('ZD Vorerfassung'!$E$30="",0,IF(AND(B76&gt;='ZD Vorerfassung'!$C$30,B76&lt;='ZD Vorerfassung'!$D$30),HLOOKUP(TEXT(C76,"ttt"),'ZD Vorerfassung'!$H$21:$L$36,10,0),0))+
IF('ZD Vorerfassung'!$E$31="",0,IF(AND(B76&gt;='ZD Vorerfassung'!$C$31,B76&lt;='ZD Vorerfassung'!$D$31),HLOOKUP(TEXT(C76,"ttt"),'ZD Vorerfassung'!$H$21:$L$36,11,0),0))+
IF('ZD Vorerfassung'!$E$32="",0,IF(AND(B76&gt;='ZD Vorerfassung'!$C$32,B76&lt;='ZD Vorerfassung'!$D$32),HLOOKUP(TEXT(C76,"ttt"),'ZD Vorerfassung'!$H$21:$L$36,12,0),0))+
IF('ZD Vorerfassung'!$E$33="",0,IF(AND(B76&gt;='ZD Vorerfassung'!$C$33,B76&lt;='ZD Vorerfassung'!$D$33),HLOOKUP(TEXT(C76,"ttt"),'ZD Vorerfassung'!$H$21:$L$36,13,0),0))+
IF('ZD Vorerfassung'!$E$34="",0,IF(AND(B76&gt;='ZD Vorerfassung'!$C$34,B76&lt;='ZD Vorerfassung'!$D$34),HLOOKUP(TEXT(C76,"ttt"),'ZD Vorerfassung'!$H$21:$L$36,14,0),0))+
IF('ZD Vorerfassung'!$E$35="",0,IF(AND(B76&gt;='ZD Vorerfassung'!$C$35,B76&lt;='ZD Vorerfassung'!$D$35),HLOOKUP(TEXT(C76,"ttt"),'ZD Vorerfassung'!$H$21:$L$36,15,0),0))+
IF('ZD Vorerfassung'!$E$36="",0,IF(AND(B76&gt;='ZD Vorerfassung'!$C$36,B76&lt;='ZD Vorerfassung'!$D$36),HLOOKUP(TEXT(C76,"ttt"),'ZD Vorerfassung'!$H$21:$L$36,16,0),0)),"")</f>
        <v/>
      </c>
      <c r="AW76" s="110">
        <f t="array" ref="AW76">IF(OR(D76="UU",D76="FT",D76="WE"),0,
IF(D76="NR",SUM(IF(B76&gt;=_xlfn.NUMBERVALUE('ZD Vorerfassung'!$C$22:$C$36),1,0)*IF(B76&lt;=_xlfn.NUMBERVALUE('ZD Vorerfassung'!$D$22:$D$36),1,0)*'ZD Vorerfassung'!$Q$22:$Q$36),
IF(OR(D76="SF",D76="FH"),SUM(IF(B76&gt;=_xlfn.NUMBERVALUE('ZD Vorerfassung'!$C$22:$C$36),1,0)*IF(B76&lt;=_xlfn.NUMBERVALUE('ZD Vorerfassung'!$D$22:$D$36),1,0)*'ZD Vorerfassung'!$R$22:$R$36*IF(D76="FH",0.5,1)),
"prüfen")))</f>
        <v>0</v>
      </c>
      <c r="AX76" s="110">
        <f t="array" ref="AX76">IF(OR(D76="UU",D76="FT",D76="WE",E76="Ferien"),0,
IF(D76="NR",SUM(IF(B76&gt;=_xlfn.NUMBERVALUE('ZD Vorerfassung'!$C$22:$C$36),1,0)*IF(B76&lt;=_xlfn.NUMBERVALUE('ZD Vorerfassung'!$D$22:$D$36),1,0)*'ZD Vorerfassung'!$W$22:$W$36),
IF(OR(D76="SF",D76="FH"),SUM(IF(B76&gt;=_xlfn.NUMBERVALUE('ZD Vorerfassung'!$C$22:$C$36),1,0)*IF(B76&lt;=_xlfn.NUMBERVALUE('ZD Vorerfassung'!$D$22:$D$36),1,0)*'ZD Vorerfassung'!$X$22:$X$36*IF(D76="FH",0.5,1)),
"prüfen")))</f>
        <v>0</v>
      </c>
      <c r="AY76" s="110">
        <f t="array" ref="AY76">IF(OR(D76="UU",D76="FT",D76="WE",E76="Ferien"),0,
IF(D76="NR",SUM(IF(B76&gt;=_xlfn.NUMBERVALUE('ZD Vorerfassung'!$C$22:$C$36),1,0)*IF(B76&lt;=_xlfn.NUMBERVALUE('ZD Vorerfassung'!$D$22:$D$36),1,0)*'ZD Vorerfassung'!$U$22:$U$36),
IF(OR(D76="SF",D76="FH"),SUM(IF(B76&gt;=_xlfn.NUMBERVALUE('ZD Vorerfassung'!$C$22:$C$36),1,0)*IF(B76&lt;=_xlfn.NUMBERVALUE('ZD Vorerfassung'!$D$22:$D$36),1,0)*'ZD Vorerfassung'!$V$22:$V$36*IF(D76="FH",0.5,1)),
"prüfen")))</f>
        <v>0</v>
      </c>
      <c r="AZ76" s="110">
        <f t="array" ref="AZ76">IF(OR(D76="UU",D76="FT",D76="WE",E76="Ferien"),0,
IF(D76="NR",SUM(IF(B76&gt;=_xlfn.NUMBERVALUE('ZD Vorerfassung'!$C$22:$C$36),1,0)*IF(B76&lt;=_xlfn.NUMBERVALUE('ZD Vorerfassung'!$D$22:$D$36),1,0)*'ZD Vorerfassung'!$S$22:$S$36),
IF(OR(D76="SF",D76="FH"),SUM(IF(B76&gt;=_xlfn.NUMBERVALUE('ZD Vorerfassung'!$C$22:$C$36),1,0)*IF(B76&lt;=_xlfn.NUMBERVALUE('ZD Vorerfassung'!$D$22:$D$36),1,0)*'ZD Vorerfassung'!$T$22:$T$36*IF(D76="FH",0.5,1)),
"prüfen")))</f>
        <v>0</v>
      </c>
      <c r="BA76" s="112">
        <f t="shared" si="20"/>
        <v>10</v>
      </c>
    </row>
    <row r="77" spans="2:53" ht="19.5" thickTop="1" thickBot="1" x14ac:dyDescent="0.3">
      <c r="B77" s="99">
        <f t="shared" si="17"/>
        <v>44842</v>
      </c>
      <c r="C77" s="100">
        <f t="shared" si="21"/>
        <v>44842</v>
      </c>
      <c r="D77" s="101" t="str">
        <f t="shared" si="22"/>
        <v>SF</v>
      </c>
      <c r="E77" s="102" t="str">
        <f t="shared" si="18"/>
        <v>unterrichtsfreie Arbeitszeit</v>
      </c>
      <c r="F77" s="103" t="str">
        <f t="shared" si="23"/>
        <v/>
      </c>
      <c r="G77" s="104" t="str">
        <f t="shared" si="24"/>
        <v/>
      </c>
      <c r="H77" s="104">
        <f>IFERROR(IF('ZD Vorerfassung'!$E$11="manuell",SUM(I77),IF(OR(E77="Feiertag",E77="Wochenende"),0,IF('ZD Vorerfassung'!$E$11="automatisch",AX77,IF(D77="UU","UU",IF(E77=Param2,AX77/24,IF(E77=Param9,AX77/48,"")))))),0)</f>
        <v>0</v>
      </c>
      <c r="I77" s="105"/>
      <c r="J77" s="106">
        <f>IF('ZD Vorerfassung'!$E$12="manuell",SUM(K77:AI77),IF(OR(E77="Feiertag",E77="Wochenende"),0,IF('ZD Vorerfassung'!$E$12="automatisch",AY77,IF(D77="UU","UU",IF(E77=Param2,AY77/24,IF(E77=Param9,AY77/48,""))))))</f>
        <v>0</v>
      </c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5"/>
      <c r="AI77" s="105"/>
      <c r="AJ77" s="107">
        <f t="shared" si="25"/>
        <v>0</v>
      </c>
      <c r="AK77" s="105"/>
      <c r="AL77" s="105"/>
      <c r="AM77" s="105"/>
      <c r="AN77" s="105"/>
      <c r="AO77" s="105"/>
      <c r="AP77" s="105"/>
      <c r="AQ77" s="108">
        <f t="shared" si="26"/>
        <v>0</v>
      </c>
      <c r="AR77" s="108">
        <f t="shared" si="27"/>
        <v>0</v>
      </c>
      <c r="AS77" s="109">
        <f t="shared" si="28"/>
        <v>0</v>
      </c>
      <c r="AU77" s="110">
        <f t="shared" si="19"/>
        <v>0</v>
      </c>
      <c r="AV77" s="111" t="str">
        <f>IF(D77="NR",
IF('ZD Vorerfassung'!$E$22="",0,IF(AND(B77&gt;='ZD Vorerfassung'!$C$22,B77&lt;='ZD Vorerfassung'!$D$22),HLOOKUP(TEXT(C77,"ttt"),'ZD Vorerfassung'!$H$21:$L$36,2,0),0))+
IF('ZD Vorerfassung'!$E$23="",0,IF(AND(B77&gt;='ZD Vorerfassung'!$C$23,B77&lt;='ZD Vorerfassung'!$D$23),HLOOKUP(TEXT(C77,"ttt"),'ZD Vorerfassung'!$H$21:$L$36,3,0),0))+
IF('ZD Vorerfassung'!$E$24="",0,IF(AND(B77&gt;='ZD Vorerfassung'!$C$24,B77&lt;='ZD Vorerfassung'!$D$24),HLOOKUP(TEXT(C77,"ttt"),'ZD Vorerfassung'!$H$21:$L$36,4,0),0))+
IF('ZD Vorerfassung'!$E$25="",0,IF(AND(B77&gt;='ZD Vorerfassung'!$C$25,B77&lt;='ZD Vorerfassung'!$D$25),HLOOKUP(TEXT(C77,"ttt"),'ZD Vorerfassung'!$H$21:$L$36,5,0),0))+
IF('ZD Vorerfassung'!$E$26="",0,IF(AND(B77&gt;='ZD Vorerfassung'!$C$26,B77&lt;='ZD Vorerfassung'!$D$26),HLOOKUP(TEXT(C77,"ttt"),'ZD Vorerfassung'!$H$21:$L$36,6,0),0))+
IF('ZD Vorerfassung'!$E$27="",0,IF(AND(B77&gt;='ZD Vorerfassung'!$C$27,B77&lt;='ZD Vorerfassung'!$D$27),HLOOKUP(TEXT(C77,"ttt"),'ZD Vorerfassung'!$H$21:$L$36,7,0),0))+
IF('ZD Vorerfassung'!$E$28="",0,IF(AND(B77&gt;='ZD Vorerfassung'!$C$28,B77&lt;='ZD Vorerfassung'!$D$28),HLOOKUP(TEXT(C77,"ttt"),'ZD Vorerfassung'!$H$21:$L$36,8,0),0))+
IF('ZD Vorerfassung'!$E$29="",0,IF(AND(B77&gt;='ZD Vorerfassung'!$C$29,B77&lt;='ZD Vorerfassung'!$D$29),HLOOKUP(TEXT(C77,"ttt"),'ZD Vorerfassung'!$H$21:$L$36,9,0),0))+
IF('ZD Vorerfassung'!$E$30="",0,IF(AND(B77&gt;='ZD Vorerfassung'!$C$30,B77&lt;='ZD Vorerfassung'!$D$30),HLOOKUP(TEXT(C77,"ttt"),'ZD Vorerfassung'!$H$21:$L$36,10,0),0))+
IF('ZD Vorerfassung'!$E$31="",0,IF(AND(B77&gt;='ZD Vorerfassung'!$C$31,B77&lt;='ZD Vorerfassung'!$D$31),HLOOKUP(TEXT(C77,"ttt"),'ZD Vorerfassung'!$H$21:$L$36,11,0),0))+
IF('ZD Vorerfassung'!$E$32="",0,IF(AND(B77&gt;='ZD Vorerfassung'!$C$32,B77&lt;='ZD Vorerfassung'!$D$32),HLOOKUP(TEXT(C77,"ttt"),'ZD Vorerfassung'!$H$21:$L$36,12,0),0))+
IF('ZD Vorerfassung'!$E$33="",0,IF(AND(B77&gt;='ZD Vorerfassung'!$C$33,B77&lt;='ZD Vorerfassung'!$D$33),HLOOKUP(TEXT(C77,"ttt"),'ZD Vorerfassung'!$H$21:$L$36,13,0),0))+
IF('ZD Vorerfassung'!$E$34="",0,IF(AND(B77&gt;='ZD Vorerfassung'!$C$34,B77&lt;='ZD Vorerfassung'!$D$34),HLOOKUP(TEXT(C77,"ttt"),'ZD Vorerfassung'!$H$21:$L$36,14,0),0))+
IF('ZD Vorerfassung'!$E$35="",0,IF(AND(B77&gt;='ZD Vorerfassung'!$C$35,B77&lt;='ZD Vorerfassung'!$D$35),HLOOKUP(TEXT(C77,"ttt"),'ZD Vorerfassung'!$H$21:$L$36,15,0),0))+
IF('ZD Vorerfassung'!$E$36="",0,IF(AND(B77&gt;='ZD Vorerfassung'!$C$36,B77&lt;='ZD Vorerfassung'!$D$36),HLOOKUP(TEXT(C77,"ttt"),'ZD Vorerfassung'!$H$21:$L$36,16,0),0)),"")</f>
        <v/>
      </c>
      <c r="AW77" s="110">
        <f t="array" ref="AW77">IF(OR(D77="UU",D77="FT",D77="WE"),0,
IF(D77="NR",SUM(IF(B77&gt;=_xlfn.NUMBERVALUE('ZD Vorerfassung'!$C$22:$C$36),1,0)*IF(B77&lt;=_xlfn.NUMBERVALUE('ZD Vorerfassung'!$D$22:$D$36),1,0)*'ZD Vorerfassung'!$Q$22:$Q$36),
IF(OR(D77="SF",D77="FH"),SUM(IF(B77&gt;=_xlfn.NUMBERVALUE('ZD Vorerfassung'!$C$22:$C$36),1,0)*IF(B77&lt;=_xlfn.NUMBERVALUE('ZD Vorerfassung'!$D$22:$D$36),1,0)*'ZD Vorerfassung'!$R$22:$R$36*IF(D77="FH",0.5,1)),
"prüfen")))</f>
        <v>0</v>
      </c>
      <c r="AX77" s="110">
        <f t="array" ref="AX77">IF(OR(D77="UU",D77="FT",D77="WE",E77="Ferien"),0,
IF(D77="NR",SUM(IF(B77&gt;=_xlfn.NUMBERVALUE('ZD Vorerfassung'!$C$22:$C$36),1,0)*IF(B77&lt;=_xlfn.NUMBERVALUE('ZD Vorerfassung'!$D$22:$D$36),1,0)*'ZD Vorerfassung'!$W$22:$W$36),
IF(OR(D77="SF",D77="FH"),SUM(IF(B77&gt;=_xlfn.NUMBERVALUE('ZD Vorerfassung'!$C$22:$C$36),1,0)*IF(B77&lt;=_xlfn.NUMBERVALUE('ZD Vorerfassung'!$D$22:$D$36),1,0)*'ZD Vorerfassung'!$X$22:$X$36*IF(D77="FH",0.5,1)),
"prüfen")))</f>
        <v>0</v>
      </c>
      <c r="AY77" s="110">
        <f t="array" ref="AY77">IF(OR(D77="UU",D77="FT",D77="WE",E77="Ferien"),0,
IF(D77="NR",SUM(IF(B77&gt;=_xlfn.NUMBERVALUE('ZD Vorerfassung'!$C$22:$C$36),1,0)*IF(B77&lt;=_xlfn.NUMBERVALUE('ZD Vorerfassung'!$D$22:$D$36),1,0)*'ZD Vorerfassung'!$U$22:$U$36),
IF(OR(D77="SF",D77="FH"),SUM(IF(B77&gt;=_xlfn.NUMBERVALUE('ZD Vorerfassung'!$C$22:$C$36),1,0)*IF(B77&lt;=_xlfn.NUMBERVALUE('ZD Vorerfassung'!$D$22:$D$36),1,0)*'ZD Vorerfassung'!$V$22:$V$36*IF(D77="FH",0.5,1)),
"prüfen")))</f>
        <v>0</v>
      </c>
      <c r="AZ77" s="110">
        <f t="array" ref="AZ77">IF(OR(D77="UU",D77="FT",D77="WE",E77="Ferien"),0,
IF(D77="NR",SUM(IF(B77&gt;=_xlfn.NUMBERVALUE('ZD Vorerfassung'!$C$22:$C$36),1,0)*IF(B77&lt;=_xlfn.NUMBERVALUE('ZD Vorerfassung'!$D$22:$D$36),1,0)*'ZD Vorerfassung'!$S$22:$S$36),
IF(OR(D77="SF",D77="FH"),SUM(IF(B77&gt;=_xlfn.NUMBERVALUE('ZD Vorerfassung'!$C$22:$C$36),1,0)*IF(B77&lt;=_xlfn.NUMBERVALUE('ZD Vorerfassung'!$D$22:$D$36),1,0)*'ZD Vorerfassung'!$T$22:$T$36*IF(D77="FH",0.5,1)),
"prüfen")))</f>
        <v>0</v>
      </c>
      <c r="BA77" s="112">
        <f t="shared" si="20"/>
        <v>10</v>
      </c>
    </row>
    <row r="78" spans="2:53" ht="19.5" thickTop="1" thickBot="1" x14ac:dyDescent="0.3">
      <c r="B78" s="99">
        <f t="shared" si="17"/>
        <v>44843</v>
      </c>
      <c r="C78" s="100">
        <f t="shared" si="21"/>
        <v>44843</v>
      </c>
      <c r="D78" s="101" t="str">
        <f t="shared" si="22"/>
        <v>WE</v>
      </c>
      <c r="E78" s="102" t="str">
        <f t="shared" si="18"/>
        <v>Wochenende</v>
      </c>
      <c r="F78" s="103" t="str">
        <f t="shared" si="23"/>
        <v/>
      </c>
      <c r="G78" s="104" t="str">
        <f t="shared" si="24"/>
        <v/>
      </c>
      <c r="H78" s="104">
        <f>IFERROR(IF('ZD Vorerfassung'!$E$11="manuell",SUM(I78),IF(OR(E78="Feiertag",E78="Wochenende"),0,IF('ZD Vorerfassung'!$E$11="automatisch",AX78,IF(D78="UU","UU",IF(E78=Param2,AX78/24,IF(E78=Param9,AX78/48,"")))))),0)</f>
        <v>0</v>
      </c>
      <c r="I78" s="105"/>
      <c r="J78" s="106">
        <f>IF('ZD Vorerfassung'!$E$12="manuell",SUM(K78:AI78),IF(OR(E78="Feiertag",E78="Wochenende"),0,IF('ZD Vorerfassung'!$E$12="automatisch",AY78,IF(D78="UU","UU",IF(E78=Param2,AY78/24,IF(E78=Param9,AY78/48,""))))))</f>
        <v>0</v>
      </c>
      <c r="K78" s="105"/>
      <c r="L78" s="105"/>
      <c r="M78" s="105"/>
      <c r="N78" s="105"/>
      <c r="O78" s="105"/>
      <c r="P78" s="105"/>
      <c r="Q78" s="105"/>
      <c r="R78" s="105"/>
      <c r="S78" s="105"/>
      <c r="T78" s="105"/>
      <c r="U78" s="105"/>
      <c r="V78" s="105"/>
      <c r="W78" s="105"/>
      <c r="X78" s="105"/>
      <c r="Y78" s="105"/>
      <c r="Z78" s="105"/>
      <c r="AA78" s="105"/>
      <c r="AB78" s="105"/>
      <c r="AC78" s="105"/>
      <c r="AD78" s="105"/>
      <c r="AE78" s="105"/>
      <c r="AF78" s="105"/>
      <c r="AG78" s="105"/>
      <c r="AH78" s="105"/>
      <c r="AI78" s="105"/>
      <c r="AJ78" s="107">
        <f t="shared" si="25"/>
        <v>0</v>
      </c>
      <c r="AK78" s="105"/>
      <c r="AL78" s="105"/>
      <c r="AM78" s="105"/>
      <c r="AN78" s="105"/>
      <c r="AO78" s="105"/>
      <c r="AP78" s="105"/>
      <c r="AQ78" s="108">
        <f t="shared" si="26"/>
        <v>0</v>
      </c>
      <c r="AR78" s="108">
        <f t="shared" si="27"/>
        <v>0</v>
      </c>
      <c r="AS78" s="109">
        <f t="shared" si="28"/>
        <v>0</v>
      </c>
      <c r="AU78" s="110">
        <f t="shared" si="19"/>
        <v>0</v>
      </c>
      <c r="AV78" s="111" t="str">
        <f>IF(D78="NR",
IF('ZD Vorerfassung'!$E$22="",0,IF(AND(B78&gt;='ZD Vorerfassung'!$C$22,B78&lt;='ZD Vorerfassung'!$D$22),HLOOKUP(TEXT(C78,"ttt"),'ZD Vorerfassung'!$H$21:$L$36,2,0),0))+
IF('ZD Vorerfassung'!$E$23="",0,IF(AND(B78&gt;='ZD Vorerfassung'!$C$23,B78&lt;='ZD Vorerfassung'!$D$23),HLOOKUP(TEXT(C78,"ttt"),'ZD Vorerfassung'!$H$21:$L$36,3,0),0))+
IF('ZD Vorerfassung'!$E$24="",0,IF(AND(B78&gt;='ZD Vorerfassung'!$C$24,B78&lt;='ZD Vorerfassung'!$D$24),HLOOKUP(TEXT(C78,"ttt"),'ZD Vorerfassung'!$H$21:$L$36,4,0),0))+
IF('ZD Vorerfassung'!$E$25="",0,IF(AND(B78&gt;='ZD Vorerfassung'!$C$25,B78&lt;='ZD Vorerfassung'!$D$25),HLOOKUP(TEXT(C78,"ttt"),'ZD Vorerfassung'!$H$21:$L$36,5,0),0))+
IF('ZD Vorerfassung'!$E$26="",0,IF(AND(B78&gt;='ZD Vorerfassung'!$C$26,B78&lt;='ZD Vorerfassung'!$D$26),HLOOKUP(TEXT(C78,"ttt"),'ZD Vorerfassung'!$H$21:$L$36,6,0),0))+
IF('ZD Vorerfassung'!$E$27="",0,IF(AND(B78&gt;='ZD Vorerfassung'!$C$27,B78&lt;='ZD Vorerfassung'!$D$27),HLOOKUP(TEXT(C78,"ttt"),'ZD Vorerfassung'!$H$21:$L$36,7,0),0))+
IF('ZD Vorerfassung'!$E$28="",0,IF(AND(B78&gt;='ZD Vorerfassung'!$C$28,B78&lt;='ZD Vorerfassung'!$D$28),HLOOKUP(TEXT(C78,"ttt"),'ZD Vorerfassung'!$H$21:$L$36,8,0),0))+
IF('ZD Vorerfassung'!$E$29="",0,IF(AND(B78&gt;='ZD Vorerfassung'!$C$29,B78&lt;='ZD Vorerfassung'!$D$29),HLOOKUP(TEXT(C78,"ttt"),'ZD Vorerfassung'!$H$21:$L$36,9,0),0))+
IF('ZD Vorerfassung'!$E$30="",0,IF(AND(B78&gt;='ZD Vorerfassung'!$C$30,B78&lt;='ZD Vorerfassung'!$D$30),HLOOKUP(TEXT(C78,"ttt"),'ZD Vorerfassung'!$H$21:$L$36,10,0),0))+
IF('ZD Vorerfassung'!$E$31="",0,IF(AND(B78&gt;='ZD Vorerfassung'!$C$31,B78&lt;='ZD Vorerfassung'!$D$31),HLOOKUP(TEXT(C78,"ttt"),'ZD Vorerfassung'!$H$21:$L$36,11,0),0))+
IF('ZD Vorerfassung'!$E$32="",0,IF(AND(B78&gt;='ZD Vorerfassung'!$C$32,B78&lt;='ZD Vorerfassung'!$D$32),HLOOKUP(TEXT(C78,"ttt"),'ZD Vorerfassung'!$H$21:$L$36,12,0),0))+
IF('ZD Vorerfassung'!$E$33="",0,IF(AND(B78&gt;='ZD Vorerfassung'!$C$33,B78&lt;='ZD Vorerfassung'!$D$33),HLOOKUP(TEXT(C78,"ttt"),'ZD Vorerfassung'!$H$21:$L$36,13,0),0))+
IF('ZD Vorerfassung'!$E$34="",0,IF(AND(B78&gt;='ZD Vorerfassung'!$C$34,B78&lt;='ZD Vorerfassung'!$D$34),HLOOKUP(TEXT(C78,"ttt"),'ZD Vorerfassung'!$H$21:$L$36,14,0),0))+
IF('ZD Vorerfassung'!$E$35="",0,IF(AND(B78&gt;='ZD Vorerfassung'!$C$35,B78&lt;='ZD Vorerfassung'!$D$35),HLOOKUP(TEXT(C78,"ttt"),'ZD Vorerfassung'!$H$21:$L$36,15,0),0))+
IF('ZD Vorerfassung'!$E$36="",0,IF(AND(B78&gt;='ZD Vorerfassung'!$C$36,B78&lt;='ZD Vorerfassung'!$D$36),HLOOKUP(TEXT(C78,"ttt"),'ZD Vorerfassung'!$H$21:$L$36,16,0),0)),"")</f>
        <v/>
      </c>
      <c r="AW78" s="110">
        <f t="array" ref="AW78">IF(OR(D78="UU",D78="FT",D78="WE"),0,
IF(D78="NR",SUM(IF(B78&gt;=_xlfn.NUMBERVALUE('ZD Vorerfassung'!$C$22:$C$36),1,0)*IF(B78&lt;=_xlfn.NUMBERVALUE('ZD Vorerfassung'!$D$22:$D$36),1,0)*'ZD Vorerfassung'!$Q$22:$Q$36),
IF(OR(D78="SF",D78="FH"),SUM(IF(B78&gt;=_xlfn.NUMBERVALUE('ZD Vorerfassung'!$C$22:$C$36),1,0)*IF(B78&lt;=_xlfn.NUMBERVALUE('ZD Vorerfassung'!$D$22:$D$36),1,0)*'ZD Vorerfassung'!$R$22:$R$36*IF(D78="FH",0.5,1)),
"prüfen")))</f>
        <v>0</v>
      </c>
      <c r="AX78" s="110">
        <f t="array" ref="AX78">IF(OR(D78="UU",D78="FT",D78="WE",E78="Ferien"),0,
IF(D78="NR",SUM(IF(B78&gt;=_xlfn.NUMBERVALUE('ZD Vorerfassung'!$C$22:$C$36),1,0)*IF(B78&lt;=_xlfn.NUMBERVALUE('ZD Vorerfassung'!$D$22:$D$36),1,0)*'ZD Vorerfassung'!$W$22:$W$36),
IF(OR(D78="SF",D78="FH"),SUM(IF(B78&gt;=_xlfn.NUMBERVALUE('ZD Vorerfassung'!$C$22:$C$36),1,0)*IF(B78&lt;=_xlfn.NUMBERVALUE('ZD Vorerfassung'!$D$22:$D$36),1,0)*'ZD Vorerfassung'!$X$22:$X$36*IF(D78="FH",0.5,1)),
"prüfen")))</f>
        <v>0</v>
      </c>
      <c r="AY78" s="110">
        <f t="array" ref="AY78">IF(OR(D78="UU",D78="FT",D78="WE",E78="Ferien"),0,
IF(D78="NR",SUM(IF(B78&gt;=_xlfn.NUMBERVALUE('ZD Vorerfassung'!$C$22:$C$36),1,0)*IF(B78&lt;=_xlfn.NUMBERVALUE('ZD Vorerfassung'!$D$22:$D$36),1,0)*'ZD Vorerfassung'!$U$22:$U$36),
IF(OR(D78="SF",D78="FH"),SUM(IF(B78&gt;=_xlfn.NUMBERVALUE('ZD Vorerfassung'!$C$22:$C$36),1,0)*IF(B78&lt;=_xlfn.NUMBERVALUE('ZD Vorerfassung'!$D$22:$D$36),1,0)*'ZD Vorerfassung'!$V$22:$V$36*IF(D78="FH",0.5,1)),
"prüfen")))</f>
        <v>0</v>
      </c>
      <c r="AZ78" s="110">
        <f t="array" ref="AZ78">IF(OR(D78="UU",D78="FT",D78="WE",E78="Ferien"),0,
IF(D78="NR",SUM(IF(B78&gt;=_xlfn.NUMBERVALUE('ZD Vorerfassung'!$C$22:$C$36),1,0)*IF(B78&lt;=_xlfn.NUMBERVALUE('ZD Vorerfassung'!$D$22:$D$36),1,0)*'ZD Vorerfassung'!$S$22:$S$36),
IF(OR(D78="SF",D78="FH"),SUM(IF(B78&gt;=_xlfn.NUMBERVALUE('ZD Vorerfassung'!$C$22:$C$36),1,0)*IF(B78&lt;=_xlfn.NUMBERVALUE('ZD Vorerfassung'!$D$22:$D$36),1,0)*'ZD Vorerfassung'!$T$22:$T$36*IF(D78="FH",0.5,1)),
"prüfen")))</f>
        <v>0</v>
      </c>
      <c r="BA78" s="112">
        <f t="shared" si="20"/>
        <v>10</v>
      </c>
    </row>
    <row r="79" spans="2:53" ht="19.5" thickTop="1" thickBot="1" x14ac:dyDescent="0.3">
      <c r="B79" s="99">
        <f t="shared" si="17"/>
        <v>44844</v>
      </c>
      <c r="C79" s="100">
        <f t="shared" si="21"/>
        <v>44844</v>
      </c>
      <c r="D79" s="101" t="str">
        <f t="shared" si="22"/>
        <v>WE</v>
      </c>
      <c r="E79" s="102" t="str">
        <f t="shared" si="18"/>
        <v>Wochenende</v>
      </c>
      <c r="F79" s="103" t="str">
        <f t="shared" si="23"/>
        <v/>
      </c>
      <c r="G79" s="104" t="str">
        <f t="shared" si="24"/>
        <v/>
      </c>
      <c r="H79" s="104">
        <f>IFERROR(IF('ZD Vorerfassung'!$E$11="manuell",SUM(I79),IF(OR(E79="Feiertag",E79="Wochenende"),0,IF('ZD Vorerfassung'!$E$11="automatisch",AX79,IF(D79="UU","UU",IF(E79=Param2,AX79/24,IF(E79=Param9,AX79/48,"")))))),0)</f>
        <v>0</v>
      </c>
      <c r="I79" s="105"/>
      <c r="J79" s="106">
        <f>IF('ZD Vorerfassung'!$E$12="manuell",SUM(K79:AI79),IF(OR(E79="Feiertag",E79="Wochenende"),0,IF('ZD Vorerfassung'!$E$12="automatisch",AY79,IF(D79="UU","UU",IF(E79=Param2,AY79/24,IF(E79=Param9,AY79/48,""))))))</f>
        <v>0</v>
      </c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5"/>
      <c r="AI79" s="105"/>
      <c r="AJ79" s="107">
        <f t="shared" si="25"/>
        <v>0</v>
      </c>
      <c r="AK79" s="105"/>
      <c r="AL79" s="105"/>
      <c r="AM79" s="105"/>
      <c r="AN79" s="105"/>
      <c r="AO79" s="105"/>
      <c r="AP79" s="105"/>
      <c r="AQ79" s="108">
        <f t="shared" si="26"/>
        <v>0</v>
      </c>
      <c r="AR79" s="108">
        <f t="shared" si="27"/>
        <v>0</v>
      </c>
      <c r="AS79" s="109">
        <f t="shared" si="28"/>
        <v>0</v>
      </c>
      <c r="AU79" s="110">
        <f t="shared" si="19"/>
        <v>0</v>
      </c>
      <c r="AV79" s="111" t="str">
        <f>IF(D79="NR",
IF('ZD Vorerfassung'!$E$22="",0,IF(AND(B79&gt;='ZD Vorerfassung'!$C$22,B79&lt;='ZD Vorerfassung'!$D$22),HLOOKUP(TEXT(C79,"ttt"),'ZD Vorerfassung'!$H$21:$L$36,2,0),0))+
IF('ZD Vorerfassung'!$E$23="",0,IF(AND(B79&gt;='ZD Vorerfassung'!$C$23,B79&lt;='ZD Vorerfassung'!$D$23),HLOOKUP(TEXT(C79,"ttt"),'ZD Vorerfassung'!$H$21:$L$36,3,0),0))+
IF('ZD Vorerfassung'!$E$24="",0,IF(AND(B79&gt;='ZD Vorerfassung'!$C$24,B79&lt;='ZD Vorerfassung'!$D$24),HLOOKUP(TEXT(C79,"ttt"),'ZD Vorerfassung'!$H$21:$L$36,4,0),0))+
IF('ZD Vorerfassung'!$E$25="",0,IF(AND(B79&gt;='ZD Vorerfassung'!$C$25,B79&lt;='ZD Vorerfassung'!$D$25),HLOOKUP(TEXT(C79,"ttt"),'ZD Vorerfassung'!$H$21:$L$36,5,0),0))+
IF('ZD Vorerfassung'!$E$26="",0,IF(AND(B79&gt;='ZD Vorerfassung'!$C$26,B79&lt;='ZD Vorerfassung'!$D$26),HLOOKUP(TEXT(C79,"ttt"),'ZD Vorerfassung'!$H$21:$L$36,6,0),0))+
IF('ZD Vorerfassung'!$E$27="",0,IF(AND(B79&gt;='ZD Vorerfassung'!$C$27,B79&lt;='ZD Vorerfassung'!$D$27),HLOOKUP(TEXT(C79,"ttt"),'ZD Vorerfassung'!$H$21:$L$36,7,0),0))+
IF('ZD Vorerfassung'!$E$28="",0,IF(AND(B79&gt;='ZD Vorerfassung'!$C$28,B79&lt;='ZD Vorerfassung'!$D$28),HLOOKUP(TEXT(C79,"ttt"),'ZD Vorerfassung'!$H$21:$L$36,8,0),0))+
IF('ZD Vorerfassung'!$E$29="",0,IF(AND(B79&gt;='ZD Vorerfassung'!$C$29,B79&lt;='ZD Vorerfassung'!$D$29),HLOOKUP(TEXT(C79,"ttt"),'ZD Vorerfassung'!$H$21:$L$36,9,0),0))+
IF('ZD Vorerfassung'!$E$30="",0,IF(AND(B79&gt;='ZD Vorerfassung'!$C$30,B79&lt;='ZD Vorerfassung'!$D$30),HLOOKUP(TEXT(C79,"ttt"),'ZD Vorerfassung'!$H$21:$L$36,10,0),0))+
IF('ZD Vorerfassung'!$E$31="",0,IF(AND(B79&gt;='ZD Vorerfassung'!$C$31,B79&lt;='ZD Vorerfassung'!$D$31),HLOOKUP(TEXT(C79,"ttt"),'ZD Vorerfassung'!$H$21:$L$36,11,0),0))+
IF('ZD Vorerfassung'!$E$32="",0,IF(AND(B79&gt;='ZD Vorerfassung'!$C$32,B79&lt;='ZD Vorerfassung'!$D$32),HLOOKUP(TEXT(C79,"ttt"),'ZD Vorerfassung'!$H$21:$L$36,12,0),0))+
IF('ZD Vorerfassung'!$E$33="",0,IF(AND(B79&gt;='ZD Vorerfassung'!$C$33,B79&lt;='ZD Vorerfassung'!$D$33),HLOOKUP(TEXT(C79,"ttt"),'ZD Vorerfassung'!$H$21:$L$36,13,0),0))+
IF('ZD Vorerfassung'!$E$34="",0,IF(AND(B79&gt;='ZD Vorerfassung'!$C$34,B79&lt;='ZD Vorerfassung'!$D$34),HLOOKUP(TEXT(C79,"ttt"),'ZD Vorerfassung'!$H$21:$L$36,14,0),0))+
IF('ZD Vorerfassung'!$E$35="",0,IF(AND(B79&gt;='ZD Vorerfassung'!$C$35,B79&lt;='ZD Vorerfassung'!$D$35),HLOOKUP(TEXT(C79,"ttt"),'ZD Vorerfassung'!$H$21:$L$36,15,0),0))+
IF('ZD Vorerfassung'!$E$36="",0,IF(AND(B79&gt;='ZD Vorerfassung'!$C$36,B79&lt;='ZD Vorerfassung'!$D$36),HLOOKUP(TEXT(C79,"ttt"),'ZD Vorerfassung'!$H$21:$L$36,16,0),0)),"")</f>
        <v/>
      </c>
      <c r="AW79" s="110">
        <f t="array" ref="AW79">IF(OR(D79="UU",D79="FT",D79="WE"),0,
IF(D79="NR",SUM(IF(B79&gt;=_xlfn.NUMBERVALUE('ZD Vorerfassung'!$C$22:$C$36),1,0)*IF(B79&lt;=_xlfn.NUMBERVALUE('ZD Vorerfassung'!$D$22:$D$36),1,0)*'ZD Vorerfassung'!$Q$22:$Q$36),
IF(OR(D79="SF",D79="FH"),SUM(IF(B79&gt;=_xlfn.NUMBERVALUE('ZD Vorerfassung'!$C$22:$C$36),1,0)*IF(B79&lt;=_xlfn.NUMBERVALUE('ZD Vorerfassung'!$D$22:$D$36),1,0)*'ZD Vorerfassung'!$R$22:$R$36*IF(D79="FH",0.5,1)),
"prüfen")))</f>
        <v>0</v>
      </c>
      <c r="AX79" s="110">
        <f t="array" ref="AX79">IF(OR(D79="UU",D79="FT",D79="WE",E79="Ferien"),0,
IF(D79="NR",SUM(IF(B79&gt;=_xlfn.NUMBERVALUE('ZD Vorerfassung'!$C$22:$C$36),1,0)*IF(B79&lt;=_xlfn.NUMBERVALUE('ZD Vorerfassung'!$D$22:$D$36),1,0)*'ZD Vorerfassung'!$W$22:$W$36),
IF(OR(D79="SF",D79="FH"),SUM(IF(B79&gt;=_xlfn.NUMBERVALUE('ZD Vorerfassung'!$C$22:$C$36),1,0)*IF(B79&lt;=_xlfn.NUMBERVALUE('ZD Vorerfassung'!$D$22:$D$36),1,0)*'ZD Vorerfassung'!$X$22:$X$36*IF(D79="FH",0.5,1)),
"prüfen")))</f>
        <v>0</v>
      </c>
      <c r="AY79" s="110">
        <f t="array" ref="AY79">IF(OR(D79="UU",D79="FT",D79="WE",E79="Ferien"),0,
IF(D79="NR",SUM(IF(B79&gt;=_xlfn.NUMBERVALUE('ZD Vorerfassung'!$C$22:$C$36),1,0)*IF(B79&lt;=_xlfn.NUMBERVALUE('ZD Vorerfassung'!$D$22:$D$36),1,0)*'ZD Vorerfassung'!$U$22:$U$36),
IF(OR(D79="SF",D79="FH"),SUM(IF(B79&gt;=_xlfn.NUMBERVALUE('ZD Vorerfassung'!$C$22:$C$36),1,0)*IF(B79&lt;=_xlfn.NUMBERVALUE('ZD Vorerfassung'!$D$22:$D$36),1,0)*'ZD Vorerfassung'!$V$22:$V$36*IF(D79="FH",0.5,1)),
"prüfen")))</f>
        <v>0</v>
      </c>
      <c r="AZ79" s="110">
        <f t="array" ref="AZ79">IF(OR(D79="UU",D79="FT",D79="WE",E79="Ferien"),0,
IF(D79="NR",SUM(IF(B79&gt;=_xlfn.NUMBERVALUE('ZD Vorerfassung'!$C$22:$C$36),1,0)*IF(B79&lt;=_xlfn.NUMBERVALUE('ZD Vorerfassung'!$D$22:$D$36),1,0)*'ZD Vorerfassung'!$S$22:$S$36),
IF(OR(D79="SF",D79="FH"),SUM(IF(B79&gt;=_xlfn.NUMBERVALUE('ZD Vorerfassung'!$C$22:$C$36),1,0)*IF(B79&lt;=_xlfn.NUMBERVALUE('ZD Vorerfassung'!$D$22:$D$36),1,0)*'ZD Vorerfassung'!$T$22:$T$36*IF(D79="FH",0.5,1)),
"prüfen")))</f>
        <v>0</v>
      </c>
      <c r="BA79" s="112">
        <f t="shared" si="20"/>
        <v>10</v>
      </c>
    </row>
    <row r="80" spans="2:53" ht="19.5" thickTop="1" thickBot="1" x14ac:dyDescent="0.3">
      <c r="B80" s="99">
        <f t="shared" si="17"/>
        <v>44845</v>
      </c>
      <c r="C80" s="100">
        <f t="shared" si="21"/>
        <v>44845</v>
      </c>
      <c r="D80" s="101" t="str">
        <f t="shared" si="22"/>
        <v>NR</v>
      </c>
      <c r="E80" s="102" t="str">
        <f t="shared" si="18"/>
        <v>Unterrichtstag</v>
      </c>
      <c r="F80" s="103">
        <f t="shared" si="23"/>
        <v>0</v>
      </c>
      <c r="G80" s="104">
        <f t="shared" si="24"/>
        <v>0</v>
      </c>
      <c r="H80" s="104">
        <f>IFERROR(IF('ZD Vorerfassung'!$E$11="manuell",SUM(I80),IF(OR(E80="Feiertag",E80="Wochenende"),0,IF('ZD Vorerfassung'!$E$11="automatisch",AX80,IF(D80="UU","UU",IF(E80=Param2,AX80/24,IF(E80=Param9,AX80/48,"")))))),0)</f>
        <v>0</v>
      </c>
      <c r="I80" s="105"/>
      <c r="J80" s="106">
        <f>IF('ZD Vorerfassung'!$E$12="manuell",SUM(K80:AI80),IF(OR(E80="Feiertag",E80="Wochenende"),0,IF('ZD Vorerfassung'!$E$12="automatisch",AY80,IF(D80="UU","UU",IF(E80=Param2,AY80/24,IF(E80=Param9,AY80/48,""))))))</f>
        <v>0</v>
      </c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  <c r="AE80" s="105"/>
      <c r="AF80" s="105"/>
      <c r="AG80" s="105"/>
      <c r="AH80" s="105"/>
      <c r="AI80" s="105"/>
      <c r="AJ80" s="107">
        <f t="shared" si="25"/>
        <v>0</v>
      </c>
      <c r="AK80" s="105"/>
      <c r="AL80" s="105"/>
      <c r="AM80" s="105"/>
      <c r="AN80" s="105"/>
      <c r="AO80" s="105"/>
      <c r="AP80" s="105"/>
      <c r="AQ80" s="108">
        <f t="shared" si="26"/>
        <v>0</v>
      </c>
      <c r="AR80" s="108">
        <f t="shared" si="27"/>
        <v>0</v>
      </c>
      <c r="AS80" s="109">
        <f t="shared" si="28"/>
        <v>0</v>
      </c>
      <c r="AU80" s="110">
        <f t="shared" si="19"/>
        <v>0</v>
      </c>
      <c r="AV80" s="111">
        <f>IF(D80="NR",
IF('ZD Vorerfassung'!$E$22="",0,IF(AND(B80&gt;='ZD Vorerfassung'!$C$22,B80&lt;='ZD Vorerfassung'!$D$22),HLOOKUP(TEXT(C80,"ttt"),'ZD Vorerfassung'!$H$21:$L$36,2,0),0))+
IF('ZD Vorerfassung'!$E$23="",0,IF(AND(B80&gt;='ZD Vorerfassung'!$C$23,B80&lt;='ZD Vorerfassung'!$D$23),HLOOKUP(TEXT(C80,"ttt"),'ZD Vorerfassung'!$H$21:$L$36,3,0),0))+
IF('ZD Vorerfassung'!$E$24="",0,IF(AND(B80&gt;='ZD Vorerfassung'!$C$24,B80&lt;='ZD Vorerfassung'!$D$24),HLOOKUP(TEXT(C80,"ttt"),'ZD Vorerfassung'!$H$21:$L$36,4,0),0))+
IF('ZD Vorerfassung'!$E$25="",0,IF(AND(B80&gt;='ZD Vorerfassung'!$C$25,B80&lt;='ZD Vorerfassung'!$D$25),HLOOKUP(TEXT(C80,"ttt"),'ZD Vorerfassung'!$H$21:$L$36,5,0),0))+
IF('ZD Vorerfassung'!$E$26="",0,IF(AND(B80&gt;='ZD Vorerfassung'!$C$26,B80&lt;='ZD Vorerfassung'!$D$26),HLOOKUP(TEXT(C80,"ttt"),'ZD Vorerfassung'!$H$21:$L$36,6,0),0))+
IF('ZD Vorerfassung'!$E$27="",0,IF(AND(B80&gt;='ZD Vorerfassung'!$C$27,B80&lt;='ZD Vorerfassung'!$D$27),HLOOKUP(TEXT(C80,"ttt"),'ZD Vorerfassung'!$H$21:$L$36,7,0),0))+
IF('ZD Vorerfassung'!$E$28="",0,IF(AND(B80&gt;='ZD Vorerfassung'!$C$28,B80&lt;='ZD Vorerfassung'!$D$28),HLOOKUP(TEXT(C80,"ttt"),'ZD Vorerfassung'!$H$21:$L$36,8,0),0))+
IF('ZD Vorerfassung'!$E$29="",0,IF(AND(B80&gt;='ZD Vorerfassung'!$C$29,B80&lt;='ZD Vorerfassung'!$D$29),HLOOKUP(TEXT(C80,"ttt"),'ZD Vorerfassung'!$H$21:$L$36,9,0),0))+
IF('ZD Vorerfassung'!$E$30="",0,IF(AND(B80&gt;='ZD Vorerfassung'!$C$30,B80&lt;='ZD Vorerfassung'!$D$30),HLOOKUP(TEXT(C80,"ttt"),'ZD Vorerfassung'!$H$21:$L$36,10,0),0))+
IF('ZD Vorerfassung'!$E$31="",0,IF(AND(B80&gt;='ZD Vorerfassung'!$C$31,B80&lt;='ZD Vorerfassung'!$D$31),HLOOKUP(TEXT(C80,"ttt"),'ZD Vorerfassung'!$H$21:$L$36,11,0),0))+
IF('ZD Vorerfassung'!$E$32="",0,IF(AND(B80&gt;='ZD Vorerfassung'!$C$32,B80&lt;='ZD Vorerfassung'!$D$32),HLOOKUP(TEXT(C80,"ttt"),'ZD Vorerfassung'!$H$21:$L$36,12,0),0))+
IF('ZD Vorerfassung'!$E$33="",0,IF(AND(B80&gt;='ZD Vorerfassung'!$C$33,B80&lt;='ZD Vorerfassung'!$D$33),HLOOKUP(TEXT(C80,"ttt"),'ZD Vorerfassung'!$H$21:$L$36,13,0),0))+
IF('ZD Vorerfassung'!$E$34="",0,IF(AND(B80&gt;='ZD Vorerfassung'!$C$34,B80&lt;='ZD Vorerfassung'!$D$34),HLOOKUP(TEXT(C80,"ttt"),'ZD Vorerfassung'!$H$21:$L$36,14,0),0))+
IF('ZD Vorerfassung'!$E$35="",0,IF(AND(B80&gt;='ZD Vorerfassung'!$C$35,B80&lt;='ZD Vorerfassung'!$D$35),HLOOKUP(TEXT(C80,"ttt"),'ZD Vorerfassung'!$H$21:$L$36,15,0),0))+
IF('ZD Vorerfassung'!$E$36="",0,IF(AND(B80&gt;='ZD Vorerfassung'!$C$36,B80&lt;='ZD Vorerfassung'!$D$36),HLOOKUP(TEXT(C80,"ttt"),'ZD Vorerfassung'!$H$21:$L$36,16,0),0)),"")</f>
        <v>0</v>
      </c>
      <c r="AW80" s="110">
        <f t="array" ref="AW80">IF(OR(D80="UU",D80="FT",D80="WE"),0,
IF(D80="NR",SUM(IF(B80&gt;=_xlfn.NUMBERVALUE('ZD Vorerfassung'!$C$22:$C$36),1,0)*IF(B80&lt;=_xlfn.NUMBERVALUE('ZD Vorerfassung'!$D$22:$D$36),1,0)*'ZD Vorerfassung'!$Q$22:$Q$36),
IF(OR(D80="SF",D80="FH"),SUM(IF(B80&gt;=_xlfn.NUMBERVALUE('ZD Vorerfassung'!$C$22:$C$36),1,0)*IF(B80&lt;=_xlfn.NUMBERVALUE('ZD Vorerfassung'!$D$22:$D$36),1,0)*'ZD Vorerfassung'!$R$22:$R$36*IF(D80="FH",0.5,1)),
"prüfen")))</f>
        <v>0</v>
      </c>
      <c r="AX80" s="110">
        <f t="array" ref="AX80">IF(OR(D80="UU",D80="FT",D80="WE",E80="Ferien"),0,
IF(D80="NR",SUM(IF(B80&gt;=_xlfn.NUMBERVALUE('ZD Vorerfassung'!$C$22:$C$36),1,0)*IF(B80&lt;=_xlfn.NUMBERVALUE('ZD Vorerfassung'!$D$22:$D$36),1,0)*'ZD Vorerfassung'!$W$22:$W$36),
IF(OR(D80="SF",D80="FH"),SUM(IF(B80&gt;=_xlfn.NUMBERVALUE('ZD Vorerfassung'!$C$22:$C$36),1,0)*IF(B80&lt;=_xlfn.NUMBERVALUE('ZD Vorerfassung'!$D$22:$D$36),1,0)*'ZD Vorerfassung'!$X$22:$X$36*IF(D80="FH",0.5,1)),
"prüfen")))</f>
        <v>0</v>
      </c>
      <c r="AY80" s="110">
        <f t="array" ref="AY80">IF(OR(D80="UU",D80="FT",D80="WE",E80="Ferien"),0,
IF(D80="NR",SUM(IF(B80&gt;=_xlfn.NUMBERVALUE('ZD Vorerfassung'!$C$22:$C$36),1,0)*IF(B80&lt;=_xlfn.NUMBERVALUE('ZD Vorerfassung'!$D$22:$D$36),1,0)*'ZD Vorerfassung'!$U$22:$U$36),
IF(OR(D80="SF",D80="FH"),SUM(IF(B80&gt;=_xlfn.NUMBERVALUE('ZD Vorerfassung'!$C$22:$C$36),1,0)*IF(B80&lt;=_xlfn.NUMBERVALUE('ZD Vorerfassung'!$D$22:$D$36),1,0)*'ZD Vorerfassung'!$V$22:$V$36*IF(D80="FH",0.5,1)),
"prüfen")))</f>
        <v>0</v>
      </c>
      <c r="AZ80" s="110">
        <f t="array" ref="AZ80">IF(OR(D80="UU",D80="FT",D80="WE",E80="Ferien"),0,
IF(D80="NR",SUM(IF(B80&gt;=_xlfn.NUMBERVALUE('ZD Vorerfassung'!$C$22:$C$36),1,0)*IF(B80&lt;=_xlfn.NUMBERVALUE('ZD Vorerfassung'!$D$22:$D$36),1,0)*'ZD Vorerfassung'!$S$22:$S$36),
IF(OR(D80="SF",D80="FH"),SUM(IF(B80&gt;=_xlfn.NUMBERVALUE('ZD Vorerfassung'!$C$22:$C$36),1,0)*IF(B80&lt;=_xlfn.NUMBERVALUE('ZD Vorerfassung'!$D$22:$D$36),1,0)*'ZD Vorerfassung'!$T$22:$T$36*IF(D80="FH",0.5,1)),
"prüfen")))</f>
        <v>0</v>
      </c>
      <c r="BA80" s="112">
        <f t="shared" si="20"/>
        <v>10</v>
      </c>
    </row>
    <row r="81" spans="2:53" ht="19.5" thickTop="1" thickBot="1" x14ac:dyDescent="0.3">
      <c r="B81" s="99">
        <f t="shared" si="17"/>
        <v>44846</v>
      </c>
      <c r="C81" s="100">
        <f t="shared" si="21"/>
        <v>44846</v>
      </c>
      <c r="D81" s="101" t="str">
        <f t="shared" si="22"/>
        <v>NR</v>
      </c>
      <c r="E81" s="102" t="str">
        <f t="shared" si="18"/>
        <v>Unterrichtstag</v>
      </c>
      <c r="F81" s="103">
        <f t="shared" si="23"/>
        <v>0</v>
      </c>
      <c r="G81" s="104">
        <f t="shared" si="24"/>
        <v>0</v>
      </c>
      <c r="H81" s="104">
        <f>IFERROR(IF('ZD Vorerfassung'!$E$11="manuell",SUM(I81),IF(OR(E81="Feiertag",E81="Wochenende"),0,IF('ZD Vorerfassung'!$E$11="automatisch",AX81,IF(D81="UU","UU",IF(E81=Param2,AX81/24,IF(E81=Param9,AX81/48,"")))))),0)</f>
        <v>0</v>
      </c>
      <c r="I81" s="105"/>
      <c r="J81" s="106">
        <f>IF('ZD Vorerfassung'!$E$12="manuell",SUM(K81:AI81),IF(OR(E81="Feiertag",E81="Wochenende"),0,IF('ZD Vorerfassung'!$E$12="automatisch",AY81,IF(D81="UU","UU",IF(E81=Param2,AY81/24,IF(E81=Param9,AY81/48,""))))))</f>
        <v>0</v>
      </c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5"/>
      <c r="AI81" s="105"/>
      <c r="AJ81" s="107">
        <f t="shared" si="25"/>
        <v>0</v>
      </c>
      <c r="AK81" s="105"/>
      <c r="AL81" s="105"/>
      <c r="AM81" s="105"/>
      <c r="AN81" s="105"/>
      <c r="AO81" s="105"/>
      <c r="AP81" s="105"/>
      <c r="AQ81" s="108">
        <f t="shared" si="26"/>
        <v>0</v>
      </c>
      <c r="AR81" s="108">
        <f t="shared" si="27"/>
        <v>0</v>
      </c>
      <c r="AS81" s="109">
        <f t="shared" si="28"/>
        <v>0</v>
      </c>
      <c r="AU81" s="110">
        <f t="shared" si="19"/>
        <v>0</v>
      </c>
      <c r="AV81" s="111">
        <f>IF(D81="NR",
IF('ZD Vorerfassung'!$E$22="",0,IF(AND(B81&gt;='ZD Vorerfassung'!$C$22,B81&lt;='ZD Vorerfassung'!$D$22),HLOOKUP(TEXT(C81,"ttt"),'ZD Vorerfassung'!$H$21:$L$36,2,0),0))+
IF('ZD Vorerfassung'!$E$23="",0,IF(AND(B81&gt;='ZD Vorerfassung'!$C$23,B81&lt;='ZD Vorerfassung'!$D$23),HLOOKUP(TEXT(C81,"ttt"),'ZD Vorerfassung'!$H$21:$L$36,3,0),0))+
IF('ZD Vorerfassung'!$E$24="",0,IF(AND(B81&gt;='ZD Vorerfassung'!$C$24,B81&lt;='ZD Vorerfassung'!$D$24),HLOOKUP(TEXT(C81,"ttt"),'ZD Vorerfassung'!$H$21:$L$36,4,0),0))+
IF('ZD Vorerfassung'!$E$25="",0,IF(AND(B81&gt;='ZD Vorerfassung'!$C$25,B81&lt;='ZD Vorerfassung'!$D$25),HLOOKUP(TEXT(C81,"ttt"),'ZD Vorerfassung'!$H$21:$L$36,5,0),0))+
IF('ZD Vorerfassung'!$E$26="",0,IF(AND(B81&gt;='ZD Vorerfassung'!$C$26,B81&lt;='ZD Vorerfassung'!$D$26),HLOOKUP(TEXT(C81,"ttt"),'ZD Vorerfassung'!$H$21:$L$36,6,0),0))+
IF('ZD Vorerfassung'!$E$27="",0,IF(AND(B81&gt;='ZD Vorerfassung'!$C$27,B81&lt;='ZD Vorerfassung'!$D$27),HLOOKUP(TEXT(C81,"ttt"),'ZD Vorerfassung'!$H$21:$L$36,7,0),0))+
IF('ZD Vorerfassung'!$E$28="",0,IF(AND(B81&gt;='ZD Vorerfassung'!$C$28,B81&lt;='ZD Vorerfassung'!$D$28),HLOOKUP(TEXT(C81,"ttt"),'ZD Vorerfassung'!$H$21:$L$36,8,0),0))+
IF('ZD Vorerfassung'!$E$29="",0,IF(AND(B81&gt;='ZD Vorerfassung'!$C$29,B81&lt;='ZD Vorerfassung'!$D$29),HLOOKUP(TEXT(C81,"ttt"),'ZD Vorerfassung'!$H$21:$L$36,9,0),0))+
IF('ZD Vorerfassung'!$E$30="",0,IF(AND(B81&gt;='ZD Vorerfassung'!$C$30,B81&lt;='ZD Vorerfassung'!$D$30),HLOOKUP(TEXT(C81,"ttt"),'ZD Vorerfassung'!$H$21:$L$36,10,0),0))+
IF('ZD Vorerfassung'!$E$31="",0,IF(AND(B81&gt;='ZD Vorerfassung'!$C$31,B81&lt;='ZD Vorerfassung'!$D$31),HLOOKUP(TEXT(C81,"ttt"),'ZD Vorerfassung'!$H$21:$L$36,11,0),0))+
IF('ZD Vorerfassung'!$E$32="",0,IF(AND(B81&gt;='ZD Vorerfassung'!$C$32,B81&lt;='ZD Vorerfassung'!$D$32),HLOOKUP(TEXT(C81,"ttt"),'ZD Vorerfassung'!$H$21:$L$36,12,0),0))+
IF('ZD Vorerfassung'!$E$33="",0,IF(AND(B81&gt;='ZD Vorerfassung'!$C$33,B81&lt;='ZD Vorerfassung'!$D$33),HLOOKUP(TEXT(C81,"ttt"),'ZD Vorerfassung'!$H$21:$L$36,13,0),0))+
IF('ZD Vorerfassung'!$E$34="",0,IF(AND(B81&gt;='ZD Vorerfassung'!$C$34,B81&lt;='ZD Vorerfassung'!$D$34),HLOOKUP(TEXT(C81,"ttt"),'ZD Vorerfassung'!$H$21:$L$36,14,0),0))+
IF('ZD Vorerfassung'!$E$35="",0,IF(AND(B81&gt;='ZD Vorerfassung'!$C$35,B81&lt;='ZD Vorerfassung'!$D$35),HLOOKUP(TEXT(C81,"ttt"),'ZD Vorerfassung'!$H$21:$L$36,15,0),0))+
IF('ZD Vorerfassung'!$E$36="",0,IF(AND(B81&gt;='ZD Vorerfassung'!$C$36,B81&lt;='ZD Vorerfassung'!$D$36),HLOOKUP(TEXT(C81,"ttt"),'ZD Vorerfassung'!$H$21:$L$36,16,0),0)),"")</f>
        <v>0</v>
      </c>
      <c r="AW81" s="110">
        <f t="array" ref="AW81">IF(OR(D81="UU",D81="FT",D81="WE"),0,
IF(D81="NR",SUM(IF(B81&gt;=_xlfn.NUMBERVALUE('ZD Vorerfassung'!$C$22:$C$36),1,0)*IF(B81&lt;=_xlfn.NUMBERVALUE('ZD Vorerfassung'!$D$22:$D$36),1,0)*'ZD Vorerfassung'!$Q$22:$Q$36),
IF(OR(D81="SF",D81="FH"),SUM(IF(B81&gt;=_xlfn.NUMBERVALUE('ZD Vorerfassung'!$C$22:$C$36),1,0)*IF(B81&lt;=_xlfn.NUMBERVALUE('ZD Vorerfassung'!$D$22:$D$36),1,0)*'ZD Vorerfassung'!$R$22:$R$36*IF(D81="FH",0.5,1)),
"prüfen")))</f>
        <v>0</v>
      </c>
      <c r="AX81" s="110">
        <f t="array" ref="AX81">IF(OR(D81="UU",D81="FT",D81="WE",E81="Ferien"),0,
IF(D81="NR",SUM(IF(B81&gt;=_xlfn.NUMBERVALUE('ZD Vorerfassung'!$C$22:$C$36),1,0)*IF(B81&lt;=_xlfn.NUMBERVALUE('ZD Vorerfassung'!$D$22:$D$36),1,0)*'ZD Vorerfassung'!$W$22:$W$36),
IF(OR(D81="SF",D81="FH"),SUM(IF(B81&gt;=_xlfn.NUMBERVALUE('ZD Vorerfassung'!$C$22:$C$36),1,0)*IF(B81&lt;=_xlfn.NUMBERVALUE('ZD Vorerfassung'!$D$22:$D$36),1,0)*'ZD Vorerfassung'!$X$22:$X$36*IF(D81="FH",0.5,1)),
"prüfen")))</f>
        <v>0</v>
      </c>
      <c r="AY81" s="110">
        <f t="array" ref="AY81">IF(OR(D81="UU",D81="FT",D81="WE",E81="Ferien"),0,
IF(D81="NR",SUM(IF(B81&gt;=_xlfn.NUMBERVALUE('ZD Vorerfassung'!$C$22:$C$36),1,0)*IF(B81&lt;=_xlfn.NUMBERVALUE('ZD Vorerfassung'!$D$22:$D$36),1,0)*'ZD Vorerfassung'!$U$22:$U$36),
IF(OR(D81="SF",D81="FH"),SUM(IF(B81&gt;=_xlfn.NUMBERVALUE('ZD Vorerfassung'!$C$22:$C$36),1,0)*IF(B81&lt;=_xlfn.NUMBERVALUE('ZD Vorerfassung'!$D$22:$D$36),1,0)*'ZD Vorerfassung'!$V$22:$V$36*IF(D81="FH",0.5,1)),
"prüfen")))</f>
        <v>0</v>
      </c>
      <c r="AZ81" s="110">
        <f t="array" ref="AZ81">IF(OR(D81="UU",D81="FT",D81="WE",E81="Ferien"),0,
IF(D81="NR",SUM(IF(B81&gt;=_xlfn.NUMBERVALUE('ZD Vorerfassung'!$C$22:$C$36),1,0)*IF(B81&lt;=_xlfn.NUMBERVALUE('ZD Vorerfassung'!$D$22:$D$36),1,0)*'ZD Vorerfassung'!$S$22:$S$36),
IF(OR(D81="SF",D81="FH"),SUM(IF(B81&gt;=_xlfn.NUMBERVALUE('ZD Vorerfassung'!$C$22:$C$36),1,0)*IF(B81&lt;=_xlfn.NUMBERVALUE('ZD Vorerfassung'!$D$22:$D$36),1,0)*'ZD Vorerfassung'!$T$22:$T$36*IF(D81="FH",0.5,1)),
"prüfen")))</f>
        <v>0</v>
      </c>
      <c r="BA81" s="112">
        <f t="shared" si="20"/>
        <v>10</v>
      </c>
    </row>
    <row r="82" spans="2:53" ht="19.5" thickTop="1" thickBot="1" x14ac:dyDescent="0.3">
      <c r="B82" s="99">
        <f t="shared" si="17"/>
        <v>44847</v>
      </c>
      <c r="C82" s="100">
        <f t="shared" si="21"/>
        <v>44847</v>
      </c>
      <c r="D82" s="101" t="str">
        <f t="shared" si="22"/>
        <v>NR</v>
      </c>
      <c r="E82" s="102" t="str">
        <f t="shared" si="18"/>
        <v>Unterrichtstag</v>
      </c>
      <c r="F82" s="103">
        <f t="shared" si="23"/>
        <v>0</v>
      </c>
      <c r="G82" s="104">
        <f t="shared" si="24"/>
        <v>0</v>
      </c>
      <c r="H82" s="104">
        <f>IFERROR(IF('ZD Vorerfassung'!$E$11="manuell",SUM(I82),IF(OR(E82="Feiertag",E82="Wochenende"),0,IF('ZD Vorerfassung'!$E$11="automatisch",AX82,IF(D82="UU","UU",IF(E82=Param2,AX82/24,IF(E82=Param9,AX82/48,"")))))),0)</f>
        <v>0</v>
      </c>
      <c r="I82" s="105"/>
      <c r="J82" s="106">
        <f>IF('ZD Vorerfassung'!$E$12="manuell",SUM(K82:AI82),IF(OR(E82="Feiertag",E82="Wochenende"),0,IF('ZD Vorerfassung'!$E$12="automatisch",AY82,IF(D82="UU","UU",IF(E82=Param2,AY82/24,IF(E82=Param9,AY82/48,""))))))</f>
        <v>0</v>
      </c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  <c r="AE82" s="105"/>
      <c r="AF82" s="105"/>
      <c r="AG82" s="105"/>
      <c r="AH82" s="105"/>
      <c r="AI82" s="105"/>
      <c r="AJ82" s="107">
        <f t="shared" si="25"/>
        <v>0</v>
      </c>
      <c r="AK82" s="105"/>
      <c r="AL82" s="105"/>
      <c r="AM82" s="105"/>
      <c r="AN82" s="105"/>
      <c r="AO82" s="105"/>
      <c r="AP82" s="105"/>
      <c r="AQ82" s="108">
        <f t="shared" si="26"/>
        <v>0</v>
      </c>
      <c r="AR82" s="108">
        <f t="shared" si="27"/>
        <v>0</v>
      </c>
      <c r="AS82" s="109">
        <f t="shared" si="28"/>
        <v>0</v>
      </c>
      <c r="AU82" s="110">
        <f t="shared" si="19"/>
        <v>0</v>
      </c>
      <c r="AV82" s="111">
        <f>IF(D82="NR",
IF('ZD Vorerfassung'!$E$22="",0,IF(AND(B82&gt;='ZD Vorerfassung'!$C$22,B82&lt;='ZD Vorerfassung'!$D$22),HLOOKUP(TEXT(C82,"ttt"),'ZD Vorerfassung'!$H$21:$L$36,2,0),0))+
IF('ZD Vorerfassung'!$E$23="",0,IF(AND(B82&gt;='ZD Vorerfassung'!$C$23,B82&lt;='ZD Vorerfassung'!$D$23),HLOOKUP(TEXT(C82,"ttt"),'ZD Vorerfassung'!$H$21:$L$36,3,0),0))+
IF('ZD Vorerfassung'!$E$24="",0,IF(AND(B82&gt;='ZD Vorerfassung'!$C$24,B82&lt;='ZD Vorerfassung'!$D$24),HLOOKUP(TEXT(C82,"ttt"),'ZD Vorerfassung'!$H$21:$L$36,4,0),0))+
IF('ZD Vorerfassung'!$E$25="",0,IF(AND(B82&gt;='ZD Vorerfassung'!$C$25,B82&lt;='ZD Vorerfassung'!$D$25),HLOOKUP(TEXT(C82,"ttt"),'ZD Vorerfassung'!$H$21:$L$36,5,0),0))+
IF('ZD Vorerfassung'!$E$26="",0,IF(AND(B82&gt;='ZD Vorerfassung'!$C$26,B82&lt;='ZD Vorerfassung'!$D$26),HLOOKUP(TEXT(C82,"ttt"),'ZD Vorerfassung'!$H$21:$L$36,6,0),0))+
IF('ZD Vorerfassung'!$E$27="",0,IF(AND(B82&gt;='ZD Vorerfassung'!$C$27,B82&lt;='ZD Vorerfassung'!$D$27),HLOOKUP(TEXT(C82,"ttt"),'ZD Vorerfassung'!$H$21:$L$36,7,0),0))+
IF('ZD Vorerfassung'!$E$28="",0,IF(AND(B82&gt;='ZD Vorerfassung'!$C$28,B82&lt;='ZD Vorerfassung'!$D$28),HLOOKUP(TEXT(C82,"ttt"),'ZD Vorerfassung'!$H$21:$L$36,8,0),0))+
IF('ZD Vorerfassung'!$E$29="",0,IF(AND(B82&gt;='ZD Vorerfassung'!$C$29,B82&lt;='ZD Vorerfassung'!$D$29),HLOOKUP(TEXT(C82,"ttt"),'ZD Vorerfassung'!$H$21:$L$36,9,0),0))+
IF('ZD Vorerfassung'!$E$30="",0,IF(AND(B82&gt;='ZD Vorerfassung'!$C$30,B82&lt;='ZD Vorerfassung'!$D$30),HLOOKUP(TEXT(C82,"ttt"),'ZD Vorerfassung'!$H$21:$L$36,10,0),0))+
IF('ZD Vorerfassung'!$E$31="",0,IF(AND(B82&gt;='ZD Vorerfassung'!$C$31,B82&lt;='ZD Vorerfassung'!$D$31),HLOOKUP(TEXT(C82,"ttt"),'ZD Vorerfassung'!$H$21:$L$36,11,0),0))+
IF('ZD Vorerfassung'!$E$32="",0,IF(AND(B82&gt;='ZD Vorerfassung'!$C$32,B82&lt;='ZD Vorerfassung'!$D$32),HLOOKUP(TEXT(C82,"ttt"),'ZD Vorerfassung'!$H$21:$L$36,12,0),0))+
IF('ZD Vorerfassung'!$E$33="",0,IF(AND(B82&gt;='ZD Vorerfassung'!$C$33,B82&lt;='ZD Vorerfassung'!$D$33),HLOOKUP(TEXT(C82,"ttt"),'ZD Vorerfassung'!$H$21:$L$36,13,0),0))+
IF('ZD Vorerfassung'!$E$34="",0,IF(AND(B82&gt;='ZD Vorerfassung'!$C$34,B82&lt;='ZD Vorerfassung'!$D$34),HLOOKUP(TEXT(C82,"ttt"),'ZD Vorerfassung'!$H$21:$L$36,14,0),0))+
IF('ZD Vorerfassung'!$E$35="",0,IF(AND(B82&gt;='ZD Vorerfassung'!$C$35,B82&lt;='ZD Vorerfassung'!$D$35),HLOOKUP(TEXT(C82,"ttt"),'ZD Vorerfassung'!$H$21:$L$36,15,0),0))+
IF('ZD Vorerfassung'!$E$36="",0,IF(AND(B82&gt;='ZD Vorerfassung'!$C$36,B82&lt;='ZD Vorerfassung'!$D$36),HLOOKUP(TEXT(C82,"ttt"),'ZD Vorerfassung'!$H$21:$L$36,16,0),0)),"")</f>
        <v>0</v>
      </c>
      <c r="AW82" s="110">
        <f t="array" ref="AW82">IF(OR(D82="UU",D82="FT",D82="WE"),0,
IF(D82="NR",SUM(IF(B82&gt;=_xlfn.NUMBERVALUE('ZD Vorerfassung'!$C$22:$C$36),1,0)*IF(B82&lt;=_xlfn.NUMBERVALUE('ZD Vorerfassung'!$D$22:$D$36),1,0)*'ZD Vorerfassung'!$Q$22:$Q$36),
IF(OR(D82="SF",D82="FH"),SUM(IF(B82&gt;=_xlfn.NUMBERVALUE('ZD Vorerfassung'!$C$22:$C$36),1,0)*IF(B82&lt;=_xlfn.NUMBERVALUE('ZD Vorerfassung'!$D$22:$D$36),1,0)*'ZD Vorerfassung'!$R$22:$R$36*IF(D82="FH",0.5,1)),
"prüfen")))</f>
        <v>0</v>
      </c>
      <c r="AX82" s="110">
        <f t="array" ref="AX82">IF(OR(D82="UU",D82="FT",D82="WE",E82="Ferien"),0,
IF(D82="NR",SUM(IF(B82&gt;=_xlfn.NUMBERVALUE('ZD Vorerfassung'!$C$22:$C$36),1,0)*IF(B82&lt;=_xlfn.NUMBERVALUE('ZD Vorerfassung'!$D$22:$D$36),1,0)*'ZD Vorerfassung'!$W$22:$W$36),
IF(OR(D82="SF",D82="FH"),SUM(IF(B82&gt;=_xlfn.NUMBERVALUE('ZD Vorerfassung'!$C$22:$C$36),1,0)*IF(B82&lt;=_xlfn.NUMBERVALUE('ZD Vorerfassung'!$D$22:$D$36),1,0)*'ZD Vorerfassung'!$X$22:$X$36*IF(D82="FH",0.5,1)),
"prüfen")))</f>
        <v>0</v>
      </c>
      <c r="AY82" s="110">
        <f t="array" ref="AY82">IF(OR(D82="UU",D82="FT",D82="WE",E82="Ferien"),0,
IF(D82="NR",SUM(IF(B82&gt;=_xlfn.NUMBERVALUE('ZD Vorerfassung'!$C$22:$C$36),1,0)*IF(B82&lt;=_xlfn.NUMBERVALUE('ZD Vorerfassung'!$D$22:$D$36),1,0)*'ZD Vorerfassung'!$U$22:$U$36),
IF(OR(D82="SF",D82="FH"),SUM(IF(B82&gt;=_xlfn.NUMBERVALUE('ZD Vorerfassung'!$C$22:$C$36),1,0)*IF(B82&lt;=_xlfn.NUMBERVALUE('ZD Vorerfassung'!$D$22:$D$36),1,0)*'ZD Vorerfassung'!$V$22:$V$36*IF(D82="FH",0.5,1)),
"prüfen")))</f>
        <v>0</v>
      </c>
      <c r="AZ82" s="110">
        <f t="array" ref="AZ82">IF(OR(D82="UU",D82="FT",D82="WE",E82="Ferien"),0,
IF(D82="NR",SUM(IF(B82&gt;=_xlfn.NUMBERVALUE('ZD Vorerfassung'!$C$22:$C$36),1,0)*IF(B82&lt;=_xlfn.NUMBERVALUE('ZD Vorerfassung'!$D$22:$D$36),1,0)*'ZD Vorerfassung'!$S$22:$S$36),
IF(OR(D82="SF",D82="FH"),SUM(IF(B82&gt;=_xlfn.NUMBERVALUE('ZD Vorerfassung'!$C$22:$C$36),1,0)*IF(B82&lt;=_xlfn.NUMBERVALUE('ZD Vorerfassung'!$D$22:$D$36),1,0)*'ZD Vorerfassung'!$T$22:$T$36*IF(D82="FH",0.5,1)),
"prüfen")))</f>
        <v>0</v>
      </c>
      <c r="BA82" s="112">
        <f t="shared" si="20"/>
        <v>10</v>
      </c>
    </row>
    <row r="83" spans="2:53" ht="19.5" thickTop="1" thickBot="1" x14ac:dyDescent="0.3">
      <c r="B83" s="99">
        <f t="shared" si="17"/>
        <v>44848</v>
      </c>
      <c r="C83" s="100">
        <f t="shared" si="21"/>
        <v>44848</v>
      </c>
      <c r="D83" s="101" t="str">
        <f t="shared" si="22"/>
        <v>NR</v>
      </c>
      <c r="E83" s="102" t="str">
        <f t="shared" si="18"/>
        <v>Unterrichtstag</v>
      </c>
      <c r="F83" s="103">
        <f t="shared" si="23"/>
        <v>0</v>
      </c>
      <c r="G83" s="104">
        <f t="shared" si="24"/>
        <v>0</v>
      </c>
      <c r="H83" s="104">
        <f>IFERROR(IF('ZD Vorerfassung'!$E$11="manuell",SUM(I83),IF(OR(E83="Feiertag",E83="Wochenende"),0,IF('ZD Vorerfassung'!$E$11="automatisch",AX83,IF(D83="UU","UU",IF(E83=Param2,AX83/24,IF(E83=Param9,AX83/48,"")))))),0)</f>
        <v>0</v>
      </c>
      <c r="I83" s="105"/>
      <c r="J83" s="106">
        <f>IF('ZD Vorerfassung'!$E$12="manuell",SUM(K83:AI83),IF(OR(E83="Feiertag",E83="Wochenende"),0,IF('ZD Vorerfassung'!$E$12="automatisch",AY83,IF(D83="UU","UU",IF(E83=Param2,AY83/24,IF(E83=Param9,AY83/48,""))))))</f>
        <v>0</v>
      </c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  <c r="AE83" s="105"/>
      <c r="AF83" s="105"/>
      <c r="AG83" s="105"/>
      <c r="AH83" s="105"/>
      <c r="AI83" s="105"/>
      <c r="AJ83" s="107">
        <f t="shared" si="25"/>
        <v>0</v>
      </c>
      <c r="AK83" s="105"/>
      <c r="AL83" s="105"/>
      <c r="AM83" s="105"/>
      <c r="AN83" s="105"/>
      <c r="AO83" s="105"/>
      <c r="AP83" s="105"/>
      <c r="AQ83" s="108">
        <f t="shared" si="26"/>
        <v>0</v>
      </c>
      <c r="AR83" s="108">
        <f t="shared" si="27"/>
        <v>0</v>
      </c>
      <c r="AS83" s="109">
        <f t="shared" si="28"/>
        <v>0</v>
      </c>
      <c r="AU83" s="110">
        <f t="shared" si="19"/>
        <v>0</v>
      </c>
      <c r="AV83" s="111">
        <f>IF(D83="NR",
IF('ZD Vorerfassung'!$E$22="",0,IF(AND(B83&gt;='ZD Vorerfassung'!$C$22,B83&lt;='ZD Vorerfassung'!$D$22),HLOOKUP(TEXT(C83,"ttt"),'ZD Vorerfassung'!$H$21:$L$36,2,0),0))+
IF('ZD Vorerfassung'!$E$23="",0,IF(AND(B83&gt;='ZD Vorerfassung'!$C$23,B83&lt;='ZD Vorerfassung'!$D$23),HLOOKUP(TEXT(C83,"ttt"),'ZD Vorerfassung'!$H$21:$L$36,3,0),0))+
IF('ZD Vorerfassung'!$E$24="",0,IF(AND(B83&gt;='ZD Vorerfassung'!$C$24,B83&lt;='ZD Vorerfassung'!$D$24),HLOOKUP(TEXT(C83,"ttt"),'ZD Vorerfassung'!$H$21:$L$36,4,0),0))+
IF('ZD Vorerfassung'!$E$25="",0,IF(AND(B83&gt;='ZD Vorerfassung'!$C$25,B83&lt;='ZD Vorerfassung'!$D$25),HLOOKUP(TEXT(C83,"ttt"),'ZD Vorerfassung'!$H$21:$L$36,5,0),0))+
IF('ZD Vorerfassung'!$E$26="",0,IF(AND(B83&gt;='ZD Vorerfassung'!$C$26,B83&lt;='ZD Vorerfassung'!$D$26),HLOOKUP(TEXT(C83,"ttt"),'ZD Vorerfassung'!$H$21:$L$36,6,0),0))+
IF('ZD Vorerfassung'!$E$27="",0,IF(AND(B83&gt;='ZD Vorerfassung'!$C$27,B83&lt;='ZD Vorerfassung'!$D$27),HLOOKUP(TEXT(C83,"ttt"),'ZD Vorerfassung'!$H$21:$L$36,7,0),0))+
IF('ZD Vorerfassung'!$E$28="",0,IF(AND(B83&gt;='ZD Vorerfassung'!$C$28,B83&lt;='ZD Vorerfassung'!$D$28),HLOOKUP(TEXT(C83,"ttt"),'ZD Vorerfassung'!$H$21:$L$36,8,0),0))+
IF('ZD Vorerfassung'!$E$29="",0,IF(AND(B83&gt;='ZD Vorerfassung'!$C$29,B83&lt;='ZD Vorerfassung'!$D$29),HLOOKUP(TEXT(C83,"ttt"),'ZD Vorerfassung'!$H$21:$L$36,9,0),0))+
IF('ZD Vorerfassung'!$E$30="",0,IF(AND(B83&gt;='ZD Vorerfassung'!$C$30,B83&lt;='ZD Vorerfassung'!$D$30),HLOOKUP(TEXT(C83,"ttt"),'ZD Vorerfassung'!$H$21:$L$36,10,0),0))+
IF('ZD Vorerfassung'!$E$31="",0,IF(AND(B83&gt;='ZD Vorerfassung'!$C$31,B83&lt;='ZD Vorerfassung'!$D$31),HLOOKUP(TEXT(C83,"ttt"),'ZD Vorerfassung'!$H$21:$L$36,11,0),0))+
IF('ZD Vorerfassung'!$E$32="",0,IF(AND(B83&gt;='ZD Vorerfassung'!$C$32,B83&lt;='ZD Vorerfassung'!$D$32),HLOOKUP(TEXT(C83,"ttt"),'ZD Vorerfassung'!$H$21:$L$36,12,0),0))+
IF('ZD Vorerfassung'!$E$33="",0,IF(AND(B83&gt;='ZD Vorerfassung'!$C$33,B83&lt;='ZD Vorerfassung'!$D$33),HLOOKUP(TEXT(C83,"ttt"),'ZD Vorerfassung'!$H$21:$L$36,13,0),0))+
IF('ZD Vorerfassung'!$E$34="",0,IF(AND(B83&gt;='ZD Vorerfassung'!$C$34,B83&lt;='ZD Vorerfassung'!$D$34),HLOOKUP(TEXT(C83,"ttt"),'ZD Vorerfassung'!$H$21:$L$36,14,0),0))+
IF('ZD Vorerfassung'!$E$35="",0,IF(AND(B83&gt;='ZD Vorerfassung'!$C$35,B83&lt;='ZD Vorerfassung'!$D$35),HLOOKUP(TEXT(C83,"ttt"),'ZD Vorerfassung'!$H$21:$L$36,15,0),0))+
IF('ZD Vorerfassung'!$E$36="",0,IF(AND(B83&gt;='ZD Vorerfassung'!$C$36,B83&lt;='ZD Vorerfassung'!$D$36),HLOOKUP(TEXT(C83,"ttt"),'ZD Vorerfassung'!$H$21:$L$36,16,0),0)),"")</f>
        <v>0</v>
      </c>
      <c r="AW83" s="110">
        <f t="array" ref="AW83">IF(OR(D83="UU",D83="FT",D83="WE"),0,
IF(D83="NR",SUM(IF(B83&gt;=_xlfn.NUMBERVALUE('ZD Vorerfassung'!$C$22:$C$36),1,0)*IF(B83&lt;=_xlfn.NUMBERVALUE('ZD Vorerfassung'!$D$22:$D$36),1,0)*'ZD Vorerfassung'!$Q$22:$Q$36),
IF(OR(D83="SF",D83="FH"),SUM(IF(B83&gt;=_xlfn.NUMBERVALUE('ZD Vorerfassung'!$C$22:$C$36),1,0)*IF(B83&lt;=_xlfn.NUMBERVALUE('ZD Vorerfassung'!$D$22:$D$36),1,0)*'ZD Vorerfassung'!$R$22:$R$36*IF(D83="FH",0.5,1)),
"prüfen")))</f>
        <v>0</v>
      </c>
      <c r="AX83" s="110">
        <f t="array" ref="AX83">IF(OR(D83="UU",D83="FT",D83="WE",E83="Ferien"),0,
IF(D83="NR",SUM(IF(B83&gt;=_xlfn.NUMBERVALUE('ZD Vorerfassung'!$C$22:$C$36),1,0)*IF(B83&lt;=_xlfn.NUMBERVALUE('ZD Vorerfassung'!$D$22:$D$36),1,0)*'ZD Vorerfassung'!$W$22:$W$36),
IF(OR(D83="SF",D83="FH"),SUM(IF(B83&gt;=_xlfn.NUMBERVALUE('ZD Vorerfassung'!$C$22:$C$36),1,0)*IF(B83&lt;=_xlfn.NUMBERVALUE('ZD Vorerfassung'!$D$22:$D$36),1,0)*'ZD Vorerfassung'!$X$22:$X$36*IF(D83="FH",0.5,1)),
"prüfen")))</f>
        <v>0</v>
      </c>
      <c r="AY83" s="110">
        <f t="array" ref="AY83">IF(OR(D83="UU",D83="FT",D83="WE",E83="Ferien"),0,
IF(D83="NR",SUM(IF(B83&gt;=_xlfn.NUMBERVALUE('ZD Vorerfassung'!$C$22:$C$36),1,0)*IF(B83&lt;=_xlfn.NUMBERVALUE('ZD Vorerfassung'!$D$22:$D$36),1,0)*'ZD Vorerfassung'!$U$22:$U$36),
IF(OR(D83="SF",D83="FH"),SUM(IF(B83&gt;=_xlfn.NUMBERVALUE('ZD Vorerfassung'!$C$22:$C$36),1,0)*IF(B83&lt;=_xlfn.NUMBERVALUE('ZD Vorerfassung'!$D$22:$D$36),1,0)*'ZD Vorerfassung'!$V$22:$V$36*IF(D83="FH",0.5,1)),
"prüfen")))</f>
        <v>0</v>
      </c>
      <c r="AZ83" s="110">
        <f t="array" ref="AZ83">IF(OR(D83="UU",D83="FT",D83="WE",E83="Ferien"),0,
IF(D83="NR",SUM(IF(B83&gt;=_xlfn.NUMBERVALUE('ZD Vorerfassung'!$C$22:$C$36),1,0)*IF(B83&lt;=_xlfn.NUMBERVALUE('ZD Vorerfassung'!$D$22:$D$36),1,0)*'ZD Vorerfassung'!$S$22:$S$36),
IF(OR(D83="SF",D83="FH"),SUM(IF(B83&gt;=_xlfn.NUMBERVALUE('ZD Vorerfassung'!$C$22:$C$36),1,0)*IF(B83&lt;=_xlfn.NUMBERVALUE('ZD Vorerfassung'!$D$22:$D$36),1,0)*'ZD Vorerfassung'!$T$22:$T$36*IF(D83="FH",0.5,1)),
"prüfen")))</f>
        <v>0</v>
      </c>
      <c r="BA83" s="112">
        <f t="shared" si="20"/>
        <v>10</v>
      </c>
    </row>
    <row r="84" spans="2:53" ht="19.5" thickTop="1" thickBot="1" x14ac:dyDescent="0.3">
      <c r="B84" s="99">
        <f t="shared" si="17"/>
        <v>44849</v>
      </c>
      <c r="C84" s="100">
        <f t="shared" si="21"/>
        <v>44849</v>
      </c>
      <c r="D84" s="101" t="str">
        <f t="shared" si="22"/>
        <v>NR</v>
      </c>
      <c r="E84" s="102" t="str">
        <f t="shared" si="18"/>
        <v>Unterrichtstag</v>
      </c>
      <c r="F84" s="103">
        <f t="shared" si="23"/>
        <v>0</v>
      </c>
      <c r="G84" s="104">
        <f t="shared" si="24"/>
        <v>0</v>
      </c>
      <c r="H84" s="104">
        <f>IFERROR(IF('ZD Vorerfassung'!$E$11="manuell",SUM(I84),IF(OR(E84="Feiertag",E84="Wochenende"),0,IF('ZD Vorerfassung'!$E$11="automatisch",AX84,IF(D84="UU","UU",IF(E84=Param2,AX84/24,IF(E84=Param9,AX84/48,"")))))),0)</f>
        <v>0</v>
      </c>
      <c r="I84" s="105"/>
      <c r="J84" s="106">
        <f>IF('ZD Vorerfassung'!$E$12="manuell",SUM(K84:AI84),IF(OR(E84="Feiertag",E84="Wochenende"),0,IF('ZD Vorerfassung'!$E$12="automatisch",AY84,IF(D84="UU","UU",IF(E84=Param2,AY84/24,IF(E84=Param9,AY84/48,""))))))</f>
        <v>0</v>
      </c>
      <c r="K84" s="105"/>
      <c r="L84" s="105"/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  <c r="AE84" s="105"/>
      <c r="AF84" s="105"/>
      <c r="AG84" s="105"/>
      <c r="AH84" s="105"/>
      <c r="AI84" s="105"/>
      <c r="AJ84" s="107">
        <f t="shared" si="25"/>
        <v>0</v>
      </c>
      <c r="AK84" s="105"/>
      <c r="AL84" s="105"/>
      <c r="AM84" s="105"/>
      <c r="AN84" s="105"/>
      <c r="AO84" s="105"/>
      <c r="AP84" s="105"/>
      <c r="AQ84" s="108">
        <f t="shared" si="26"/>
        <v>0</v>
      </c>
      <c r="AR84" s="108">
        <f t="shared" si="27"/>
        <v>0</v>
      </c>
      <c r="AS84" s="109">
        <f t="shared" si="28"/>
        <v>0</v>
      </c>
      <c r="AU84" s="110">
        <f t="shared" si="19"/>
        <v>0</v>
      </c>
      <c r="AV84" s="111">
        <f>IF(D84="NR",
IF('ZD Vorerfassung'!$E$22="",0,IF(AND(B84&gt;='ZD Vorerfassung'!$C$22,B84&lt;='ZD Vorerfassung'!$D$22),HLOOKUP(TEXT(C84,"ttt"),'ZD Vorerfassung'!$H$21:$L$36,2,0),0))+
IF('ZD Vorerfassung'!$E$23="",0,IF(AND(B84&gt;='ZD Vorerfassung'!$C$23,B84&lt;='ZD Vorerfassung'!$D$23),HLOOKUP(TEXT(C84,"ttt"),'ZD Vorerfassung'!$H$21:$L$36,3,0),0))+
IF('ZD Vorerfassung'!$E$24="",0,IF(AND(B84&gt;='ZD Vorerfassung'!$C$24,B84&lt;='ZD Vorerfassung'!$D$24),HLOOKUP(TEXT(C84,"ttt"),'ZD Vorerfassung'!$H$21:$L$36,4,0),0))+
IF('ZD Vorerfassung'!$E$25="",0,IF(AND(B84&gt;='ZD Vorerfassung'!$C$25,B84&lt;='ZD Vorerfassung'!$D$25),HLOOKUP(TEXT(C84,"ttt"),'ZD Vorerfassung'!$H$21:$L$36,5,0),0))+
IF('ZD Vorerfassung'!$E$26="",0,IF(AND(B84&gt;='ZD Vorerfassung'!$C$26,B84&lt;='ZD Vorerfassung'!$D$26),HLOOKUP(TEXT(C84,"ttt"),'ZD Vorerfassung'!$H$21:$L$36,6,0),0))+
IF('ZD Vorerfassung'!$E$27="",0,IF(AND(B84&gt;='ZD Vorerfassung'!$C$27,B84&lt;='ZD Vorerfassung'!$D$27),HLOOKUP(TEXT(C84,"ttt"),'ZD Vorerfassung'!$H$21:$L$36,7,0),0))+
IF('ZD Vorerfassung'!$E$28="",0,IF(AND(B84&gt;='ZD Vorerfassung'!$C$28,B84&lt;='ZD Vorerfassung'!$D$28),HLOOKUP(TEXT(C84,"ttt"),'ZD Vorerfassung'!$H$21:$L$36,8,0),0))+
IF('ZD Vorerfassung'!$E$29="",0,IF(AND(B84&gt;='ZD Vorerfassung'!$C$29,B84&lt;='ZD Vorerfassung'!$D$29),HLOOKUP(TEXT(C84,"ttt"),'ZD Vorerfassung'!$H$21:$L$36,9,0),0))+
IF('ZD Vorerfassung'!$E$30="",0,IF(AND(B84&gt;='ZD Vorerfassung'!$C$30,B84&lt;='ZD Vorerfassung'!$D$30),HLOOKUP(TEXT(C84,"ttt"),'ZD Vorerfassung'!$H$21:$L$36,10,0),0))+
IF('ZD Vorerfassung'!$E$31="",0,IF(AND(B84&gt;='ZD Vorerfassung'!$C$31,B84&lt;='ZD Vorerfassung'!$D$31),HLOOKUP(TEXT(C84,"ttt"),'ZD Vorerfassung'!$H$21:$L$36,11,0),0))+
IF('ZD Vorerfassung'!$E$32="",0,IF(AND(B84&gt;='ZD Vorerfassung'!$C$32,B84&lt;='ZD Vorerfassung'!$D$32),HLOOKUP(TEXT(C84,"ttt"),'ZD Vorerfassung'!$H$21:$L$36,12,0),0))+
IF('ZD Vorerfassung'!$E$33="",0,IF(AND(B84&gt;='ZD Vorerfassung'!$C$33,B84&lt;='ZD Vorerfassung'!$D$33),HLOOKUP(TEXT(C84,"ttt"),'ZD Vorerfassung'!$H$21:$L$36,13,0),0))+
IF('ZD Vorerfassung'!$E$34="",0,IF(AND(B84&gt;='ZD Vorerfassung'!$C$34,B84&lt;='ZD Vorerfassung'!$D$34),HLOOKUP(TEXT(C84,"ttt"),'ZD Vorerfassung'!$H$21:$L$36,14,0),0))+
IF('ZD Vorerfassung'!$E$35="",0,IF(AND(B84&gt;='ZD Vorerfassung'!$C$35,B84&lt;='ZD Vorerfassung'!$D$35),HLOOKUP(TEXT(C84,"ttt"),'ZD Vorerfassung'!$H$21:$L$36,15,0),0))+
IF('ZD Vorerfassung'!$E$36="",0,IF(AND(B84&gt;='ZD Vorerfassung'!$C$36,B84&lt;='ZD Vorerfassung'!$D$36),HLOOKUP(TEXT(C84,"ttt"),'ZD Vorerfassung'!$H$21:$L$36,16,0),0)),"")</f>
        <v>0</v>
      </c>
      <c r="AW84" s="110">
        <f t="array" ref="AW84">IF(OR(D84="UU",D84="FT",D84="WE"),0,
IF(D84="NR",SUM(IF(B84&gt;=_xlfn.NUMBERVALUE('ZD Vorerfassung'!$C$22:$C$36),1,0)*IF(B84&lt;=_xlfn.NUMBERVALUE('ZD Vorerfassung'!$D$22:$D$36),1,0)*'ZD Vorerfassung'!$Q$22:$Q$36),
IF(OR(D84="SF",D84="FH"),SUM(IF(B84&gt;=_xlfn.NUMBERVALUE('ZD Vorerfassung'!$C$22:$C$36),1,0)*IF(B84&lt;=_xlfn.NUMBERVALUE('ZD Vorerfassung'!$D$22:$D$36),1,0)*'ZD Vorerfassung'!$R$22:$R$36*IF(D84="FH",0.5,1)),
"prüfen")))</f>
        <v>0</v>
      </c>
      <c r="AX84" s="110">
        <f t="array" ref="AX84">IF(OR(D84="UU",D84="FT",D84="WE",E84="Ferien"),0,
IF(D84="NR",SUM(IF(B84&gt;=_xlfn.NUMBERVALUE('ZD Vorerfassung'!$C$22:$C$36),1,0)*IF(B84&lt;=_xlfn.NUMBERVALUE('ZD Vorerfassung'!$D$22:$D$36),1,0)*'ZD Vorerfassung'!$W$22:$W$36),
IF(OR(D84="SF",D84="FH"),SUM(IF(B84&gt;=_xlfn.NUMBERVALUE('ZD Vorerfassung'!$C$22:$C$36),1,0)*IF(B84&lt;=_xlfn.NUMBERVALUE('ZD Vorerfassung'!$D$22:$D$36),1,0)*'ZD Vorerfassung'!$X$22:$X$36*IF(D84="FH",0.5,1)),
"prüfen")))</f>
        <v>0</v>
      </c>
      <c r="AY84" s="110">
        <f t="array" ref="AY84">IF(OR(D84="UU",D84="FT",D84="WE",E84="Ferien"),0,
IF(D84="NR",SUM(IF(B84&gt;=_xlfn.NUMBERVALUE('ZD Vorerfassung'!$C$22:$C$36),1,0)*IF(B84&lt;=_xlfn.NUMBERVALUE('ZD Vorerfassung'!$D$22:$D$36),1,0)*'ZD Vorerfassung'!$U$22:$U$36),
IF(OR(D84="SF",D84="FH"),SUM(IF(B84&gt;=_xlfn.NUMBERVALUE('ZD Vorerfassung'!$C$22:$C$36),1,0)*IF(B84&lt;=_xlfn.NUMBERVALUE('ZD Vorerfassung'!$D$22:$D$36),1,0)*'ZD Vorerfassung'!$V$22:$V$36*IF(D84="FH",0.5,1)),
"prüfen")))</f>
        <v>0</v>
      </c>
      <c r="AZ84" s="110">
        <f t="array" ref="AZ84">IF(OR(D84="UU",D84="FT",D84="WE",E84="Ferien"),0,
IF(D84="NR",SUM(IF(B84&gt;=_xlfn.NUMBERVALUE('ZD Vorerfassung'!$C$22:$C$36),1,0)*IF(B84&lt;=_xlfn.NUMBERVALUE('ZD Vorerfassung'!$D$22:$D$36),1,0)*'ZD Vorerfassung'!$S$22:$S$36),
IF(OR(D84="SF",D84="FH"),SUM(IF(B84&gt;=_xlfn.NUMBERVALUE('ZD Vorerfassung'!$C$22:$C$36),1,0)*IF(B84&lt;=_xlfn.NUMBERVALUE('ZD Vorerfassung'!$D$22:$D$36),1,0)*'ZD Vorerfassung'!$T$22:$T$36*IF(D84="FH",0.5,1)),
"prüfen")))</f>
        <v>0</v>
      </c>
      <c r="BA84" s="112">
        <f t="shared" si="20"/>
        <v>10</v>
      </c>
    </row>
    <row r="85" spans="2:53" ht="19.5" thickTop="1" thickBot="1" x14ac:dyDescent="0.3">
      <c r="B85" s="99">
        <f t="shared" si="17"/>
        <v>44850</v>
      </c>
      <c r="C85" s="100">
        <f t="shared" si="21"/>
        <v>44850</v>
      </c>
      <c r="D85" s="101" t="str">
        <f t="shared" si="22"/>
        <v>WE</v>
      </c>
      <c r="E85" s="102" t="str">
        <f t="shared" si="18"/>
        <v>Wochenende</v>
      </c>
      <c r="F85" s="103" t="str">
        <f t="shared" si="23"/>
        <v/>
      </c>
      <c r="G85" s="104" t="str">
        <f t="shared" si="24"/>
        <v/>
      </c>
      <c r="H85" s="104">
        <f>IFERROR(IF('ZD Vorerfassung'!$E$11="manuell",SUM(I85),IF(OR(E85="Feiertag",E85="Wochenende"),0,IF('ZD Vorerfassung'!$E$11="automatisch",AX85,IF(D85="UU","UU",IF(E85=Param2,AX85/24,IF(E85=Param9,AX85/48,"")))))),0)</f>
        <v>0</v>
      </c>
      <c r="I85" s="105"/>
      <c r="J85" s="106">
        <f>IF('ZD Vorerfassung'!$E$12="manuell",SUM(K85:AI85),IF(OR(E85="Feiertag",E85="Wochenende"),0,IF('ZD Vorerfassung'!$E$12="automatisch",AY85,IF(D85="UU","UU",IF(E85=Param2,AY85/24,IF(E85=Param9,AY85/48,""))))))</f>
        <v>0</v>
      </c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7">
        <f t="shared" si="25"/>
        <v>0</v>
      </c>
      <c r="AK85" s="105"/>
      <c r="AL85" s="105"/>
      <c r="AM85" s="105"/>
      <c r="AN85" s="105"/>
      <c r="AO85" s="105"/>
      <c r="AP85" s="105"/>
      <c r="AQ85" s="108">
        <f t="shared" si="26"/>
        <v>0</v>
      </c>
      <c r="AR85" s="108">
        <f t="shared" si="27"/>
        <v>0</v>
      </c>
      <c r="AS85" s="109">
        <f t="shared" si="28"/>
        <v>0</v>
      </c>
      <c r="AU85" s="110">
        <f t="shared" si="19"/>
        <v>0</v>
      </c>
      <c r="AV85" s="111" t="str">
        <f>IF(D85="NR",
IF('ZD Vorerfassung'!$E$22="",0,IF(AND(B85&gt;='ZD Vorerfassung'!$C$22,B85&lt;='ZD Vorerfassung'!$D$22),HLOOKUP(TEXT(C85,"ttt"),'ZD Vorerfassung'!$H$21:$L$36,2,0),0))+
IF('ZD Vorerfassung'!$E$23="",0,IF(AND(B85&gt;='ZD Vorerfassung'!$C$23,B85&lt;='ZD Vorerfassung'!$D$23),HLOOKUP(TEXT(C85,"ttt"),'ZD Vorerfassung'!$H$21:$L$36,3,0),0))+
IF('ZD Vorerfassung'!$E$24="",0,IF(AND(B85&gt;='ZD Vorerfassung'!$C$24,B85&lt;='ZD Vorerfassung'!$D$24),HLOOKUP(TEXT(C85,"ttt"),'ZD Vorerfassung'!$H$21:$L$36,4,0),0))+
IF('ZD Vorerfassung'!$E$25="",0,IF(AND(B85&gt;='ZD Vorerfassung'!$C$25,B85&lt;='ZD Vorerfassung'!$D$25),HLOOKUP(TEXT(C85,"ttt"),'ZD Vorerfassung'!$H$21:$L$36,5,0),0))+
IF('ZD Vorerfassung'!$E$26="",0,IF(AND(B85&gt;='ZD Vorerfassung'!$C$26,B85&lt;='ZD Vorerfassung'!$D$26),HLOOKUP(TEXT(C85,"ttt"),'ZD Vorerfassung'!$H$21:$L$36,6,0),0))+
IF('ZD Vorerfassung'!$E$27="",0,IF(AND(B85&gt;='ZD Vorerfassung'!$C$27,B85&lt;='ZD Vorerfassung'!$D$27),HLOOKUP(TEXT(C85,"ttt"),'ZD Vorerfassung'!$H$21:$L$36,7,0),0))+
IF('ZD Vorerfassung'!$E$28="",0,IF(AND(B85&gt;='ZD Vorerfassung'!$C$28,B85&lt;='ZD Vorerfassung'!$D$28),HLOOKUP(TEXT(C85,"ttt"),'ZD Vorerfassung'!$H$21:$L$36,8,0),0))+
IF('ZD Vorerfassung'!$E$29="",0,IF(AND(B85&gt;='ZD Vorerfassung'!$C$29,B85&lt;='ZD Vorerfassung'!$D$29),HLOOKUP(TEXT(C85,"ttt"),'ZD Vorerfassung'!$H$21:$L$36,9,0),0))+
IF('ZD Vorerfassung'!$E$30="",0,IF(AND(B85&gt;='ZD Vorerfassung'!$C$30,B85&lt;='ZD Vorerfassung'!$D$30),HLOOKUP(TEXT(C85,"ttt"),'ZD Vorerfassung'!$H$21:$L$36,10,0),0))+
IF('ZD Vorerfassung'!$E$31="",0,IF(AND(B85&gt;='ZD Vorerfassung'!$C$31,B85&lt;='ZD Vorerfassung'!$D$31),HLOOKUP(TEXT(C85,"ttt"),'ZD Vorerfassung'!$H$21:$L$36,11,0),0))+
IF('ZD Vorerfassung'!$E$32="",0,IF(AND(B85&gt;='ZD Vorerfassung'!$C$32,B85&lt;='ZD Vorerfassung'!$D$32),HLOOKUP(TEXT(C85,"ttt"),'ZD Vorerfassung'!$H$21:$L$36,12,0),0))+
IF('ZD Vorerfassung'!$E$33="",0,IF(AND(B85&gt;='ZD Vorerfassung'!$C$33,B85&lt;='ZD Vorerfassung'!$D$33),HLOOKUP(TEXT(C85,"ttt"),'ZD Vorerfassung'!$H$21:$L$36,13,0),0))+
IF('ZD Vorerfassung'!$E$34="",0,IF(AND(B85&gt;='ZD Vorerfassung'!$C$34,B85&lt;='ZD Vorerfassung'!$D$34),HLOOKUP(TEXT(C85,"ttt"),'ZD Vorerfassung'!$H$21:$L$36,14,0),0))+
IF('ZD Vorerfassung'!$E$35="",0,IF(AND(B85&gt;='ZD Vorerfassung'!$C$35,B85&lt;='ZD Vorerfassung'!$D$35),HLOOKUP(TEXT(C85,"ttt"),'ZD Vorerfassung'!$H$21:$L$36,15,0),0))+
IF('ZD Vorerfassung'!$E$36="",0,IF(AND(B85&gt;='ZD Vorerfassung'!$C$36,B85&lt;='ZD Vorerfassung'!$D$36),HLOOKUP(TEXT(C85,"ttt"),'ZD Vorerfassung'!$H$21:$L$36,16,0),0)),"")</f>
        <v/>
      </c>
      <c r="AW85" s="110">
        <f t="array" ref="AW85">IF(OR(D85="UU",D85="FT",D85="WE"),0,
IF(D85="NR",SUM(IF(B85&gt;=_xlfn.NUMBERVALUE('ZD Vorerfassung'!$C$22:$C$36),1,0)*IF(B85&lt;=_xlfn.NUMBERVALUE('ZD Vorerfassung'!$D$22:$D$36),1,0)*'ZD Vorerfassung'!$Q$22:$Q$36),
IF(OR(D85="SF",D85="FH"),SUM(IF(B85&gt;=_xlfn.NUMBERVALUE('ZD Vorerfassung'!$C$22:$C$36),1,0)*IF(B85&lt;=_xlfn.NUMBERVALUE('ZD Vorerfassung'!$D$22:$D$36),1,0)*'ZD Vorerfassung'!$R$22:$R$36*IF(D85="FH",0.5,1)),
"prüfen")))</f>
        <v>0</v>
      </c>
      <c r="AX85" s="110">
        <f t="array" ref="AX85">IF(OR(D85="UU",D85="FT",D85="WE",E85="Ferien"),0,
IF(D85="NR",SUM(IF(B85&gt;=_xlfn.NUMBERVALUE('ZD Vorerfassung'!$C$22:$C$36),1,0)*IF(B85&lt;=_xlfn.NUMBERVALUE('ZD Vorerfassung'!$D$22:$D$36),1,0)*'ZD Vorerfassung'!$W$22:$W$36),
IF(OR(D85="SF",D85="FH"),SUM(IF(B85&gt;=_xlfn.NUMBERVALUE('ZD Vorerfassung'!$C$22:$C$36),1,0)*IF(B85&lt;=_xlfn.NUMBERVALUE('ZD Vorerfassung'!$D$22:$D$36),1,0)*'ZD Vorerfassung'!$X$22:$X$36*IF(D85="FH",0.5,1)),
"prüfen")))</f>
        <v>0</v>
      </c>
      <c r="AY85" s="110">
        <f t="array" ref="AY85">IF(OR(D85="UU",D85="FT",D85="WE",E85="Ferien"),0,
IF(D85="NR",SUM(IF(B85&gt;=_xlfn.NUMBERVALUE('ZD Vorerfassung'!$C$22:$C$36),1,0)*IF(B85&lt;=_xlfn.NUMBERVALUE('ZD Vorerfassung'!$D$22:$D$36),1,0)*'ZD Vorerfassung'!$U$22:$U$36),
IF(OR(D85="SF",D85="FH"),SUM(IF(B85&gt;=_xlfn.NUMBERVALUE('ZD Vorerfassung'!$C$22:$C$36),1,0)*IF(B85&lt;=_xlfn.NUMBERVALUE('ZD Vorerfassung'!$D$22:$D$36),1,0)*'ZD Vorerfassung'!$V$22:$V$36*IF(D85="FH",0.5,1)),
"prüfen")))</f>
        <v>0</v>
      </c>
      <c r="AZ85" s="110">
        <f t="array" ref="AZ85">IF(OR(D85="UU",D85="FT",D85="WE",E85="Ferien"),0,
IF(D85="NR",SUM(IF(B85&gt;=_xlfn.NUMBERVALUE('ZD Vorerfassung'!$C$22:$C$36),1,0)*IF(B85&lt;=_xlfn.NUMBERVALUE('ZD Vorerfassung'!$D$22:$D$36),1,0)*'ZD Vorerfassung'!$S$22:$S$36),
IF(OR(D85="SF",D85="FH"),SUM(IF(B85&gt;=_xlfn.NUMBERVALUE('ZD Vorerfassung'!$C$22:$C$36),1,0)*IF(B85&lt;=_xlfn.NUMBERVALUE('ZD Vorerfassung'!$D$22:$D$36),1,0)*'ZD Vorerfassung'!$T$22:$T$36*IF(D85="FH",0.5,1)),
"prüfen")))</f>
        <v>0</v>
      </c>
      <c r="BA85" s="112">
        <f t="shared" si="20"/>
        <v>10</v>
      </c>
    </row>
    <row r="86" spans="2:53" ht="19.5" thickTop="1" thickBot="1" x14ac:dyDescent="0.3">
      <c r="B86" s="99">
        <f t="shared" si="17"/>
        <v>44851</v>
      </c>
      <c r="C86" s="100">
        <f t="shared" si="21"/>
        <v>44851</v>
      </c>
      <c r="D86" s="101" t="str">
        <f t="shared" si="22"/>
        <v>WE</v>
      </c>
      <c r="E86" s="102" t="str">
        <f t="shared" si="18"/>
        <v>Wochenende</v>
      </c>
      <c r="F86" s="103" t="str">
        <f t="shared" si="23"/>
        <v/>
      </c>
      <c r="G86" s="104" t="str">
        <f t="shared" si="24"/>
        <v/>
      </c>
      <c r="H86" s="104">
        <f>IFERROR(IF('ZD Vorerfassung'!$E$11="manuell",SUM(I86),IF(OR(E86="Feiertag",E86="Wochenende"),0,IF('ZD Vorerfassung'!$E$11="automatisch",AX86,IF(D86="UU","UU",IF(E86=Param2,AX86/24,IF(E86=Param9,AX86/48,"")))))),0)</f>
        <v>0</v>
      </c>
      <c r="I86" s="105"/>
      <c r="J86" s="106">
        <f>IF('ZD Vorerfassung'!$E$12="manuell",SUM(K86:AI86),IF(OR(E86="Feiertag",E86="Wochenende"),0,IF('ZD Vorerfassung'!$E$12="automatisch",AY86,IF(D86="UU","UU",IF(E86=Param2,AY86/24,IF(E86=Param9,AY86/48,""))))))</f>
        <v>0</v>
      </c>
      <c r="K86" s="105"/>
      <c r="L86" s="105"/>
      <c r="M86" s="105"/>
      <c r="N86" s="105"/>
      <c r="O86" s="105"/>
      <c r="P86" s="105"/>
      <c r="Q86" s="105"/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  <c r="AE86" s="105"/>
      <c r="AF86" s="105"/>
      <c r="AG86" s="105"/>
      <c r="AH86" s="105"/>
      <c r="AI86" s="105"/>
      <c r="AJ86" s="107">
        <f t="shared" si="25"/>
        <v>0</v>
      </c>
      <c r="AK86" s="105"/>
      <c r="AL86" s="105"/>
      <c r="AM86" s="105"/>
      <c r="AN86" s="105"/>
      <c r="AO86" s="105"/>
      <c r="AP86" s="105"/>
      <c r="AQ86" s="108">
        <f t="shared" si="26"/>
        <v>0</v>
      </c>
      <c r="AR86" s="108">
        <f t="shared" si="27"/>
        <v>0</v>
      </c>
      <c r="AS86" s="109">
        <f t="shared" si="28"/>
        <v>0</v>
      </c>
      <c r="AU86" s="110">
        <f t="shared" si="19"/>
        <v>0</v>
      </c>
      <c r="AV86" s="111" t="str">
        <f>IF(D86="NR",
IF('ZD Vorerfassung'!$E$22="",0,IF(AND(B86&gt;='ZD Vorerfassung'!$C$22,B86&lt;='ZD Vorerfassung'!$D$22),HLOOKUP(TEXT(C86,"ttt"),'ZD Vorerfassung'!$H$21:$L$36,2,0),0))+
IF('ZD Vorerfassung'!$E$23="",0,IF(AND(B86&gt;='ZD Vorerfassung'!$C$23,B86&lt;='ZD Vorerfassung'!$D$23),HLOOKUP(TEXT(C86,"ttt"),'ZD Vorerfassung'!$H$21:$L$36,3,0),0))+
IF('ZD Vorerfassung'!$E$24="",0,IF(AND(B86&gt;='ZD Vorerfassung'!$C$24,B86&lt;='ZD Vorerfassung'!$D$24),HLOOKUP(TEXT(C86,"ttt"),'ZD Vorerfassung'!$H$21:$L$36,4,0),0))+
IF('ZD Vorerfassung'!$E$25="",0,IF(AND(B86&gt;='ZD Vorerfassung'!$C$25,B86&lt;='ZD Vorerfassung'!$D$25),HLOOKUP(TEXT(C86,"ttt"),'ZD Vorerfassung'!$H$21:$L$36,5,0),0))+
IF('ZD Vorerfassung'!$E$26="",0,IF(AND(B86&gt;='ZD Vorerfassung'!$C$26,B86&lt;='ZD Vorerfassung'!$D$26),HLOOKUP(TEXT(C86,"ttt"),'ZD Vorerfassung'!$H$21:$L$36,6,0),0))+
IF('ZD Vorerfassung'!$E$27="",0,IF(AND(B86&gt;='ZD Vorerfassung'!$C$27,B86&lt;='ZD Vorerfassung'!$D$27),HLOOKUP(TEXT(C86,"ttt"),'ZD Vorerfassung'!$H$21:$L$36,7,0),0))+
IF('ZD Vorerfassung'!$E$28="",0,IF(AND(B86&gt;='ZD Vorerfassung'!$C$28,B86&lt;='ZD Vorerfassung'!$D$28),HLOOKUP(TEXT(C86,"ttt"),'ZD Vorerfassung'!$H$21:$L$36,8,0),0))+
IF('ZD Vorerfassung'!$E$29="",0,IF(AND(B86&gt;='ZD Vorerfassung'!$C$29,B86&lt;='ZD Vorerfassung'!$D$29),HLOOKUP(TEXT(C86,"ttt"),'ZD Vorerfassung'!$H$21:$L$36,9,0),0))+
IF('ZD Vorerfassung'!$E$30="",0,IF(AND(B86&gt;='ZD Vorerfassung'!$C$30,B86&lt;='ZD Vorerfassung'!$D$30),HLOOKUP(TEXT(C86,"ttt"),'ZD Vorerfassung'!$H$21:$L$36,10,0),0))+
IF('ZD Vorerfassung'!$E$31="",0,IF(AND(B86&gt;='ZD Vorerfassung'!$C$31,B86&lt;='ZD Vorerfassung'!$D$31),HLOOKUP(TEXT(C86,"ttt"),'ZD Vorerfassung'!$H$21:$L$36,11,0),0))+
IF('ZD Vorerfassung'!$E$32="",0,IF(AND(B86&gt;='ZD Vorerfassung'!$C$32,B86&lt;='ZD Vorerfassung'!$D$32),HLOOKUP(TEXT(C86,"ttt"),'ZD Vorerfassung'!$H$21:$L$36,12,0),0))+
IF('ZD Vorerfassung'!$E$33="",0,IF(AND(B86&gt;='ZD Vorerfassung'!$C$33,B86&lt;='ZD Vorerfassung'!$D$33),HLOOKUP(TEXT(C86,"ttt"),'ZD Vorerfassung'!$H$21:$L$36,13,0),0))+
IF('ZD Vorerfassung'!$E$34="",0,IF(AND(B86&gt;='ZD Vorerfassung'!$C$34,B86&lt;='ZD Vorerfassung'!$D$34),HLOOKUP(TEXT(C86,"ttt"),'ZD Vorerfassung'!$H$21:$L$36,14,0),0))+
IF('ZD Vorerfassung'!$E$35="",0,IF(AND(B86&gt;='ZD Vorerfassung'!$C$35,B86&lt;='ZD Vorerfassung'!$D$35),HLOOKUP(TEXT(C86,"ttt"),'ZD Vorerfassung'!$H$21:$L$36,15,0),0))+
IF('ZD Vorerfassung'!$E$36="",0,IF(AND(B86&gt;='ZD Vorerfassung'!$C$36,B86&lt;='ZD Vorerfassung'!$D$36),HLOOKUP(TEXT(C86,"ttt"),'ZD Vorerfassung'!$H$21:$L$36,16,0),0)),"")</f>
        <v/>
      </c>
      <c r="AW86" s="110">
        <f t="array" ref="AW86">IF(OR(D86="UU",D86="FT",D86="WE"),0,
IF(D86="NR",SUM(IF(B86&gt;=_xlfn.NUMBERVALUE('ZD Vorerfassung'!$C$22:$C$36),1,0)*IF(B86&lt;=_xlfn.NUMBERVALUE('ZD Vorerfassung'!$D$22:$D$36),1,0)*'ZD Vorerfassung'!$Q$22:$Q$36),
IF(OR(D86="SF",D86="FH"),SUM(IF(B86&gt;=_xlfn.NUMBERVALUE('ZD Vorerfassung'!$C$22:$C$36),1,0)*IF(B86&lt;=_xlfn.NUMBERVALUE('ZD Vorerfassung'!$D$22:$D$36),1,0)*'ZD Vorerfassung'!$R$22:$R$36*IF(D86="FH",0.5,1)),
"prüfen")))</f>
        <v>0</v>
      </c>
      <c r="AX86" s="110">
        <f t="array" ref="AX86">IF(OR(D86="UU",D86="FT",D86="WE",E86="Ferien"),0,
IF(D86="NR",SUM(IF(B86&gt;=_xlfn.NUMBERVALUE('ZD Vorerfassung'!$C$22:$C$36),1,0)*IF(B86&lt;=_xlfn.NUMBERVALUE('ZD Vorerfassung'!$D$22:$D$36),1,0)*'ZD Vorerfassung'!$W$22:$W$36),
IF(OR(D86="SF",D86="FH"),SUM(IF(B86&gt;=_xlfn.NUMBERVALUE('ZD Vorerfassung'!$C$22:$C$36),1,0)*IF(B86&lt;=_xlfn.NUMBERVALUE('ZD Vorerfassung'!$D$22:$D$36),1,0)*'ZD Vorerfassung'!$X$22:$X$36*IF(D86="FH",0.5,1)),
"prüfen")))</f>
        <v>0</v>
      </c>
      <c r="AY86" s="110">
        <f t="array" ref="AY86">IF(OR(D86="UU",D86="FT",D86="WE",E86="Ferien"),0,
IF(D86="NR",SUM(IF(B86&gt;=_xlfn.NUMBERVALUE('ZD Vorerfassung'!$C$22:$C$36),1,0)*IF(B86&lt;=_xlfn.NUMBERVALUE('ZD Vorerfassung'!$D$22:$D$36),1,0)*'ZD Vorerfassung'!$U$22:$U$36),
IF(OR(D86="SF",D86="FH"),SUM(IF(B86&gt;=_xlfn.NUMBERVALUE('ZD Vorerfassung'!$C$22:$C$36),1,0)*IF(B86&lt;=_xlfn.NUMBERVALUE('ZD Vorerfassung'!$D$22:$D$36),1,0)*'ZD Vorerfassung'!$V$22:$V$36*IF(D86="FH",0.5,1)),
"prüfen")))</f>
        <v>0</v>
      </c>
      <c r="AZ86" s="110">
        <f t="array" ref="AZ86">IF(OR(D86="UU",D86="FT",D86="WE",E86="Ferien"),0,
IF(D86="NR",SUM(IF(B86&gt;=_xlfn.NUMBERVALUE('ZD Vorerfassung'!$C$22:$C$36),1,0)*IF(B86&lt;=_xlfn.NUMBERVALUE('ZD Vorerfassung'!$D$22:$D$36),1,0)*'ZD Vorerfassung'!$S$22:$S$36),
IF(OR(D86="SF",D86="FH"),SUM(IF(B86&gt;=_xlfn.NUMBERVALUE('ZD Vorerfassung'!$C$22:$C$36),1,0)*IF(B86&lt;=_xlfn.NUMBERVALUE('ZD Vorerfassung'!$D$22:$D$36),1,0)*'ZD Vorerfassung'!$T$22:$T$36*IF(D86="FH",0.5,1)),
"prüfen")))</f>
        <v>0</v>
      </c>
      <c r="BA86" s="112">
        <f t="shared" si="20"/>
        <v>10</v>
      </c>
    </row>
    <row r="87" spans="2:53" ht="19.5" thickTop="1" thickBot="1" x14ac:dyDescent="0.3">
      <c r="B87" s="99">
        <f t="shared" si="17"/>
        <v>44852</v>
      </c>
      <c r="C87" s="100">
        <f t="shared" si="21"/>
        <v>44852</v>
      </c>
      <c r="D87" s="101" t="str">
        <f t="shared" si="22"/>
        <v>NR</v>
      </c>
      <c r="E87" s="102" t="str">
        <f t="shared" si="18"/>
        <v>Unterrichtstag</v>
      </c>
      <c r="F87" s="103">
        <f t="shared" si="23"/>
        <v>0</v>
      </c>
      <c r="G87" s="104">
        <f t="shared" si="24"/>
        <v>0</v>
      </c>
      <c r="H87" s="104">
        <f>IFERROR(IF('ZD Vorerfassung'!$E$11="manuell",SUM(I87),IF(OR(E87="Feiertag",E87="Wochenende"),0,IF('ZD Vorerfassung'!$E$11="automatisch",AX87,IF(D87="UU","UU",IF(E87=Param2,AX87/24,IF(E87=Param9,AX87/48,"")))))),0)</f>
        <v>0</v>
      </c>
      <c r="I87" s="105"/>
      <c r="J87" s="106">
        <f>IF('ZD Vorerfassung'!$E$12="manuell",SUM(K87:AI87),IF(OR(E87="Feiertag",E87="Wochenende"),0,IF('ZD Vorerfassung'!$E$12="automatisch",AY87,IF(D87="UU","UU",IF(E87=Param2,AY87/24,IF(E87=Param9,AY87/48,""))))))</f>
        <v>0</v>
      </c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5"/>
      <c r="AH87" s="105"/>
      <c r="AI87" s="105"/>
      <c r="AJ87" s="107">
        <f t="shared" si="25"/>
        <v>0</v>
      </c>
      <c r="AK87" s="105"/>
      <c r="AL87" s="105"/>
      <c r="AM87" s="105"/>
      <c r="AN87" s="105"/>
      <c r="AO87" s="105"/>
      <c r="AP87" s="105"/>
      <c r="AQ87" s="108">
        <f t="shared" si="26"/>
        <v>0</v>
      </c>
      <c r="AR87" s="108">
        <f t="shared" si="27"/>
        <v>0</v>
      </c>
      <c r="AS87" s="109">
        <f t="shared" si="28"/>
        <v>0</v>
      </c>
      <c r="AU87" s="110">
        <f t="shared" si="19"/>
        <v>0</v>
      </c>
      <c r="AV87" s="111">
        <f>IF(D87="NR",
IF('ZD Vorerfassung'!$E$22="",0,IF(AND(B87&gt;='ZD Vorerfassung'!$C$22,B87&lt;='ZD Vorerfassung'!$D$22),HLOOKUP(TEXT(C87,"ttt"),'ZD Vorerfassung'!$H$21:$L$36,2,0),0))+
IF('ZD Vorerfassung'!$E$23="",0,IF(AND(B87&gt;='ZD Vorerfassung'!$C$23,B87&lt;='ZD Vorerfassung'!$D$23),HLOOKUP(TEXT(C87,"ttt"),'ZD Vorerfassung'!$H$21:$L$36,3,0),0))+
IF('ZD Vorerfassung'!$E$24="",0,IF(AND(B87&gt;='ZD Vorerfassung'!$C$24,B87&lt;='ZD Vorerfassung'!$D$24),HLOOKUP(TEXT(C87,"ttt"),'ZD Vorerfassung'!$H$21:$L$36,4,0),0))+
IF('ZD Vorerfassung'!$E$25="",0,IF(AND(B87&gt;='ZD Vorerfassung'!$C$25,B87&lt;='ZD Vorerfassung'!$D$25),HLOOKUP(TEXT(C87,"ttt"),'ZD Vorerfassung'!$H$21:$L$36,5,0),0))+
IF('ZD Vorerfassung'!$E$26="",0,IF(AND(B87&gt;='ZD Vorerfassung'!$C$26,B87&lt;='ZD Vorerfassung'!$D$26),HLOOKUP(TEXT(C87,"ttt"),'ZD Vorerfassung'!$H$21:$L$36,6,0),0))+
IF('ZD Vorerfassung'!$E$27="",0,IF(AND(B87&gt;='ZD Vorerfassung'!$C$27,B87&lt;='ZD Vorerfassung'!$D$27),HLOOKUP(TEXT(C87,"ttt"),'ZD Vorerfassung'!$H$21:$L$36,7,0),0))+
IF('ZD Vorerfassung'!$E$28="",0,IF(AND(B87&gt;='ZD Vorerfassung'!$C$28,B87&lt;='ZD Vorerfassung'!$D$28),HLOOKUP(TEXT(C87,"ttt"),'ZD Vorerfassung'!$H$21:$L$36,8,0),0))+
IF('ZD Vorerfassung'!$E$29="",0,IF(AND(B87&gt;='ZD Vorerfassung'!$C$29,B87&lt;='ZD Vorerfassung'!$D$29),HLOOKUP(TEXT(C87,"ttt"),'ZD Vorerfassung'!$H$21:$L$36,9,0),0))+
IF('ZD Vorerfassung'!$E$30="",0,IF(AND(B87&gt;='ZD Vorerfassung'!$C$30,B87&lt;='ZD Vorerfassung'!$D$30),HLOOKUP(TEXT(C87,"ttt"),'ZD Vorerfassung'!$H$21:$L$36,10,0),0))+
IF('ZD Vorerfassung'!$E$31="",0,IF(AND(B87&gt;='ZD Vorerfassung'!$C$31,B87&lt;='ZD Vorerfassung'!$D$31),HLOOKUP(TEXT(C87,"ttt"),'ZD Vorerfassung'!$H$21:$L$36,11,0),0))+
IF('ZD Vorerfassung'!$E$32="",0,IF(AND(B87&gt;='ZD Vorerfassung'!$C$32,B87&lt;='ZD Vorerfassung'!$D$32),HLOOKUP(TEXT(C87,"ttt"),'ZD Vorerfassung'!$H$21:$L$36,12,0),0))+
IF('ZD Vorerfassung'!$E$33="",0,IF(AND(B87&gt;='ZD Vorerfassung'!$C$33,B87&lt;='ZD Vorerfassung'!$D$33),HLOOKUP(TEXT(C87,"ttt"),'ZD Vorerfassung'!$H$21:$L$36,13,0),0))+
IF('ZD Vorerfassung'!$E$34="",0,IF(AND(B87&gt;='ZD Vorerfassung'!$C$34,B87&lt;='ZD Vorerfassung'!$D$34),HLOOKUP(TEXT(C87,"ttt"),'ZD Vorerfassung'!$H$21:$L$36,14,0),0))+
IF('ZD Vorerfassung'!$E$35="",0,IF(AND(B87&gt;='ZD Vorerfassung'!$C$35,B87&lt;='ZD Vorerfassung'!$D$35),HLOOKUP(TEXT(C87,"ttt"),'ZD Vorerfassung'!$H$21:$L$36,15,0),0))+
IF('ZD Vorerfassung'!$E$36="",0,IF(AND(B87&gt;='ZD Vorerfassung'!$C$36,B87&lt;='ZD Vorerfassung'!$D$36),HLOOKUP(TEXT(C87,"ttt"),'ZD Vorerfassung'!$H$21:$L$36,16,0),0)),"")</f>
        <v>0</v>
      </c>
      <c r="AW87" s="110">
        <f t="array" ref="AW87">IF(OR(D87="UU",D87="FT",D87="WE"),0,
IF(D87="NR",SUM(IF(B87&gt;=_xlfn.NUMBERVALUE('ZD Vorerfassung'!$C$22:$C$36),1,0)*IF(B87&lt;=_xlfn.NUMBERVALUE('ZD Vorerfassung'!$D$22:$D$36),1,0)*'ZD Vorerfassung'!$Q$22:$Q$36),
IF(OR(D87="SF",D87="FH"),SUM(IF(B87&gt;=_xlfn.NUMBERVALUE('ZD Vorerfassung'!$C$22:$C$36),1,0)*IF(B87&lt;=_xlfn.NUMBERVALUE('ZD Vorerfassung'!$D$22:$D$36),1,0)*'ZD Vorerfassung'!$R$22:$R$36*IF(D87="FH",0.5,1)),
"prüfen")))</f>
        <v>0</v>
      </c>
      <c r="AX87" s="110">
        <f t="array" ref="AX87">IF(OR(D87="UU",D87="FT",D87="WE",E87="Ferien"),0,
IF(D87="NR",SUM(IF(B87&gt;=_xlfn.NUMBERVALUE('ZD Vorerfassung'!$C$22:$C$36),1,0)*IF(B87&lt;=_xlfn.NUMBERVALUE('ZD Vorerfassung'!$D$22:$D$36),1,0)*'ZD Vorerfassung'!$W$22:$W$36),
IF(OR(D87="SF",D87="FH"),SUM(IF(B87&gt;=_xlfn.NUMBERVALUE('ZD Vorerfassung'!$C$22:$C$36),1,0)*IF(B87&lt;=_xlfn.NUMBERVALUE('ZD Vorerfassung'!$D$22:$D$36),1,0)*'ZD Vorerfassung'!$X$22:$X$36*IF(D87="FH",0.5,1)),
"prüfen")))</f>
        <v>0</v>
      </c>
      <c r="AY87" s="110">
        <f t="array" ref="AY87">IF(OR(D87="UU",D87="FT",D87="WE",E87="Ferien"),0,
IF(D87="NR",SUM(IF(B87&gt;=_xlfn.NUMBERVALUE('ZD Vorerfassung'!$C$22:$C$36),1,0)*IF(B87&lt;=_xlfn.NUMBERVALUE('ZD Vorerfassung'!$D$22:$D$36),1,0)*'ZD Vorerfassung'!$U$22:$U$36),
IF(OR(D87="SF",D87="FH"),SUM(IF(B87&gt;=_xlfn.NUMBERVALUE('ZD Vorerfassung'!$C$22:$C$36),1,0)*IF(B87&lt;=_xlfn.NUMBERVALUE('ZD Vorerfassung'!$D$22:$D$36),1,0)*'ZD Vorerfassung'!$V$22:$V$36*IF(D87="FH",0.5,1)),
"prüfen")))</f>
        <v>0</v>
      </c>
      <c r="AZ87" s="110">
        <f t="array" ref="AZ87">IF(OR(D87="UU",D87="FT",D87="WE",E87="Ferien"),0,
IF(D87="NR",SUM(IF(B87&gt;=_xlfn.NUMBERVALUE('ZD Vorerfassung'!$C$22:$C$36),1,0)*IF(B87&lt;=_xlfn.NUMBERVALUE('ZD Vorerfassung'!$D$22:$D$36),1,0)*'ZD Vorerfassung'!$S$22:$S$36),
IF(OR(D87="SF",D87="FH"),SUM(IF(B87&gt;=_xlfn.NUMBERVALUE('ZD Vorerfassung'!$C$22:$C$36),1,0)*IF(B87&lt;=_xlfn.NUMBERVALUE('ZD Vorerfassung'!$D$22:$D$36),1,0)*'ZD Vorerfassung'!$T$22:$T$36*IF(D87="FH",0.5,1)),
"prüfen")))</f>
        <v>0</v>
      </c>
      <c r="BA87" s="112">
        <f t="shared" si="20"/>
        <v>10</v>
      </c>
    </row>
    <row r="88" spans="2:53" ht="19.5" thickTop="1" thickBot="1" x14ac:dyDescent="0.3">
      <c r="B88" s="99">
        <f t="shared" si="17"/>
        <v>44853</v>
      </c>
      <c r="C88" s="100">
        <f t="shared" si="21"/>
        <v>44853</v>
      </c>
      <c r="D88" s="101" t="str">
        <f t="shared" si="22"/>
        <v>NR</v>
      </c>
      <c r="E88" s="102" t="str">
        <f t="shared" si="18"/>
        <v>Unterrichtstag</v>
      </c>
      <c r="F88" s="103">
        <f t="shared" si="23"/>
        <v>0</v>
      </c>
      <c r="G88" s="104">
        <f t="shared" si="24"/>
        <v>0</v>
      </c>
      <c r="H88" s="104">
        <f>IFERROR(IF('ZD Vorerfassung'!$E$11="manuell",SUM(I88),IF(OR(E88="Feiertag",E88="Wochenende"),0,IF('ZD Vorerfassung'!$E$11="automatisch",AX88,IF(D88="UU","UU",IF(E88=Param2,AX88/24,IF(E88=Param9,AX88/48,"")))))),0)</f>
        <v>0</v>
      </c>
      <c r="I88" s="105"/>
      <c r="J88" s="106">
        <f>IF('ZD Vorerfassung'!$E$12="manuell",SUM(K88:AI88),IF(OR(E88="Feiertag",E88="Wochenende"),0,IF('ZD Vorerfassung'!$E$12="automatisch",AY88,IF(D88="UU","UU",IF(E88=Param2,AY88/24,IF(E88=Param9,AY88/48,""))))))</f>
        <v>0</v>
      </c>
      <c r="K88" s="105"/>
      <c r="L88" s="105"/>
      <c r="M88" s="105"/>
      <c r="N88" s="105"/>
      <c r="O88" s="105"/>
      <c r="P88" s="105"/>
      <c r="Q88" s="105"/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  <c r="AE88" s="105"/>
      <c r="AF88" s="105"/>
      <c r="AG88" s="105"/>
      <c r="AH88" s="105"/>
      <c r="AI88" s="105"/>
      <c r="AJ88" s="107">
        <f t="shared" si="25"/>
        <v>0</v>
      </c>
      <c r="AK88" s="105"/>
      <c r="AL88" s="105"/>
      <c r="AM88" s="105"/>
      <c r="AN88" s="105"/>
      <c r="AO88" s="105"/>
      <c r="AP88" s="105"/>
      <c r="AQ88" s="108">
        <f t="shared" si="26"/>
        <v>0</v>
      </c>
      <c r="AR88" s="108">
        <f t="shared" si="27"/>
        <v>0</v>
      </c>
      <c r="AS88" s="109">
        <f t="shared" si="28"/>
        <v>0</v>
      </c>
      <c r="AU88" s="110">
        <f t="shared" si="19"/>
        <v>0</v>
      </c>
      <c r="AV88" s="111">
        <f>IF(D88="NR",
IF('ZD Vorerfassung'!$E$22="",0,IF(AND(B88&gt;='ZD Vorerfassung'!$C$22,B88&lt;='ZD Vorerfassung'!$D$22),HLOOKUP(TEXT(C88,"ttt"),'ZD Vorerfassung'!$H$21:$L$36,2,0),0))+
IF('ZD Vorerfassung'!$E$23="",0,IF(AND(B88&gt;='ZD Vorerfassung'!$C$23,B88&lt;='ZD Vorerfassung'!$D$23),HLOOKUP(TEXT(C88,"ttt"),'ZD Vorerfassung'!$H$21:$L$36,3,0),0))+
IF('ZD Vorerfassung'!$E$24="",0,IF(AND(B88&gt;='ZD Vorerfassung'!$C$24,B88&lt;='ZD Vorerfassung'!$D$24),HLOOKUP(TEXT(C88,"ttt"),'ZD Vorerfassung'!$H$21:$L$36,4,0),0))+
IF('ZD Vorerfassung'!$E$25="",0,IF(AND(B88&gt;='ZD Vorerfassung'!$C$25,B88&lt;='ZD Vorerfassung'!$D$25),HLOOKUP(TEXT(C88,"ttt"),'ZD Vorerfassung'!$H$21:$L$36,5,0),0))+
IF('ZD Vorerfassung'!$E$26="",0,IF(AND(B88&gt;='ZD Vorerfassung'!$C$26,B88&lt;='ZD Vorerfassung'!$D$26),HLOOKUP(TEXT(C88,"ttt"),'ZD Vorerfassung'!$H$21:$L$36,6,0),0))+
IF('ZD Vorerfassung'!$E$27="",0,IF(AND(B88&gt;='ZD Vorerfassung'!$C$27,B88&lt;='ZD Vorerfassung'!$D$27),HLOOKUP(TEXT(C88,"ttt"),'ZD Vorerfassung'!$H$21:$L$36,7,0),0))+
IF('ZD Vorerfassung'!$E$28="",0,IF(AND(B88&gt;='ZD Vorerfassung'!$C$28,B88&lt;='ZD Vorerfassung'!$D$28),HLOOKUP(TEXT(C88,"ttt"),'ZD Vorerfassung'!$H$21:$L$36,8,0),0))+
IF('ZD Vorerfassung'!$E$29="",0,IF(AND(B88&gt;='ZD Vorerfassung'!$C$29,B88&lt;='ZD Vorerfassung'!$D$29),HLOOKUP(TEXT(C88,"ttt"),'ZD Vorerfassung'!$H$21:$L$36,9,0),0))+
IF('ZD Vorerfassung'!$E$30="",0,IF(AND(B88&gt;='ZD Vorerfassung'!$C$30,B88&lt;='ZD Vorerfassung'!$D$30),HLOOKUP(TEXT(C88,"ttt"),'ZD Vorerfassung'!$H$21:$L$36,10,0),0))+
IF('ZD Vorerfassung'!$E$31="",0,IF(AND(B88&gt;='ZD Vorerfassung'!$C$31,B88&lt;='ZD Vorerfassung'!$D$31),HLOOKUP(TEXT(C88,"ttt"),'ZD Vorerfassung'!$H$21:$L$36,11,0),0))+
IF('ZD Vorerfassung'!$E$32="",0,IF(AND(B88&gt;='ZD Vorerfassung'!$C$32,B88&lt;='ZD Vorerfassung'!$D$32),HLOOKUP(TEXT(C88,"ttt"),'ZD Vorerfassung'!$H$21:$L$36,12,0),0))+
IF('ZD Vorerfassung'!$E$33="",0,IF(AND(B88&gt;='ZD Vorerfassung'!$C$33,B88&lt;='ZD Vorerfassung'!$D$33),HLOOKUP(TEXT(C88,"ttt"),'ZD Vorerfassung'!$H$21:$L$36,13,0),0))+
IF('ZD Vorerfassung'!$E$34="",0,IF(AND(B88&gt;='ZD Vorerfassung'!$C$34,B88&lt;='ZD Vorerfassung'!$D$34),HLOOKUP(TEXT(C88,"ttt"),'ZD Vorerfassung'!$H$21:$L$36,14,0),0))+
IF('ZD Vorerfassung'!$E$35="",0,IF(AND(B88&gt;='ZD Vorerfassung'!$C$35,B88&lt;='ZD Vorerfassung'!$D$35),HLOOKUP(TEXT(C88,"ttt"),'ZD Vorerfassung'!$H$21:$L$36,15,0),0))+
IF('ZD Vorerfassung'!$E$36="",0,IF(AND(B88&gt;='ZD Vorerfassung'!$C$36,B88&lt;='ZD Vorerfassung'!$D$36),HLOOKUP(TEXT(C88,"ttt"),'ZD Vorerfassung'!$H$21:$L$36,16,0),0)),"")</f>
        <v>0</v>
      </c>
      <c r="AW88" s="110">
        <f t="array" ref="AW88">IF(OR(D88="UU",D88="FT",D88="WE"),0,
IF(D88="NR",SUM(IF(B88&gt;=_xlfn.NUMBERVALUE('ZD Vorerfassung'!$C$22:$C$36),1,0)*IF(B88&lt;=_xlfn.NUMBERVALUE('ZD Vorerfassung'!$D$22:$D$36),1,0)*'ZD Vorerfassung'!$Q$22:$Q$36),
IF(OR(D88="SF",D88="FH"),SUM(IF(B88&gt;=_xlfn.NUMBERVALUE('ZD Vorerfassung'!$C$22:$C$36),1,0)*IF(B88&lt;=_xlfn.NUMBERVALUE('ZD Vorerfassung'!$D$22:$D$36),1,0)*'ZD Vorerfassung'!$R$22:$R$36*IF(D88="FH",0.5,1)),
"prüfen")))</f>
        <v>0</v>
      </c>
      <c r="AX88" s="110">
        <f t="array" ref="AX88">IF(OR(D88="UU",D88="FT",D88="WE",E88="Ferien"),0,
IF(D88="NR",SUM(IF(B88&gt;=_xlfn.NUMBERVALUE('ZD Vorerfassung'!$C$22:$C$36),1,0)*IF(B88&lt;=_xlfn.NUMBERVALUE('ZD Vorerfassung'!$D$22:$D$36),1,0)*'ZD Vorerfassung'!$W$22:$W$36),
IF(OR(D88="SF",D88="FH"),SUM(IF(B88&gt;=_xlfn.NUMBERVALUE('ZD Vorerfassung'!$C$22:$C$36),1,0)*IF(B88&lt;=_xlfn.NUMBERVALUE('ZD Vorerfassung'!$D$22:$D$36),1,0)*'ZD Vorerfassung'!$X$22:$X$36*IF(D88="FH",0.5,1)),
"prüfen")))</f>
        <v>0</v>
      </c>
      <c r="AY88" s="110">
        <f t="array" ref="AY88">IF(OR(D88="UU",D88="FT",D88="WE",E88="Ferien"),0,
IF(D88="NR",SUM(IF(B88&gt;=_xlfn.NUMBERVALUE('ZD Vorerfassung'!$C$22:$C$36),1,0)*IF(B88&lt;=_xlfn.NUMBERVALUE('ZD Vorerfassung'!$D$22:$D$36),1,0)*'ZD Vorerfassung'!$U$22:$U$36),
IF(OR(D88="SF",D88="FH"),SUM(IF(B88&gt;=_xlfn.NUMBERVALUE('ZD Vorerfassung'!$C$22:$C$36),1,0)*IF(B88&lt;=_xlfn.NUMBERVALUE('ZD Vorerfassung'!$D$22:$D$36),1,0)*'ZD Vorerfassung'!$V$22:$V$36*IF(D88="FH",0.5,1)),
"prüfen")))</f>
        <v>0</v>
      </c>
      <c r="AZ88" s="110">
        <f t="array" ref="AZ88">IF(OR(D88="UU",D88="FT",D88="WE",E88="Ferien"),0,
IF(D88="NR",SUM(IF(B88&gt;=_xlfn.NUMBERVALUE('ZD Vorerfassung'!$C$22:$C$36),1,0)*IF(B88&lt;=_xlfn.NUMBERVALUE('ZD Vorerfassung'!$D$22:$D$36),1,0)*'ZD Vorerfassung'!$S$22:$S$36),
IF(OR(D88="SF",D88="FH"),SUM(IF(B88&gt;=_xlfn.NUMBERVALUE('ZD Vorerfassung'!$C$22:$C$36),1,0)*IF(B88&lt;=_xlfn.NUMBERVALUE('ZD Vorerfassung'!$D$22:$D$36),1,0)*'ZD Vorerfassung'!$T$22:$T$36*IF(D88="FH",0.5,1)),
"prüfen")))</f>
        <v>0</v>
      </c>
      <c r="BA88" s="112">
        <f t="shared" si="20"/>
        <v>10</v>
      </c>
    </row>
    <row r="89" spans="2:53" ht="19.5" thickTop="1" thickBot="1" x14ac:dyDescent="0.3">
      <c r="B89" s="99">
        <f t="shared" si="17"/>
        <v>44854</v>
      </c>
      <c r="C89" s="100">
        <f t="shared" si="21"/>
        <v>44854</v>
      </c>
      <c r="D89" s="101" t="str">
        <f t="shared" si="22"/>
        <v>NR</v>
      </c>
      <c r="E89" s="102" t="str">
        <f t="shared" si="18"/>
        <v>Unterrichtstag</v>
      </c>
      <c r="F89" s="103">
        <f t="shared" si="23"/>
        <v>0</v>
      </c>
      <c r="G89" s="104">
        <f t="shared" si="24"/>
        <v>0</v>
      </c>
      <c r="H89" s="104">
        <f>IFERROR(IF('ZD Vorerfassung'!$E$11="manuell",SUM(I89),IF(OR(E89="Feiertag",E89="Wochenende"),0,IF('ZD Vorerfassung'!$E$11="automatisch",AX89,IF(D89="UU","UU",IF(E89=Param2,AX89/24,IF(E89=Param9,AX89/48,"")))))),0)</f>
        <v>0</v>
      </c>
      <c r="I89" s="105"/>
      <c r="J89" s="106">
        <f>IF('ZD Vorerfassung'!$E$12="manuell",SUM(K89:AI89),IF(OR(E89="Feiertag",E89="Wochenende"),0,IF('ZD Vorerfassung'!$E$12="automatisch",AY89,IF(D89="UU","UU",IF(E89=Param2,AY89/24,IF(E89=Param9,AY89/48,""))))))</f>
        <v>0</v>
      </c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5"/>
      <c r="AI89" s="105"/>
      <c r="AJ89" s="107">
        <f t="shared" si="25"/>
        <v>0</v>
      </c>
      <c r="AK89" s="105"/>
      <c r="AL89" s="105"/>
      <c r="AM89" s="105"/>
      <c r="AN89" s="105"/>
      <c r="AO89" s="105"/>
      <c r="AP89" s="105"/>
      <c r="AQ89" s="108">
        <f t="shared" si="26"/>
        <v>0</v>
      </c>
      <c r="AR89" s="108">
        <f t="shared" si="27"/>
        <v>0</v>
      </c>
      <c r="AS89" s="109">
        <f t="shared" si="28"/>
        <v>0</v>
      </c>
      <c r="AU89" s="110">
        <f t="shared" si="19"/>
        <v>0</v>
      </c>
      <c r="AV89" s="111">
        <f>IF(D89="NR",
IF('ZD Vorerfassung'!$E$22="",0,IF(AND(B89&gt;='ZD Vorerfassung'!$C$22,B89&lt;='ZD Vorerfassung'!$D$22),HLOOKUP(TEXT(C89,"ttt"),'ZD Vorerfassung'!$H$21:$L$36,2,0),0))+
IF('ZD Vorerfassung'!$E$23="",0,IF(AND(B89&gt;='ZD Vorerfassung'!$C$23,B89&lt;='ZD Vorerfassung'!$D$23),HLOOKUP(TEXT(C89,"ttt"),'ZD Vorerfassung'!$H$21:$L$36,3,0),0))+
IF('ZD Vorerfassung'!$E$24="",0,IF(AND(B89&gt;='ZD Vorerfassung'!$C$24,B89&lt;='ZD Vorerfassung'!$D$24),HLOOKUP(TEXT(C89,"ttt"),'ZD Vorerfassung'!$H$21:$L$36,4,0),0))+
IF('ZD Vorerfassung'!$E$25="",0,IF(AND(B89&gt;='ZD Vorerfassung'!$C$25,B89&lt;='ZD Vorerfassung'!$D$25),HLOOKUP(TEXT(C89,"ttt"),'ZD Vorerfassung'!$H$21:$L$36,5,0),0))+
IF('ZD Vorerfassung'!$E$26="",0,IF(AND(B89&gt;='ZD Vorerfassung'!$C$26,B89&lt;='ZD Vorerfassung'!$D$26),HLOOKUP(TEXT(C89,"ttt"),'ZD Vorerfassung'!$H$21:$L$36,6,0),0))+
IF('ZD Vorerfassung'!$E$27="",0,IF(AND(B89&gt;='ZD Vorerfassung'!$C$27,B89&lt;='ZD Vorerfassung'!$D$27),HLOOKUP(TEXT(C89,"ttt"),'ZD Vorerfassung'!$H$21:$L$36,7,0),0))+
IF('ZD Vorerfassung'!$E$28="",0,IF(AND(B89&gt;='ZD Vorerfassung'!$C$28,B89&lt;='ZD Vorerfassung'!$D$28),HLOOKUP(TEXT(C89,"ttt"),'ZD Vorerfassung'!$H$21:$L$36,8,0),0))+
IF('ZD Vorerfassung'!$E$29="",0,IF(AND(B89&gt;='ZD Vorerfassung'!$C$29,B89&lt;='ZD Vorerfassung'!$D$29),HLOOKUP(TEXT(C89,"ttt"),'ZD Vorerfassung'!$H$21:$L$36,9,0),0))+
IF('ZD Vorerfassung'!$E$30="",0,IF(AND(B89&gt;='ZD Vorerfassung'!$C$30,B89&lt;='ZD Vorerfassung'!$D$30),HLOOKUP(TEXT(C89,"ttt"),'ZD Vorerfassung'!$H$21:$L$36,10,0),0))+
IF('ZD Vorerfassung'!$E$31="",0,IF(AND(B89&gt;='ZD Vorerfassung'!$C$31,B89&lt;='ZD Vorerfassung'!$D$31),HLOOKUP(TEXT(C89,"ttt"),'ZD Vorerfassung'!$H$21:$L$36,11,0),0))+
IF('ZD Vorerfassung'!$E$32="",0,IF(AND(B89&gt;='ZD Vorerfassung'!$C$32,B89&lt;='ZD Vorerfassung'!$D$32),HLOOKUP(TEXT(C89,"ttt"),'ZD Vorerfassung'!$H$21:$L$36,12,0),0))+
IF('ZD Vorerfassung'!$E$33="",0,IF(AND(B89&gt;='ZD Vorerfassung'!$C$33,B89&lt;='ZD Vorerfassung'!$D$33),HLOOKUP(TEXT(C89,"ttt"),'ZD Vorerfassung'!$H$21:$L$36,13,0),0))+
IF('ZD Vorerfassung'!$E$34="",0,IF(AND(B89&gt;='ZD Vorerfassung'!$C$34,B89&lt;='ZD Vorerfassung'!$D$34),HLOOKUP(TEXT(C89,"ttt"),'ZD Vorerfassung'!$H$21:$L$36,14,0),0))+
IF('ZD Vorerfassung'!$E$35="",0,IF(AND(B89&gt;='ZD Vorerfassung'!$C$35,B89&lt;='ZD Vorerfassung'!$D$35),HLOOKUP(TEXT(C89,"ttt"),'ZD Vorerfassung'!$H$21:$L$36,15,0),0))+
IF('ZD Vorerfassung'!$E$36="",0,IF(AND(B89&gt;='ZD Vorerfassung'!$C$36,B89&lt;='ZD Vorerfassung'!$D$36),HLOOKUP(TEXT(C89,"ttt"),'ZD Vorerfassung'!$H$21:$L$36,16,0),0)),"")</f>
        <v>0</v>
      </c>
      <c r="AW89" s="110">
        <f t="array" ref="AW89">IF(OR(D89="UU",D89="FT",D89="WE"),0,
IF(D89="NR",SUM(IF(B89&gt;=_xlfn.NUMBERVALUE('ZD Vorerfassung'!$C$22:$C$36),1,0)*IF(B89&lt;=_xlfn.NUMBERVALUE('ZD Vorerfassung'!$D$22:$D$36),1,0)*'ZD Vorerfassung'!$Q$22:$Q$36),
IF(OR(D89="SF",D89="FH"),SUM(IF(B89&gt;=_xlfn.NUMBERVALUE('ZD Vorerfassung'!$C$22:$C$36),1,0)*IF(B89&lt;=_xlfn.NUMBERVALUE('ZD Vorerfassung'!$D$22:$D$36),1,0)*'ZD Vorerfassung'!$R$22:$R$36*IF(D89="FH",0.5,1)),
"prüfen")))</f>
        <v>0</v>
      </c>
      <c r="AX89" s="110">
        <f t="array" ref="AX89">IF(OR(D89="UU",D89="FT",D89="WE",E89="Ferien"),0,
IF(D89="NR",SUM(IF(B89&gt;=_xlfn.NUMBERVALUE('ZD Vorerfassung'!$C$22:$C$36),1,0)*IF(B89&lt;=_xlfn.NUMBERVALUE('ZD Vorerfassung'!$D$22:$D$36),1,0)*'ZD Vorerfassung'!$W$22:$W$36),
IF(OR(D89="SF",D89="FH"),SUM(IF(B89&gt;=_xlfn.NUMBERVALUE('ZD Vorerfassung'!$C$22:$C$36),1,0)*IF(B89&lt;=_xlfn.NUMBERVALUE('ZD Vorerfassung'!$D$22:$D$36),1,0)*'ZD Vorerfassung'!$X$22:$X$36*IF(D89="FH",0.5,1)),
"prüfen")))</f>
        <v>0</v>
      </c>
      <c r="AY89" s="110">
        <f t="array" ref="AY89">IF(OR(D89="UU",D89="FT",D89="WE",E89="Ferien"),0,
IF(D89="NR",SUM(IF(B89&gt;=_xlfn.NUMBERVALUE('ZD Vorerfassung'!$C$22:$C$36),1,0)*IF(B89&lt;=_xlfn.NUMBERVALUE('ZD Vorerfassung'!$D$22:$D$36),1,0)*'ZD Vorerfassung'!$U$22:$U$36),
IF(OR(D89="SF",D89="FH"),SUM(IF(B89&gt;=_xlfn.NUMBERVALUE('ZD Vorerfassung'!$C$22:$C$36),1,0)*IF(B89&lt;=_xlfn.NUMBERVALUE('ZD Vorerfassung'!$D$22:$D$36),1,0)*'ZD Vorerfassung'!$V$22:$V$36*IF(D89="FH",0.5,1)),
"prüfen")))</f>
        <v>0</v>
      </c>
      <c r="AZ89" s="110">
        <f t="array" ref="AZ89">IF(OR(D89="UU",D89="FT",D89="WE",E89="Ferien"),0,
IF(D89="NR",SUM(IF(B89&gt;=_xlfn.NUMBERVALUE('ZD Vorerfassung'!$C$22:$C$36),1,0)*IF(B89&lt;=_xlfn.NUMBERVALUE('ZD Vorerfassung'!$D$22:$D$36),1,0)*'ZD Vorerfassung'!$S$22:$S$36),
IF(OR(D89="SF",D89="FH"),SUM(IF(B89&gt;=_xlfn.NUMBERVALUE('ZD Vorerfassung'!$C$22:$C$36),1,0)*IF(B89&lt;=_xlfn.NUMBERVALUE('ZD Vorerfassung'!$D$22:$D$36),1,0)*'ZD Vorerfassung'!$T$22:$T$36*IF(D89="FH",0.5,1)),
"prüfen")))</f>
        <v>0</v>
      </c>
      <c r="BA89" s="112">
        <f t="shared" si="20"/>
        <v>10</v>
      </c>
    </row>
    <row r="90" spans="2:53" ht="19.5" thickTop="1" thickBot="1" x14ac:dyDescent="0.3">
      <c r="B90" s="99">
        <f t="shared" si="17"/>
        <v>44855</v>
      </c>
      <c r="C90" s="100">
        <f t="shared" si="21"/>
        <v>44855</v>
      </c>
      <c r="D90" s="101" t="str">
        <f t="shared" si="22"/>
        <v>NR</v>
      </c>
      <c r="E90" s="102" t="str">
        <f t="shared" si="18"/>
        <v>Unterrichtstag</v>
      </c>
      <c r="F90" s="103">
        <f t="shared" si="23"/>
        <v>0</v>
      </c>
      <c r="G90" s="104">
        <f t="shared" si="24"/>
        <v>0</v>
      </c>
      <c r="H90" s="104">
        <f>IFERROR(IF('ZD Vorerfassung'!$E$11="manuell",SUM(I90),IF(OR(E90="Feiertag",E90="Wochenende"),0,IF('ZD Vorerfassung'!$E$11="automatisch",AX90,IF(D90="UU","UU",IF(E90=Param2,AX90/24,IF(E90=Param9,AX90/48,"")))))),0)</f>
        <v>0</v>
      </c>
      <c r="I90" s="105"/>
      <c r="J90" s="106">
        <f>IF('ZD Vorerfassung'!$E$12="manuell",SUM(K90:AI90),IF(OR(E90="Feiertag",E90="Wochenende"),0,IF('ZD Vorerfassung'!$E$12="automatisch",AY90,IF(D90="UU","UU",IF(E90=Param2,AY90/24,IF(E90=Param9,AY90/48,""))))))</f>
        <v>0</v>
      </c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  <c r="AE90" s="105"/>
      <c r="AF90" s="105"/>
      <c r="AG90" s="105"/>
      <c r="AH90" s="105"/>
      <c r="AI90" s="105"/>
      <c r="AJ90" s="107">
        <f t="shared" si="25"/>
        <v>0</v>
      </c>
      <c r="AK90" s="105"/>
      <c r="AL90" s="105"/>
      <c r="AM90" s="105"/>
      <c r="AN90" s="105"/>
      <c r="AO90" s="105"/>
      <c r="AP90" s="105"/>
      <c r="AQ90" s="108">
        <f t="shared" si="26"/>
        <v>0</v>
      </c>
      <c r="AR90" s="108">
        <f t="shared" si="27"/>
        <v>0</v>
      </c>
      <c r="AS90" s="109">
        <f t="shared" si="28"/>
        <v>0</v>
      </c>
      <c r="AU90" s="110">
        <f t="shared" si="19"/>
        <v>0</v>
      </c>
      <c r="AV90" s="111">
        <f>IF(D90="NR",
IF('ZD Vorerfassung'!$E$22="",0,IF(AND(B90&gt;='ZD Vorerfassung'!$C$22,B90&lt;='ZD Vorerfassung'!$D$22),HLOOKUP(TEXT(C90,"ttt"),'ZD Vorerfassung'!$H$21:$L$36,2,0),0))+
IF('ZD Vorerfassung'!$E$23="",0,IF(AND(B90&gt;='ZD Vorerfassung'!$C$23,B90&lt;='ZD Vorerfassung'!$D$23),HLOOKUP(TEXT(C90,"ttt"),'ZD Vorerfassung'!$H$21:$L$36,3,0),0))+
IF('ZD Vorerfassung'!$E$24="",0,IF(AND(B90&gt;='ZD Vorerfassung'!$C$24,B90&lt;='ZD Vorerfassung'!$D$24),HLOOKUP(TEXT(C90,"ttt"),'ZD Vorerfassung'!$H$21:$L$36,4,0),0))+
IF('ZD Vorerfassung'!$E$25="",0,IF(AND(B90&gt;='ZD Vorerfassung'!$C$25,B90&lt;='ZD Vorerfassung'!$D$25),HLOOKUP(TEXT(C90,"ttt"),'ZD Vorerfassung'!$H$21:$L$36,5,0),0))+
IF('ZD Vorerfassung'!$E$26="",0,IF(AND(B90&gt;='ZD Vorerfassung'!$C$26,B90&lt;='ZD Vorerfassung'!$D$26),HLOOKUP(TEXT(C90,"ttt"),'ZD Vorerfassung'!$H$21:$L$36,6,0),0))+
IF('ZD Vorerfassung'!$E$27="",0,IF(AND(B90&gt;='ZD Vorerfassung'!$C$27,B90&lt;='ZD Vorerfassung'!$D$27),HLOOKUP(TEXT(C90,"ttt"),'ZD Vorerfassung'!$H$21:$L$36,7,0),0))+
IF('ZD Vorerfassung'!$E$28="",0,IF(AND(B90&gt;='ZD Vorerfassung'!$C$28,B90&lt;='ZD Vorerfassung'!$D$28),HLOOKUP(TEXT(C90,"ttt"),'ZD Vorerfassung'!$H$21:$L$36,8,0),0))+
IF('ZD Vorerfassung'!$E$29="",0,IF(AND(B90&gt;='ZD Vorerfassung'!$C$29,B90&lt;='ZD Vorerfassung'!$D$29),HLOOKUP(TEXT(C90,"ttt"),'ZD Vorerfassung'!$H$21:$L$36,9,0),0))+
IF('ZD Vorerfassung'!$E$30="",0,IF(AND(B90&gt;='ZD Vorerfassung'!$C$30,B90&lt;='ZD Vorerfassung'!$D$30),HLOOKUP(TEXT(C90,"ttt"),'ZD Vorerfassung'!$H$21:$L$36,10,0),0))+
IF('ZD Vorerfassung'!$E$31="",0,IF(AND(B90&gt;='ZD Vorerfassung'!$C$31,B90&lt;='ZD Vorerfassung'!$D$31),HLOOKUP(TEXT(C90,"ttt"),'ZD Vorerfassung'!$H$21:$L$36,11,0),0))+
IF('ZD Vorerfassung'!$E$32="",0,IF(AND(B90&gt;='ZD Vorerfassung'!$C$32,B90&lt;='ZD Vorerfassung'!$D$32),HLOOKUP(TEXT(C90,"ttt"),'ZD Vorerfassung'!$H$21:$L$36,12,0),0))+
IF('ZD Vorerfassung'!$E$33="",0,IF(AND(B90&gt;='ZD Vorerfassung'!$C$33,B90&lt;='ZD Vorerfassung'!$D$33),HLOOKUP(TEXT(C90,"ttt"),'ZD Vorerfassung'!$H$21:$L$36,13,0),0))+
IF('ZD Vorerfassung'!$E$34="",0,IF(AND(B90&gt;='ZD Vorerfassung'!$C$34,B90&lt;='ZD Vorerfassung'!$D$34),HLOOKUP(TEXT(C90,"ttt"),'ZD Vorerfassung'!$H$21:$L$36,14,0),0))+
IF('ZD Vorerfassung'!$E$35="",0,IF(AND(B90&gt;='ZD Vorerfassung'!$C$35,B90&lt;='ZD Vorerfassung'!$D$35),HLOOKUP(TEXT(C90,"ttt"),'ZD Vorerfassung'!$H$21:$L$36,15,0),0))+
IF('ZD Vorerfassung'!$E$36="",0,IF(AND(B90&gt;='ZD Vorerfassung'!$C$36,B90&lt;='ZD Vorerfassung'!$D$36),HLOOKUP(TEXT(C90,"ttt"),'ZD Vorerfassung'!$H$21:$L$36,16,0),0)),"")</f>
        <v>0</v>
      </c>
      <c r="AW90" s="110">
        <f t="array" ref="AW90">IF(OR(D90="UU",D90="FT",D90="WE"),0,
IF(D90="NR",SUM(IF(B90&gt;=_xlfn.NUMBERVALUE('ZD Vorerfassung'!$C$22:$C$36),1,0)*IF(B90&lt;=_xlfn.NUMBERVALUE('ZD Vorerfassung'!$D$22:$D$36),1,0)*'ZD Vorerfassung'!$Q$22:$Q$36),
IF(OR(D90="SF",D90="FH"),SUM(IF(B90&gt;=_xlfn.NUMBERVALUE('ZD Vorerfassung'!$C$22:$C$36),1,0)*IF(B90&lt;=_xlfn.NUMBERVALUE('ZD Vorerfassung'!$D$22:$D$36),1,0)*'ZD Vorerfassung'!$R$22:$R$36*IF(D90="FH",0.5,1)),
"prüfen")))</f>
        <v>0</v>
      </c>
      <c r="AX90" s="110">
        <f t="array" ref="AX90">IF(OR(D90="UU",D90="FT",D90="WE",E90="Ferien"),0,
IF(D90="NR",SUM(IF(B90&gt;=_xlfn.NUMBERVALUE('ZD Vorerfassung'!$C$22:$C$36),1,0)*IF(B90&lt;=_xlfn.NUMBERVALUE('ZD Vorerfassung'!$D$22:$D$36),1,0)*'ZD Vorerfassung'!$W$22:$W$36),
IF(OR(D90="SF",D90="FH"),SUM(IF(B90&gt;=_xlfn.NUMBERVALUE('ZD Vorerfassung'!$C$22:$C$36),1,0)*IF(B90&lt;=_xlfn.NUMBERVALUE('ZD Vorerfassung'!$D$22:$D$36),1,0)*'ZD Vorerfassung'!$X$22:$X$36*IF(D90="FH",0.5,1)),
"prüfen")))</f>
        <v>0</v>
      </c>
      <c r="AY90" s="110">
        <f t="array" ref="AY90">IF(OR(D90="UU",D90="FT",D90="WE",E90="Ferien"),0,
IF(D90="NR",SUM(IF(B90&gt;=_xlfn.NUMBERVALUE('ZD Vorerfassung'!$C$22:$C$36),1,0)*IF(B90&lt;=_xlfn.NUMBERVALUE('ZD Vorerfassung'!$D$22:$D$36),1,0)*'ZD Vorerfassung'!$U$22:$U$36),
IF(OR(D90="SF",D90="FH"),SUM(IF(B90&gt;=_xlfn.NUMBERVALUE('ZD Vorerfassung'!$C$22:$C$36),1,0)*IF(B90&lt;=_xlfn.NUMBERVALUE('ZD Vorerfassung'!$D$22:$D$36),1,0)*'ZD Vorerfassung'!$V$22:$V$36*IF(D90="FH",0.5,1)),
"prüfen")))</f>
        <v>0</v>
      </c>
      <c r="AZ90" s="110">
        <f t="array" ref="AZ90">IF(OR(D90="UU",D90="FT",D90="WE",E90="Ferien"),0,
IF(D90="NR",SUM(IF(B90&gt;=_xlfn.NUMBERVALUE('ZD Vorerfassung'!$C$22:$C$36),1,0)*IF(B90&lt;=_xlfn.NUMBERVALUE('ZD Vorerfassung'!$D$22:$D$36),1,0)*'ZD Vorerfassung'!$S$22:$S$36),
IF(OR(D90="SF",D90="FH"),SUM(IF(B90&gt;=_xlfn.NUMBERVALUE('ZD Vorerfassung'!$C$22:$C$36),1,0)*IF(B90&lt;=_xlfn.NUMBERVALUE('ZD Vorerfassung'!$D$22:$D$36),1,0)*'ZD Vorerfassung'!$T$22:$T$36*IF(D90="FH",0.5,1)),
"prüfen")))</f>
        <v>0</v>
      </c>
      <c r="BA90" s="112">
        <f t="shared" si="20"/>
        <v>10</v>
      </c>
    </row>
    <row r="91" spans="2:53" ht="19.5" thickTop="1" thickBot="1" x14ac:dyDescent="0.3">
      <c r="B91" s="99">
        <f t="shared" si="17"/>
        <v>44856</v>
      </c>
      <c r="C91" s="100">
        <f t="shared" si="21"/>
        <v>44856</v>
      </c>
      <c r="D91" s="101" t="str">
        <f t="shared" si="22"/>
        <v>NR</v>
      </c>
      <c r="E91" s="102" t="str">
        <f t="shared" si="18"/>
        <v>Unterrichtstag</v>
      </c>
      <c r="F91" s="103">
        <f t="shared" si="23"/>
        <v>0</v>
      </c>
      <c r="G91" s="104">
        <f t="shared" si="24"/>
        <v>0</v>
      </c>
      <c r="H91" s="104">
        <f>IFERROR(IF('ZD Vorerfassung'!$E$11="manuell",SUM(I91),IF(OR(E91="Feiertag",E91="Wochenende"),0,IF('ZD Vorerfassung'!$E$11="automatisch",AX91,IF(D91="UU","UU",IF(E91=Param2,AX91/24,IF(E91=Param9,AX91/48,"")))))),0)</f>
        <v>0</v>
      </c>
      <c r="I91" s="105"/>
      <c r="J91" s="106">
        <f>IF('ZD Vorerfassung'!$E$12="manuell",SUM(K91:AI91),IF(OR(E91="Feiertag",E91="Wochenende"),0,IF('ZD Vorerfassung'!$E$12="automatisch",AY91,IF(D91="UU","UU",IF(E91=Param2,AY91/24,IF(E91=Param9,AY91/48,""))))))</f>
        <v>0</v>
      </c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7">
        <f t="shared" si="25"/>
        <v>0</v>
      </c>
      <c r="AK91" s="105"/>
      <c r="AL91" s="105"/>
      <c r="AM91" s="105"/>
      <c r="AN91" s="105"/>
      <c r="AO91" s="105"/>
      <c r="AP91" s="105"/>
      <c r="AQ91" s="108">
        <f t="shared" si="26"/>
        <v>0</v>
      </c>
      <c r="AR91" s="108">
        <f t="shared" si="27"/>
        <v>0</v>
      </c>
      <c r="AS91" s="109">
        <f t="shared" si="28"/>
        <v>0</v>
      </c>
      <c r="AU91" s="110">
        <f t="shared" si="19"/>
        <v>0</v>
      </c>
      <c r="AV91" s="111">
        <f>IF(D91="NR",
IF('ZD Vorerfassung'!$E$22="",0,IF(AND(B91&gt;='ZD Vorerfassung'!$C$22,B91&lt;='ZD Vorerfassung'!$D$22),HLOOKUP(TEXT(C91,"ttt"),'ZD Vorerfassung'!$H$21:$L$36,2,0),0))+
IF('ZD Vorerfassung'!$E$23="",0,IF(AND(B91&gt;='ZD Vorerfassung'!$C$23,B91&lt;='ZD Vorerfassung'!$D$23),HLOOKUP(TEXT(C91,"ttt"),'ZD Vorerfassung'!$H$21:$L$36,3,0),0))+
IF('ZD Vorerfassung'!$E$24="",0,IF(AND(B91&gt;='ZD Vorerfassung'!$C$24,B91&lt;='ZD Vorerfassung'!$D$24),HLOOKUP(TEXT(C91,"ttt"),'ZD Vorerfassung'!$H$21:$L$36,4,0),0))+
IF('ZD Vorerfassung'!$E$25="",0,IF(AND(B91&gt;='ZD Vorerfassung'!$C$25,B91&lt;='ZD Vorerfassung'!$D$25),HLOOKUP(TEXT(C91,"ttt"),'ZD Vorerfassung'!$H$21:$L$36,5,0),0))+
IF('ZD Vorerfassung'!$E$26="",0,IF(AND(B91&gt;='ZD Vorerfassung'!$C$26,B91&lt;='ZD Vorerfassung'!$D$26),HLOOKUP(TEXT(C91,"ttt"),'ZD Vorerfassung'!$H$21:$L$36,6,0),0))+
IF('ZD Vorerfassung'!$E$27="",0,IF(AND(B91&gt;='ZD Vorerfassung'!$C$27,B91&lt;='ZD Vorerfassung'!$D$27),HLOOKUP(TEXT(C91,"ttt"),'ZD Vorerfassung'!$H$21:$L$36,7,0),0))+
IF('ZD Vorerfassung'!$E$28="",0,IF(AND(B91&gt;='ZD Vorerfassung'!$C$28,B91&lt;='ZD Vorerfassung'!$D$28),HLOOKUP(TEXT(C91,"ttt"),'ZD Vorerfassung'!$H$21:$L$36,8,0),0))+
IF('ZD Vorerfassung'!$E$29="",0,IF(AND(B91&gt;='ZD Vorerfassung'!$C$29,B91&lt;='ZD Vorerfassung'!$D$29),HLOOKUP(TEXT(C91,"ttt"),'ZD Vorerfassung'!$H$21:$L$36,9,0),0))+
IF('ZD Vorerfassung'!$E$30="",0,IF(AND(B91&gt;='ZD Vorerfassung'!$C$30,B91&lt;='ZD Vorerfassung'!$D$30),HLOOKUP(TEXT(C91,"ttt"),'ZD Vorerfassung'!$H$21:$L$36,10,0),0))+
IF('ZD Vorerfassung'!$E$31="",0,IF(AND(B91&gt;='ZD Vorerfassung'!$C$31,B91&lt;='ZD Vorerfassung'!$D$31),HLOOKUP(TEXT(C91,"ttt"),'ZD Vorerfassung'!$H$21:$L$36,11,0),0))+
IF('ZD Vorerfassung'!$E$32="",0,IF(AND(B91&gt;='ZD Vorerfassung'!$C$32,B91&lt;='ZD Vorerfassung'!$D$32),HLOOKUP(TEXT(C91,"ttt"),'ZD Vorerfassung'!$H$21:$L$36,12,0),0))+
IF('ZD Vorerfassung'!$E$33="",0,IF(AND(B91&gt;='ZD Vorerfassung'!$C$33,B91&lt;='ZD Vorerfassung'!$D$33),HLOOKUP(TEXT(C91,"ttt"),'ZD Vorerfassung'!$H$21:$L$36,13,0),0))+
IF('ZD Vorerfassung'!$E$34="",0,IF(AND(B91&gt;='ZD Vorerfassung'!$C$34,B91&lt;='ZD Vorerfassung'!$D$34),HLOOKUP(TEXT(C91,"ttt"),'ZD Vorerfassung'!$H$21:$L$36,14,0),0))+
IF('ZD Vorerfassung'!$E$35="",0,IF(AND(B91&gt;='ZD Vorerfassung'!$C$35,B91&lt;='ZD Vorerfassung'!$D$35),HLOOKUP(TEXT(C91,"ttt"),'ZD Vorerfassung'!$H$21:$L$36,15,0),0))+
IF('ZD Vorerfassung'!$E$36="",0,IF(AND(B91&gt;='ZD Vorerfassung'!$C$36,B91&lt;='ZD Vorerfassung'!$D$36),HLOOKUP(TEXT(C91,"ttt"),'ZD Vorerfassung'!$H$21:$L$36,16,0),0)),"")</f>
        <v>0</v>
      </c>
      <c r="AW91" s="110">
        <f t="array" ref="AW91">IF(OR(D91="UU",D91="FT",D91="WE"),0,
IF(D91="NR",SUM(IF(B91&gt;=_xlfn.NUMBERVALUE('ZD Vorerfassung'!$C$22:$C$36),1,0)*IF(B91&lt;=_xlfn.NUMBERVALUE('ZD Vorerfassung'!$D$22:$D$36),1,0)*'ZD Vorerfassung'!$Q$22:$Q$36),
IF(OR(D91="SF",D91="FH"),SUM(IF(B91&gt;=_xlfn.NUMBERVALUE('ZD Vorerfassung'!$C$22:$C$36),1,0)*IF(B91&lt;=_xlfn.NUMBERVALUE('ZD Vorerfassung'!$D$22:$D$36),1,0)*'ZD Vorerfassung'!$R$22:$R$36*IF(D91="FH",0.5,1)),
"prüfen")))</f>
        <v>0</v>
      </c>
      <c r="AX91" s="110">
        <f t="array" ref="AX91">IF(OR(D91="UU",D91="FT",D91="WE",E91="Ferien"),0,
IF(D91="NR",SUM(IF(B91&gt;=_xlfn.NUMBERVALUE('ZD Vorerfassung'!$C$22:$C$36),1,0)*IF(B91&lt;=_xlfn.NUMBERVALUE('ZD Vorerfassung'!$D$22:$D$36),1,0)*'ZD Vorerfassung'!$W$22:$W$36),
IF(OR(D91="SF",D91="FH"),SUM(IF(B91&gt;=_xlfn.NUMBERVALUE('ZD Vorerfassung'!$C$22:$C$36),1,0)*IF(B91&lt;=_xlfn.NUMBERVALUE('ZD Vorerfassung'!$D$22:$D$36),1,0)*'ZD Vorerfassung'!$X$22:$X$36*IF(D91="FH",0.5,1)),
"prüfen")))</f>
        <v>0</v>
      </c>
      <c r="AY91" s="110">
        <f t="array" ref="AY91">IF(OR(D91="UU",D91="FT",D91="WE",E91="Ferien"),0,
IF(D91="NR",SUM(IF(B91&gt;=_xlfn.NUMBERVALUE('ZD Vorerfassung'!$C$22:$C$36),1,0)*IF(B91&lt;=_xlfn.NUMBERVALUE('ZD Vorerfassung'!$D$22:$D$36),1,0)*'ZD Vorerfassung'!$U$22:$U$36),
IF(OR(D91="SF",D91="FH"),SUM(IF(B91&gt;=_xlfn.NUMBERVALUE('ZD Vorerfassung'!$C$22:$C$36),1,0)*IF(B91&lt;=_xlfn.NUMBERVALUE('ZD Vorerfassung'!$D$22:$D$36),1,0)*'ZD Vorerfassung'!$V$22:$V$36*IF(D91="FH",0.5,1)),
"prüfen")))</f>
        <v>0</v>
      </c>
      <c r="AZ91" s="110">
        <f t="array" ref="AZ91">IF(OR(D91="UU",D91="FT",D91="WE",E91="Ferien"),0,
IF(D91="NR",SUM(IF(B91&gt;=_xlfn.NUMBERVALUE('ZD Vorerfassung'!$C$22:$C$36),1,0)*IF(B91&lt;=_xlfn.NUMBERVALUE('ZD Vorerfassung'!$D$22:$D$36),1,0)*'ZD Vorerfassung'!$S$22:$S$36),
IF(OR(D91="SF",D91="FH"),SUM(IF(B91&gt;=_xlfn.NUMBERVALUE('ZD Vorerfassung'!$C$22:$C$36),1,0)*IF(B91&lt;=_xlfn.NUMBERVALUE('ZD Vorerfassung'!$D$22:$D$36),1,0)*'ZD Vorerfassung'!$T$22:$T$36*IF(D91="FH",0.5,1)),
"prüfen")))</f>
        <v>0</v>
      </c>
      <c r="BA91" s="112">
        <f t="shared" si="20"/>
        <v>10</v>
      </c>
    </row>
    <row r="92" spans="2:53" ht="19.5" thickTop="1" thickBot="1" x14ac:dyDescent="0.3">
      <c r="B92" s="99">
        <f t="shared" si="17"/>
        <v>44857</v>
      </c>
      <c r="C92" s="100">
        <f t="shared" si="21"/>
        <v>44857</v>
      </c>
      <c r="D92" s="101" t="str">
        <f t="shared" si="22"/>
        <v>WE</v>
      </c>
      <c r="E92" s="102" t="str">
        <f t="shared" si="18"/>
        <v>Wochenende</v>
      </c>
      <c r="F92" s="103" t="str">
        <f t="shared" si="23"/>
        <v/>
      </c>
      <c r="G92" s="104" t="str">
        <f t="shared" si="24"/>
        <v/>
      </c>
      <c r="H92" s="104">
        <f>IFERROR(IF('ZD Vorerfassung'!$E$11="manuell",SUM(I92),IF(OR(E92="Feiertag",E92="Wochenende"),0,IF('ZD Vorerfassung'!$E$11="automatisch",AX92,IF(D92="UU","UU",IF(E92=Param2,AX92/24,IF(E92=Param9,AX92/48,"")))))),0)</f>
        <v>0</v>
      </c>
      <c r="I92" s="105"/>
      <c r="J92" s="106">
        <f>IF('ZD Vorerfassung'!$E$12="manuell",SUM(K92:AI92),IF(OR(E92="Feiertag",E92="Wochenende"),0,IF('ZD Vorerfassung'!$E$12="automatisch",AY92,IF(D92="UU","UU",IF(E92=Param2,AY92/24,IF(E92=Param9,AY92/48,""))))))</f>
        <v>0</v>
      </c>
      <c r="K92" s="105"/>
      <c r="L92" s="105"/>
      <c r="M92" s="105"/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7">
        <f t="shared" si="25"/>
        <v>0</v>
      </c>
      <c r="AK92" s="105"/>
      <c r="AL92" s="105"/>
      <c r="AM92" s="105"/>
      <c r="AN92" s="105"/>
      <c r="AO92" s="105"/>
      <c r="AP92" s="105"/>
      <c r="AQ92" s="108">
        <f t="shared" si="26"/>
        <v>0</v>
      </c>
      <c r="AR92" s="108">
        <f t="shared" si="27"/>
        <v>0</v>
      </c>
      <c r="AS92" s="109">
        <f t="shared" si="28"/>
        <v>0</v>
      </c>
      <c r="AU92" s="110">
        <f t="shared" si="19"/>
        <v>0</v>
      </c>
      <c r="AV92" s="111" t="str">
        <f>IF(D92="NR",
IF('ZD Vorerfassung'!$E$22="",0,IF(AND(B92&gt;='ZD Vorerfassung'!$C$22,B92&lt;='ZD Vorerfassung'!$D$22),HLOOKUP(TEXT(C92,"ttt"),'ZD Vorerfassung'!$H$21:$L$36,2,0),0))+
IF('ZD Vorerfassung'!$E$23="",0,IF(AND(B92&gt;='ZD Vorerfassung'!$C$23,B92&lt;='ZD Vorerfassung'!$D$23),HLOOKUP(TEXT(C92,"ttt"),'ZD Vorerfassung'!$H$21:$L$36,3,0),0))+
IF('ZD Vorerfassung'!$E$24="",0,IF(AND(B92&gt;='ZD Vorerfassung'!$C$24,B92&lt;='ZD Vorerfassung'!$D$24),HLOOKUP(TEXT(C92,"ttt"),'ZD Vorerfassung'!$H$21:$L$36,4,0),0))+
IF('ZD Vorerfassung'!$E$25="",0,IF(AND(B92&gt;='ZD Vorerfassung'!$C$25,B92&lt;='ZD Vorerfassung'!$D$25),HLOOKUP(TEXT(C92,"ttt"),'ZD Vorerfassung'!$H$21:$L$36,5,0),0))+
IF('ZD Vorerfassung'!$E$26="",0,IF(AND(B92&gt;='ZD Vorerfassung'!$C$26,B92&lt;='ZD Vorerfassung'!$D$26),HLOOKUP(TEXT(C92,"ttt"),'ZD Vorerfassung'!$H$21:$L$36,6,0),0))+
IF('ZD Vorerfassung'!$E$27="",0,IF(AND(B92&gt;='ZD Vorerfassung'!$C$27,B92&lt;='ZD Vorerfassung'!$D$27),HLOOKUP(TEXT(C92,"ttt"),'ZD Vorerfassung'!$H$21:$L$36,7,0),0))+
IF('ZD Vorerfassung'!$E$28="",0,IF(AND(B92&gt;='ZD Vorerfassung'!$C$28,B92&lt;='ZD Vorerfassung'!$D$28),HLOOKUP(TEXT(C92,"ttt"),'ZD Vorerfassung'!$H$21:$L$36,8,0),0))+
IF('ZD Vorerfassung'!$E$29="",0,IF(AND(B92&gt;='ZD Vorerfassung'!$C$29,B92&lt;='ZD Vorerfassung'!$D$29),HLOOKUP(TEXT(C92,"ttt"),'ZD Vorerfassung'!$H$21:$L$36,9,0),0))+
IF('ZD Vorerfassung'!$E$30="",0,IF(AND(B92&gt;='ZD Vorerfassung'!$C$30,B92&lt;='ZD Vorerfassung'!$D$30),HLOOKUP(TEXT(C92,"ttt"),'ZD Vorerfassung'!$H$21:$L$36,10,0),0))+
IF('ZD Vorerfassung'!$E$31="",0,IF(AND(B92&gt;='ZD Vorerfassung'!$C$31,B92&lt;='ZD Vorerfassung'!$D$31),HLOOKUP(TEXT(C92,"ttt"),'ZD Vorerfassung'!$H$21:$L$36,11,0),0))+
IF('ZD Vorerfassung'!$E$32="",0,IF(AND(B92&gt;='ZD Vorerfassung'!$C$32,B92&lt;='ZD Vorerfassung'!$D$32),HLOOKUP(TEXT(C92,"ttt"),'ZD Vorerfassung'!$H$21:$L$36,12,0),0))+
IF('ZD Vorerfassung'!$E$33="",0,IF(AND(B92&gt;='ZD Vorerfassung'!$C$33,B92&lt;='ZD Vorerfassung'!$D$33),HLOOKUP(TEXT(C92,"ttt"),'ZD Vorerfassung'!$H$21:$L$36,13,0),0))+
IF('ZD Vorerfassung'!$E$34="",0,IF(AND(B92&gt;='ZD Vorerfassung'!$C$34,B92&lt;='ZD Vorerfassung'!$D$34),HLOOKUP(TEXT(C92,"ttt"),'ZD Vorerfassung'!$H$21:$L$36,14,0),0))+
IF('ZD Vorerfassung'!$E$35="",0,IF(AND(B92&gt;='ZD Vorerfassung'!$C$35,B92&lt;='ZD Vorerfassung'!$D$35),HLOOKUP(TEXT(C92,"ttt"),'ZD Vorerfassung'!$H$21:$L$36,15,0),0))+
IF('ZD Vorerfassung'!$E$36="",0,IF(AND(B92&gt;='ZD Vorerfassung'!$C$36,B92&lt;='ZD Vorerfassung'!$D$36),HLOOKUP(TEXT(C92,"ttt"),'ZD Vorerfassung'!$H$21:$L$36,16,0),0)),"")</f>
        <v/>
      </c>
      <c r="AW92" s="110">
        <f t="array" ref="AW92">IF(OR(D92="UU",D92="FT",D92="WE"),0,
IF(D92="NR",SUM(IF(B92&gt;=_xlfn.NUMBERVALUE('ZD Vorerfassung'!$C$22:$C$36),1,0)*IF(B92&lt;=_xlfn.NUMBERVALUE('ZD Vorerfassung'!$D$22:$D$36),1,0)*'ZD Vorerfassung'!$Q$22:$Q$36),
IF(OR(D92="SF",D92="FH"),SUM(IF(B92&gt;=_xlfn.NUMBERVALUE('ZD Vorerfassung'!$C$22:$C$36),1,0)*IF(B92&lt;=_xlfn.NUMBERVALUE('ZD Vorerfassung'!$D$22:$D$36),1,0)*'ZD Vorerfassung'!$R$22:$R$36*IF(D92="FH",0.5,1)),
"prüfen")))</f>
        <v>0</v>
      </c>
      <c r="AX92" s="110">
        <f t="array" ref="AX92">IF(OR(D92="UU",D92="FT",D92="WE",E92="Ferien"),0,
IF(D92="NR",SUM(IF(B92&gt;=_xlfn.NUMBERVALUE('ZD Vorerfassung'!$C$22:$C$36),1,0)*IF(B92&lt;=_xlfn.NUMBERVALUE('ZD Vorerfassung'!$D$22:$D$36),1,0)*'ZD Vorerfassung'!$W$22:$W$36),
IF(OR(D92="SF",D92="FH"),SUM(IF(B92&gt;=_xlfn.NUMBERVALUE('ZD Vorerfassung'!$C$22:$C$36),1,0)*IF(B92&lt;=_xlfn.NUMBERVALUE('ZD Vorerfassung'!$D$22:$D$36),1,0)*'ZD Vorerfassung'!$X$22:$X$36*IF(D92="FH",0.5,1)),
"prüfen")))</f>
        <v>0</v>
      </c>
      <c r="AY92" s="110">
        <f t="array" ref="AY92">IF(OR(D92="UU",D92="FT",D92="WE",E92="Ferien"),0,
IF(D92="NR",SUM(IF(B92&gt;=_xlfn.NUMBERVALUE('ZD Vorerfassung'!$C$22:$C$36),1,0)*IF(B92&lt;=_xlfn.NUMBERVALUE('ZD Vorerfassung'!$D$22:$D$36),1,0)*'ZD Vorerfassung'!$U$22:$U$36),
IF(OR(D92="SF",D92="FH"),SUM(IF(B92&gt;=_xlfn.NUMBERVALUE('ZD Vorerfassung'!$C$22:$C$36),1,0)*IF(B92&lt;=_xlfn.NUMBERVALUE('ZD Vorerfassung'!$D$22:$D$36),1,0)*'ZD Vorerfassung'!$V$22:$V$36*IF(D92="FH",0.5,1)),
"prüfen")))</f>
        <v>0</v>
      </c>
      <c r="AZ92" s="110">
        <f t="array" ref="AZ92">IF(OR(D92="UU",D92="FT",D92="WE",E92="Ferien"),0,
IF(D92="NR",SUM(IF(B92&gt;=_xlfn.NUMBERVALUE('ZD Vorerfassung'!$C$22:$C$36),1,0)*IF(B92&lt;=_xlfn.NUMBERVALUE('ZD Vorerfassung'!$D$22:$D$36),1,0)*'ZD Vorerfassung'!$S$22:$S$36),
IF(OR(D92="SF",D92="FH"),SUM(IF(B92&gt;=_xlfn.NUMBERVALUE('ZD Vorerfassung'!$C$22:$C$36),1,0)*IF(B92&lt;=_xlfn.NUMBERVALUE('ZD Vorerfassung'!$D$22:$D$36),1,0)*'ZD Vorerfassung'!$T$22:$T$36*IF(D92="FH",0.5,1)),
"prüfen")))</f>
        <v>0</v>
      </c>
      <c r="BA92" s="112">
        <f t="shared" si="20"/>
        <v>10</v>
      </c>
    </row>
    <row r="93" spans="2:53" ht="19.5" thickTop="1" thickBot="1" x14ac:dyDescent="0.3">
      <c r="B93" s="99">
        <f t="shared" si="17"/>
        <v>44858</v>
      </c>
      <c r="C93" s="100">
        <f t="shared" si="21"/>
        <v>44858</v>
      </c>
      <c r="D93" s="101" t="str">
        <f t="shared" si="22"/>
        <v>WE</v>
      </c>
      <c r="E93" s="102" t="str">
        <f t="shared" si="18"/>
        <v>Wochenende</v>
      </c>
      <c r="F93" s="103" t="str">
        <f t="shared" si="23"/>
        <v/>
      </c>
      <c r="G93" s="104" t="str">
        <f t="shared" si="24"/>
        <v/>
      </c>
      <c r="H93" s="104">
        <f>IFERROR(IF('ZD Vorerfassung'!$E$11="manuell",SUM(I93),IF(OR(E93="Feiertag",E93="Wochenende"),0,IF('ZD Vorerfassung'!$E$11="automatisch",AX93,IF(D93="UU","UU",IF(E93=Param2,AX93/24,IF(E93=Param9,AX93/48,"")))))),0)</f>
        <v>0</v>
      </c>
      <c r="I93" s="105"/>
      <c r="J93" s="106">
        <f>IF('ZD Vorerfassung'!$E$12="manuell",SUM(K93:AI93),IF(OR(E93="Feiertag",E93="Wochenende"),0,IF('ZD Vorerfassung'!$E$12="automatisch",AY93,IF(D93="UU","UU",IF(E93=Param2,AY93/24,IF(E93=Param9,AY93/48,""))))))</f>
        <v>0</v>
      </c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  <c r="AE93" s="105"/>
      <c r="AF93" s="105"/>
      <c r="AG93" s="105"/>
      <c r="AH93" s="105"/>
      <c r="AI93" s="105"/>
      <c r="AJ93" s="107">
        <f t="shared" si="25"/>
        <v>0</v>
      </c>
      <c r="AK93" s="105"/>
      <c r="AL93" s="105"/>
      <c r="AM93" s="105"/>
      <c r="AN93" s="105"/>
      <c r="AO93" s="105"/>
      <c r="AP93" s="105"/>
      <c r="AQ93" s="108">
        <f t="shared" si="26"/>
        <v>0</v>
      </c>
      <c r="AR93" s="108">
        <f t="shared" si="27"/>
        <v>0</v>
      </c>
      <c r="AS93" s="109">
        <f t="shared" si="28"/>
        <v>0</v>
      </c>
      <c r="AU93" s="110">
        <f t="shared" si="19"/>
        <v>0</v>
      </c>
      <c r="AV93" s="111" t="str">
        <f>IF(D93="NR",
IF('ZD Vorerfassung'!$E$22="",0,IF(AND(B93&gt;='ZD Vorerfassung'!$C$22,B93&lt;='ZD Vorerfassung'!$D$22),HLOOKUP(TEXT(C93,"ttt"),'ZD Vorerfassung'!$H$21:$L$36,2,0),0))+
IF('ZD Vorerfassung'!$E$23="",0,IF(AND(B93&gt;='ZD Vorerfassung'!$C$23,B93&lt;='ZD Vorerfassung'!$D$23),HLOOKUP(TEXT(C93,"ttt"),'ZD Vorerfassung'!$H$21:$L$36,3,0),0))+
IF('ZD Vorerfassung'!$E$24="",0,IF(AND(B93&gt;='ZD Vorerfassung'!$C$24,B93&lt;='ZD Vorerfassung'!$D$24),HLOOKUP(TEXT(C93,"ttt"),'ZD Vorerfassung'!$H$21:$L$36,4,0),0))+
IF('ZD Vorerfassung'!$E$25="",0,IF(AND(B93&gt;='ZD Vorerfassung'!$C$25,B93&lt;='ZD Vorerfassung'!$D$25),HLOOKUP(TEXT(C93,"ttt"),'ZD Vorerfassung'!$H$21:$L$36,5,0),0))+
IF('ZD Vorerfassung'!$E$26="",0,IF(AND(B93&gt;='ZD Vorerfassung'!$C$26,B93&lt;='ZD Vorerfassung'!$D$26),HLOOKUP(TEXT(C93,"ttt"),'ZD Vorerfassung'!$H$21:$L$36,6,0),0))+
IF('ZD Vorerfassung'!$E$27="",0,IF(AND(B93&gt;='ZD Vorerfassung'!$C$27,B93&lt;='ZD Vorerfassung'!$D$27),HLOOKUP(TEXT(C93,"ttt"),'ZD Vorerfassung'!$H$21:$L$36,7,0),0))+
IF('ZD Vorerfassung'!$E$28="",0,IF(AND(B93&gt;='ZD Vorerfassung'!$C$28,B93&lt;='ZD Vorerfassung'!$D$28),HLOOKUP(TEXT(C93,"ttt"),'ZD Vorerfassung'!$H$21:$L$36,8,0),0))+
IF('ZD Vorerfassung'!$E$29="",0,IF(AND(B93&gt;='ZD Vorerfassung'!$C$29,B93&lt;='ZD Vorerfassung'!$D$29),HLOOKUP(TEXT(C93,"ttt"),'ZD Vorerfassung'!$H$21:$L$36,9,0),0))+
IF('ZD Vorerfassung'!$E$30="",0,IF(AND(B93&gt;='ZD Vorerfassung'!$C$30,B93&lt;='ZD Vorerfassung'!$D$30),HLOOKUP(TEXT(C93,"ttt"),'ZD Vorerfassung'!$H$21:$L$36,10,0),0))+
IF('ZD Vorerfassung'!$E$31="",0,IF(AND(B93&gt;='ZD Vorerfassung'!$C$31,B93&lt;='ZD Vorerfassung'!$D$31),HLOOKUP(TEXT(C93,"ttt"),'ZD Vorerfassung'!$H$21:$L$36,11,0),0))+
IF('ZD Vorerfassung'!$E$32="",0,IF(AND(B93&gt;='ZD Vorerfassung'!$C$32,B93&lt;='ZD Vorerfassung'!$D$32),HLOOKUP(TEXT(C93,"ttt"),'ZD Vorerfassung'!$H$21:$L$36,12,0),0))+
IF('ZD Vorerfassung'!$E$33="",0,IF(AND(B93&gt;='ZD Vorerfassung'!$C$33,B93&lt;='ZD Vorerfassung'!$D$33),HLOOKUP(TEXT(C93,"ttt"),'ZD Vorerfassung'!$H$21:$L$36,13,0),0))+
IF('ZD Vorerfassung'!$E$34="",0,IF(AND(B93&gt;='ZD Vorerfassung'!$C$34,B93&lt;='ZD Vorerfassung'!$D$34),HLOOKUP(TEXT(C93,"ttt"),'ZD Vorerfassung'!$H$21:$L$36,14,0),0))+
IF('ZD Vorerfassung'!$E$35="",0,IF(AND(B93&gt;='ZD Vorerfassung'!$C$35,B93&lt;='ZD Vorerfassung'!$D$35),HLOOKUP(TEXT(C93,"ttt"),'ZD Vorerfassung'!$H$21:$L$36,15,0),0))+
IF('ZD Vorerfassung'!$E$36="",0,IF(AND(B93&gt;='ZD Vorerfassung'!$C$36,B93&lt;='ZD Vorerfassung'!$D$36),HLOOKUP(TEXT(C93,"ttt"),'ZD Vorerfassung'!$H$21:$L$36,16,0),0)),"")</f>
        <v/>
      </c>
      <c r="AW93" s="110">
        <f t="array" ref="AW93">IF(OR(D93="UU",D93="FT",D93="WE"),0,
IF(D93="NR",SUM(IF(B93&gt;=_xlfn.NUMBERVALUE('ZD Vorerfassung'!$C$22:$C$36),1,0)*IF(B93&lt;=_xlfn.NUMBERVALUE('ZD Vorerfassung'!$D$22:$D$36),1,0)*'ZD Vorerfassung'!$Q$22:$Q$36),
IF(OR(D93="SF",D93="FH"),SUM(IF(B93&gt;=_xlfn.NUMBERVALUE('ZD Vorerfassung'!$C$22:$C$36),1,0)*IF(B93&lt;=_xlfn.NUMBERVALUE('ZD Vorerfassung'!$D$22:$D$36),1,0)*'ZD Vorerfassung'!$R$22:$R$36*IF(D93="FH",0.5,1)),
"prüfen")))</f>
        <v>0</v>
      </c>
      <c r="AX93" s="110">
        <f t="array" ref="AX93">IF(OR(D93="UU",D93="FT",D93="WE",E93="Ferien"),0,
IF(D93="NR",SUM(IF(B93&gt;=_xlfn.NUMBERVALUE('ZD Vorerfassung'!$C$22:$C$36),1,0)*IF(B93&lt;=_xlfn.NUMBERVALUE('ZD Vorerfassung'!$D$22:$D$36),1,0)*'ZD Vorerfassung'!$W$22:$W$36),
IF(OR(D93="SF",D93="FH"),SUM(IF(B93&gt;=_xlfn.NUMBERVALUE('ZD Vorerfassung'!$C$22:$C$36),1,0)*IF(B93&lt;=_xlfn.NUMBERVALUE('ZD Vorerfassung'!$D$22:$D$36),1,0)*'ZD Vorerfassung'!$X$22:$X$36*IF(D93="FH",0.5,1)),
"prüfen")))</f>
        <v>0</v>
      </c>
      <c r="AY93" s="110">
        <f t="array" ref="AY93">IF(OR(D93="UU",D93="FT",D93="WE",E93="Ferien"),0,
IF(D93="NR",SUM(IF(B93&gt;=_xlfn.NUMBERVALUE('ZD Vorerfassung'!$C$22:$C$36),1,0)*IF(B93&lt;=_xlfn.NUMBERVALUE('ZD Vorerfassung'!$D$22:$D$36),1,0)*'ZD Vorerfassung'!$U$22:$U$36),
IF(OR(D93="SF",D93="FH"),SUM(IF(B93&gt;=_xlfn.NUMBERVALUE('ZD Vorerfassung'!$C$22:$C$36),1,0)*IF(B93&lt;=_xlfn.NUMBERVALUE('ZD Vorerfassung'!$D$22:$D$36),1,0)*'ZD Vorerfassung'!$V$22:$V$36*IF(D93="FH",0.5,1)),
"prüfen")))</f>
        <v>0</v>
      </c>
      <c r="AZ93" s="110">
        <f t="array" ref="AZ93">IF(OR(D93="UU",D93="FT",D93="WE",E93="Ferien"),0,
IF(D93="NR",SUM(IF(B93&gt;=_xlfn.NUMBERVALUE('ZD Vorerfassung'!$C$22:$C$36),1,0)*IF(B93&lt;=_xlfn.NUMBERVALUE('ZD Vorerfassung'!$D$22:$D$36),1,0)*'ZD Vorerfassung'!$S$22:$S$36),
IF(OR(D93="SF",D93="FH"),SUM(IF(B93&gt;=_xlfn.NUMBERVALUE('ZD Vorerfassung'!$C$22:$C$36),1,0)*IF(B93&lt;=_xlfn.NUMBERVALUE('ZD Vorerfassung'!$D$22:$D$36),1,0)*'ZD Vorerfassung'!$T$22:$T$36*IF(D93="FH",0.5,1)),
"prüfen")))</f>
        <v>0</v>
      </c>
      <c r="BA93" s="112">
        <f t="shared" si="20"/>
        <v>10</v>
      </c>
    </row>
    <row r="94" spans="2:53" ht="19.5" thickTop="1" thickBot="1" x14ac:dyDescent="0.3">
      <c r="B94" s="99">
        <f t="shared" si="17"/>
        <v>44859</v>
      </c>
      <c r="C94" s="100">
        <f t="shared" si="21"/>
        <v>44859</v>
      </c>
      <c r="D94" s="101" t="str">
        <f t="shared" si="22"/>
        <v>NR</v>
      </c>
      <c r="E94" s="102" t="str">
        <f t="shared" si="18"/>
        <v>Unterrichtstag</v>
      </c>
      <c r="F94" s="103">
        <f t="shared" si="23"/>
        <v>0</v>
      </c>
      <c r="G94" s="104">
        <f t="shared" si="24"/>
        <v>0</v>
      </c>
      <c r="H94" s="104">
        <f>IFERROR(IF('ZD Vorerfassung'!$E$11="manuell",SUM(I94),IF(OR(E94="Feiertag",E94="Wochenende"),0,IF('ZD Vorerfassung'!$E$11="automatisch",AX94,IF(D94="UU","UU",IF(E94=Param2,AX94/24,IF(E94=Param9,AX94/48,"")))))),0)</f>
        <v>0</v>
      </c>
      <c r="I94" s="105"/>
      <c r="J94" s="106">
        <f>IF('ZD Vorerfassung'!$E$12="manuell",SUM(K94:AI94),IF(OR(E94="Feiertag",E94="Wochenende"),0,IF('ZD Vorerfassung'!$E$12="automatisch",AY94,IF(D94="UU","UU",IF(E94=Param2,AY94/24,IF(E94=Param9,AY94/48,""))))))</f>
        <v>0</v>
      </c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5"/>
      <c r="AI94" s="105"/>
      <c r="AJ94" s="107">
        <f t="shared" si="25"/>
        <v>0</v>
      </c>
      <c r="AK94" s="105"/>
      <c r="AL94" s="105"/>
      <c r="AM94" s="105"/>
      <c r="AN94" s="105"/>
      <c r="AO94" s="105"/>
      <c r="AP94" s="105"/>
      <c r="AQ94" s="108">
        <f t="shared" si="26"/>
        <v>0</v>
      </c>
      <c r="AR94" s="108">
        <f t="shared" si="27"/>
        <v>0</v>
      </c>
      <c r="AS94" s="109">
        <f t="shared" si="28"/>
        <v>0</v>
      </c>
      <c r="AU94" s="110">
        <f t="shared" si="19"/>
        <v>0</v>
      </c>
      <c r="AV94" s="111">
        <f>IF(D94="NR",
IF('ZD Vorerfassung'!$E$22="",0,IF(AND(B94&gt;='ZD Vorerfassung'!$C$22,B94&lt;='ZD Vorerfassung'!$D$22),HLOOKUP(TEXT(C94,"ttt"),'ZD Vorerfassung'!$H$21:$L$36,2,0),0))+
IF('ZD Vorerfassung'!$E$23="",0,IF(AND(B94&gt;='ZD Vorerfassung'!$C$23,B94&lt;='ZD Vorerfassung'!$D$23),HLOOKUP(TEXT(C94,"ttt"),'ZD Vorerfassung'!$H$21:$L$36,3,0),0))+
IF('ZD Vorerfassung'!$E$24="",0,IF(AND(B94&gt;='ZD Vorerfassung'!$C$24,B94&lt;='ZD Vorerfassung'!$D$24),HLOOKUP(TEXT(C94,"ttt"),'ZD Vorerfassung'!$H$21:$L$36,4,0),0))+
IF('ZD Vorerfassung'!$E$25="",0,IF(AND(B94&gt;='ZD Vorerfassung'!$C$25,B94&lt;='ZD Vorerfassung'!$D$25),HLOOKUP(TEXT(C94,"ttt"),'ZD Vorerfassung'!$H$21:$L$36,5,0),0))+
IF('ZD Vorerfassung'!$E$26="",0,IF(AND(B94&gt;='ZD Vorerfassung'!$C$26,B94&lt;='ZD Vorerfassung'!$D$26),HLOOKUP(TEXT(C94,"ttt"),'ZD Vorerfassung'!$H$21:$L$36,6,0),0))+
IF('ZD Vorerfassung'!$E$27="",0,IF(AND(B94&gt;='ZD Vorerfassung'!$C$27,B94&lt;='ZD Vorerfassung'!$D$27),HLOOKUP(TEXT(C94,"ttt"),'ZD Vorerfassung'!$H$21:$L$36,7,0),0))+
IF('ZD Vorerfassung'!$E$28="",0,IF(AND(B94&gt;='ZD Vorerfassung'!$C$28,B94&lt;='ZD Vorerfassung'!$D$28),HLOOKUP(TEXT(C94,"ttt"),'ZD Vorerfassung'!$H$21:$L$36,8,0),0))+
IF('ZD Vorerfassung'!$E$29="",0,IF(AND(B94&gt;='ZD Vorerfassung'!$C$29,B94&lt;='ZD Vorerfassung'!$D$29),HLOOKUP(TEXT(C94,"ttt"),'ZD Vorerfassung'!$H$21:$L$36,9,0),0))+
IF('ZD Vorerfassung'!$E$30="",0,IF(AND(B94&gt;='ZD Vorerfassung'!$C$30,B94&lt;='ZD Vorerfassung'!$D$30),HLOOKUP(TEXT(C94,"ttt"),'ZD Vorerfassung'!$H$21:$L$36,10,0),0))+
IF('ZD Vorerfassung'!$E$31="",0,IF(AND(B94&gt;='ZD Vorerfassung'!$C$31,B94&lt;='ZD Vorerfassung'!$D$31),HLOOKUP(TEXT(C94,"ttt"),'ZD Vorerfassung'!$H$21:$L$36,11,0),0))+
IF('ZD Vorerfassung'!$E$32="",0,IF(AND(B94&gt;='ZD Vorerfassung'!$C$32,B94&lt;='ZD Vorerfassung'!$D$32),HLOOKUP(TEXT(C94,"ttt"),'ZD Vorerfassung'!$H$21:$L$36,12,0),0))+
IF('ZD Vorerfassung'!$E$33="",0,IF(AND(B94&gt;='ZD Vorerfassung'!$C$33,B94&lt;='ZD Vorerfassung'!$D$33),HLOOKUP(TEXT(C94,"ttt"),'ZD Vorerfassung'!$H$21:$L$36,13,0),0))+
IF('ZD Vorerfassung'!$E$34="",0,IF(AND(B94&gt;='ZD Vorerfassung'!$C$34,B94&lt;='ZD Vorerfassung'!$D$34),HLOOKUP(TEXT(C94,"ttt"),'ZD Vorerfassung'!$H$21:$L$36,14,0),0))+
IF('ZD Vorerfassung'!$E$35="",0,IF(AND(B94&gt;='ZD Vorerfassung'!$C$35,B94&lt;='ZD Vorerfassung'!$D$35),HLOOKUP(TEXT(C94,"ttt"),'ZD Vorerfassung'!$H$21:$L$36,15,0),0))+
IF('ZD Vorerfassung'!$E$36="",0,IF(AND(B94&gt;='ZD Vorerfassung'!$C$36,B94&lt;='ZD Vorerfassung'!$D$36),HLOOKUP(TEXT(C94,"ttt"),'ZD Vorerfassung'!$H$21:$L$36,16,0),0)),"")</f>
        <v>0</v>
      </c>
      <c r="AW94" s="110">
        <f t="array" ref="AW94">IF(OR(D94="UU",D94="FT",D94="WE"),0,
IF(D94="NR",SUM(IF(B94&gt;=_xlfn.NUMBERVALUE('ZD Vorerfassung'!$C$22:$C$36),1,0)*IF(B94&lt;=_xlfn.NUMBERVALUE('ZD Vorerfassung'!$D$22:$D$36),1,0)*'ZD Vorerfassung'!$Q$22:$Q$36),
IF(OR(D94="SF",D94="FH"),SUM(IF(B94&gt;=_xlfn.NUMBERVALUE('ZD Vorerfassung'!$C$22:$C$36),1,0)*IF(B94&lt;=_xlfn.NUMBERVALUE('ZD Vorerfassung'!$D$22:$D$36),1,0)*'ZD Vorerfassung'!$R$22:$R$36*IF(D94="FH",0.5,1)),
"prüfen")))</f>
        <v>0</v>
      </c>
      <c r="AX94" s="110">
        <f t="array" ref="AX94">IF(OR(D94="UU",D94="FT",D94="WE",E94="Ferien"),0,
IF(D94="NR",SUM(IF(B94&gt;=_xlfn.NUMBERVALUE('ZD Vorerfassung'!$C$22:$C$36),1,0)*IF(B94&lt;=_xlfn.NUMBERVALUE('ZD Vorerfassung'!$D$22:$D$36),1,0)*'ZD Vorerfassung'!$W$22:$W$36),
IF(OR(D94="SF",D94="FH"),SUM(IF(B94&gt;=_xlfn.NUMBERVALUE('ZD Vorerfassung'!$C$22:$C$36),1,0)*IF(B94&lt;=_xlfn.NUMBERVALUE('ZD Vorerfassung'!$D$22:$D$36),1,0)*'ZD Vorerfassung'!$X$22:$X$36*IF(D94="FH",0.5,1)),
"prüfen")))</f>
        <v>0</v>
      </c>
      <c r="AY94" s="110">
        <f t="array" ref="AY94">IF(OR(D94="UU",D94="FT",D94="WE",E94="Ferien"),0,
IF(D94="NR",SUM(IF(B94&gt;=_xlfn.NUMBERVALUE('ZD Vorerfassung'!$C$22:$C$36),1,0)*IF(B94&lt;=_xlfn.NUMBERVALUE('ZD Vorerfassung'!$D$22:$D$36),1,0)*'ZD Vorerfassung'!$U$22:$U$36),
IF(OR(D94="SF",D94="FH"),SUM(IF(B94&gt;=_xlfn.NUMBERVALUE('ZD Vorerfassung'!$C$22:$C$36),1,0)*IF(B94&lt;=_xlfn.NUMBERVALUE('ZD Vorerfassung'!$D$22:$D$36),1,0)*'ZD Vorerfassung'!$V$22:$V$36*IF(D94="FH",0.5,1)),
"prüfen")))</f>
        <v>0</v>
      </c>
      <c r="AZ94" s="110">
        <f t="array" ref="AZ94">IF(OR(D94="UU",D94="FT",D94="WE",E94="Ferien"),0,
IF(D94="NR",SUM(IF(B94&gt;=_xlfn.NUMBERVALUE('ZD Vorerfassung'!$C$22:$C$36),1,0)*IF(B94&lt;=_xlfn.NUMBERVALUE('ZD Vorerfassung'!$D$22:$D$36),1,0)*'ZD Vorerfassung'!$S$22:$S$36),
IF(OR(D94="SF",D94="FH"),SUM(IF(B94&gt;=_xlfn.NUMBERVALUE('ZD Vorerfassung'!$C$22:$C$36),1,0)*IF(B94&lt;=_xlfn.NUMBERVALUE('ZD Vorerfassung'!$D$22:$D$36),1,0)*'ZD Vorerfassung'!$T$22:$T$36*IF(D94="FH",0.5,1)),
"prüfen")))</f>
        <v>0</v>
      </c>
      <c r="BA94" s="112">
        <f t="shared" si="20"/>
        <v>10</v>
      </c>
    </row>
    <row r="95" spans="2:53" ht="19.5" thickTop="1" thickBot="1" x14ac:dyDescent="0.3">
      <c r="B95" s="99">
        <f t="shared" si="17"/>
        <v>44860</v>
      </c>
      <c r="C95" s="100">
        <f t="shared" si="21"/>
        <v>44860</v>
      </c>
      <c r="D95" s="101" t="str">
        <f t="shared" si="22"/>
        <v>NR</v>
      </c>
      <c r="E95" s="102" t="str">
        <f t="shared" si="18"/>
        <v>Unterrichtstag</v>
      </c>
      <c r="F95" s="103">
        <f t="shared" si="23"/>
        <v>0</v>
      </c>
      <c r="G95" s="104">
        <f t="shared" si="24"/>
        <v>0</v>
      </c>
      <c r="H95" s="104">
        <f>IFERROR(IF('ZD Vorerfassung'!$E$11="manuell",SUM(I95),IF(OR(E95="Feiertag",E95="Wochenende"),0,IF('ZD Vorerfassung'!$E$11="automatisch",AX95,IF(D95="UU","UU",IF(E95=Param2,AX95/24,IF(E95=Param9,AX95/48,"")))))),0)</f>
        <v>0</v>
      </c>
      <c r="I95" s="105"/>
      <c r="J95" s="106">
        <f>IF('ZD Vorerfassung'!$E$12="manuell",SUM(K95:AI95),IF(OR(E95="Feiertag",E95="Wochenende"),0,IF('ZD Vorerfassung'!$E$12="automatisch",AY95,IF(D95="UU","UU",IF(E95=Param2,AY95/24,IF(E95=Param9,AY95/48,""))))))</f>
        <v>0</v>
      </c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  <c r="X95" s="105"/>
      <c r="Y95" s="105"/>
      <c r="Z95" s="105"/>
      <c r="AA95" s="105"/>
      <c r="AB95" s="105"/>
      <c r="AC95" s="105"/>
      <c r="AD95" s="105"/>
      <c r="AE95" s="105"/>
      <c r="AF95" s="105"/>
      <c r="AG95" s="105"/>
      <c r="AH95" s="105"/>
      <c r="AI95" s="105"/>
      <c r="AJ95" s="107">
        <f t="shared" si="25"/>
        <v>0</v>
      </c>
      <c r="AK95" s="105"/>
      <c r="AL95" s="105"/>
      <c r="AM95" s="105"/>
      <c r="AN95" s="105"/>
      <c r="AO95" s="105"/>
      <c r="AP95" s="105"/>
      <c r="AQ95" s="108">
        <f t="shared" si="26"/>
        <v>0</v>
      </c>
      <c r="AR95" s="108">
        <f t="shared" si="27"/>
        <v>0</v>
      </c>
      <c r="AS95" s="109">
        <f t="shared" si="28"/>
        <v>0</v>
      </c>
      <c r="AU95" s="110">
        <f t="shared" si="19"/>
        <v>0</v>
      </c>
      <c r="AV95" s="111">
        <f>IF(D95="NR",
IF('ZD Vorerfassung'!$E$22="",0,IF(AND(B95&gt;='ZD Vorerfassung'!$C$22,B95&lt;='ZD Vorerfassung'!$D$22),HLOOKUP(TEXT(C95,"ttt"),'ZD Vorerfassung'!$H$21:$L$36,2,0),0))+
IF('ZD Vorerfassung'!$E$23="",0,IF(AND(B95&gt;='ZD Vorerfassung'!$C$23,B95&lt;='ZD Vorerfassung'!$D$23),HLOOKUP(TEXT(C95,"ttt"),'ZD Vorerfassung'!$H$21:$L$36,3,0),0))+
IF('ZD Vorerfassung'!$E$24="",0,IF(AND(B95&gt;='ZD Vorerfassung'!$C$24,B95&lt;='ZD Vorerfassung'!$D$24),HLOOKUP(TEXT(C95,"ttt"),'ZD Vorerfassung'!$H$21:$L$36,4,0),0))+
IF('ZD Vorerfassung'!$E$25="",0,IF(AND(B95&gt;='ZD Vorerfassung'!$C$25,B95&lt;='ZD Vorerfassung'!$D$25),HLOOKUP(TEXT(C95,"ttt"),'ZD Vorerfassung'!$H$21:$L$36,5,0),0))+
IF('ZD Vorerfassung'!$E$26="",0,IF(AND(B95&gt;='ZD Vorerfassung'!$C$26,B95&lt;='ZD Vorerfassung'!$D$26),HLOOKUP(TEXT(C95,"ttt"),'ZD Vorerfassung'!$H$21:$L$36,6,0),0))+
IF('ZD Vorerfassung'!$E$27="",0,IF(AND(B95&gt;='ZD Vorerfassung'!$C$27,B95&lt;='ZD Vorerfassung'!$D$27),HLOOKUP(TEXT(C95,"ttt"),'ZD Vorerfassung'!$H$21:$L$36,7,0),0))+
IF('ZD Vorerfassung'!$E$28="",0,IF(AND(B95&gt;='ZD Vorerfassung'!$C$28,B95&lt;='ZD Vorerfassung'!$D$28),HLOOKUP(TEXT(C95,"ttt"),'ZD Vorerfassung'!$H$21:$L$36,8,0),0))+
IF('ZD Vorerfassung'!$E$29="",0,IF(AND(B95&gt;='ZD Vorerfassung'!$C$29,B95&lt;='ZD Vorerfassung'!$D$29),HLOOKUP(TEXT(C95,"ttt"),'ZD Vorerfassung'!$H$21:$L$36,9,0),0))+
IF('ZD Vorerfassung'!$E$30="",0,IF(AND(B95&gt;='ZD Vorerfassung'!$C$30,B95&lt;='ZD Vorerfassung'!$D$30),HLOOKUP(TEXT(C95,"ttt"),'ZD Vorerfassung'!$H$21:$L$36,10,0),0))+
IF('ZD Vorerfassung'!$E$31="",0,IF(AND(B95&gt;='ZD Vorerfassung'!$C$31,B95&lt;='ZD Vorerfassung'!$D$31),HLOOKUP(TEXT(C95,"ttt"),'ZD Vorerfassung'!$H$21:$L$36,11,0),0))+
IF('ZD Vorerfassung'!$E$32="",0,IF(AND(B95&gt;='ZD Vorerfassung'!$C$32,B95&lt;='ZD Vorerfassung'!$D$32),HLOOKUP(TEXT(C95,"ttt"),'ZD Vorerfassung'!$H$21:$L$36,12,0),0))+
IF('ZD Vorerfassung'!$E$33="",0,IF(AND(B95&gt;='ZD Vorerfassung'!$C$33,B95&lt;='ZD Vorerfassung'!$D$33),HLOOKUP(TEXT(C95,"ttt"),'ZD Vorerfassung'!$H$21:$L$36,13,0),0))+
IF('ZD Vorerfassung'!$E$34="",0,IF(AND(B95&gt;='ZD Vorerfassung'!$C$34,B95&lt;='ZD Vorerfassung'!$D$34),HLOOKUP(TEXT(C95,"ttt"),'ZD Vorerfassung'!$H$21:$L$36,14,0),0))+
IF('ZD Vorerfassung'!$E$35="",0,IF(AND(B95&gt;='ZD Vorerfassung'!$C$35,B95&lt;='ZD Vorerfassung'!$D$35),HLOOKUP(TEXT(C95,"ttt"),'ZD Vorerfassung'!$H$21:$L$36,15,0),0))+
IF('ZD Vorerfassung'!$E$36="",0,IF(AND(B95&gt;='ZD Vorerfassung'!$C$36,B95&lt;='ZD Vorerfassung'!$D$36),HLOOKUP(TEXT(C95,"ttt"),'ZD Vorerfassung'!$H$21:$L$36,16,0),0)),"")</f>
        <v>0</v>
      </c>
      <c r="AW95" s="110">
        <f t="array" ref="AW95">IF(OR(D95="UU",D95="FT",D95="WE"),0,
IF(D95="NR",SUM(IF(B95&gt;=_xlfn.NUMBERVALUE('ZD Vorerfassung'!$C$22:$C$36),1,0)*IF(B95&lt;=_xlfn.NUMBERVALUE('ZD Vorerfassung'!$D$22:$D$36),1,0)*'ZD Vorerfassung'!$Q$22:$Q$36),
IF(OR(D95="SF",D95="FH"),SUM(IF(B95&gt;=_xlfn.NUMBERVALUE('ZD Vorerfassung'!$C$22:$C$36),1,0)*IF(B95&lt;=_xlfn.NUMBERVALUE('ZD Vorerfassung'!$D$22:$D$36),1,0)*'ZD Vorerfassung'!$R$22:$R$36*IF(D95="FH",0.5,1)),
"prüfen")))</f>
        <v>0</v>
      </c>
      <c r="AX95" s="110">
        <f t="array" ref="AX95">IF(OR(D95="UU",D95="FT",D95="WE",E95="Ferien"),0,
IF(D95="NR",SUM(IF(B95&gt;=_xlfn.NUMBERVALUE('ZD Vorerfassung'!$C$22:$C$36),1,0)*IF(B95&lt;=_xlfn.NUMBERVALUE('ZD Vorerfassung'!$D$22:$D$36),1,0)*'ZD Vorerfassung'!$W$22:$W$36),
IF(OR(D95="SF",D95="FH"),SUM(IF(B95&gt;=_xlfn.NUMBERVALUE('ZD Vorerfassung'!$C$22:$C$36),1,0)*IF(B95&lt;=_xlfn.NUMBERVALUE('ZD Vorerfassung'!$D$22:$D$36),1,0)*'ZD Vorerfassung'!$X$22:$X$36*IF(D95="FH",0.5,1)),
"prüfen")))</f>
        <v>0</v>
      </c>
      <c r="AY95" s="110">
        <f t="array" ref="AY95">IF(OR(D95="UU",D95="FT",D95="WE",E95="Ferien"),0,
IF(D95="NR",SUM(IF(B95&gt;=_xlfn.NUMBERVALUE('ZD Vorerfassung'!$C$22:$C$36),1,0)*IF(B95&lt;=_xlfn.NUMBERVALUE('ZD Vorerfassung'!$D$22:$D$36),1,0)*'ZD Vorerfassung'!$U$22:$U$36),
IF(OR(D95="SF",D95="FH"),SUM(IF(B95&gt;=_xlfn.NUMBERVALUE('ZD Vorerfassung'!$C$22:$C$36),1,0)*IF(B95&lt;=_xlfn.NUMBERVALUE('ZD Vorerfassung'!$D$22:$D$36),1,0)*'ZD Vorerfassung'!$V$22:$V$36*IF(D95="FH",0.5,1)),
"prüfen")))</f>
        <v>0</v>
      </c>
      <c r="AZ95" s="110">
        <f t="array" ref="AZ95">IF(OR(D95="UU",D95="FT",D95="WE",E95="Ferien"),0,
IF(D95="NR",SUM(IF(B95&gt;=_xlfn.NUMBERVALUE('ZD Vorerfassung'!$C$22:$C$36),1,0)*IF(B95&lt;=_xlfn.NUMBERVALUE('ZD Vorerfassung'!$D$22:$D$36),1,0)*'ZD Vorerfassung'!$S$22:$S$36),
IF(OR(D95="SF",D95="FH"),SUM(IF(B95&gt;=_xlfn.NUMBERVALUE('ZD Vorerfassung'!$C$22:$C$36),1,0)*IF(B95&lt;=_xlfn.NUMBERVALUE('ZD Vorerfassung'!$D$22:$D$36),1,0)*'ZD Vorerfassung'!$T$22:$T$36*IF(D95="FH",0.5,1)),
"prüfen")))</f>
        <v>0</v>
      </c>
      <c r="BA95" s="112">
        <f t="shared" si="20"/>
        <v>10</v>
      </c>
    </row>
    <row r="96" spans="2:53" ht="19.5" thickTop="1" thickBot="1" x14ac:dyDescent="0.3">
      <c r="B96" s="99">
        <f t="shared" si="17"/>
        <v>44861</v>
      </c>
      <c r="C96" s="100">
        <f t="shared" si="21"/>
        <v>44861</v>
      </c>
      <c r="D96" s="101" t="str">
        <f t="shared" si="22"/>
        <v>NR</v>
      </c>
      <c r="E96" s="102" t="str">
        <f t="shared" si="18"/>
        <v>Unterrichtstag</v>
      </c>
      <c r="F96" s="103">
        <f t="shared" si="23"/>
        <v>0</v>
      </c>
      <c r="G96" s="104">
        <f t="shared" si="24"/>
        <v>0</v>
      </c>
      <c r="H96" s="104">
        <f>IFERROR(IF('ZD Vorerfassung'!$E$11="manuell",SUM(I96),IF(OR(E96="Feiertag",E96="Wochenende"),0,IF('ZD Vorerfassung'!$E$11="automatisch",AX96,IF(D96="UU","UU",IF(E96=Param2,AX96/24,IF(E96=Param9,AX96/48,"")))))),0)</f>
        <v>0</v>
      </c>
      <c r="I96" s="105"/>
      <c r="J96" s="106">
        <f>IF('ZD Vorerfassung'!$E$12="manuell",SUM(K96:AI96),IF(OR(E96="Feiertag",E96="Wochenende"),0,IF('ZD Vorerfassung'!$E$12="automatisch",AY96,IF(D96="UU","UU",IF(E96=Param2,AY96/24,IF(E96=Param9,AY96/48,""))))))</f>
        <v>0</v>
      </c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5"/>
      <c r="AI96" s="105"/>
      <c r="AJ96" s="107">
        <f t="shared" si="25"/>
        <v>0</v>
      </c>
      <c r="AK96" s="105"/>
      <c r="AL96" s="105"/>
      <c r="AM96" s="105"/>
      <c r="AN96" s="105"/>
      <c r="AO96" s="105"/>
      <c r="AP96" s="105"/>
      <c r="AQ96" s="108">
        <f t="shared" si="26"/>
        <v>0</v>
      </c>
      <c r="AR96" s="108">
        <f t="shared" si="27"/>
        <v>0</v>
      </c>
      <c r="AS96" s="109">
        <f t="shared" si="28"/>
        <v>0</v>
      </c>
      <c r="AU96" s="110">
        <f t="shared" si="19"/>
        <v>0</v>
      </c>
      <c r="AV96" s="111">
        <f>IF(D96="NR",
IF('ZD Vorerfassung'!$E$22="",0,IF(AND(B96&gt;='ZD Vorerfassung'!$C$22,B96&lt;='ZD Vorerfassung'!$D$22),HLOOKUP(TEXT(C96,"ttt"),'ZD Vorerfassung'!$H$21:$L$36,2,0),0))+
IF('ZD Vorerfassung'!$E$23="",0,IF(AND(B96&gt;='ZD Vorerfassung'!$C$23,B96&lt;='ZD Vorerfassung'!$D$23),HLOOKUP(TEXT(C96,"ttt"),'ZD Vorerfassung'!$H$21:$L$36,3,0),0))+
IF('ZD Vorerfassung'!$E$24="",0,IF(AND(B96&gt;='ZD Vorerfassung'!$C$24,B96&lt;='ZD Vorerfassung'!$D$24),HLOOKUP(TEXT(C96,"ttt"),'ZD Vorerfassung'!$H$21:$L$36,4,0),0))+
IF('ZD Vorerfassung'!$E$25="",0,IF(AND(B96&gt;='ZD Vorerfassung'!$C$25,B96&lt;='ZD Vorerfassung'!$D$25),HLOOKUP(TEXT(C96,"ttt"),'ZD Vorerfassung'!$H$21:$L$36,5,0),0))+
IF('ZD Vorerfassung'!$E$26="",0,IF(AND(B96&gt;='ZD Vorerfassung'!$C$26,B96&lt;='ZD Vorerfassung'!$D$26),HLOOKUP(TEXT(C96,"ttt"),'ZD Vorerfassung'!$H$21:$L$36,6,0),0))+
IF('ZD Vorerfassung'!$E$27="",0,IF(AND(B96&gt;='ZD Vorerfassung'!$C$27,B96&lt;='ZD Vorerfassung'!$D$27),HLOOKUP(TEXT(C96,"ttt"),'ZD Vorerfassung'!$H$21:$L$36,7,0),0))+
IF('ZD Vorerfassung'!$E$28="",0,IF(AND(B96&gt;='ZD Vorerfassung'!$C$28,B96&lt;='ZD Vorerfassung'!$D$28),HLOOKUP(TEXT(C96,"ttt"),'ZD Vorerfassung'!$H$21:$L$36,8,0),0))+
IF('ZD Vorerfassung'!$E$29="",0,IF(AND(B96&gt;='ZD Vorerfassung'!$C$29,B96&lt;='ZD Vorerfassung'!$D$29),HLOOKUP(TEXT(C96,"ttt"),'ZD Vorerfassung'!$H$21:$L$36,9,0),0))+
IF('ZD Vorerfassung'!$E$30="",0,IF(AND(B96&gt;='ZD Vorerfassung'!$C$30,B96&lt;='ZD Vorerfassung'!$D$30),HLOOKUP(TEXT(C96,"ttt"),'ZD Vorerfassung'!$H$21:$L$36,10,0),0))+
IF('ZD Vorerfassung'!$E$31="",0,IF(AND(B96&gt;='ZD Vorerfassung'!$C$31,B96&lt;='ZD Vorerfassung'!$D$31),HLOOKUP(TEXT(C96,"ttt"),'ZD Vorerfassung'!$H$21:$L$36,11,0),0))+
IF('ZD Vorerfassung'!$E$32="",0,IF(AND(B96&gt;='ZD Vorerfassung'!$C$32,B96&lt;='ZD Vorerfassung'!$D$32),HLOOKUP(TEXT(C96,"ttt"),'ZD Vorerfassung'!$H$21:$L$36,12,0),0))+
IF('ZD Vorerfassung'!$E$33="",0,IF(AND(B96&gt;='ZD Vorerfassung'!$C$33,B96&lt;='ZD Vorerfassung'!$D$33),HLOOKUP(TEXT(C96,"ttt"),'ZD Vorerfassung'!$H$21:$L$36,13,0),0))+
IF('ZD Vorerfassung'!$E$34="",0,IF(AND(B96&gt;='ZD Vorerfassung'!$C$34,B96&lt;='ZD Vorerfassung'!$D$34),HLOOKUP(TEXT(C96,"ttt"),'ZD Vorerfassung'!$H$21:$L$36,14,0),0))+
IF('ZD Vorerfassung'!$E$35="",0,IF(AND(B96&gt;='ZD Vorerfassung'!$C$35,B96&lt;='ZD Vorerfassung'!$D$35),HLOOKUP(TEXT(C96,"ttt"),'ZD Vorerfassung'!$H$21:$L$36,15,0),0))+
IF('ZD Vorerfassung'!$E$36="",0,IF(AND(B96&gt;='ZD Vorerfassung'!$C$36,B96&lt;='ZD Vorerfassung'!$D$36),HLOOKUP(TEXT(C96,"ttt"),'ZD Vorerfassung'!$H$21:$L$36,16,0),0)),"")</f>
        <v>0</v>
      </c>
      <c r="AW96" s="110">
        <f t="array" ref="AW96">IF(OR(D96="UU",D96="FT",D96="WE"),0,
IF(D96="NR",SUM(IF(B96&gt;=_xlfn.NUMBERVALUE('ZD Vorerfassung'!$C$22:$C$36),1,0)*IF(B96&lt;=_xlfn.NUMBERVALUE('ZD Vorerfassung'!$D$22:$D$36),1,0)*'ZD Vorerfassung'!$Q$22:$Q$36),
IF(OR(D96="SF",D96="FH"),SUM(IF(B96&gt;=_xlfn.NUMBERVALUE('ZD Vorerfassung'!$C$22:$C$36),1,0)*IF(B96&lt;=_xlfn.NUMBERVALUE('ZD Vorerfassung'!$D$22:$D$36),1,0)*'ZD Vorerfassung'!$R$22:$R$36*IF(D96="FH",0.5,1)),
"prüfen")))</f>
        <v>0</v>
      </c>
      <c r="AX96" s="110">
        <f t="array" ref="AX96">IF(OR(D96="UU",D96="FT",D96="WE",E96="Ferien"),0,
IF(D96="NR",SUM(IF(B96&gt;=_xlfn.NUMBERVALUE('ZD Vorerfassung'!$C$22:$C$36),1,0)*IF(B96&lt;=_xlfn.NUMBERVALUE('ZD Vorerfassung'!$D$22:$D$36),1,0)*'ZD Vorerfassung'!$W$22:$W$36),
IF(OR(D96="SF",D96="FH"),SUM(IF(B96&gt;=_xlfn.NUMBERVALUE('ZD Vorerfassung'!$C$22:$C$36),1,0)*IF(B96&lt;=_xlfn.NUMBERVALUE('ZD Vorerfassung'!$D$22:$D$36),1,0)*'ZD Vorerfassung'!$X$22:$X$36*IF(D96="FH",0.5,1)),
"prüfen")))</f>
        <v>0</v>
      </c>
      <c r="AY96" s="110">
        <f t="array" ref="AY96">IF(OR(D96="UU",D96="FT",D96="WE",E96="Ferien"),0,
IF(D96="NR",SUM(IF(B96&gt;=_xlfn.NUMBERVALUE('ZD Vorerfassung'!$C$22:$C$36),1,0)*IF(B96&lt;=_xlfn.NUMBERVALUE('ZD Vorerfassung'!$D$22:$D$36),1,0)*'ZD Vorerfassung'!$U$22:$U$36),
IF(OR(D96="SF",D96="FH"),SUM(IF(B96&gt;=_xlfn.NUMBERVALUE('ZD Vorerfassung'!$C$22:$C$36),1,0)*IF(B96&lt;=_xlfn.NUMBERVALUE('ZD Vorerfassung'!$D$22:$D$36),1,0)*'ZD Vorerfassung'!$V$22:$V$36*IF(D96="FH",0.5,1)),
"prüfen")))</f>
        <v>0</v>
      </c>
      <c r="AZ96" s="110">
        <f t="array" ref="AZ96">IF(OR(D96="UU",D96="FT",D96="WE",E96="Ferien"),0,
IF(D96="NR",SUM(IF(B96&gt;=_xlfn.NUMBERVALUE('ZD Vorerfassung'!$C$22:$C$36),1,0)*IF(B96&lt;=_xlfn.NUMBERVALUE('ZD Vorerfassung'!$D$22:$D$36),1,0)*'ZD Vorerfassung'!$S$22:$S$36),
IF(OR(D96="SF",D96="FH"),SUM(IF(B96&gt;=_xlfn.NUMBERVALUE('ZD Vorerfassung'!$C$22:$C$36),1,0)*IF(B96&lt;=_xlfn.NUMBERVALUE('ZD Vorerfassung'!$D$22:$D$36),1,0)*'ZD Vorerfassung'!$T$22:$T$36*IF(D96="FH",0.5,1)),
"prüfen")))</f>
        <v>0</v>
      </c>
      <c r="BA96" s="112">
        <f t="shared" si="20"/>
        <v>10</v>
      </c>
    </row>
    <row r="97" spans="2:53" ht="19.5" thickTop="1" thickBot="1" x14ac:dyDescent="0.3">
      <c r="B97" s="99">
        <f t="shared" si="17"/>
        <v>44862</v>
      </c>
      <c r="C97" s="100">
        <f t="shared" si="21"/>
        <v>44862</v>
      </c>
      <c r="D97" s="101" t="str">
        <f t="shared" si="22"/>
        <v>NR</v>
      </c>
      <c r="E97" s="102" t="str">
        <f t="shared" si="18"/>
        <v>Unterrichtstag</v>
      </c>
      <c r="F97" s="103">
        <f t="shared" si="23"/>
        <v>0</v>
      </c>
      <c r="G97" s="104">
        <f t="shared" si="24"/>
        <v>0</v>
      </c>
      <c r="H97" s="104">
        <f>IFERROR(IF('ZD Vorerfassung'!$E$11="manuell",SUM(I97),IF(OR(E97="Feiertag",E97="Wochenende"),0,IF('ZD Vorerfassung'!$E$11="automatisch",AX97,IF(D97="UU","UU",IF(E97=Param2,AX97/24,IF(E97=Param9,AX97/48,"")))))),0)</f>
        <v>0</v>
      </c>
      <c r="I97" s="105"/>
      <c r="J97" s="106">
        <f>IF('ZD Vorerfassung'!$E$12="manuell",SUM(K97:AI97),IF(OR(E97="Feiertag",E97="Wochenende"),0,IF('ZD Vorerfassung'!$E$12="automatisch",AY97,IF(D97="UU","UU",IF(E97=Param2,AY97/24,IF(E97=Param9,AY97/48,""))))))</f>
        <v>0</v>
      </c>
      <c r="K97" s="105"/>
      <c r="L97" s="105"/>
      <c r="M97" s="105"/>
      <c r="N97" s="105"/>
      <c r="O97" s="105"/>
      <c r="P97" s="105"/>
      <c r="Q97" s="105"/>
      <c r="R97" s="105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5"/>
      <c r="AD97" s="105"/>
      <c r="AE97" s="105"/>
      <c r="AF97" s="105"/>
      <c r="AG97" s="105"/>
      <c r="AH97" s="105"/>
      <c r="AI97" s="105"/>
      <c r="AJ97" s="107">
        <f t="shared" si="25"/>
        <v>0</v>
      </c>
      <c r="AK97" s="105"/>
      <c r="AL97" s="105"/>
      <c r="AM97" s="105"/>
      <c r="AN97" s="105"/>
      <c r="AO97" s="105"/>
      <c r="AP97" s="105"/>
      <c r="AQ97" s="108">
        <f t="shared" si="26"/>
        <v>0</v>
      </c>
      <c r="AR97" s="108">
        <f t="shared" si="27"/>
        <v>0</v>
      </c>
      <c r="AS97" s="109">
        <f t="shared" si="28"/>
        <v>0</v>
      </c>
      <c r="AU97" s="110">
        <f t="shared" si="19"/>
        <v>0</v>
      </c>
      <c r="AV97" s="111">
        <f>IF(D97="NR",
IF('ZD Vorerfassung'!$E$22="",0,IF(AND(B97&gt;='ZD Vorerfassung'!$C$22,B97&lt;='ZD Vorerfassung'!$D$22),HLOOKUP(TEXT(C97,"ttt"),'ZD Vorerfassung'!$H$21:$L$36,2,0),0))+
IF('ZD Vorerfassung'!$E$23="",0,IF(AND(B97&gt;='ZD Vorerfassung'!$C$23,B97&lt;='ZD Vorerfassung'!$D$23),HLOOKUP(TEXT(C97,"ttt"),'ZD Vorerfassung'!$H$21:$L$36,3,0),0))+
IF('ZD Vorerfassung'!$E$24="",0,IF(AND(B97&gt;='ZD Vorerfassung'!$C$24,B97&lt;='ZD Vorerfassung'!$D$24),HLOOKUP(TEXT(C97,"ttt"),'ZD Vorerfassung'!$H$21:$L$36,4,0),0))+
IF('ZD Vorerfassung'!$E$25="",0,IF(AND(B97&gt;='ZD Vorerfassung'!$C$25,B97&lt;='ZD Vorerfassung'!$D$25),HLOOKUP(TEXT(C97,"ttt"),'ZD Vorerfassung'!$H$21:$L$36,5,0),0))+
IF('ZD Vorerfassung'!$E$26="",0,IF(AND(B97&gt;='ZD Vorerfassung'!$C$26,B97&lt;='ZD Vorerfassung'!$D$26),HLOOKUP(TEXT(C97,"ttt"),'ZD Vorerfassung'!$H$21:$L$36,6,0),0))+
IF('ZD Vorerfassung'!$E$27="",0,IF(AND(B97&gt;='ZD Vorerfassung'!$C$27,B97&lt;='ZD Vorerfassung'!$D$27),HLOOKUP(TEXT(C97,"ttt"),'ZD Vorerfassung'!$H$21:$L$36,7,0),0))+
IF('ZD Vorerfassung'!$E$28="",0,IF(AND(B97&gt;='ZD Vorerfassung'!$C$28,B97&lt;='ZD Vorerfassung'!$D$28),HLOOKUP(TEXT(C97,"ttt"),'ZD Vorerfassung'!$H$21:$L$36,8,0),0))+
IF('ZD Vorerfassung'!$E$29="",0,IF(AND(B97&gt;='ZD Vorerfassung'!$C$29,B97&lt;='ZD Vorerfassung'!$D$29),HLOOKUP(TEXT(C97,"ttt"),'ZD Vorerfassung'!$H$21:$L$36,9,0),0))+
IF('ZD Vorerfassung'!$E$30="",0,IF(AND(B97&gt;='ZD Vorerfassung'!$C$30,B97&lt;='ZD Vorerfassung'!$D$30),HLOOKUP(TEXT(C97,"ttt"),'ZD Vorerfassung'!$H$21:$L$36,10,0),0))+
IF('ZD Vorerfassung'!$E$31="",0,IF(AND(B97&gt;='ZD Vorerfassung'!$C$31,B97&lt;='ZD Vorerfassung'!$D$31),HLOOKUP(TEXT(C97,"ttt"),'ZD Vorerfassung'!$H$21:$L$36,11,0),0))+
IF('ZD Vorerfassung'!$E$32="",0,IF(AND(B97&gt;='ZD Vorerfassung'!$C$32,B97&lt;='ZD Vorerfassung'!$D$32),HLOOKUP(TEXT(C97,"ttt"),'ZD Vorerfassung'!$H$21:$L$36,12,0),0))+
IF('ZD Vorerfassung'!$E$33="",0,IF(AND(B97&gt;='ZD Vorerfassung'!$C$33,B97&lt;='ZD Vorerfassung'!$D$33),HLOOKUP(TEXT(C97,"ttt"),'ZD Vorerfassung'!$H$21:$L$36,13,0),0))+
IF('ZD Vorerfassung'!$E$34="",0,IF(AND(B97&gt;='ZD Vorerfassung'!$C$34,B97&lt;='ZD Vorerfassung'!$D$34),HLOOKUP(TEXT(C97,"ttt"),'ZD Vorerfassung'!$H$21:$L$36,14,0),0))+
IF('ZD Vorerfassung'!$E$35="",0,IF(AND(B97&gt;='ZD Vorerfassung'!$C$35,B97&lt;='ZD Vorerfassung'!$D$35),HLOOKUP(TEXT(C97,"ttt"),'ZD Vorerfassung'!$H$21:$L$36,15,0),0))+
IF('ZD Vorerfassung'!$E$36="",0,IF(AND(B97&gt;='ZD Vorerfassung'!$C$36,B97&lt;='ZD Vorerfassung'!$D$36),HLOOKUP(TEXT(C97,"ttt"),'ZD Vorerfassung'!$H$21:$L$36,16,0),0)),"")</f>
        <v>0</v>
      </c>
      <c r="AW97" s="110">
        <f t="array" ref="AW97">IF(OR(D97="UU",D97="FT",D97="WE"),0,
IF(D97="NR",SUM(IF(B97&gt;=_xlfn.NUMBERVALUE('ZD Vorerfassung'!$C$22:$C$36),1,0)*IF(B97&lt;=_xlfn.NUMBERVALUE('ZD Vorerfassung'!$D$22:$D$36),1,0)*'ZD Vorerfassung'!$Q$22:$Q$36),
IF(OR(D97="SF",D97="FH"),SUM(IF(B97&gt;=_xlfn.NUMBERVALUE('ZD Vorerfassung'!$C$22:$C$36),1,0)*IF(B97&lt;=_xlfn.NUMBERVALUE('ZD Vorerfassung'!$D$22:$D$36),1,0)*'ZD Vorerfassung'!$R$22:$R$36*IF(D97="FH",0.5,1)),
"prüfen")))</f>
        <v>0</v>
      </c>
      <c r="AX97" s="110">
        <f t="array" ref="AX97">IF(OR(D97="UU",D97="FT",D97="WE",E97="Ferien"),0,
IF(D97="NR",SUM(IF(B97&gt;=_xlfn.NUMBERVALUE('ZD Vorerfassung'!$C$22:$C$36),1,0)*IF(B97&lt;=_xlfn.NUMBERVALUE('ZD Vorerfassung'!$D$22:$D$36),1,0)*'ZD Vorerfassung'!$W$22:$W$36),
IF(OR(D97="SF",D97="FH"),SUM(IF(B97&gt;=_xlfn.NUMBERVALUE('ZD Vorerfassung'!$C$22:$C$36),1,0)*IF(B97&lt;=_xlfn.NUMBERVALUE('ZD Vorerfassung'!$D$22:$D$36),1,0)*'ZD Vorerfassung'!$X$22:$X$36*IF(D97="FH",0.5,1)),
"prüfen")))</f>
        <v>0</v>
      </c>
      <c r="AY97" s="110">
        <f t="array" ref="AY97">IF(OR(D97="UU",D97="FT",D97="WE",E97="Ferien"),0,
IF(D97="NR",SUM(IF(B97&gt;=_xlfn.NUMBERVALUE('ZD Vorerfassung'!$C$22:$C$36),1,0)*IF(B97&lt;=_xlfn.NUMBERVALUE('ZD Vorerfassung'!$D$22:$D$36),1,0)*'ZD Vorerfassung'!$U$22:$U$36),
IF(OR(D97="SF",D97="FH"),SUM(IF(B97&gt;=_xlfn.NUMBERVALUE('ZD Vorerfassung'!$C$22:$C$36),1,0)*IF(B97&lt;=_xlfn.NUMBERVALUE('ZD Vorerfassung'!$D$22:$D$36),1,0)*'ZD Vorerfassung'!$V$22:$V$36*IF(D97="FH",0.5,1)),
"prüfen")))</f>
        <v>0</v>
      </c>
      <c r="AZ97" s="110">
        <f t="array" ref="AZ97">IF(OR(D97="UU",D97="FT",D97="WE",E97="Ferien"),0,
IF(D97="NR",SUM(IF(B97&gt;=_xlfn.NUMBERVALUE('ZD Vorerfassung'!$C$22:$C$36),1,0)*IF(B97&lt;=_xlfn.NUMBERVALUE('ZD Vorerfassung'!$D$22:$D$36),1,0)*'ZD Vorerfassung'!$S$22:$S$36),
IF(OR(D97="SF",D97="FH"),SUM(IF(B97&gt;=_xlfn.NUMBERVALUE('ZD Vorerfassung'!$C$22:$C$36),1,0)*IF(B97&lt;=_xlfn.NUMBERVALUE('ZD Vorerfassung'!$D$22:$D$36),1,0)*'ZD Vorerfassung'!$T$22:$T$36*IF(D97="FH",0.5,1)),
"prüfen")))</f>
        <v>0</v>
      </c>
      <c r="BA97" s="112">
        <f t="shared" si="20"/>
        <v>10</v>
      </c>
    </row>
    <row r="98" spans="2:53" ht="19.5" thickTop="1" thickBot="1" x14ac:dyDescent="0.3">
      <c r="B98" s="99">
        <f t="shared" si="17"/>
        <v>44863</v>
      </c>
      <c r="C98" s="100">
        <f t="shared" si="21"/>
        <v>44863</v>
      </c>
      <c r="D98" s="101" t="str">
        <f t="shared" si="22"/>
        <v>NR</v>
      </c>
      <c r="E98" s="102" t="str">
        <f t="shared" si="18"/>
        <v>Unterrichtstag</v>
      </c>
      <c r="F98" s="103">
        <f t="shared" si="23"/>
        <v>0</v>
      </c>
      <c r="G98" s="104">
        <f t="shared" si="24"/>
        <v>0</v>
      </c>
      <c r="H98" s="104">
        <f>IFERROR(IF('ZD Vorerfassung'!$E$11="manuell",SUM(I98),IF(OR(E98="Feiertag",E98="Wochenende"),0,IF('ZD Vorerfassung'!$E$11="automatisch",AX98,IF(D98="UU","UU",IF(E98=Param2,AX98/24,IF(E98=Param9,AX98/48,"")))))),0)</f>
        <v>0</v>
      </c>
      <c r="I98" s="105"/>
      <c r="J98" s="106">
        <f>IF('ZD Vorerfassung'!$E$12="manuell",SUM(K98:AI98),IF(OR(E98="Feiertag",E98="Wochenende"),0,IF('ZD Vorerfassung'!$E$12="automatisch",AY98,IF(D98="UU","UU",IF(E98=Param2,AY98/24,IF(E98=Param9,AY98/48,""))))))</f>
        <v>0</v>
      </c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5"/>
      <c r="AI98" s="105"/>
      <c r="AJ98" s="107">
        <f t="shared" si="25"/>
        <v>0</v>
      </c>
      <c r="AK98" s="105"/>
      <c r="AL98" s="105"/>
      <c r="AM98" s="105"/>
      <c r="AN98" s="105"/>
      <c r="AO98" s="105"/>
      <c r="AP98" s="105"/>
      <c r="AQ98" s="108">
        <f t="shared" si="26"/>
        <v>0</v>
      </c>
      <c r="AR98" s="108">
        <f t="shared" si="27"/>
        <v>0</v>
      </c>
      <c r="AS98" s="109">
        <f t="shared" si="28"/>
        <v>0</v>
      </c>
      <c r="AU98" s="110">
        <f t="shared" si="19"/>
        <v>0</v>
      </c>
      <c r="AV98" s="111">
        <f>IF(D98="NR",
IF('ZD Vorerfassung'!$E$22="",0,IF(AND(B98&gt;='ZD Vorerfassung'!$C$22,B98&lt;='ZD Vorerfassung'!$D$22),HLOOKUP(TEXT(C98,"ttt"),'ZD Vorerfassung'!$H$21:$L$36,2,0),0))+
IF('ZD Vorerfassung'!$E$23="",0,IF(AND(B98&gt;='ZD Vorerfassung'!$C$23,B98&lt;='ZD Vorerfassung'!$D$23),HLOOKUP(TEXT(C98,"ttt"),'ZD Vorerfassung'!$H$21:$L$36,3,0),0))+
IF('ZD Vorerfassung'!$E$24="",0,IF(AND(B98&gt;='ZD Vorerfassung'!$C$24,B98&lt;='ZD Vorerfassung'!$D$24),HLOOKUP(TEXT(C98,"ttt"),'ZD Vorerfassung'!$H$21:$L$36,4,0),0))+
IF('ZD Vorerfassung'!$E$25="",0,IF(AND(B98&gt;='ZD Vorerfassung'!$C$25,B98&lt;='ZD Vorerfassung'!$D$25),HLOOKUP(TEXT(C98,"ttt"),'ZD Vorerfassung'!$H$21:$L$36,5,0),0))+
IF('ZD Vorerfassung'!$E$26="",0,IF(AND(B98&gt;='ZD Vorerfassung'!$C$26,B98&lt;='ZD Vorerfassung'!$D$26),HLOOKUP(TEXT(C98,"ttt"),'ZD Vorerfassung'!$H$21:$L$36,6,0),0))+
IF('ZD Vorerfassung'!$E$27="",0,IF(AND(B98&gt;='ZD Vorerfassung'!$C$27,B98&lt;='ZD Vorerfassung'!$D$27),HLOOKUP(TEXT(C98,"ttt"),'ZD Vorerfassung'!$H$21:$L$36,7,0),0))+
IF('ZD Vorerfassung'!$E$28="",0,IF(AND(B98&gt;='ZD Vorerfassung'!$C$28,B98&lt;='ZD Vorerfassung'!$D$28),HLOOKUP(TEXT(C98,"ttt"),'ZD Vorerfassung'!$H$21:$L$36,8,0),0))+
IF('ZD Vorerfassung'!$E$29="",0,IF(AND(B98&gt;='ZD Vorerfassung'!$C$29,B98&lt;='ZD Vorerfassung'!$D$29),HLOOKUP(TEXT(C98,"ttt"),'ZD Vorerfassung'!$H$21:$L$36,9,0),0))+
IF('ZD Vorerfassung'!$E$30="",0,IF(AND(B98&gt;='ZD Vorerfassung'!$C$30,B98&lt;='ZD Vorerfassung'!$D$30),HLOOKUP(TEXT(C98,"ttt"),'ZD Vorerfassung'!$H$21:$L$36,10,0),0))+
IF('ZD Vorerfassung'!$E$31="",0,IF(AND(B98&gt;='ZD Vorerfassung'!$C$31,B98&lt;='ZD Vorerfassung'!$D$31),HLOOKUP(TEXT(C98,"ttt"),'ZD Vorerfassung'!$H$21:$L$36,11,0),0))+
IF('ZD Vorerfassung'!$E$32="",0,IF(AND(B98&gt;='ZD Vorerfassung'!$C$32,B98&lt;='ZD Vorerfassung'!$D$32),HLOOKUP(TEXT(C98,"ttt"),'ZD Vorerfassung'!$H$21:$L$36,12,0),0))+
IF('ZD Vorerfassung'!$E$33="",0,IF(AND(B98&gt;='ZD Vorerfassung'!$C$33,B98&lt;='ZD Vorerfassung'!$D$33),HLOOKUP(TEXT(C98,"ttt"),'ZD Vorerfassung'!$H$21:$L$36,13,0),0))+
IF('ZD Vorerfassung'!$E$34="",0,IF(AND(B98&gt;='ZD Vorerfassung'!$C$34,B98&lt;='ZD Vorerfassung'!$D$34),HLOOKUP(TEXT(C98,"ttt"),'ZD Vorerfassung'!$H$21:$L$36,14,0),0))+
IF('ZD Vorerfassung'!$E$35="",0,IF(AND(B98&gt;='ZD Vorerfassung'!$C$35,B98&lt;='ZD Vorerfassung'!$D$35),HLOOKUP(TEXT(C98,"ttt"),'ZD Vorerfassung'!$H$21:$L$36,15,0),0))+
IF('ZD Vorerfassung'!$E$36="",0,IF(AND(B98&gt;='ZD Vorerfassung'!$C$36,B98&lt;='ZD Vorerfassung'!$D$36),HLOOKUP(TEXT(C98,"ttt"),'ZD Vorerfassung'!$H$21:$L$36,16,0),0)),"")</f>
        <v>0</v>
      </c>
      <c r="AW98" s="110">
        <f t="array" ref="AW98">IF(OR(D98="UU",D98="FT",D98="WE"),0,
IF(D98="NR",SUM(IF(B98&gt;=_xlfn.NUMBERVALUE('ZD Vorerfassung'!$C$22:$C$36),1,0)*IF(B98&lt;=_xlfn.NUMBERVALUE('ZD Vorerfassung'!$D$22:$D$36),1,0)*'ZD Vorerfassung'!$Q$22:$Q$36),
IF(OR(D98="SF",D98="FH"),SUM(IF(B98&gt;=_xlfn.NUMBERVALUE('ZD Vorerfassung'!$C$22:$C$36),1,0)*IF(B98&lt;=_xlfn.NUMBERVALUE('ZD Vorerfassung'!$D$22:$D$36),1,0)*'ZD Vorerfassung'!$R$22:$R$36*IF(D98="FH",0.5,1)),
"prüfen")))</f>
        <v>0</v>
      </c>
      <c r="AX98" s="110">
        <f t="array" ref="AX98">IF(OR(D98="UU",D98="FT",D98="WE",E98="Ferien"),0,
IF(D98="NR",SUM(IF(B98&gt;=_xlfn.NUMBERVALUE('ZD Vorerfassung'!$C$22:$C$36),1,0)*IF(B98&lt;=_xlfn.NUMBERVALUE('ZD Vorerfassung'!$D$22:$D$36),1,0)*'ZD Vorerfassung'!$W$22:$W$36),
IF(OR(D98="SF",D98="FH"),SUM(IF(B98&gt;=_xlfn.NUMBERVALUE('ZD Vorerfassung'!$C$22:$C$36),1,0)*IF(B98&lt;=_xlfn.NUMBERVALUE('ZD Vorerfassung'!$D$22:$D$36),1,0)*'ZD Vorerfassung'!$X$22:$X$36*IF(D98="FH",0.5,1)),
"prüfen")))</f>
        <v>0</v>
      </c>
      <c r="AY98" s="110">
        <f t="array" ref="AY98">IF(OR(D98="UU",D98="FT",D98="WE",E98="Ferien"),0,
IF(D98="NR",SUM(IF(B98&gt;=_xlfn.NUMBERVALUE('ZD Vorerfassung'!$C$22:$C$36),1,0)*IF(B98&lt;=_xlfn.NUMBERVALUE('ZD Vorerfassung'!$D$22:$D$36),1,0)*'ZD Vorerfassung'!$U$22:$U$36),
IF(OR(D98="SF",D98="FH"),SUM(IF(B98&gt;=_xlfn.NUMBERVALUE('ZD Vorerfassung'!$C$22:$C$36),1,0)*IF(B98&lt;=_xlfn.NUMBERVALUE('ZD Vorerfassung'!$D$22:$D$36),1,0)*'ZD Vorerfassung'!$V$22:$V$36*IF(D98="FH",0.5,1)),
"prüfen")))</f>
        <v>0</v>
      </c>
      <c r="AZ98" s="110">
        <f t="array" ref="AZ98">IF(OR(D98="UU",D98="FT",D98="WE",E98="Ferien"),0,
IF(D98="NR",SUM(IF(B98&gt;=_xlfn.NUMBERVALUE('ZD Vorerfassung'!$C$22:$C$36),1,0)*IF(B98&lt;=_xlfn.NUMBERVALUE('ZD Vorerfassung'!$D$22:$D$36),1,0)*'ZD Vorerfassung'!$S$22:$S$36),
IF(OR(D98="SF",D98="FH"),SUM(IF(B98&gt;=_xlfn.NUMBERVALUE('ZD Vorerfassung'!$C$22:$C$36),1,0)*IF(B98&lt;=_xlfn.NUMBERVALUE('ZD Vorerfassung'!$D$22:$D$36),1,0)*'ZD Vorerfassung'!$T$22:$T$36*IF(D98="FH",0.5,1)),
"prüfen")))</f>
        <v>0</v>
      </c>
      <c r="BA98" s="112">
        <f t="shared" si="20"/>
        <v>10</v>
      </c>
    </row>
    <row r="99" spans="2:53" ht="19.5" thickTop="1" thickBot="1" x14ac:dyDescent="0.3">
      <c r="B99" s="99">
        <f t="shared" si="17"/>
        <v>44864</v>
      </c>
      <c r="C99" s="100">
        <f t="shared" si="21"/>
        <v>44864</v>
      </c>
      <c r="D99" s="101" t="str">
        <f t="shared" si="22"/>
        <v>WE</v>
      </c>
      <c r="E99" s="102" t="str">
        <f t="shared" si="18"/>
        <v>Wochenende</v>
      </c>
      <c r="F99" s="103" t="str">
        <f t="shared" si="23"/>
        <v/>
      </c>
      <c r="G99" s="104" t="str">
        <f t="shared" si="24"/>
        <v/>
      </c>
      <c r="H99" s="104">
        <f>IFERROR(IF('ZD Vorerfassung'!$E$11="manuell",SUM(I99),IF(OR(E99="Feiertag",E99="Wochenende"),0,IF('ZD Vorerfassung'!$E$11="automatisch",AX99,IF(D99="UU","UU",IF(E99=Param2,AX99/24,IF(E99=Param9,AX99/48,"")))))),0)</f>
        <v>0</v>
      </c>
      <c r="I99" s="105"/>
      <c r="J99" s="106">
        <f>IF('ZD Vorerfassung'!$E$12="manuell",SUM(K99:AI99),IF(OR(E99="Feiertag",E99="Wochenende"),0,IF('ZD Vorerfassung'!$E$12="automatisch",AY99,IF(D99="UU","UU",IF(E99=Param2,AY99/24,IF(E99=Param9,AY99/48,""))))))</f>
        <v>0</v>
      </c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5"/>
      <c r="AI99" s="105"/>
      <c r="AJ99" s="107">
        <f t="shared" si="25"/>
        <v>0</v>
      </c>
      <c r="AK99" s="105"/>
      <c r="AL99" s="105"/>
      <c r="AM99" s="105"/>
      <c r="AN99" s="105"/>
      <c r="AO99" s="105"/>
      <c r="AP99" s="105"/>
      <c r="AQ99" s="108">
        <f t="shared" si="26"/>
        <v>0</v>
      </c>
      <c r="AR99" s="108">
        <f t="shared" si="27"/>
        <v>0</v>
      </c>
      <c r="AS99" s="109">
        <f t="shared" si="28"/>
        <v>0</v>
      </c>
      <c r="AU99" s="110">
        <f t="shared" si="19"/>
        <v>0</v>
      </c>
      <c r="AV99" s="111" t="str">
        <f>IF(D99="NR",
IF('ZD Vorerfassung'!$E$22="",0,IF(AND(B99&gt;='ZD Vorerfassung'!$C$22,B99&lt;='ZD Vorerfassung'!$D$22),HLOOKUP(TEXT(C99,"ttt"),'ZD Vorerfassung'!$H$21:$L$36,2,0),0))+
IF('ZD Vorerfassung'!$E$23="",0,IF(AND(B99&gt;='ZD Vorerfassung'!$C$23,B99&lt;='ZD Vorerfassung'!$D$23),HLOOKUP(TEXT(C99,"ttt"),'ZD Vorerfassung'!$H$21:$L$36,3,0),0))+
IF('ZD Vorerfassung'!$E$24="",0,IF(AND(B99&gt;='ZD Vorerfassung'!$C$24,B99&lt;='ZD Vorerfassung'!$D$24),HLOOKUP(TEXT(C99,"ttt"),'ZD Vorerfassung'!$H$21:$L$36,4,0),0))+
IF('ZD Vorerfassung'!$E$25="",0,IF(AND(B99&gt;='ZD Vorerfassung'!$C$25,B99&lt;='ZD Vorerfassung'!$D$25),HLOOKUP(TEXT(C99,"ttt"),'ZD Vorerfassung'!$H$21:$L$36,5,0),0))+
IF('ZD Vorerfassung'!$E$26="",0,IF(AND(B99&gt;='ZD Vorerfassung'!$C$26,B99&lt;='ZD Vorerfassung'!$D$26),HLOOKUP(TEXT(C99,"ttt"),'ZD Vorerfassung'!$H$21:$L$36,6,0),0))+
IF('ZD Vorerfassung'!$E$27="",0,IF(AND(B99&gt;='ZD Vorerfassung'!$C$27,B99&lt;='ZD Vorerfassung'!$D$27),HLOOKUP(TEXT(C99,"ttt"),'ZD Vorerfassung'!$H$21:$L$36,7,0),0))+
IF('ZD Vorerfassung'!$E$28="",0,IF(AND(B99&gt;='ZD Vorerfassung'!$C$28,B99&lt;='ZD Vorerfassung'!$D$28),HLOOKUP(TEXT(C99,"ttt"),'ZD Vorerfassung'!$H$21:$L$36,8,0),0))+
IF('ZD Vorerfassung'!$E$29="",0,IF(AND(B99&gt;='ZD Vorerfassung'!$C$29,B99&lt;='ZD Vorerfassung'!$D$29),HLOOKUP(TEXT(C99,"ttt"),'ZD Vorerfassung'!$H$21:$L$36,9,0),0))+
IF('ZD Vorerfassung'!$E$30="",0,IF(AND(B99&gt;='ZD Vorerfassung'!$C$30,B99&lt;='ZD Vorerfassung'!$D$30),HLOOKUP(TEXT(C99,"ttt"),'ZD Vorerfassung'!$H$21:$L$36,10,0),0))+
IF('ZD Vorerfassung'!$E$31="",0,IF(AND(B99&gt;='ZD Vorerfassung'!$C$31,B99&lt;='ZD Vorerfassung'!$D$31),HLOOKUP(TEXT(C99,"ttt"),'ZD Vorerfassung'!$H$21:$L$36,11,0),0))+
IF('ZD Vorerfassung'!$E$32="",0,IF(AND(B99&gt;='ZD Vorerfassung'!$C$32,B99&lt;='ZD Vorerfassung'!$D$32),HLOOKUP(TEXT(C99,"ttt"),'ZD Vorerfassung'!$H$21:$L$36,12,0),0))+
IF('ZD Vorerfassung'!$E$33="",0,IF(AND(B99&gt;='ZD Vorerfassung'!$C$33,B99&lt;='ZD Vorerfassung'!$D$33),HLOOKUP(TEXT(C99,"ttt"),'ZD Vorerfassung'!$H$21:$L$36,13,0),0))+
IF('ZD Vorerfassung'!$E$34="",0,IF(AND(B99&gt;='ZD Vorerfassung'!$C$34,B99&lt;='ZD Vorerfassung'!$D$34),HLOOKUP(TEXT(C99,"ttt"),'ZD Vorerfassung'!$H$21:$L$36,14,0),0))+
IF('ZD Vorerfassung'!$E$35="",0,IF(AND(B99&gt;='ZD Vorerfassung'!$C$35,B99&lt;='ZD Vorerfassung'!$D$35),HLOOKUP(TEXT(C99,"ttt"),'ZD Vorerfassung'!$H$21:$L$36,15,0),0))+
IF('ZD Vorerfassung'!$E$36="",0,IF(AND(B99&gt;='ZD Vorerfassung'!$C$36,B99&lt;='ZD Vorerfassung'!$D$36),HLOOKUP(TEXT(C99,"ttt"),'ZD Vorerfassung'!$H$21:$L$36,16,0),0)),"")</f>
        <v/>
      </c>
      <c r="AW99" s="110">
        <f t="array" ref="AW99">IF(OR(D99="UU",D99="FT",D99="WE"),0,
IF(D99="NR",SUM(IF(B99&gt;=_xlfn.NUMBERVALUE('ZD Vorerfassung'!$C$22:$C$36),1,0)*IF(B99&lt;=_xlfn.NUMBERVALUE('ZD Vorerfassung'!$D$22:$D$36),1,0)*'ZD Vorerfassung'!$Q$22:$Q$36),
IF(OR(D99="SF",D99="FH"),SUM(IF(B99&gt;=_xlfn.NUMBERVALUE('ZD Vorerfassung'!$C$22:$C$36),1,0)*IF(B99&lt;=_xlfn.NUMBERVALUE('ZD Vorerfassung'!$D$22:$D$36),1,0)*'ZD Vorerfassung'!$R$22:$R$36*IF(D99="FH",0.5,1)),
"prüfen")))</f>
        <v>0</v>
      </c>
      <c r="AX99" s="110">
        <f t="array" ref="AX99">IF(OR(D99="UU",D99="FT",D99="WE",E99="Ferien"),0,
IF(D99="NR",SUM(IF(B99&gt;=_xlfn.NUMBERVALUE('ZD Vorerfassung'!$C$22:$C$36),1,0)*IF(B99&lt;=_xlfn.NUMBERVALUE('ZD Vorerfassung'!$D$22:$D$36),1,0)*'ZD Vorerfassung'!$W$22:$W$36),
IF(OR(D99="SF",D99="FH"),SUM(IF(B99&gt;=_xlfn.NUMBERVALUE('ZD Vorerfassung'!$C$22:$C$36),1,0)*IF(B99&lt;=_xlfn.NUMBERVALUE('ZD Vorerfassung'!$D$22:$D$36),1,0)*'ZD Vorerfassung'!$X$22:$X$36*IF(D99="FH",0.5,1)),
"prüfen")))</f>
        <v>0</v>
      </c>
      <c r="AY99" s="110">
        <f t="array" ref="AY99">IF(OR(D99="UU",D99="FT",D99="WE",E99="Ferien"),0,
IF(D99="NR",SUM(IF(B99&gt;=_xlfn.NUMBERVALUE('ZD Vorerfassung'!$C$22:$C$36),1,0)*IF(B99&lt;=_xlfn.NUMBERVALUE('ZD Vorerfassung'!$D$22:$D$36),1,0)*'ZD Vorerfassung'!$U$22:$U$36),
IF(OR(D99="SF",D99="FH"),SUM(IF(B99&gt;=_xlfn.NUMBERVALUE('ZD Vorerfassung'!$C$22:$C$36),1,0)*IF(B99&lt;=_xlfn.NUMBERVALUE('ZD Vorerfassung'!$D$22:$D$36),1,0)*'ZD Vorerfassung'!$V$22:$V$36*IF(D99="FH",0.5,1)),
"prüfen")))</f>
        <v>0</v>
      </c>
      <c r="AZ99" s="110">
        <f t="array" ref="AZ99">IF(OR(D99="UU",D99="FT",D99="WE",E99="Ferien"),0,
IF(D99="NR",SUM(IF(B99&gt;=_xlfn.NUMBERVALUE('ZD Vorerfassung'!$C$22:$C$36),1,0)*IF(B99&lt;=_xlfn.NUMBERVALUE('ZD Vorerfassung'!$D$22:$D$36),1,0)*'ZD Vorerfassung'!$S$22:$S$36),
IF(OR(D99="SF",D99="FH"),SUM(IF(B99&gt;=_xlfn.NUMBERVALUE('ZD Vorerfassung'!$C$22:$C$36),1,0)*IF(B99&lt;=_xlfn.NUMBERVALUE('ZD Vorerfassung'!$D$22:$D$36),1,0)*'ZD Vorerfassung'!$T$22:$T$36*IF(D99="FH",0.5,1)),
"prüfen")))</f>
        <v>0</v>
      </c>
      <c r="BA99" s="112">
        <f t="shared" si="20"/>
        <v>10</v>
      </c>
    </row>
    <row r="100" spans="2:53" ht="19.5" thickTop="1" thickBot="1" x14ac:dyDescent="0.3">
      <c r="B100" s="99">
        <f t="shared" si="17"/>
        <v>44865</v>
      </c>
      <c r="C100" s="100">
        <f t="shared" si="21"/>
        <v>44865</v>
      </c>
      <c r="D100" s="101" t="str">
        <f t="shared" si="22"/>
        <v>WE</v>
      </c>
      <c r="E100" s="102" t="str">
        <f t="shared" si="18"/>
        <v>Wochenende</v>
      </c>
      <c r="F100" s="103" t="str">
        <f t="shared" si="23"/>
        <v/>
      </c>
      <c r="G100" s="104" t="str">
        <f t="shared" si="24"/>
        <v/>
      </c>
      <c r="H100" s="104">
        <f>IFERROR(IF('ZD Vorerfassung'!$E$11="manuell",SUM(I100),IF(OR(E100="Feiertag",E100="Wochenende"),0,IF('ZD Vorerfassung'!$E$11="automatisch",AX100,IF(D100="UU","UU",IF(E100=Param2,AX100/24,IF(E100=Param9,AX100/48,"")))))),0)</f>
        <v>0</v>
      </c>
      <c r="I100" s="105"/>
      <c r="J100" s="106">
        <f>IF('ZD Vorerfassung'!$E$12="manuell",SUM(K100:AI100),IF(OR(E100="Feiertag",E100="Wochenende"),0,IF('ZD Vorerfassung'!$E$12="automatisch",AY100,IF(D100="UU","UU",IF(E100=Param2,AY100/24,IF(E100=Param9,AY100/48,""))))))</f>
        <v>0</v>
      </c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5"/>
      <c r="AI100" s="105"/>
      <c r="AJ100" s="107">
        <f t="shared" si="25"/>
        <v>0</v>
      </c>
      <c r="AK100" s="105"/>
      <c r="AL100" s="105"/>
      <c r="AM100" s="105"/>
      <c r="AN100" s="105"/>
      <c r="AO100" s="105"/>
      <c r="AP100" s="105"/>
      <c r="AQ100" s="108">
        <f t="shared" si="26"/>
        <v>0</v>
      </c>
      <c r="AR100" s="108">
        <f t="shared" si="27"/>
        <v>0</v>
      </c>
      <c r="AS100" s="109">
        <f t="shared" si="28"/>
        <v>0</v>
      </c>
      <c r="AU100" s="110">
        <f t="shared" si="19"/>
        <v>0</v>
      </c>
      <c r="AV100" s="111" t="str">
        <f>IF(D100="NR",
IF('ZD Vorerfassung'!$E$22="",0,IF(AND(B100&gt;='ZD Vorerfassung'!$C$22,B100&lt;='ZD Vorerfassung'!$D$22),HLOOKUP(TEXT(C100,"ttt"),'ZD Vorerfassung'!$H$21:$L$36,2,0),0))+
IF('ZD Vorerfassung'!$E$23="",0,IF(AND(B100&gt;='ZD Vorerfassung'!$C$23,B100&lt;='ZD Vorerfassung'!$D$23),HLOOKUP(TEXT(C100,"ttt"),'ZD Vorerfassung'!$H$21:$L$36,3,0),0))+
IF('ZD Vorerfassung'!$E$24="",0,IF(AND(B100&gt;='ZD Vorerfassung'!$C$24,B100&lt;='ZD Vorerfassung'!$D$24),HLOOKUP(TEXT(C100,"ttt"),'ZD Vorerfassung'!$H$21:$L$36,4,0),0))+
IF('ZD Vorerfassung'!$E$25="",0,IF(AND(B100&gt;='ZD Vorerfassung'!$C$25,B100&lt;='ZD Vorerfassung'!$D$25),HLOOKUP(TEXT(C100,"ttt"),'ZD Vorerfassung'!$H$21:$L$36,5,0),0))+
IF('ZD Vorerfassung'!$E$26="",0,IF(AND(B100&gt;='ZD Vorerfassung'!$C$26,B100&lt;='ZD Vorerfassung'!$D$26),HLOOKUP(TEXT(C100,"ttt"),'ZD Vorerfassung'!$H$21:$L$36,6,0),0))+
IF('ZD Vorerfassung'!$E$27="",0,IF(AND(B100&gt;='ZD Vorerfassung'!$C$27,B100&lt;='ZD Vorerfassung'!$D$27),HLOOKUP(TEXT(C100,"ttt"),'ZD Vorerfassung'!$H$21:$L$36,7,0),0))+
IF('ZD Vorerfassung'!$E$28="",0,IF(AND(B100&gt;='ZD Vorerfassung'!$C$28,B100&lt;='ZD Vorerfassung'!$D$28),HLOOKUP(TEXT(C100,"ttt"),'ZD Vorerfassung'!$H$21:$L$36,8,0),0))+
IF('ZD Vorerfassung'!$E$29="",0,IF(AND(B100&gt;='ZD Vorerfassung'!$C$29,B100&lt;='ZD Vorerfassung'!$D$29),HLOOKUP(TEXT(C100,"ttt"),'ZD Vorerfassung'!$H$21:$L$36,9,0),0))+
IF('ZD Vorerfassung'!$E$30="",0,IF(AND(B100&gt;='ZD Vorerfassung'!$C$30,B100&lt;='ZD Vorerfassung'!$D$30),HLOOKUP(TEXT(C100,"ttt"),'ZD Vorerfassung'!$H$21:$L$36,10,0),0))+
IF('ZD Vorerfassung'!$E$31="",0,IF(AND(B100&gt;='ZD Vorerfassung'!$C$31,B100&lt;='ZD Vorerfassung'!$D$31),HLOOKUP(TEXT(C100,"ttt"),'ZD Vorerfassung'!$H$21:$L$36,11,0),0))+
IF('ZD Vorerfassung'!$E$32="",0,IF(AND(B100&gt;='ZD Vorerfassung'!$C$32,B100&lt;='ZD Vorerfassung'!$D$32),HLOOKUP(TEXT(C100,"ttt"),'ZD Vorerfassung'!$H$21:$L$36,12,0),0))+
IF('ZD Vorerfassung'!$E$33="",0,IF(AND(B100&gt;='ZD Vorerfassung'!$C$33,B100&lt;='ZD Vorerfassung'!$D$33),HLOOKUP(TEXT(C100,"ttt"),'ZD Vorerfassung'!$H$21:$L$36,13,0),0))+
IF('ZD Vorerfassung'!$E$34="",0,IF(AND(B100&gt;='ZD Vorerfassung'!$C$34,B100&lt;='ZD Vorerfassung'!$D$34),HLOOKUP(TEXT(C100,"ttt"),'ZD Vorerfassung'!$H$21:$L$36,14,0),0))+
IF('ZD Vorerfassung'!$E$35="",0,IF(AND(B100&gt;='ZD Vorerfassung'!$C$35,B100&lt;='ZD Vorerfassung'!$D$35),HLOOKUP(TEXT(C100,"ttt"),'ZD Vorerfassung'!$H$21:$L$36,15,0),0))+
IF('ZD Vorerfassung'!$E$36="",0,IF(AND(B100&gt;='ZD Vorerfassung'!$C$36,B100&lt;='ZD Vorerfassung'!$D$36),HLOOKUP(TEXT(C100,"ttt"),'ZD Vorerfassung'!$H$21:$L$36,16,0),0)),"")</f>
        <v/>
      </c>
      <c r="AW100" s="110">
        <f t="array" ref="AW100">IF(OR(D100="UU",D100="FT",D100="WE"),0,
IF(D100="NR",SUM(IF(B100&gt;=_xlfn.NUMBERVALUE('ZD Vorerfassung'!$C$22:$C$36),1,0)*IF(B100&lt;=_xlfn.NUMBERVALUE('ZD Vorerfassung'!$D$22:$D$36),1,0)*'ZD Vorerfassung'!$Q$22:$Q$36),
IF(OR(D100="SF",D100="FH"),SUM(IF(B100&gt;=_xlfn.NUMBERVALUE('ZD Vorerfassung'!$C$22:$C$36),1,0)*IF(B100&lt;=_xlfn.NUMBERVALUE('ZD Vorerfassung'!$D$22:$D$36),1,0)*'ZD Vorerfassung'!$R$22:$R$36*IF(D100="FH",0.5,1)),
"prüfen")))</f>
        <v>0</v>
      </c>
      <c r="AX100" s="110">
        <f t="array" ref="AX100">IF(OR(D100="UU",D100="FT",D100="WE",E100="Ferien"),0,
IF(D100="NR",SUM(IF(B100&gt;=_xlfn.NUMBERVALUE('ZD Vorerfassung'!$C$22:$C$36),1,0)*IF(B100&lt;=_xlfn.NUMBERVALUE('ZD Vorerfassung'!$D$22:$D$36),1,0)*'ZD Vorerfassung'!$W$22:$W$36),
IF(OR(D100="SF",D100="FH"),SUM(IF(B100&gt;=_xlfn.NUMBERVALUE('ZD Vorerfassung'!$C$22:$C$36),1,0)*IF(B100&lt;=_xlfn.NUMBERVALUE('ZD Vorerfassung'!$D$22:$D$36),1,0)*'ZD Vorerfassung'!$X$22:$X$36*IF(D100="FH",0.5,1)),
"prüfen")))</f>
        <v>0</v>
      </c>
      <c r="AY100" s="110">
        <f t="array" ref="AY100">IF(OR(D100="UU",D100="FT",D100="WE",E100="Ferien"),0,
IF(D100="NR",SUM(IF(B100&gt;=_xlfn.NUMBERVALUE('ZD Vorerfassung'!$C$22:$C$36),1,0)*IF(B100&lt;=_xlfn.NUMBERVALUE('ZD Vorerfassung'!$D$22:$D$36),1,0)*'ZD Vorerfassung'!$U$22:$U$36),
IF(OR(D100="SF",D100="FH"),SUM(IF(B100&gt;=_xlfn.NUMBERVALUE('ZD Vorerfassung'!$C$22:$C$36),1,0)*IF(B100&lt;=_xlfn.NUMBERVALUE('ZD Vorerfassung'!$D$22:$D$36),1,0)*'ZD Vorerfassung'!$V$22:$V$36*IF(D100="FH",0.5,1)),
"prüfen")))</f>
        <v>0</v>
      </c>
      <c r="AZ100" s="110">
        <f t="array" ref="AZ100">IF(OR(D100="UU",D100="FT",D100="WE",E100="Ferien"),0,
IF(D100="NR",SUM(IF(B100&gt;=_xlfn.NUMBERVALUE('ZD Vorerfassung'!$C$22:$C$36),1,0)*IF(B100&lt;=_xlfn.NUMBERVALUE('ZD Vorerfassung'!$D$22:$D$36),1,0)*'ZD Vorerfassung'!$S$22:$S$36),
IF(OR(D100="SF",D100="FH"),SUM(IF(B100&gt;=_xlfn.NUMBERVALUE('ZD Vorerfassung'!$C$22:$C$36),1,0)*IF(B100&lt;=_xlfn.NUMBERVALUE('ZD Vorerfassung'!$D$22:$D$36),1,0)*'ZD Vorerfassung'!$T$22:$T$36*IF(D100="FH",0.5,1)),
"prüfen")))</f>
        <v>0</v>
      </c>
      <c r="BA100" s="112">
        <f t="shared" si="20"/>
        <v>11</v>
      </c>
    </row>
    <row r="101" spans="2:53" ht="19.5" thickTop="1" thickBot="1" x14ac:dyDescent="0.3">
      <c r="B101" s="99">
        <f t="shared" si="17"/>
        <v>44866</v>
      </c>
      <c r="C101" s="100">
        <f t="shared" si="21"/>
        <v>44866</v>
      </c>
      <c r="D101" s="101" t="str">
        <f t="shared" si="22"/>
        <v>NR</v>
      </c>
      <c r="E101" s="102" t="str">
        <f t="shared" si="18"/>
        <v>Unterrichtstag</v>
      </c>
      <c r="F101" s="103">
        <f t="shared" si="23"/>
        <v>0</v>
      </c>
      <c r="G101" s="104">
        <f t="shared" si="24"/>
        <v>0</v>
      </c>
      <c r="H101" s="104">
        <f>IFERROR(IF('ZD Vorerfassung'!$E$11="manuell",SUM(I101),IF(OR(E101="Feiertag",E101="Wochenende"),0,IF('ZD Vorerfassung'!$E$11="automatisch",AX101,IF(D101="UU","UU",IF(E101=Param2,AX101/24,IF(E101=Param9,AX101/48,"")))))),0)</f>
        <v>0</v>
      </c>
      <c r="I101" s="105"/>
      <c r="J101" s="106">
        <f>IF('ZD Vorerfassung'!$E$12="manuell",SUM(K101:AI101),IF(OR(E101="Feiertag",E101="Wochenende"),0,IF('ZD Vorerfassung'!$E$12="automatisch",AY101,IF(D101="UU","UU",IF(E101=Param2,AY101/24,IF(E101=Param9,AY101/48,""))))))</f>
        <v>0</v>
      </c>
      <c r="K101" s="105"/>
      <c r="L101" s="105"/>
      <c r="M101" s="105"/>
      <c r="N101" s="105"/>
      <c r="O101" s="105"/>
      <c r="P101" s="105"/>
      <c r="Q101" s="105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  <c r="AE101" s="105"/>
      <c r="AF101" s="105"/>
      <c r="AG101" s="105"/>
      <c r="AH101" s="105"/>
      <c r="AI101" s="105"/>
      <c r="AJ101" s="107">
        <f t="shared" si="25"/>
        <v>0</v>
      </c>
      <c r="AK101" s="105"/>
      <c r="AL101" s="105"/>
      <c r="AM101" s="105"/>
      <c r="AN101" s="105"/>
      <c r="AO101" s="105"/>
      <c r="AP101" s="105"/>
      <c r="AQ101" s="108">
        <f t="shared" si="26"/>
        <v>0</v>
      </c>
      <c r="AR101" s="108">
        <f t="shared" si="27"/>
        <v>0</v>
      </c>
      <c r="AS101" s="109">
        <f t="shared" si="28"/>
        <v>0</v>
      </c>
      <c r="AU101" s="110">
        <f t="shared" si="19"/>
        <v>0</v>
      </c>
      <c r="AV101" s="111">
        <f>IF(D101="NR",
IF('ZD Vorerfassung'!$E$22="",0,IF(AND(B101&gt;='ZD Vorerfassung'!$C$22,B101&lt;='ZD Vorerfassung'!$D$22),HLOOKUP(TEXT(C101,"ttt"),'ZD Vorerfassung'!$H$21:$L$36,2,0),0))+
IF('ZD Vorerfassung'!$E$23="",0,IF(AND(B101&gt;='ZD Vorerfassung'!$C$23,B101&lt;='ZD Vorerfassung'!$D$23),HLOOKUP(TEXT(C101,"ttt"),'ZD Vorerfassung'!$H$21:$L$36,3,0),0))+
IF('ZD Vorerfassung'!$E$24="",0,IF(AND(B101&gt;='ZD Vorerfassung'!$C$24,B101&lt;='ZD Vorerfassung'!$D$24),HLOOKUP(TEXT(C101,"ttt"),'ZD Vorerfassung'!$H$21:$L$36,4,0),0))+
IF('ZD Vorerfassung'!$E$25="",0,IF(AND(B101&gt;='ZD Vorerfassung'!$C$25,B101&lt;='ZD Vorerfassung'!$D$25),HLOOKUP(TEXT(C101,"ttt"),'ZD Vorerfassung'!$H$21:$L$36,5,0),0))+
IF('ZD Vorerfassung'!$E$26="",0,IF(AND(B101&gt;='ZD Vorerfassung'!$C$26,B101&lt;='ZD Vorerfassung'!$D$26),HLOOKUP(TEXT(C101,"ttt"),'ZD Vorerfassung'!$H$21:$L$36,6,0),0))+
IF('ZD Vorerfassung'!$E$27="",0,IF(AND(B101&gt;='ZD Vorerfassung'!$C$27,B101&lt;='ZD Vorerfassung'!$D$27),HLOOKUP(TEXT(C101,"ttt"),'ZD Vorerfassung'!$H$21:$L$36,7,0),0))+
IF('ZD Vorerfassung'!$E$28="",0,IF(AND(B101&gt;='ZD Vorerfassung'!$C$28,B101&lt;='ZD Vorerfassung'!$D$28),HLOOKUP(TEXT(C101,"ttt"),'ZD Vorerfassung'!$H$21:$L$36,8,0),0))+
IF('ZD Vorerfassung'!$E$29="",0,IF(AND(B101&gt;='ZD Vorerfassung'!$C$29,B101&lt;='ZD Vorerfassung'!$D$29),HLOOKUP(TEXT(C101,"ttt"),'ZD Vorerfassung'!$H$21:$L$36,9,0),0))+
IF('ZD Vorerfassung'!$E$30="",0,IF(AND(B101&gt;='ZD Vorerfassung'!$C$30,B101&lt;='ZD Vorerfassung'!$D$30),HLOOKUP(TEXT(C101,"ttt"),'ZD Vorerfassung'!$H$21:$L$36,10,0),0))+
IF('ZD Vorerfassung'!$E$31="",0,IF(AND(B101&gt;='ZD Vorerfassung'!$C$31,B101&lt;='ZD Vorerfassung'!$D$31),HLOOKUP(TEXT(C101,"ttt"),'ZD Vorerfassung'!$H$21:$L$36,11,0),0))+
IF('ZD Vorerfassung'!$E$32="",0,IF(AND(B101&gt;='ZD Vorerfassung'!$C$32,B101&lt;='ZD Vorerfassung'!$D$32),HLOOKUP(TEXT(C101,"ttt"),'ZD Vorerfassung'!$H$21:$L$36,12,0),0))+
IF('ZD Vorerfassung'!$E$33="",0,IF(AND(B101&gt;='ZD Vorerfassung'!$C$33,B101&lt;='ZD Vorerfassung'!$D$33),HLOOKUP(TEXT(C101,"ttt"),'ZD Vorerfassung'!$H$21:$L$36,13,0),0))+
IF('ZD Vorerfassung'!$E$34="",0,IF(AND(B101&gt;='ZD Vorerfassung'!$C$34,B101&lt;='ZD Vorerfassung'!$D$34),HLOOKUP(TEXT(C101,"ttt"),'ZD Vorerfassung'!$H$21:$L$36,14,0),0))+
IF('ZD Vorerfassung'!$E$35="",0,IF(AND(B101&gt;='ZD Vorerfassung'!$C$35,B101&lt;='ZD Vorerfassung'!$D$35),HLOOKUP(TEXT(C101,"ttt"),'ZD Vorerfassung'!$H$21:$L$36,15,0),0))+
IF('ZD Vorerfassung'!$E$36="",0,IF(AND(B101&gt;='ZD Vorerfassung'!$C$36,B101&lt;='ZD Vorerfassung'!$D$36),HLOOKUP(TEXT(C101,"ttt"),'ZD Vorerfassung'!$H$21:$L$36,16,0),0)),"")</f>
        <v>0</v>
      </c>
      <c r="AW101" s="110">
        <f t="array" ref="AW101">IF(OR(D101="UU",D101="FT",D101="WE"),0,
IF(D101="NR",SUM(IF(B101&gt;=_xlfn.NUMBERVALUE('ZD Vorerfassung'!$C$22:$C$36),1,0)*IF(B101&lt;=_xlfn.NUMBERVALUE('ZD Vorerfassung'!$D$22:$D$36),1,0)*'ZD Vorerfassung'!$Q$22:$Q$36),
IF(OR(D101="SF",D101="FH"),SUM(IF(B101&gt;=_xlfn.NUMBERVALUE('ZD Vorerfassung'!$C$22:$C$36),1,0)*IF(B101&lt;=_xlfn.NUMBERVALUE('ZD Vorerfassung'!$D$22:$D$36),1,0)*'ZD Vorerfassung'!$R$22:$R$36*IF(D101="FH",0.5,1)),
"prüfen")))</f>
        <v>0</v>
      </c>
      <c r="AX101" s="110">
        <f t="array" ref="AX101">IF(OR(D101="UU",D101="FT",D101="WE",E101="Ferien"),0,
IF(D101="NR",SUM(IF(B101&gt;=_xlfn.NUMBERVALUE('ZD Vorerfassung'!$C$22:$C$36),1,0)*IF(B101&lt;=_xlfn.NUMBERVALUE('ZD Vorerfassung'!$D$22:$D$36),1,0)*'ZD Vorerfassung'!$W$22:$W$36),
IF(OR(D101="SF",D101="FH"),SUM(IF(B101&gt;=_xlfn.NUMBERVALUE('ZD Vorerfassung'!$C$22:$C$36),1,0)*IF(B101&lt;=_xlfn.NUMBERVALUE('ZD Vorerfassung'!$D$22:$D$36),1,0)*'ZD Vorerfassung'!$X$22:$X$36*IF(D101="FH",0.5,1)),
"prüfen")))</f>
        <v>0</v>
      </c>
      <c r="AY101" s="110">
        <f t="array" ref="AY101">IF(OR(D101="UU",D101="FT",D101="WE",E101="Ferien"),0,
IF(D101="NR",SUM(IF(B101&gt;=_xlfn.NUMBERVALUE('ZD Vorerfassung'!$C$22:$C$36),1,0)*IF(B101&lt;=_xlfn.NUMBERVALUE('ZD Vorerfassung'!$D$22:$D$36),1,0)*'ZD Vorerfassung'!$U$22:$U$36),
IF(OR(D101="SF",D101="FH"),SUM(IF(B101&gt;=_xlfn.NUMBERVALUE('ZD Vorerfassung'!$C$22:$C$36),1,0)*IF(B101&lt;=_xlfn.NUMBERVALUE('ZD Vorerfassung'!$D$22:$D$36),1,0)*'ZD Vorerfassung'!$V$22:$V$36*IF(D101="FH",0.5,1)),
"prüfen")))</f>
        <v>0</v>
      </c>
      <c r="AZ101" s="110">
        <f t="array" ref="AZ101">IF(OR(D101="UU",D101="FT",D101="WE",E101="Ferien"),0,
IF(D101="NR",SUM(IF(B101&gt;=_xlfn.NUMBERVALUE('ZD Vorerfassung'!$C$22:$C$36),1,0)*IF(B101&lt;=_xlfn.NUMBERVALUE('ZD Vorerfassung'!$D$22:$D$36),1,0)*'ZD Vorerfassung'!$S$22:$S$36),
IF(OR(D101="SF",D101="FH"),SUM(IF(B101&gt;=_xlfn.NUMBERVALUE('ZD Vorerfassung'!$C$22:$C$36),1,0)*IF(B101&lt;=_xlfn.NUMBERVALUE('ZD Vorerfassung'!$D$22:$D$36),1,0)*'ZD Vorerfassung'!$T$22:$T$36*IF(D101="FH",0.5,1)),
"prüfen")))</f>
        <v>0</v>
      </c>
      <c r="BA101" s="112">
        <f t="shared" si="20"/>
        <v>11</v>
      </c>
    </row>
    <row r="102" spans="2:53" ht="19.5" thickTop="1" thickBot="1" x14ac:dyDescent="0.3">
      <c r="B102" s="99">
        <f t="shared" si="17"/>
        <v>44867</v>
      </c>
      <c r="C102" s="100">
        <f t="shared" si="21"/>
        <v>44867</v>
      </c>
      <c r="D102" s="101" t="str">
        <f t="shared" si="22"/>
        <v>NR</v>
      </c>
      <c r="E102" s="102" t="str">
        <f t="shared" si="18"/>
        <v>Unterrichtstag</v>
      </c>
      <c r="F102" s="103">
        <f t="shared" si="23"/>
        <v>0</v>
      </c>
      <c r="G102" s="104">
        <f t="shared" si="24"/>
        <v>0</v>
      </c>
      <c r="H102" s="104">
        <f>IFERROR(IF('ZD Vorerfassung'!$E$11="manuell",SUM(I102),IF(OR(E102="Feiertag",E102="Wochenende"),0,IF('ZD Vorerfassung'!$E$11="automatisch",AX102,IF(D102="UU","UU",IF(E102=Param2,AX102/24,IF(E102=Param9,AX102/48,"")))))),0)</f>
        <v>0</v>
      </c>
      <c r="I102" s="105"/>
      <c r="J102" s="106">
        <f>IF('ZD Vorerfassung'!$E$12="manuell",SUM(K102:AI102),IF(OR(E102="Feiertag",E102="Wochenende"),0,IF('ZD Vorerfassung'!$E$12="automatisch",AY102,IF(D102="UU","UU",IF(E102=Param2,AY102/24,IF(E102=Param9,AY102/48,""))))))</f>
        <v>0</v>
      </c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5"/>
      <c r="AI102" s="105"/>
      <c r="AJ102" s="107">
        <f t="shared" si="25"/>
        <v>0</v>
      </c>
      <c r="AK102" s="105"/>
      <c r="AL102" s="105"/>
      <c r="AM102" s="105"/>
      <c r="AN102" s="105"/>
      <c r="AO102" s="105"/>
      <c r="AP102" s="105"/>
      <c r="AQ102" s="108">
        <f t="shared" si="26"/>
        <v>0</v>
      </c>
      <c r="AR102" s="108">
        <f t="shared" si="27"/>
        <v>0</v>
      </c>
      <c r="AS102" s="109">
        <f t="shared" si="28"/>
        <v>0</v>
      </c>
      <c r="AU102" s="110">
        <f t="shared" si="19"/>
        <v>0</v>
      </c>
      <c r="AV102" s="111">
        <f>IF(D102="NR",
IF('ZD Vorerfassung'!$E$22="",0,IF(AND(B102&gt;='ZD Vorerfassung'!$C$22,B102&lt;='ZD Vorerfassung'!$D$22),HLOOKUP(TEXT(C102,"ttt"),'ZD Vorerfassung'!$H$21:$L$36,2,0),0))+
IF('ZD Vorerfassung'!$E$23="",0,IF(AND(B102&gt;='ZD Vorerfassung'!$C$23,B102&lt;='ZD Vorerfassung'!$D$23),HLOOKUP(TEXT(C102,"ttt"),'ZD Vorerfassung'!$H$21:$L$36,3,0),0))+
IF('ZD Vorerfassung'!$E$24="",0,IF(AND(B102&gt;='ZD Vorerfassung'!$C$24,B102&lt;='ZD Vorerfassung'!$D$24),HLOOKUP(TEXT(C102,"ttt"),'ZD Vorerfassung'!$H$21:$L$36,4,0),0))+
IF('ZD Vorerfassung'!$E$25="",0,IF(AND(B102&gt;='ZD Vorerfassung'!$C$25,B102&lt;='ZD Vorerfassung'!$D$25),HLOOKUP(TEXT(C102,"ttt"),'ZD Vorerfassung'!$H$21:$L$36,5,0),0))+
IF('ZD Vorerfassung'!$E$26="",0,IF(AND(B102&gt;='ZD Vorerfassung'!$C$26,B102&lt;='ZD Vorerfassung'!$D$26),HLOOKUP(TEXT(C102,"ttt"),'ZD Vorerfassung'!$H$21:$L$36,6,0),0))+
IF('ZD Vorerfassung'!$E$27="",0,IF(AND(B102&gt;='ZD Vorerfassung'!$C$27,B102&lt;='ZD Vorerfassung'!$D$27),HLOOKUP(TEXT(C102,"ttt"),'ZD Vorerfassung'!$H$21:$L$36,7,0),0))+
IF('ZD Vorerfassung'!$E$28="",0,IF(AND(B102&gt;='ZD Vorerfassung'!$C$28,B102&lt;='ZD Vorerfassung'!$D$28),HLOOKUP(TEXT(C102,"ttt"),'ZD Vorerfassung'!$H$21:$L$36,8,0),0))+
IF('ZD Vorerfassung'!$E$29="",0,IF(AND(B102&gt;='ZD Vorerfassung'!$C$29,B102&lt;='ZD Vorerfassung'!$D$29),HLOOKUP(TEXT(C102,"ttt"),'ZD Vorerfassung'!$H$21:$L$36,9,0),0))+
IF('ZD Vorerfassung'!$E$30="",0,IF(AND(B102&gt;='ZD Vorerfassung'!$C$30,B102&lt;='ZD Vorerfassung'!$D$30),HLOOKUP(TEXT(C102,"ttt"),'ZD Vorerfassung'!$H$21:$L$36,10,0),0))+
IF('ZD Vorerfassung'!$E$31="",0,IF(AND(B102&gt;='ZD Vorerfassung'!$C$31,B102&lt;='ZD Vorerfassung'!$D$31),HLOOKUP(TEXT(C102,"ttt"),'ZD Vorerfassung'!$H$21:$L$36,11,0),0))+
IF('ZD Vorerfassung'!$E$32="",0,IF(AND(B102&gt;='ZD Vorerfassung'!$C$32,B102&lt;='ZD Vorerfassung'!$D$32),HLOOKUP(TEXT(C102,"ttt"),'ZD Vorerfassung'!$H$21:$L$36,12,0),0))+
IF('ZD Vorerfassung'!$E$33="",0,IF(AND(B102&gt;='ZD Vorerfassung'!$C$33,B102&lt;='ZD Vorerfassung'!$D$33),HLOOKUP(TEXT(C102,"ttt"),'ZD Vorerfassung'!$H$21:$L$36,13,0),0))+
IF('ZD Vorerfassung'!$E$34="",0,IF(AND(B102&gt;='ZD Vorerfassung'!$C$34,B102&lt;='ZD Vorerfassung'!$D$34),HLOOKUP(TEXT(C102,"ttt"),'ZD Vorerfassung'!$H$21:$L$36,14,0),0))+
IF('ZD Vorerfassung'!$E$35="",0,IF(AND(B102&gt;='ZD Vorerfassung'!$C$35,B102&lt;='ZD Vorerfassung'!$D$35),HLOOKUP(TEXT(C102,"ttt"),'ZD Vorerfassung'!$H$21:$L$36,15,0),0))+
IF('ZD Vorerfassung'!$E$36="",0,IF(AND(B102&gt;='ZD Vorerfassung'!$C$36,B102&lt;='ZD Vorerfassung'!$D$36),HLOOKUP(TEXT(C102,"ttt"),'ZD Vorerfassung'!$H$21:$L$36,16,0),0)),"")</f>
        <v>0</v>
      </c>
      <c r="AW102" s="110">
        <f t="array" ref="AW102">IF(OR(D102="UU",D102="FT",D102="WE"),0,
IF(D102="NR",SUM(IF(B102&gt;=_xlfn.NUMBERVALUE('ZD Vorerfassung'!$C$22:$C$36),1,0)*IF(B102&lt;=_xlfn.NUMBERVALUE('ZD Vorerfassung'!$D$22:$D$36),1,0)*'ZD Vorerfassung'!$Q$22:$Q$36),
IF(OR(D102="SF",D102="FH"),SUM(IF(B102&gt;=_xlfn.NUMBERVALUE('ZD Vorerfassung'!$C$22:$C$36),1,0)*IF(B102&lt;=_xlfn.NUMBERVALUE('ZD Vorerfassung'!$D$22:$D$36),1,0)*'ZD Vorerfassung'!$R$22:$R$36*IF(D102="FH",0.5,1)),
"prüfen")))</f>
        <v>0</v>
      </c>
      <c r="AX102" s="110">
        <f t="array" ref="AX102">IF(OR(D102="UU",D102="FT",D102="WE",E102="Ferien"),0,
IF(D102="NR",SUM(IF(B102&gt;=_xlfn.NUMBERVALUE('ZD Vorerfassung'!$C$22:$C$36),1,0)*IF(B102&lt;=_xlfn.NUMBERVALUE('ZD Vorerfassung'!$D$22:$D$36),1,0)*'ZD Vorerfassung'!$W$22:$W$36),
IF(OR(D102="SF",D102="FH"),SUM(IF(B102&gt;=_xlfn.NUMBERVALUE('ZD Vorerfassung'!$C$22:$C$36),1,0)*IF(B102&lt;=_xlfn.NUMBERVALUE('ZD Vorerfassung'!$D$22:$D$36),1,0)*'ZD Vorerfassung'!$X$22:$X$36*IF(D102="FH",0.5,1)),
"prüfen")))</f>
        <v>0</v>
      </c>
      <c r="AY102" s="110">
        <f t="array" ref="AY102">IF(OR(D102="UU",D102="FT",D102="WE",E102="Ferien"),0,
IF(D102="NR",SUM(IF(B102&gt;=_xlfn.NUMBERVALUE('ZD Vorerfassung'!$C$22:$C$36),1,0)*IF(B102&lt;=_xlfn.NUMBERVALUE('ZD Vorerfassung'!$D$22:$D$36),1,0)*'ZD Vorerfassung'!$U$22:$U$36),
IF(OR(D102="SF",D102="FH"),SUM(IF(B102&gt;=_xlfn.NUMBERVALUE('ZD Vorerfassung'!$C$22:$C$36),1,0)*IF(B102&lt;=_xlfn.NUMBERVALUE('ZD Vorerfassung'!$D$22:$D$36),1,0)*'ZD Vorerfassung'!$V$22:$V$36*IF(D102="FH",0.5,1)),
"prüfen")))</f>
        <v>0</v>
      </c>
      <c r="AZ102" s="110">
        <f t="array" ref="AZ102">IF(OR(D102="UU",D102="FT",D102="WE",E102="Ferien"),0,
IF(D102="NR",SUM(IF(B102&gt;=_xlfn.NUMBERVALUE('ZD Vorerfassung'!$C$22:$C$36),1,0)*IF(B102&lt;=_xlfn.NUMBERVALUE('ZD Vorerfassung'!$D$22:$D$36),1,0)*'ZD Vorerfassung'!$S$22:$S$36),
IF(OR(D102="SF",D102="FH"),SUM(IF(B102&gt;=_xlfn.NUMBERVALUE('ZD Vorerfassung'!$C$22:$C$36),1,0)*IF(B102&lt;=_xlfn.NUMBERVALUE('ZD Vorerfassung'!$D$22:$D$36),1,0)*'ZD Vorerfassung'!$T$22:$T$36*IF(D102="FH",0.5,1)),
"prüfen")))</f>
        <v>0</v>
      </c>
      <c r="BA102" s="112">
        <f t="shared" si="20"/>
        <v>11</v>
      </c>
    </row>
    <row r="103" spans="2:53" ht="19.5" thickTop="1" thickBot="1" x14ac:dyDescent="0.3">
      <c r="B103" s="99">
        <f t="shared" si="17"/>
        <v>44868</v>
      </c>
      <c r="C103" s="100">
        <f t="shared" si="21"/>
        <v>44868</v>
      </c>
      <c r="D103" s="101" t="str">
        <f t="shared" si="22"/>
        <v>NR</v>
      </c>
      <c r="E103" s="102" t="str">
        <f t="shared" si="18"/>
        <v>Unterrichtstag</v>
      </c>
      <c r="F103" s="103">
        <f t="shared" si="23"/>
        <v>0</v>
      </c>
      <c r="G103" s="104">
        <f t="shared" si="24"/>
        <v>0</v>
      </c>
      <c r="H103" s="104">
        <f>IFERROR(IF('ZD Vorerfassung'!$E$11="manuell",SUM(I103),IF(OR(E103="Feiertag",E103="Wochenende"),0,IF('ZD Vorerfassung'!$E$11="automatisch",AX103,IF(D103="UU","UU",IF(E103=Param2,AX103/24,IF(E103=Param9,AX103/48,"")))))),0)</f>
        <v>0</v>
      </c>
      <c r="I103" s="105"/>
      <c r="J103" s="106">
        <f>IF('ZD Vorerfassung'!$E$12="manuell",SUM(K103:AI103),IF(OR(E103="Feiertag",E103="Wochenende"),0,IF('ZD Vorerfassung'!$E$12="automatisch",AY103,IF(D103="UU","UU",IF(E103=Param2,AY103/24,IF(E103=Param9,AY103/48,""))))))</f>
        <v>0</v>
      </c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7">
        <f t="shared" si="25"/>
        <v>0</v>
      </c>
      <c r="AK103" s="105"/>
      <c r="AL103" s="105"/>
      <c r="AM103" s="105"/>
      <c r="AN103" s="105"/>
      <c r="AO103" s="105"/>
      <c r="AP103" s="105"/>
      <c r="AQ103" s="108">
        <f t="shared" si="26"/>
        <v>0</v>
      </c>
      <c r="AR103" s="108">
        <f t="shared" si="27"/>
        <v>0</v>
      </c>
      <c r="AS103" s="109">
        <f t="shared" si="28"/>
        <v>0</v>
      </c>
      <c r="AU103" s="110">
        <f t="shared" si="19"/>
        <v>0</v>
      </c>
      <c r="AV103" s="111">
        <f>IF(D103="NR",
IF('ZD Vorerfassung'!$E$22="",0,IF(AND(B103&gt;='ZD Vorerfassung'!$C$22,B103&lt;='ZD Vorerfassung'!$D$22),HLOOKUP(TEXT(C103,"ttt"),'ZD Vorerfassung'!$H$21:$L$36,2,0),0))+
IF('ZD Vorerfassung'!$E$23="",0,IF(AND(B103&gt;='ZD Vorerfassung'!$C$23,B103&lt;='ZD Vorerfassung'!$D$23),HLOOKUP(TEXT(C103,"ttt"),'ZD Vorerfassung'!$H$21:$L$36,3,0),0))+
IF('ZD Vorerfassung'!$E$24="",0,IF(AND(B103&gt;='ZD Vorerfassung'!$C$24,B103&lt;='ZD Vorerfassung'!$D$24),HLOOKUP(TEXT(C103,"ttt"),'ZD Vorerfassung'!$H$21:$L$36,4,0),0))+
IF('ZD Vorerfassung'!$E$25="",0,IF(AND(B103&gt;='ZD Vorerfassung'!$C$25,B103&lt;='ZD Vorerfassung'!$D$25),HLOOKUP(TEXT(C103,"ttt"),'ZD Vorerfassung'!$H$21:$L$36,5,0),0))+
IF('ZD Vorerfassung'!$E$26="",0,IF(AND(B103&gt;='ZD Vorerfassung'!$C$26,B103&lt;='ZD Vorerfassung'!$D$26),HLOOKUP(TEXT(C103,"ttt"),'ZD Vorerfassung'!$H$21:$L$36,6,0),0))+
IF('ZD Vorerfassung'!$E$27="",0,IF(AND(B103&gt;='ZD Vorerfassung'!$C$27,B103&lt;='ZD Vorerfassung'!$D$27),HLOOKUP(TEXT(C103,"ttt"),'ZD Vorerfassung'!$H$21:$L$36,7,0),0))+
IF('ZD Vorerfassung'!$E$28="",0,IF(AND(B103&gt;='ZD Vorerfassung'!$C$28,B103&lt;='ZD Vorerfassung'!$D$28),HLOOKUP(TEXT(C103,"ttt"),'ZD Vorerfassung'!$H$21:$L$36,8,0),0))+
IF('ZD Vorerfassung'!$E$29="",0,IF(AND(B103&gt;='ZD Vorerfassung'!$C$29,B103&lt;='ZD Vorerfassung'!$D$29),HLOOKUP(TEXT(C103,"ttt"),'ZD Vorerfassung'!$H$21:$L$36,9,0),0))+
IF('ZD Vorerfassung'!$E$30="",0,IF(AND(B103&gt;='ZD Vorerfassung'!$C$30,B103&lt;='ZD Vorerfassung'!$D$30),HLOOKUP(TEXT(C103,"ttt"),'ZD Vorerfassung'!$H$21:$L$36,10,0),0))+
IF('ZD Vorerfassung'!$E$31="",0,IF(AND(B103&gt;='ZD Vorerfassung'!$C$31,B103&lt;='ZD Vorerfassung'!$D$31),HLOOKUP(TEXT(C103,"ttt"),'ZD Vorerfassung'!$H$21:$L$36,11,0),0))+
IF('ZD Vorerfassung'!$E$32="",0,IF(AND(B103&gt;='ZD Vorerfassung'!$C$32,B103&lt;='ZD Vorerfassung'!$D$32),HLOOKUP(TEXT(C103,"ttt"),'ZD Vorerfassung'!$H$21:$L$36,12,0),0))+
IF('ZD Vorerfassung'!$E$33="",0,IF(AND(B103&gt;='ZD Vorerfassung'!$C$33,B103&lt;='ZD Vorerfassung'!$D$33),HLOOKUP(TEXT(C103,"ttt"),'ZD Vorerfassung'!$H$21:$L$36,13,0),0))+
IF('ZD Vorerfassung'!$E$34="",0,IF(AND(B103&gt;='ZD Vorerfassung'!$C$34,B103&lt;='ZD Vorerfassung'!$D$34),HLOOKUP(TEXT(C103,"ttt"),'ZD Vorerfassung'!$H$21:$L$36,14,0),0))+
IF('ZD Vorerfassung'!$E$35="",0,IF(AND(B103&gt;='ZD Vorerfassung'!$C$35,B103&lt;='ZD Vorerfassung'!$D$35),HLOOKUP(TEXT(C103,"ttt"),'ZD Vorerfassung'!$H$21:$L$36,15,0),0))+
IF('ZD Vorerfassung'!$E$36="",0,IF(AND(B103&gt;='ZD Vorerfassung'!$C$36,B103&lt;='ZD Vorerfassung'!$D$36),HLOOKUP(TEXT(C103,"ttt"),'ZD Vorerfassung'!$H$21:$L$36,16,0),0)),"")</f>
        <v>0</v>
      </c>
      <c r="AW103" s="110">
        <f t="array" ref="AW103">IF(OR(D103="UU",D103="FT",D103="WE"),0,
IF(D103="NR",SUM(IF(B103&gt;=_xlfn.NUMBERVALUE('ZD Vorerfassung'!$C$22:$C$36),1,0)*IF(B103&lt;=_xlfn.NUMBERVALUE('ZD Vorerfassung'!$D$22:$D$36),1,0)*'ZD Vorerfassung'!$Q$22:$Q$36),
IF(OR(D103="SF",D103="FH"),SUM(IF(B103&gt;=_xlfn.NUMBERVALUE('ZD Vorerfassung'!$C$22:$C$36),1,0)*IF(B103&lt;=_xlfn.NUMBERVALUE('ZD Vorerfassung'!$D$22:$D$36),1,0)*'ZD Vorerfassung'!$R$22:$R$36*IF(D103="FH",0.5,1)),
"prüfen")))</f>
        <v>0</v>
      </c>
      <c r="AX103" s="110">
        <f t="array" ref="AX103">IF(OR(D103="UU",D103="FT",D103="WE",E103="Ferien"),0,
IF(D103="NR",SUM(IF(B103&gt;=_xlfn.NUMBERVALUE('ZD Vorerfassung'!$C$22:$C$36),1,0)*IF(B103&lt;=_xlfn.NUMBERVALUE('ZD Vorerfassung'!$D$22:$D$36),1,0)*'ZD Vorerfassung'!$W$22:$W$36),
IF(OR(D103="SF",D103="FH"),SUM(IF(B103&gt;=_xlfn.NUMBERVALUE('ZD Vorerfassung'!$C$22:$C$36),1,0)*IF(B103&lt;=_xlfn.NUMBERVALUE('ZD Vorerfassung'!$D$22:$D$36),1,0)*'ZD Vorerfassung'!$X$22:$X$36*IF(D103="FH",0.5,1)),
"prüfen")))</f>
        <v>0</v>
      </c>
      <c r="AY103" s="110">
        <f t="array" ref="AY103">IF(OR(D103="UU",D103="FT",D103="WE",E103="Ferien"),0,
IF(D103="NR",SUM(IF(B103&gt;=_xlfn.NUMBERVALUE('ZD Vorerfassung'!$C$22:$C$36),1,0)*IF(B103&lt;=_xlfn.NUMBERVALUE('ZD Vorerfassung'!$D$22:$D$36),1,0)*'ZD Vorerfassung'!$U$22:$U$36),
IF(OR(D103="SF",D103="FH"),SUM(IF(B103&gt;=_xlfn.NUMBERVALUE('ZD Vorerfassung'!$C$22:$C$36),1,0)*IF(B103&lt;=_xlfn.NUMBERVALUE('ZD Vorerfassung'!$D$22:$D$36),1,0)*'ZD Vorerfassung'!$V$22:$V$36*IF(D103="FH",0.5,1)),
"prüfen")))</f>
        <v>0</v>
      </c>
      <c r="AZ103" s="110">
        <f t="array" ref="AZ103">IF(OR(D103="UU",D103="FT",D103="WE",E103="Ferien"),0,
IF(D103="NR",SUM(IF(B103&gt;=_xlfn.NUMBERVALUE('ZD Vorerfassung'!$C$22:$C$36),1,0)*IF(B103&lt;=_xlfn.NUMBERVALUE('ZD Vorerfassung'!$D$22:$D$36),1,0)*'ZD Vorerfassung'!$S$22:$S$36),
IF(OR(D103="SF",D103="FH"),SUM(IF(B103&gt;=_xlfn.NUMBERVALUE('ZD Vorerfassung'!$C$22:$C$36),1,0)*IF(B103&lt;=_xlfn.NUMBERVALUE('ZD Vorerfassung'!$D$22:$D$36),1,0)*'ZD Vorerfassung'!$T$22:$T$36*IF(D103="FH",0.5,1)),
"prüfen")))</f>
        <v>0</v>
      </c>
      <c r="BA103" s="112">
        <f t="shared" si="20"/>
        <v>11</v>
      </c>
    </row>
    <row r="104" spans="2:53" ht="19.5" thickTop="1" thickBot="1" x14ac:dyDescent="0.3">
      <c r="B104" s="99">
        <f t="shared" si="17"/>
        <v>44869</v>
      </c>
      <c r="C104" s="100">
        <f t="shared" si="21"/>
        <v>44869</v>
      </c>
      <c r="D104" s="101" t="str">
        <f t="shared" si="22"/>
        <v>NR</v>
      </c>
      <c r="E104" s="102" t="str">
        <f t="shared" si="18"/>
        <v>Unterrichtstag</v>
      </c>
      <c r="F104" s="103">
        <f t="shared" si="23"/>
        <v>0</v>
      </c>
      <c r="G104" s="104">
        <f t="shared" si="24"/>
        <v>0</v>
      </c>
      <c r="H104" s="104">
        <f>IFERROR(IF('ZD Vorerfassung'!$E$11="manuell",SUM(I104),IF(OR(E104="Feiertag",E104="Wochenende"),0,IF('ZD Vorerfassung'!$E$11="automatisch",AX104,IF(D104="UU","UU",IF(E104=Param2,AX104/24,IF(E104=Param9,AX104/48,"")))))),0)</f>
        <v>0</v>
      </c>
      <c r="I104" s="105"/>
      <c r="J104" s="106">
        <f>IF('ZD Vorerfassung'!$E$12="manuell",SUM(K104:AI104),IF(OR(E104="Feiertag",E104="Wochenende"),0,IF('ZD Vorerfassung'!$E$12="automatisch",AY104,IF(D104="UU","UU",IF(E104=Param2,AY104/24,IF(E104=Param9,AY104/48,""))))))</f>
        <v>0</v>
      </c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/>
      <c r="AH104" s="105"/>
      <c r="AI104" s="105"/>
      <c r="AJ104" s="107">
        <f t="shared" si="25"/>
        <v>0</v>
      </c>
      <c r="AK104" s="105"/>
      <c r="AL104" s="105"/>
      <c r="AM104" s="105"/>
      <c r="AN104" s="105"/>
      <c r="AO104" s="105"/>
      <c r="AP104" s="105"/>
      <c r="AQ104" s="108">
        <f t="shared" si="26"/>
        <v>0</v>
      </c>
      <c r="AR104" s="108">
        <f t="shared" si="27"/>
        <v>0</v>
      </c>
      <c r="AS104" s="109">
        <f t="shared" si="28"/>
        <v>0</v>
      </c>
      <c r="AU104" s="110">
        <f t="shared" si="19"/>
        <v>0</v>
      </c>
      <c r="AV104" s="111">
        <f>IF(D104="NR",
IF('ZD Vorerfassung'!$E$22="",0,IF(AND(B104&gt;='ZD Vorerfassung'!$C$22,B104&lt;='ZD Vorerfassung'!$D$22),HLOOKUP(TEXT(C104,"ttt"),'ZD Vorerfassung'!$H$21:$L$36,2,0),0))+
IF('ZD Vorerfassung'!$E$23="",0,IF(AND(B104&gt;='ZD Vorerfassung'!$C$23,B104&lt;='ZD Vorerfassung'!$D$23),HLOOKUP(TEXT(C104,"ttt"),'ZD Vorerfassung'!$H$21:$L$36,3,0),0))+
IF('ZD Vorerfassung'!$E$24="",0,IF(AND(B104&gt;='ZD Vorerfassung'!$C$24,B104&lt;='ZD Vorerfassung'!$D$24),HLOOKUP(TEXT(C104,"ttt"),'ZD Vorerfassung'!$H$21:$L$36,4,0),0))+
IF('ZD Vorerfassung'!$E$25="",0,IF(AND(B104&gt;='ZD Vorerfassung'!$C$25,B104&lt;='ZD Vorerfassung'!$D$25),HLOOKUP(TEXT(C104,"ttt"),'ZD Vorerfassung'!$H$21:$L$36,5,0),0))+
IF('ZD Vorerfassung'!$E$26="",0,IF(AND(B104&gt;='ZD Vorerfassung'!$C$26,B104&lt;='ZD Vorerfassung'!$D$26),HLOOKUP(TEXT(C104,"ttt"),'ZD Vorerfassung'!$H$21:$L$36,6,0),0))+
IF('ZD Vorerfassung'!$E$27="",0,IF(AND(B104&gt;='ZD Vorerfassung'!$C$27,B104&lt;='ZD Vorerfassung'!$D$27),HLOOKUP(TEXT(C104,"ttt"),'ZD Vorerfassung'!$H$21:$L$36,7,0),0))+
IF('ZD Vorerfassung'!$E$28="",0,IF(AND(B104&gt;='ZD Vorerfassung'!$C$28,B104&lt;='ZD Vorerfassung'!$D$28),HLOOKUP(TEXT(C104,"ttt"),'ZD Vorerfassung'!$H$21:$L$36,8,0),0))+
IF('ZD Vorerfassung'!$E$29="",0,IF(AND(B104&gt;='ZD Vorerfassung'!$C$29,B104&lt;='ZD Vorerfassung'!$D$29),HLOOKUP(TEXT(C104,"ttt"),'ZD Vorerfassung'!$H$21:$L$36,9,0),0))+
IF('ZD Vorerfassung'!$E$30="",0,IF(AND(B104&gt;='ZD Vorerfassung'!$C$30,B104&lt;='ZD Vorerfassung'!$D$30),HLOOKUP(TEXT(C104,"ttt"),'ZD Vorerfassung'!$H$21:$L$36,10,0),0))+
IF('ZD Vorerfassung'!$E$31="",0,IF(AND(B104&gt;='ZD Vorerfassung'!$C$31,B104&lt;='ZD Vorerfassung'!$D$31),HLOOKUP(TEXT(C104,"ttt"),'ZD Vorerfassung'!$H$21:$L$36,11,0),0))+
IF('ZD Vorerfassung'!$E$32="",0,IF(AND(B104&gt;='ZD Vorerfassung'!$C$32,B104&lt;='ZD Vorerfassung'!$D$32),HLOOKUP(TEXT(C104,"ttt"),'ZD Vorerfassung'!$H$21:$L$36,12,0),0))+
IF('ZD Vorerfassung'!$E$33="",0,IF(AND(B104&gt;='ZD Vorerfassung'!$C$33,B104&lt;='ZD Vorerfassung'!$D$33),HLOOKUP(TEXT(C104,"ttt"),'ZD Vorerfassung'!$H$21:$L$36,13,0),0))+
IF('ZD Vorerfassung'!$E$34="",0,IF(AND(B104&gt;='ZD Vorerfassung'!$C$34,B104&lt;='ZD Vorerfassung'!$D$34),HLOOKUP(TEXT(C104,"ttt"),'ZD Vorerfassung'!$H$21:$L$36,14,0),0))+
IF('ZD Vorerfassung'!$E$35="",0,IF(AND(B104&gt;='ZD Vorerfassung'!$C$35,B104&lt;='ZD Vorerfassung'!$D$35),HLOOKUP(TEXT(C104,"ttt"),'ZD Vorerfassung'!$H$21:$L$36,15,0),0))+
IF('ZD Vorerfassung'!$E$36="",0,IF(AND(B104&gt;='ZD Vorerfassung'!$C$36,B104&lt;='ZD Vorerfassung'!$D$36),HLOOKUP(TEXT(C104,"ttt"),'ZD Vorerfassung'!$H$21:$L$36,16,0),0)),"")</f>
        <v>0</v>
      </c>
      <c r="AW104" s="110">
        <f t="array" ref="AW104">IF(OR(D104="UU",D104="FT",D104="WE"),0,
IF(D104="NR",SUM(IF(B104&gt;=_xlfn.NUMBERVALUE('ZD Vorerfassung'!$C$22:$C$36),1,0)*IF(B104&lt;=_xlfn.NUMBERVALUE('ZD Vorerfassung'!$D$22:$D$36),1,0)*'ZD Vorerfassung'!$Q$22:$Q$36),
IF(OR(D104="SF",D104="FH"),SUM(IF(B104&gt;=_xlfn.NUMBERVALUE('ZD Vorerfassung'!$C$22:$C$36),1,0)*IF(B104&lt;=_xlfn.NUMBERVALUE('ZD Vorerfassung'!$D$22:$D$36),1,0)*'ZD Vorerfassung'!$R$22:$R$36*IF(D104="FH",0.5,1)),
"prüfen")))</f>
        <v>0</v>
      </c>
      <c r="AX104" s="110">
        <f t="array" ref="AX104">IF(OR(D104="UU",D104="FT",D104="WE",E104="Ferien"),0,
IF(D104="NR",SUM(IF(B104&gt;=_xlfn.NUMBERVALUE('ZD Vorerfassung'!$C$22:$C$36),1,0)*IF(B104&lt;=_xlfn.NUMBERVALUE('ZD Vorerfassung'!$D$22:$D$36),1,0)*'ZD Vorerfassung'!$W$22:$W$36),
IF(OR(D104="SF",D104="FH"),SUM(IF(B104&gt;=_xlfn.NUMBERVALUE('ZD Vorerfassung'!$C$22:$C$36),1,0)*IF(B104&lt;=_xlfn.NUMBERVALUE('ZD Vorerfassung'!$D$22:$D$36),1,0)*'ZD Vorerfassung'!$X$22:$X$36*IF(D104="FH",0.5,1)),
"prüfen")))</f>
        <v>0</v>
      </c>
      <c r="AY104" s="110">
        <f t="array" ref="AY104">IF(OR(D104="UU",D104="FT",D104="WE",E104="Ferien"),0,
IF(D104="NR",SUM(IF(B104&gt;=_xlfn.NUMBERVALUE('ZD Vorerfassung'!$C$22:$C$36),1,0)*IF(B104&lt;=_xlfn.NUMBERVALUE('ZD Vorerfassung'!$D$22:$D$36),1,0)*'ZD Vorerfassung'!$U$22:$U$36),
IF(OR(D104="SF",D104="FH"),SUM(IF(B104&gt;=_xlfn.NUMBERVALUE('ZD Vorerfassung'!$C$22:$C$36),1,0)*IF(B104&lt;=_xlfn.NUMBERVALUE('ZD Vorerfassung'!$D$22:$D$36),1,0)*'ZD Vorerfassung'!$V$22:$V$36*IF(D104="FH",0.5,1)),
"prüfen")))</f>
        <v>0</v>
      </c>
      <c r="AZ104" s="110">
        <f t="array" ref="AZ104">IF(OR(D104="UU",D104="FT",D104="WE",E104="Ferien"),0,
IF(D104="NR",SUM(IF(B104&gt;=_xlfn.NUMBERVALUE('ZD Vorerfassung'!$C$22:$C$36),1,0)*IF(B104&lt;=_xlfn.NUMBERVALUE('ZD Vorerfassung'!$D$22:$D$36),1,0)*'ZD Vorerfassung'!$S$22:$S$36),
IF(OR(D104="SF",D104="FH"),SUM(IF(B104&gt;=_xlfn.NUMBERVALUE('ZD Vorerfassung'!$C$22:$C$36),1,0)*IF(B104&lt;=_xlfn.NUMBERVALUE('ZD Vorerfassung'!$D$22:$D$36),1,0)*'ZD Vorerfassung'!$T$22:$T$36*IF(D104="FH",0.5,1)),
"prüfen")))</f>
        <v>0</v>
      </c>
      <c r="BA104" s="112">
        <f t="shared" si="20"/>
        <v>11</v>
      </c>
    </row>
    <row r="105" spans="2:53" ht="19.5" thickTop="1" thickBot="1" x14ac:dyDescent="0.3">
      <c r="B105" s="99">
        <f t="shared" si="17"/>
        <v>44870</v>
      </c>
      <c r="C105" s="100">
        <f t="shared" si="21"/>
        <v>44870</v>
      </c>
      <c r="D105" s="101" t="str">
        <f t="shared" si="22"/>
        <v>NR</v>
      </c>
      <c r="E105" s="102" t="str">
        <f t="shared" si="18"/>
        <v>Unterrichtstag</v>
      </c>
      <c r="F105" s="103">
        <f t="shared" si="23"/>
        <v>0</v>
      </c>
      <c r="G105" s="104">
        <f t="shared" si="24"/>
        <v>0</v>
      </c>
      <c r="H105" s="104">
        <f>IFERROR(IF('ZD Vorerfassung'!$E$11="manuell",SUM(I105),IF(OR(E105="Feiertag",E105="Wochenende"),0,IF('ZD Vorerfassung'!$E$11="automatisch",AX105,IF(D105="UU","UU",IF(E105=Param2,AX105/24,IF(E105=Param9,AX105/48,"")))))),0)</f>
        <v>0</v>
      </c>
      <c r="I105" s="105"/>
      <c r="J105" s="106">
        <f>IF('ZD Vorerfassung'!$E$12="manuell",SUM(K105:AI105),IF(OR(E105="Feiertag",E105="Wochenende"),0,IF('ZD Vorerfassung'!$E$12="automatisch",AY105,IF(D105="UU","UU",IF(E105=Param2,AY105/24,IF(E105=Param9,AY105/48,""))))))</f>
        <v>0</v>
      </c>
      <c r="K105" s="105"/>
      <c r="L105" s="105"/>
      <c r="M105" s="105"/>
      <c r="N105" s="105"/>
      <c r="O105" s="105"/>
      <c r="P105" s="105"/>
      <c r="Q105" s="105"/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  <c r="AD105" s="105"/>
      <c r="AE105" s="105"/>
      <c r="AF105" s="105"/>
      <c r="AG105" s="105"/>
      <c r="AH105" s="105"/>
      <c r="AI105" s="105"/>
      <c r="AJ105" s="107">
        <f t="shared" si="25"/>
        <v>0</v>
      </c>
      <c r="AK105" s="105"/>
      <c r="AL105" s="105"/>
      <c r="AM105" s="105"/>
      <c r="AN105" s="105"/>
      <c r="AO105" s="105"/>
      <c r="AP105" s="105"/>
      <c r="AQ105" s="108">
        <f t="shared" si="26"/>
        <v>0</v>
      </c>
      <c r="AR105" s="108">
        <f t="shared" si="27"/>
        <v>0</v>
      </c>
      <c r="AS105" s="109">
        <f t="shared" si="28"/>
        <v>0</v>
      </c>
      <c r="AU105" s="110">
        <f t="shared" si="19"/>
        <v>0</v>
      </c>
      <c r="AV105" s="111">
        <f>IF(D105="NR",
IF('ZD Vorerfassung'!$E$22="",0,IF(AND(B105&gt;='ZD Vorerfassung'!$C$22,B105&lt;='ZD Vorerfassung'!$D$22),HLOOKUP(TEXT(C105,"ttt"),'ZD Vorerfassung'!$H$21:$L$36,2,0),0))+
IF('ZD Vorerfassung'!$E$23="",0,IF(AND(B105&gt;='ZD Vorerfassung'!$C$23,B105&lt;='ZD Vorerfassung'!$D$23),HLOOKUP(TEXT(C105,"ttt"),'ZD Vorerfassung'!$H$21:$L$36,3,0),0))+
IF('ZD Vorerfassung'!$E$24="",0,IF(AND(B105&gt;='ZD Vorerfassung'!$C$24,B105&lt;='ZD Vorerfassung'!$D$24),HLOOKUP(TEXT(C105,"ttt"),'ZD Vorerfassung'!$H$21:$L$36,4,0),0))+
IF('ZD Vorerfassung'!$E$25="",0,IF(AND(B105&gt;='ZD Vorerfassung'!$C$25,B105&lt;='ZD Vorerfassung'!$D$25),HLOOKUP(TEXT(C105,"ttt"),'ZD Vorerfassung'!$H$21:$L$36,5,0),0))+
IF('ZD Vorerfassung'!$E$26="",0,IF(AND(B105&gt;='ZD Vorerfassung'!$C$26,B105&lt;='ZD Vorerfassung'!$D$26),HLOOKUP(TEXT(C105,"ttt"),'ZD Vorerfassung'!$H$21:$L$36,6,0),0))+
IF('ZD Vorerfassung'!$E$27="",0,IF(AND(B105&gt;='ZD Vorerfassung'!$C$27,B105&lt;='ZD Vorerfassung'!$D$27),HLOOKUP(TEXT(C105,"ttt"),'ZD Vorerfassung'!$H$21:$L$36,7,0),0))+
IF('ZD Vorerfassung'!$E$28="",0,IF(AND(B105&gt;='ZD Vorerfassung'!$C$28,B105&lt;='ZD Vorerfassung'!$D$28),HLOOKUP(TEXT(C105,"ttt"),'ZD Vorerfassung'!$H$21:$L$36,8,0),0))+
IF('ZD Vorerfassung'!$E$29="",0,IF(AND(B105&gt;='ZD Vorerfassung'!$C$29,B105&lt;='ZD Vorerfassung'!$D$29),HLOOKUP(TEXT(C105,"ttt"),'ZD Vorerfassung'!$H$21:$L$36,9,0),0))+
IF('ZD Vorerfassung'!$E$30="",0,IF(AND(B105&gt;='ZD Vorerfassung'!$C$30,B105&lt;='ZD Vorerfassung'!$D$30),HLOOKUP(TEXT(C105,"ttt"),'ZD Vorerfassung'!$H$21:$L$36,10,0),0))+
IF('ZD Vorerfassung'!$E$31="",0,IF(AND(B105&gt;='ZD Vorerfassung'!$C$31,B105&lt;='ZD Vorerfassung'!$D$31),HLOOKUP(TEXT(C105,"ttt"),'ZD Vorerfassung'!$H$21:$L$36,11,0),0))+
IF('ZD Vorerfassung'!$E$32="",0,IF(AND(B105&gt;='ZD Vorerfassung'!$C$32,B105&lt;='ZD Vorerfassung'!$D$32),HLOOKUP(TEXT(C105,"ttt"),'ZD Vorerfassung'!$H$21:$L$36,12,0),0))+
IF('ZD Vorerfassung'!$E$33="",0,IF(AND(B105&gt;='ZD Vorerfassung'!$C$33,B105&lt;='ZD Vorerfassung'!$D$33),HLOOKUP(TEXT(C105,"ttt"),'ZD Vorerfassung'!$H$21:$L$36,13,0),0))+
IF('ZD Vorerfassung'!$E$34="",0,IF(AND(B105&gt;='ZD Vorerfassung'!$C$34,B105&lt;='ZD Vorerfassung'!$D$34),HLOOKUP(TEXT(C105,"ttt"),'ZD Vorerfassung'!$H$21:$L$36,14,0),0))+
IF('ZD Vorerfassung'!$E$35="",0,IF(AND(B105&gt;='ZD Vorerfassung'!$C$35,B105&lt;='ZD Vorerfassung'!$D$35),HLOOKUP(TEXT(C105,"ttt"),'ZD Vorerfassung'!$H$21:$L$36,15,0),0))+
IF('ZD Vorerfassung'!$E$36="",0,IF(AND(B105&gt;='ZD Vorerfassung'!$C$36,B105&lt;='ZD Vorerfassung'!$D$36),HLOOKUP(TEXT(C105,"ttt"),'ZD Vorerfassung'!$H$21:$L$36,16,0),0)),"")</f>
        <v>0</v>
      </c>
      <c r="AW105" s="110">
        <f t="array" ref="AW105">IF(OR(D105="UU",D105="FT",D105="WE"),0,
IF(D105="NR",SUM(IF(B105&gt;=_xlfn.NUMBERVALUE('ZD Vorerfassung'!$C$22:$C$36),1,0)*IF(B105&lt;=_xlfn.NUMBERVALUE('ZD Vorerfassung'!$D$22:$D$36),1,0)*'ZD Vorerfassung'!$Q$22:$Q$36),
IF(OR(D105="SF",D105="FH"),SUM(IF(B105&gt;=_xlfn.NUMBERVALUE('ZD Vorerfassung'!$C$22:$C$36),1,0)*IF(B105&lt;=_xlfn.NUMBERVALUE('ZD Vorerfassung'!$D$22:$D$36),1,0)*'ZD Vorerfassung'!$R$22:$R$36*IF(D105="FH",0.5,1)),
"prüfen")))</f>
        <v>0</v>
      </c>
      <c r="AX105" s="110">
        <f t="array" ref="AX105">IF(OR(D105="UU",D105="FT",D105="WE",E105="Ferien"),0,
IF(D105="NR",SUM(IF(B105&gt;=_xlfn.NUMBERVALUE('ZD Vorerfassung'!$C$22:$C$36),1,0)*IF(B105&lt;=_xlfn.NUMBERVALUE('ZD Vorerfassung'!$D$22:$D$36),1,0)*'ZD Vorerfassung'!$W$22:$W$36),
IF(OR(D105="SF",D105="FH"),SUM(IF(B105&gt;=_xlfn.NUMBERVALUE('ZD Vorerfassung'!$C$22:$C$36),1,0)*IF(B105&lt;=_xlfn.NUMBERVALUE('ZD Vorerfassung'!$D$22:$D$36),1,0)*'ZD Vorerfassung'!$X$22:$X$36*IF(D105="FH",0.5,1)),
"prüfen")))</f>
        <v>0</v>
      </c>
      <c r="AY105" s="110">
        <f t="array" ref="AY105">IF(OR(D105="UU",D105="FT",D105="WE",E105="Ferien"),0,
IF(D105="NR",SUM(IF(B105&gt;=_xlfn.NUMBERVALUE('ZD Vorerfassung'!$C$22:$C$36),1,0)*IF(B105&lt;=_xlfn.NUMBERVALUE('ZD Vorerfassung'!$D$22:$D$36),1,0)*'ZD Vorerfassung'!$U$22:$U$36),
IF(OR(D105="SF",D105="FH"),SUM(IF(B105&gt;=_xlfn.NUMBERVALUE('ZD Vorerfassung'!$C$22:$C$36),1,0)*IF(B105&lt;=_xlfn.NUMBERVALUE('ZD Vorerfassung'!$D$22:$D$36),1,0)*'ZD Vorerfassung'!$V$22:$V$36*IF(D105="FH",0.5,1)),
"prüfen")))</f>
        <v>0</v>
      </c>
      <c r="AZ105" s="110">
        <f t="array" ref="AZ105">IF(OR(D105="UU",D105="FT",D105="WE",E105="Ferien"),0,
IF(D105="NR",SUM(IF(B105&gt;=_xlfn.NUMBERVALUE('ZD Vorerfassung'!$C$22:$C$36),1,0)*IF(B105&lt;=_xlfn.NUMBERVALUE('ZD Vorerfassung'!$D$22:$D$36),1,0)*'ZD Vorerfassung'!$S$22:$S$36),
IF(OR(D105="SF",D105="FH"),SUM(IF(B105&gt;=_xlfn.NUMBERVALUE('ZD Vorerfassung'!$C$22:$C$36),1,0)*IF(B105&lt;=_xlfn.NUMBERVALUE('ZD Vorerfassung'!$D$22:$D$36),1,0)*'ZD Vorerfassung'!$T$22:$T$36*IF(D105="FH",0.5,1)),
"prüfen")))</f>
        <v>0</v>
      </c>
      <c r="BA105" s="112">
        <f t="shared" si="20"/>
        <v>11</v>
      </c>
    </row>
    <row r="106" spans="2:53" ht="19.5" thickTop="1" thickBot="1" x14ac:dyDescent="0.3">
      <c r="B106" s="99">
        <f t="shared" si="17"/>
        <v>44871</v>
      </c>
      <c r="C106" s="100">
        <f t="shared" si="21"/>
        <v>44871</v>
      </c>
      <c r="D106" s="101" t="str">
        <f t="shared" si="22"/>
        <v>WE</v>
      </c>
      <c r="E106" s="102" t="str">
        <f t="shared" si="18"/>
        <v>Wochenende</v>
      </c>
      <c r="F106" s="103" t="str">
        <f t="shared" si="23"/>
        <v/>
      </c>
      <c r="G106" s="104" t="str">
        <f t="shared" si="24"/>
        <v/>
      </c>
      <c r="H106" s="104">
        <f>IFERROR(IF('ZD Vorerfassung'!$E$11="manuell",SUM(I106),IF(OR(E106="Feiertag",E106="Wochenende"),0,IF('ZD Vorerfassung'!$E$11="automatisch",AX106,IF(D106="UU","UU",IF(E106=Param2,AX106/24,IF(E106=Param9,AX106/48,"")))))),0)</f>
        <v>0</v>
      </c>
      <c r="I106" s="105"/>
      <c r="J106" s="106">
        <f>IF('ZD Vorerfassung'!$E$12="manuell",SUM(K106:AI106),IF(OR(E106="Feiertag",E106="Wochenende"),0,IF('ZD Vorerfassung'!$E$12="automatisch",AY106,IF(D106="UU","UU",IF(E106=Param2,AY106/24,IF(E106=Param9,AY106/48,""))))))</f>
        <v>0</v>
      </c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5"/>
      <c r="AI106" s="105"/>
      <c r="AJ106" s="107">
        <f t="shared" si="25"/>
        <v>0</v>
      </c>
      <c r="AK106" s="105"/>
      <c r="AL106" s="105"/>
      <c r="AM106" s="105"/>
      <c r="AN106" s="105"/>
      <c r="AO106" s="105"/>
      <c r="AP106" s="105"/>
      <c r="AQ106" s="108">
        <f t="shared" si="26"/>
        <v>0</v>
      </c>
      <c r="AR106" s="108">
        <f t="shared" si="27"/>
        <v>0</v>
      </c>
      <c r="AS106" s="109">
        <f t="shared" si="28"/>
        <v>0</v>
      </c>
      <c r="AU106" s="110">
        <f t="shared" si="19"/>
        <v>0</v>
      </c>
      <c r="AV106" s="111" t="str">
        <f>IF(D106="NR",
IF('ZD Vorerfassung'!$E$22="",0,IF(AND(B106&gt;='ZD Vorerfassung'!$C$22,B106&lt;='ZD Vorerfassung'!$D$22),HLOOKUP(TEXT(C106,"ttt"),'ZD Vorerfassung'!$H$21:$L$36,2,0),0))+
IF('ZD Vorerfassung'!$E$23="",0,IF(AND(B106&gt;='ZD Vorerfassung'!$C$23,B106&lt;='ZD Vorerfassung'!$D$23),HLOOKUP(TEXT(C106,"ttt"),'ZD Vorerfassung'!$H$21:$L$36,3,0),0))+
IF('ZD Vorerfassung'!$E$24="",0,IF(AND(B106&gt;='ZD Vorerfassung'!$C$24,B106&lt;='ZD Vorerfassung'!$D$24),HLOOKUP(TEXT(C106,"ttt"),'ZD Vorerfassung'!$H$21:$L$36,4,0),0))+
IF('ZD Vorerfassung'!$E$25="",0,IF(AND(B106&gt;='ZD Vorerfassung'!$C$25,B106&lt;='ZD Vorerfassung'!$D$25),HLOOKUP(TEXT(C106,"ttt"),'ZD Vorerfassung'!$H$21:$L$36,5,0),0))+
IF('ZD Vorerfassung'!$E$26="",0,IF(AND(B106&gt;='ZD Vorerfassung'!$C$26,B106&lt;='ZD Vorerfassung'!$D$26),HLOOKUP(TEXT(C106,"ttt"),'ZD Vorerfassung'!$H$21:$L$36,6,0),0))+
IF('ZD Vorerfassung'!$E$27="",0,IF(AND(B106&gt;='ZD Vorerfassung'!$C$27,B106&lt;='ZD Vorerfassung'!$D$27),HLOOKUP(TEXT(C106,"ttt"),'ZD Vorerfassung'!$H$21:$L$36,7,0),0))+
IF('ZD Vorerfassung'!$E$28="",0,IF(AND(B106&gt;='ZD Vorerfassung'!$C$28,B106&lt;='ZD Vorerfassung'!$D$28),HLOOKUP(TEXT(C106,"ttt"),'ZD Vorerfassung'!$H$21:$L$36,8,0),0))+
IF('ZD Vorerfassung'!$E$29="",0,IF(AND(B106&gt;='ZD Vorerfassung'!$C$29,B106&lt;='ZD Vorerfassung'!$D$29),HLOOKUP(TEXT(C106,"ttt"),'ZD Vorerfassung'!$H$21:$L$36,9,0),0))+
IF('ZD Vorerfassung'!$E$30="",0,IF(AND(B106&gt;='ZD Vorerfassung'!$C$30,B106&lt;='ZD Vorerfassung'!$D$30),HLOOKUP(TEXT(C106,"ttt"),'ZD Vorerfassung'!$H$21:$L$36,10,0),0))+
IF('ZD Vorerfassung'!$E$31="",0,IF(AND(B106&gt;='ZD Vorerfassung'!$C$31,B106&lt;='ZD Vorerfassung'!$D$31),HLOOKUP(TEXT(C106,"ttt"),'ZD Vorerfassung'!$H$21:$L$36,11,0),0))+
IF('ZD Vorerfassung'!$E$32="",0,IF(AND(B106&gt;='ZD Vorerfassung'!$C$32,B106&lt;='ZD Vorerfassung'!$D$32),HLOOKUP(TEXT(C106,"ttt"),'ZD Vorerfassung'!$H$21:$L$36,12,0),0))+
IF('ZD Vorerfassung'!$E$33="",0,IF(AND(B106&gt;='ZD Vorerfassung'!$C$33,B106&lt;='ZD Vorerfassung'!$D$33),HLOOKUP(TEXT(C106,"ttt"),'ZD Vorerfassung'!$H$21:$L$36,13,0),0))+
IF('ZD Vorerfassung'!$E$34="",0,IF(AND(B106&gt;='ZD Vorerfassung'!$C$34,B106&lt;='ZD Vorerfassung'!$D$34),HLOOKUP(TEXT(C106,"ttt"),'ZD Vorerfassung'!$H$21:$L$36,14,0),0))+
IF('ZD Vorerfassung'!$E$35="",0,IF(AND(B106&gt;='ZD Vorerfassung'!$C$35,B106&lt;='ZD Vorerfassung'!$D$35),HLOOKUP(TEXT(C106,"ttt"),'ZD Vorerfassung'!$H$21:$L$36,15,0),0))+
IF('ZD Vorerfassung'!$E$36="",0,IF(AND(B106&gt;='ZD Vorerfassung'!$C$36,B106&lt;='ZD Vorerfassung'!$D$36),HLOOKUP(TEXT(C106,"ttt"),'ZD Vorerfassung'!$H$21:$L$36,16,0),0)),"")</f>
        <v/>
      </c>
      <c r="AW106" s="110">
        <f t="array" ref="AW106">IF(OR(D106="UU",D106="FT",D106="WE"),0,
IF(D106="NR",SUM(IF(B106&gt;=_xlfn.NUMBERVALUE('ZD Vorerfassung'!$C$22:$C$36),1,0)*IF(B106&lt;=_xlfn.NUMBERVALUE('ZD Vorerfassung'!$D$22:$D$36),1,0)*'ZD Vorerfassung'!$Q$22:$Q$36),
IF(OR(D106="SF",D106="FH"),SUM(IF(B106&gt;=_xlfn.NUMBERVALUE('ZD Vorerfassung'!$C$22:$C$36),1,0)*IF(B106&lt;=_xlfn.NUMBERVALUE('ZD Vorerfassung'!$D$22:$D$36),1,0)*'ZD Vorerfassung'!$R$22:$R$36*IF(D106="FH",0.5,1)),
"prüfen")))</f>
        <v>0</v>
      </c>
      <c r="AX106" s="110">
        <f t="array" ref="AX106">IF(OR(D106="UU",D106="FT",D106="WE",E106="Ferien"),0,
IF(D106="NR",SUM(IF(B106&gt;=_xlfn.NUMBERVALUE('ZD Vorerfassung'!$C$22:$C$36),1,0)*IF(B106&lt;=_xlfn.NUMBERVALUE('ZD Vorerfassung'!$D$22:$D$36),1,0)*'ZD Vorerfassung'!$W$22:$W$36),
IF(OR(D106="SF",D106="FH"),SUM(IF(B106&gt;=_xlfn.NUMBERVALUE('ZD Vorerfassung'!$C$22:$C$36),1,0)*IF(B106&lt;=_xlfn.NUMBERVALUE('ZD Vorerfassung'!$D$22:$D$36),1,0)*'ZD Vorerfassung'!$X$22:$X$36*IF(D106="FH",0.5,1)),
"prüfen")))</f>
        <v>0</v>
      </c>
      <c r="AY106" s="110">
        <f t="array" ref="AY106">IF(OR(D106="UU",D106="FT",D106="WE",E106="Ferien"),0,
IF(D106="NR",SUM(IF(B106&gt;=_xlfn.NUMBERVALUE('ZD Vorerfassung'!$C$22:$C$36),1,0)*IF(B106&lt;=_xlfn.NUMBERVALUE('ZD Vorerfassung'!$D$22:$D$36),1,0)*'ZD Vorerfassung'!$U$22:$U$36),
IF(OR(D106="SF",D106="FH"),SUM(IF(B106&gt;=_xlfn.NUMBERVALUE('ZD Vorerfassung'!$C$22:$C$36),1,0)*IF(B106&lt;=_xlfn.NUMBERVALUE('ZD Vorerfassung'!$D$22:$D$36),1,0)*'ZD Vorerfassung'!$V$22:$V$36*IF(D106="FH",0.5,1)),
"prüfen")))</f>
        <v>0</v>
      </c>
      <c r="AZ106" s="110">
        <f t="array" ref="AZ106">IF(OR(D106="UU",D106="FT",D106="WE",E106="Ferien"),0,
IF(D106="NR",SUM(IF(B106&gt;=_xlfn.NUMBERVALUE('ZD Vorerfassung'!$C$22:$C$36),1,0)*IF(B106&lt;=_xlfn.NUMBERVALUE('ZD Vorerfassung'!$D$22:$D$36),1,0)*'ZD Vorerfassung'!$S$22:$S$36),
IF(OR(D106="SF",D106="FH"),SUM(IF(B106&gt;=_xlfn.NUMBERVALUE('ZD Vorerfassung'!$C$22:$C$36),1,0)*IF(B106&lt;=_xlfn.NUMBERVALUE('ZD Vorerfassung'!$D$22:$D$36),1,0)*'ZD Vorerfassung'!$T$22:$T$36*IF(D106="FH",0.5,1)),
"prüfen")))</f>
        <v>0</v>
      </c>
      <c r="BA106" s="112">
        <f t="shared" si="20"/>
        <v>11</v>
      </c>
    </row>
    <row r="107" spans="2:53" ht="19.5" thickTop="1" thickBot="1" x14ac:dyDescent="0.3">
      <c r="B107" s="99">
        <f t="shared" si="17"/>
        <v>44872</v>
      </c>
      <c r="C107" s="100">
        <f t="shared" si="21"/>
        <v>44872</v>
      </c>
      <c r="D107" s="101" t="str">
        <f t="shared" si="22"/>
        <v>WE</v>
      </c>
      <c r="E107" s="102" t="str">
        <f t="shared" si="18"/>
        <v>Wochenende</v>
      </c>
      <c r="F107" s="103" t="str">
        <f t="shared" si="23"/>
        <v/>
      </c>
      <c r="G107" s="104" t="str">
        <f t="shared" si="24"/>
        <v/>
      </c>
      <c r="H107" s="104">
        <f>IFERROR(IF('ZD Vorerfassung'!$E$11="manuell",SUM(I107),IF(OR(E107="Feiertag",E107="Wochenende"),0,IF('ZD Vorerfassung'!$E$11="automatisch",AX107,IF(D107="UU","UU",IF(E107=Param2,AX107/24,IF(E107=Param9,AX107/48,"")))))),0)</f>
        <v>0</v>
      </c>
      <c r="I107" s="105"/>
      <c r="J107" s="106">
        <f>IF('ZD Vorerfassung'!$E$12="manuell",SUM(K107:AI107),IF(OR(E107="Feiertag",E107="Wochenende"),0,IF('ZD Vorerfassung'!$E$12="automatisch",AY107,IF(D107="UU","UU",IF(E107=Param2,AY107/24,IF(E107=Param9,AY107/48,""))))))</f>
        <v>0</v>
      </c>
      <c r="K107" s="105"/>
      <c r="L107" s="105"/>
      <c r="M107" s="105"/>
      <c r="N107" s="105"/>
      <c r="O107" s="105"/>
      <c r="P107" s="105"/>
      <c r="Q107" s="105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  <c r="AE107" s="105"/>
      <c r="AF107" s="105"/>
      <c r="AG107" s="105"/>
      <c r="AH107" s="105"/>
      <c r="AI107" s="105"/>
      <c r="AJ107" s="107">
        <f t="shared" si="25"/>
        <v>0</v>
      </c>
      <c r="AK107" s="105"/>
      <c r="AL107" s="105"/>
      <c r="AM107" s="105"/>
      <c r="AN107" s="105"/>
      <c r="AO107" s="105"/>
      <c r="AP107" s="105"/>
      <c r="AQ107" s="108">
        <f t="shared" si="26"/>
        <v>0</v>
      </c>
      <c r="AR107" s="108">
        <f t="shared" si="27"/>
        <v>0</v>
      </c>
      <c r="AS107" s="109">
        <f t="shared" si="28"/>
        <v>0</v>
      </c>
      <c r="AU107" s="110">
        <f t="shared" si="19"/>
        <v>0</v>
      </c>
      <c r="AV107" s="111" t="str">
        <f>IF(D107="NR",
IF('ZD Vorerfassung'!$E$22="",0,IF(AND(B107&gt;='ZD Vorerfassung'!$C$22,B107&lt;='ZD Vorerfassung'!$D$22),HLOOKUP(TEXT(C107,"ttt"),'ZD Vorerfassung'!$H$21:$L$36,2,0),0))+
IF('ZD Vorerfassung'!$E$23="",0,IF(AND(B107&gt;='ZD Vorerfassung'!$C$23,B107&lt;='ZD Vorerfassung'!$D$23),HLOOKUP(TEXT(C107,"ttt"),'ZD Vorerfassung'!$H$21:$L$36,3,0),0))+
IF('ZD Vorerfassung'!$E$24="",0,IF(AND(B107&gt;='ZD Vorerfassung'!$C$24,B107&lt;='ZD Vorerfassung'!$D$24),HLOOKUP(TEXT(C107,"ttt"),'ZD Vorerfassung'!$H$21:$L$36,4,0),0))+
IF('ZD Vorerfassung'!$E$25="",0,IF(AND(B107&gt;='ZD Vorerfassung'!$C$25,B107&lt;='ZD Vorerfassung'!$D$25),HLOOKUP(TEXT(C107,"ttt"),'ZD Vorerfassung'!$H$21:$L$36,5,0),0))+
IF('ZD Vorerfassung'!$E$26="",0,IF(AND(B107&gt;='ZD Vorerfassung'!$C$26,B107&lt;='ZD Vorerfassung'!$D$26),HLOOKUP(TEXT(C107,"ttt"),'ZD Vorerfassung'!$H$21:$L$36,6,0),0))+
IF('ZD Vorerfassung'!$E$27="",0,IF(AND(B107&gt;='ZD Vorerfassung'!$C$27,B107&lt;='ZD Vorerfassung'!$D$27),HLOOKUP(TEXT(C107,"ttt"),'ZD Vorerfassung'!$H$21:$L$36,7,0),0))+
IF('ZD Vorerfassung'!$E$28="",0,IF(AND(B107&gt;='ZD Vorerfassung'!$C$28,B107&lt;='ZD Vorerfassung'!$D$28),HLOOKUP(TEXT(C107,"ttt"),'ZD Vorerfassung'!$H$21:$L$36,8,0),0))+
IF('ZD Vorerfassung'!$E$29="",0,IF(AND(B107&gt;='ZD Vorerfassung'!$C$29,B107&lt;='ZD Vorerfassung'!$D$29),HLOOKUP(TEXT(C107,"ttt"),'ZD Vorerfassung'!$H$21:$L$36,9,0),0))+
IF('ZD Vorerfassung'!$E$30="",0,IF(AND(B107&gt;='ZD Vorerfassung'!$C$30,B107&lt;='ZD Vorerfassung'!$D$30),HLOOKUP(TEXT(C107,"ttt"),'ZD Vorerfassung'!$H$21:$L$36,10,0),0))+
IF('ZD Vorerfassung'!$E$31="",0,IF(AND(B107&gt;='ZD Vorerfassung'!$C$31,B107&lt;='ZD Vorerfassung'!$D$31),HLOOKUP(TEXT(C107,"ttt"),'ZD Vorerfassung'!$H$21:$L$36,11,0),0))+
IF('ZD Vorerfassung'!$E$32="",0,IF(AND(B107&gt;='ZD Vorerfassung'!$C$32,B107&lt;='ZD Vorerfassung'!$D$32),HLOOKUP(TEXT(C107,"ttt"),'ZD Vorerfassung'!$H$21:$L$36,12,0),0))+
IF('ZD Vorerfassung'!$E$33="",0,IF(AND(B107&gt;='ZD Vorerfassung'!$C$33,B107&lt;='ZD Vorerfassung'!$D$33),HLOOKUP(TEXT(C107,"ttt"),'ZD Vorerfassung'!$H$21:$L$36,13,0),0))+
IF('ZD Vorerfassung'!$E$34="",0,IF(AND(B107&gt;='ZD Vorerfassung'!$C$34,B107&lt;='ZD Vorerfassung'!$D$34),HLOOKUP(TEXT(C107,"ttt"),'ZD Vorerfassung'!$H$21:$L$36,14,0),0))+
IF('ZD Vorerfassung'!$E$35="",0,IF(AND(B107&gt;='ZD Vorerfassung'!$C$35,B107&lt;='ZD Vorerfassung'!$D$35),HLOOKUP(TEXT(C107,"ttt"),'ZD Vorerfassung'!$H$21:$L$36,15,0),0))+
IF('ZD Vorerfassung'!$E$36="",0,IF(AND(B107&gt;='ZD Vorerfassung'!$C$36,B107&lt;='ZD Vorerfassung'!$D$36),HLOOKUP(TEXT(C107,"ttt"),'ZD Vorerfassung'!$H$21:$L$36,16,0),0)),"")</f>
        <v/>
      </c>
      <c r="AW107" s="110">
        <f t="array" ref="AW107">IF(OR(D107="UU",D107="FT",D107="WE"),0,
IF(D107="NR",SUM(IF(B107&gt;=_xlfn.NUMBERVALUE('ZD Vorerfassung'!$C$22:$C$36),1,0)*IF(B107&lt;=_xlfn.NUMBERVALUE('ZD Vorerfassung'!$D$22:$D$36),1,0)*'ZD Vorerfassung'!$Q$22:$Q$36),
IF(OR(D107="SF",D107="FH"),SUM(IF(B107&gt;=_xlfn.NUMBERVALUE('ZD Vorerfassung'!$C$22:$C$36),1,0)*IF(B107&lt;=_xlfn.NUMBERVALUE('ZD Vorerfassung'!$D$22:$D$36),1,0)*'ZD Vorerfassung'!$R$22:$R$36*IF(D107="FH",0.5,1)),
"prüfen")))</f>
        <v>0</v>
      </c>
      <c r="AX107" s="110">
        <f t="array" ref="AX107">IF(OR(D107="UU",D107="FT",D107="WE",E107="Ferien"),0,
IF(D107="NR",SUM(IF(B107&gt;=_xlfn.NUMBERVALUE('ZD Vorerfassung'!$C$22:$C$36),1,0)*IF(B107&lt;=_xlfn.NUMBERVALUE('ZD Vorerfassung'!$D$22:$D$36),1,0)*'ZD Vorerfassung'!$W$22:$W$36),
IF(OR(D107="SF",D107="FH"),SUM(IF(B107&gt;=_xlfn.NUMBERVALUE('ZD Vorerfassung'!$C$22:$C$36),1,0)*IF(B107&lt;=_xlfn.NUMBERVALUE('ZD Vorerfassung'!$D$22:$D$36),1,0)*'ZD Vorerfassung'!$X$22:$X$36*IF(D107="FH",0.5,1)),
"prüfen")))</f>
        <v>0</v>
      </c>
      <c r="AY107" s="110">
        <f t="array" ref="AY107">IF(OR(D107="UU",D107="FT",D107="WE",E107="Ferien"),0,
IF(D107="NR",SUM(IF(B107&gt;=_xlfn.NUMBERVALUE('ZD Vorerfassung'!$C$22:$C$36),1,0)*IF(B107&lt;=_xlfn.NUMBERVALUE('ZD Vorerfassung'!$D$22:$D$36),1,0)*'ZD Vorerfassung'!$U$22:$U$36),
IF(OR(D107="SF",D107="FH"),SUM(IF(B107&gt;=_xlfn.NUMBERVALUE('ZD Vorerfassung'!$C$22:$C$36),1,0)*IF(B107&lt;=_xlfn.NUMBERVALUE('ZD Vorerfassung'!$D$22:$D$36),1,0)*'ZD Vorerfassung'!$V$22:$V$36*IF(D107="FH",0.5,1)),
"prüfen")))</f>
        <v>0</v>
      </c>
      <c r="AZ107" s="110">
        <f t="array" ref="AZ107">IF(OR(D107="UU",D107="FT",D107="WE",E107="Ferien"),0,
IF(D107="NR",SUM(IF(B107&gt;=_xlfn.NUMBERVALUE('ZD Vorerfassung'!$C$22:$C$36),1,0)*IF(B107&lt;=_xlfn.NUMBERVALUE('ZD Vorerfassung'!$D$22:$D$36),1,0)*'ZD Vorerfassung'!$S$22:$S$36),
IF(OR(D107="SF",D107="FH"),SUM(IF(B107&gt;=_xlfn.NUMBERVALUE('ZD Vorerfassung'!$C$22:$C$36),1,0)*IF(B107&lt;=_xlfn.NUMBERVALUE('ZD Vorerfassung'!$D$22:$D$36),1,0)*'ZD Vorerfassung'!$T$22:$T$36*IF(D107="FH",0.5,1)),
"prüfen")))</f>
        <v>0</v>
      </c>
      <c r="BA107" s="112">
        <f t="shared" si="20"/>
        <v>11</v>
      </c>
    </row>
    <row r="108" spans="2:53" ht="19.5" thickTop="1" thickBot="1" x14ac:dyDescent="0.3">
      <c r="B108" s="99">
        <f t="shared" si="17"/>
        <v>44873</v>
      </c>
      <c r="C108" s="100">
        <f t="shared" si="21"/>
        <v>44873</v>
      </c>
      <c r="D108" s="101" t="str">
        <f t="shared" si="22"/>
        <v>NR</v>
      </c>
      <c r="E108" s="102" t="str">
        <f t="shared" si="18"/>
        <v>Unterrichtstag</v>
      </c>
      <c r="F108" s="103">
        <f t="shared" si="23"/>
        <v>0</v>
      </c>
      <c r="G108" s="104">
        <f t="shared" si="24"/>
        <v>0</v>
      </c>
      <c r="H108" s="104">
        <f>IFERROR(IF('ZD Vorerfassung'!$E$11="manuell",SUM(I108),IF(OR(E108="Feiertag",E108="Wochenende"),0,IF('ZD Vorerfassung'!$E$11="automatisch",AX108,IF(D108="UU","UU",IF(E108=Param2,AX108/24,IF(E108=Param9,AX108/48,"")))))),0)</f>
        <v>0</v>
      </c>
      <c r="I108" s="105"/>
      <c r="J108" s="106">
        <f>IF('ZD Vorerfassung'!$E$12="manuell",SUM(K108:AI108),IF(OR(E108="Feiertag",E108="Wochenende"),0,IF('ZD Vorerfassung'!$E$12="automatisch",AY108,IF(D108="UU","UU",IF(E108=Param2,AY108/24,IF(E108=Param9,AY108/48,""))))))</f>
        <v>0</v>
      </c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/>
      <c r="AH108" s="105"/>
      <c r="AI108" s="105"/>
      <c r="AJ108" s="107">
        <f t="shared" si="25"/>
        <v>0</v>
      </c>
      <c r="AK108" s="105"/>
      <c r="AL108" s="105"/>
      <c r="AM108" s="105"/>
      <c r="AN108" s="105"/>
      <c r="AO108" s="105"/>
      <c r="AP108" s="105"/>
      <c r="AQ108" s="108">
        <f t="shared" si="26"/>
        <v>0</v>
      </c>
      <c r="AR108" s="108">
        <f t="shared" si="27"/>
        <v>0</v>
      </c>
      <c r="AS108" s="109">
        <f t="shared" si="28"/>
        <v>0</v>
      </c>
      <c r="AU108" s="110">
        <f t="shared" si="19"/>
        <v>0</v>
      </c>
      <c r="AV108" s="111">
        <f>IF(D108="NR",
IF('ZD Vorerfassung'!$E$22="",0,IF(AND(B108&gt;='ZD Vorerfassung'!$C$22,B108&lt;='ZD Vorerfassung'!$D$22),HLOOKUP(TEXT(C108,"ttt"),'ZD Vorerfassung'!$H$21:$L$36,2,0),0))+
IF('ZD Vorerfassung'!$E$23="",0,IF(AND(B108&gt;='ZD Vorerfassung'!$C$23,B108&lt;='ZD Vorerfassung'!$D$23),HLOOKUP(TEXT(C108,"ttt"),'ZD Vorerfassung'!$H$21:$L$36,3,0),0))+
IF('ZD Vorerfassung'!$E$24="",0,IF(AND(B108&gt;='ZD Vorerfassung'!$C$24,B108&lt;='ZD Vorerfassung'!$D$24),HLOOKUP(TEXT(C108,"ttt"),'ZD Vorerfassung'!$H$21:$L$36,4,0),0))+
IF('ZD Vorerfassung'!$E$25="",0,IF(AND(B108&gt;='ZD Vorerfassung'!$C$25,B108&lt;='ZD Vorerfassung'!$D$25),HLOOKUP(TEXT(C108,"ttt"),'ZD Vorerfassung'!$H$21:$L$36,5,0),0))+
IF('ZD Vorerfassung'!$E$26="",0,IF(AND(B108&gt;='ZD Vorerfassung'!$C$26,B108&lt;='ZD Vorerfassung'!$D$26),HLOOKUP(TEXT(C108,"ttt"),'ZD Vorerfassung'!$H$21:$L$36,6,0),0))+
IF('ZD Vorerfassung'!$E$27="",0,IF(AND(B108&gt;='ZD Vorerfassung'!$C$27,B108&lt;='ZD Vorerfassung'!$D$27),HLOOKUP(TEXT(C108,"ttt"),'ZD Vorerfassung'!$H$21:$L$36,7,0),0))+
IF('ZD Vorerfassung'!$E$28="",0,IF(AND(B108&gt;='ZD Vorerfassung'!$C$28,B108&lt;='ZD Vorerfassung'!$D$28),HLOOKUP(TEXT(C108,"ttt"),'ZD Vorerfassung'!$H$21:$L$36,8,0),0))+
IF('ZD Vorerfassung'!$E$29="",0,IF(AND(B108&gt;='ZD Vorerfassung'!$C$29,B108&lt;='ZD Vorerfassung'!$D$29),HLOOKUP(TEXT(C108,"ttt"),'ZD Vorerfassung'!$H$21:$L$36,9,0),0))+
IF('ZD Vorerfassung'!$E$30="",0,IF(AND(B108&gt;='ZD Vorerfassung'!$C$30,B108&lt;='ZD Vorerfassung'!$D$30),HLOOKUP(TEXT(C108,"ttt"),'ZD Vorerfassung'!$H$21:$L$36,10,0),0))+
IF('ZD Vorerfassung'!$E$31="",0,IF(AND(B108&gt;='ZD Vorerfassung'!$C$31,B108&lt;='ZD Vorerfassung'!$D$31),HLOOKUP(TEXT(C108,"ttt"),'ZD Vorerfassung'!$H$21:$L$36,11,0),0))+
IF('ZD Vorerfassung'!$E$32="",0,IF(AND(B108&gt;='ZD Vorerfassung'!$C$32,B108&lt;='ZD Vorerfassung'!$D$32),HLOOKUP(TEXT(C108,"ttt"),'ZD Vorerfassung'!$H$21:$L$36,12,0),0))+
IF('ZD Vorerfassung'!$E$33="",0,IF(AND(B108&gt;='ZD Vorerfassung'!$C$33,B108&lt;='ZD Vorerfassung'!$D$33),HLOOKUP(TEXT(C108,"ttt"),'ZD Vorerfassung'!$H$21:$L$36,13,0),0))+
IF('ZD Vorerfassung'!$E$34="",0,IF(AND(B108&gt;='ZD Vorerfassung'!$C$34,B108&lt;='ZD Vorerfassung'!$D$34),HLOOKUP(TEXT(C108,"ttt"),'ZD Vorerfassung'!$H$21:$L$36,14,0),0))+
IF('ZD Vorerfassung'!$E$35="",0,IF(AND(B108&gt;='ZD Vorerfassung'!$C$35,B108&lt;='ZD Vorerfassung'!$D$35),HLOOKUP(TEXT(C108,"ttt"),'ZD Vorerfassung'!$H$21:$L$36,15,0),0))+
IF('ZD Vorerfassung'!$E$36="",0,IF(AND(B108&gt;='ZD Vorerfassung'!$C$36,B108&lt;='ZD Vorerfassung'!$D$36),HLOOKUP(TEXT(C108,"ttt"),'ZD Vorerfassung'!$H$21:$L$36,16,0),0)),"")</f>
        <v>0</v>
      </c>
      <c r="AW108" s="110">
        <f t="array" ref="AW108">IF(OR(D108="UU",D108="FT",D108="WE"),0,
IF(D108="NR",SUM(IF(B108&gt;=_xlfn.NUMBERVALUE('ZD Vorerfassung'!$C$22:$C$36),1,0)*IF(B108&lt;=_xlfn.NUMBERVALUE('ZD Vorerfassung'!$D$22:$D$36),1,0)*'ZD Vorerfassung'!$Q$22:$Q$36),
IF(OR(D108="SF",D108="FH"),SUM(IF(B108&gt;=_xlfn.NUMBERVALUE('ZD Vorerfassung'!$C$22:$C$36),1,0)*IF(B108&lt;=_xlfn.NUMBERVALUE('ZD Vorerfassung'!$D$22:$D$36),1,0)*'ZD Vorerfassung'!$R$22:$R$36*IF(D108="FH",0.5,1)),
"prüfen")))</f>
        <v>0</v>
      </c>
      <c r="AX108" s="110">
        <f t="array" ref="AX108">IF(OR(D108="UU",D108="FT",D108="WE",E108="Ferien"),0,
IF(D108="NR",SUM(IF(B108&gt;=_xlfn.NUMBERVALUE('ZD Vorerfassung'!$C$22:$C$36),1,0)*IF(B108&lt;=_xlfn.NUMBERVALUE('ZD Vorerfassung'!$D$22:$D$36),1,0)*'ZD Vorerfassung'!$W$22:$W$36),
IF(OR(D108="SF",D108="FH"),SUM(IF(B108&gt;=_xlfn.NUMBERVALUE('ZD Vorerfassung'!$C$22:$C$36),1,0)*IF(B108&lt;=_xlfn.NUMBERVALUE('ZD Vorerfassung'!$D$22:$D$36),1,0)*'ZD Vorerfassung'!$X$22:$X$36*IF(D108="FH",0.5,1)),
"prüfen")))</f>
        <v>0</v>
      </c>
      <c r="AY108" s="110">
        <f t="array" ref="AY108">IF(OR(D108="UU",D108="FT",D108="WE",E108="Ferien"),0,
IF(D108="NR",SUM(IF(B108&gt;=_xlfn.NUMBERVALUE('ZD Vorerfassung'!$C$22:$C$36),1,0)*IF(B108&lt;=_xlfn.NUMBERVALUE('ZD Vorerfassung'!$D$22:$D$36),1,0)*'ZD Vorerfassung'!$U$22:$U$36),
IF(OR(D108="SF",D108="FH"),SUM(IF(B108&gt;=_xlfn.NUMBERVALUE('ZD Vorerfassung'!$C$22:$C$36),1,0)*IF(B108&lt;=_xlfn.NUMBERVALUE('ZD Vorerfassung'!$D$22:$D$36),1,0)*'ZD Vorerfassung'!$V$22:$V$36*IF(D108="FH",0.5,1)),
"prüfen")))</f>
        <v>0</v>
      </c>
      <c r="AZ108" s="110">
        <f t="array" ref="AZ108">IF(OR(D108="UU",D108="FT",D108="WE",E108="Ferien"),0,
IF(D108="NR",SUM(IF(B108&gt;=_xlfn.NUMBERVALUE('ZD Vorerfassung'!$C$22:$C$36),1,0)*IF(B108&lt;=_xlfn.NUMBERVALUE('ZD Vorerfassung'!$D$22:$D$36),1,0)*'ZD Vorerfassung'!$S$22:$S$36),
IF(OR(D108="SF",D108="FH"),SUM(IF(B108&gt;=_xlfn.NUMBERVALUE('ZD Vorerfassung'!$C$22:$C$36),1,0)*IF(B108&lt;=_xlfn.NUMBERVALUE('ZD Vorerfassung'!$D$22:$D$36),1,0)*'ZD Vorerfassung'!$T$22:$T$36*IF(D108="FH",0.5,1)),
"prüfen")))</f>
        <v>0</v>
      </c>
      <c r="BA108" s="112">
        <f t="shared" si="20"/>
        <v>11</v>
      </c>
    </row>
    <row r="109" spans="2:53" ht="19.5" thickTop="1" thickBot="1" x14ac:dyDescent="0.3">
      <c r="B109" s="99">
        <f t="shared" si="17"/>
        <v>44874</v>
      </c>
      <c r="C109" s="100">
        <f t="shared" si="21"/>
        <v>44874</v>
      </c>
      <c r="D109" s="101" t="str">
        <f t="shared" si="22"/>
        <v>NR</v>
      </c>
      <c r="E109" s="102" t="str">
        <f t="shared" si="18"/>
        <v>Unterrichtstag</v>
      </c>
      <c r="F109" s="103">
        <f t="shared" si="23"/>
        <v>0</v>
      </c>
      <c r="G109" s="104">
        <f t="shared" si="24"/>
        <v>0</v>
      </c>
      <c r="H109" s="104">
        <f>IFERROR(IF('ZD Vorerfassung'!$E$11="manuell",SUM(I109),IF(OR(E109="Feiertag",E109="Wochenende"),0,IF('ZD Vorerfassung'!$E$11="automatisch",AX109,IF(D109="UU","UU",IF(E109=Param2,AX109/24,IF(E109=Param9,AX109/48,"")))))),0)</f>
        <v>0</v>
      </c>
      <c r="I109" s="105"/>
      <c r="J109" s="106">
        <f>IF('ZD Vorerfassung'!$E$12="manuell",SUM(K109:AI109),IF(OR(E109="Feiertag",E109="Wochenende"),0,IF('ZD Vorerfassung'!$E$12="automatisch",AY109,IF(D109="UU","UU",IF(E109=Param2,AY109/24,IF(E109=Param9,AY109/48,""))))))</f>
        <v>0</v>
      </c>
      <c r="K109" s="105"/>
      <c r="L109" s="105"/>
      <c r="M109" s="105"/>
      <c r="N109" s="105"/>
      <c r="O109" s="105"/>
      <c r="P109" s="105"/>
      <c r="Q109" s="105"/>
      <c r="R109" s="105"/>
      <c r="S109" s="105"/>
      <c r="T109" s="105"/>
      <c r="U109" s="105"/>
      <c r="V109" s="105"/>
      <c r="W109" s="105"/>
      <c r="X109" s="105"/>
      <c r="Y109" s="105"/>
      <c r="Z109" s="105"/>
      <c r="AA109" s="105"/>
      <c r="AB109" s="105"/>
      <c r="AC109" s="105"/>
      <c r="AD109" s="105"/>
      <c r="AE109" s="105"/>
      <c r="AF109" s="105"/>
      <c r="AG109" s="105"/>
      <c r="AH109" s="105"/>
      <c r="AI109" s="105"/>
      <c r="AJ109" s="107">
        <f t="shared" si="25"/>
        <v>0</v>
      </c>
      <c r="AK109" s="105"/>
      <c r="AL109" s="105"/>
      <c r="AM109" s="105"/>
      <c r="AN109" s="105"/>
      <c r="AO109" s="105"/>
      <c r="AP109" s="105"/>
      <c r="AQ109" s="108">
        <f t="shared" si="26"/>
        <v>0</v>
      </c>
      <c r="AR109" s="108">
        <f t="shared" si="27"/>
        <v>0</v>
      </c>
      <c r="AS109" s="109">
        <f t="shared" si="28"/>
        <v>0</v>
      </c>
      <c r="AU109" s="110">
        <f t="shared" si="19"/>
        <v>0</v>
      </c>
      <c r="AV109" s="111">
        <f>IF(D109="NR",
IF('ZD Vorerfassung'!$E$22="",0,IF(AND(B109&gt;='ZD Vorerfassung'!$C$22,B109&lt;='ZD Vorerfassung'!$D$22),HLOOKUP(TEXT(C109,"ttt"),'ZD Vorerfassung'!$H$21:$L$36,2,0),0))+
IF('ZD Vorerfassung'!$E$23="",0,IF(AND(B109&gt;='ZD Vorerfassung'!$C$23,B109&lt;='ZD Vorerfassung'!$D$23),HLOOKUP(TEXT(C109,"ttt"),'ZD Vorerfassung'!$H$21:$L$36,3,0),0))+
IF('ZD Vorerfassung'!$E$24="",0,IF(AND(B109&gt;='ZD Vorerfassung'!$C$24,B109&lt;='ZD Vorerfassung'!$D$24),HLOOKUP(TEXT(C109,"ttt"),'ZD Vorerfassung'!$H$21:$L$36,4,0),0))+
IF('ZD Vorerfassung'!$E$25="",0,IF(AND(B109&gt;='ZD Vorerfassung'!$C$25,B109&lt;='ZD Vorerfassung'!$D$25),HLOOKUP(TEXT(C109,"ttt"),'ZD Vorerfassung'!$H$21:$L$36,5,0),0))+
IF('ZD Vorerfassung'!$E$26="",0,IF(AND(B109&gt;='ZD Vorerfassung'!$C$26,B109&lt;='ZD Vorerfassung'!$D$26),HLOOKUP(TEXT(C109,"ttt"),'ZD Vorerfassung'!$H$21:$L$36,6,0),0))+
IF('ZD Vorerfassung'!$E$27="",0,IF(AND(B109&gt;='ZD Vorerfassung'!$C$27,B109&lt;='ZD Vorerfassung'!$D$27),HLOOKUP(TEXT(C109,"ttt"),'ZD Vorerfassung'!$H$21:$L$36,7,0),0))+
IF('ZD Vorerfassung'!$E$28="",0,IF(AND(B109&gt;='ZD Vorerfassung'!$C$28,B109&lt;='ZD Vorerfassung'!$D$28),HLOOKUP(TEXT(C109,"ttt"),'ZD Vorerfassung'!$H$21:$L$36,8,0),0))+
IF('ZD Vorerfassung'!$E$29="",0,IF(AND(B109&gt;='ZD Vorerfassung'!$C$29,B109&lt;='ZD Vorerfassung'!$D$29),HLOOKUP(TEXT(C109,"ttt"),'ZD Vorerfassung'!$H$21:$L$36,9,0),0))+
IF('ZD Vorerfassung'!$E$30="",0,IF(AND(B109&gt;='ZD Vorerfassung'!$C$30,B109&lt;='ZD Vorerfassung'!$D$30),HLOOKUP(TEXT(C109,"ttt"),'ZD Vorerfassung'!$H$21:$L$36,10,0),0))+
IF('ZD Vorerfassung'!$E$31="",0,IF(AND(B109&gt;='ZD Vorerfassung'!$C$31,B109&lt;='ZD Vorerfassung'!$D$31),HLOOKUP(TEXT(C109,"ttt"),'ZD Vorerfassung'!$H$21:$L$36,11,0),0))+
IF('ZD Vorerfassung'!$E$32="",0,IF(AND(B109&gt;='ZD Vorerfassung'!$C$32,B109&lt;='ZD Vorerfassung'!$D$32),HLOOKUP(TEXT(C109,"ttt"),'ZD Vorerfassung'!$H$21:$L$36,12,0),0))+
IF('ZD Vorerfassung'!$E$33="",0,IF(AND(B109&gt;='ZD Vorerfassung'!$C$33,B109&lt;='ZD Vorerfassung'!$D$33),HLOOKUP(TEXT(C109,"ttt"),'ZD Vorerfassung'!$H$21:$L$36,13,0),0))+
IF('ZD Vorerfassung'!$E$34="",0,IF(AND(B109&gt;='ZD Vorerfassung'!$C$34,B109&lt;='ZD Vorerfassung'!$D$34),HLOOKUP(TEXT(C109,"ttt"),'ZD Vorerfassung'!$H$21:$L$36,14,0),0))+
IF('ZD Vorerfassung'!$E$35="",0,IF(AND(B109&gt;='ZD Vorerfassung'!$C$35,B109&lt;='ZD Vorerfassung'!$D$35),HLOOKUP(TEXT(C109,"ttt"),'ZD Vorerfassung'!$H$21:$L$36,15,0),0))+
IF('ZD Vorerfassung'!$E$36="",0,IF(AND(B109&gt;='ZD Vorerfassung'!$C$36,B109&lt;='ZD Vorerfassung'!$D$36),HLOOKUP(TEXT(C109,"ttt"),'ZD Vorerfassung'!$H$21:$L$36,16,0),0)),"")</f>
        <v>0</v>
      </c>
      <c r="AW109" s="110">
        <f t="array" ref="AW109">IF(OR(D109="UU",D109="FT",D109="WE"),0,
IF(D109="NR",SUM(IF(B109&gt;=_xlfn.NUMBERVALUE('ZD Vorerfassung'!$C$22:$C$36),1,0)*IF(B109&lt;=_xlfn.NUMBERVALUE('ZD Vorerfassung'!$D$22:$D$36),1,0)*'ZD Vorerfassung'!$Q$22:$Q$36),
IF(OR(D109="SF",D109="FH"),SUM(IF(B109&gt;=_xlfn.NUMBERVALUE('ZD Vorerfassung'!$C$22:$C$36),1,0)*IF(B109&lt;=_xlfn.NUMBERVALUE('ZD Vorerfassung'!$D$22:$D$36),1,0)*'ZD Vorerfassung'!$R$22:$R$36*IF(D109="FH",0.5,1)),
"prüfen")))</f>
        <v>0</v>
      </c>
      <c r="AX109" s="110">
        <f t="array" ref="AX109">IF(OR(D109="UU",D109="FT",D109="WE",E109="Ferien"),0,
IF(D109="NR",SUM(IF(B109&gt;=_xlfn.NUMBERVALUE('ZD Vorerfassung'!$C$22:$C$36),1,0)*IF(B109&lt;=_xlfn.NUMBERVALUE('ZD Vorerfassung'!$D$22:$D$36),1,0)*'ZD Vorerfassung'!$W$22:$W$36),
IF(OR(D109="SF",D109="FH"),SUM(IF(B109&gt;=_xlfn.NUMBERVALUE('ZD Vorerfassung'!$C$22:$C$36),1,0)*IF(B109&lt;=_xlfn.NUMBERVALUE('ZD Vorerfassung'!$D$22:$D$36),1,0)*'ZD Vorerfassung'!$X$22:$X$36*IF(D109="FH",0.5,1)),
"prüfen")))</f>
        <v>0</v>
      </c>
      <c r="AY109" s="110">
        <f t="array" ref="AY109">IF(OR(D109="UU",D109="FT",D109="WE",E109="Ferien"),0,
IF(D109="NR",SUM(IF(B109&gt;=_xlfn.NUMBERVALUE('ZD Vorerfassung'!$C$22:$C$36),1,0)*IF(B109&lt;=_xlfn.NUMBERVALUE('ZD Vorerfassung'!$D$22:$D$36),1,0)*'ZD Vorerfassung'!$U$22:$U$36),
IF(OR(D109="SF",D109="FH"),SUM(IF(B109&gt;=_xlfn.NUMBERVALUE('ZD Vorerfassung'!$C$22:$C$36),1,0)*IF(B109&lt;=_xlfn.NUMBERVALUE('ZD Vorerfassung'!$D$22:$D$36),1,0)*'ZD Vorerfassung'!$V$22:$V$36*IF(D109="FH",0.5,1)),
"prüfen")))</f>
        <v>0</v>
      </c>
      <c r="AZ109" s="110">
        <f t="array" ref="AZ109">IF(OR(D109="UU",D109="FT",D109="WE",E109="Ferien"),0,
IF(D109="NR",SUM(IF(B109&gt;=_xlfn.NUMBERVALUE('ZD Vorerfassung'!$C$22:$C$36),1,0)*IF(B109&lt;=_xlfn.NUMBERVALUE('ZD Vorerfassung'!$D$22:$D$36),1,0)*'ZD Vorerfassung'!$S$22:$S$36),
IF(OR(D109="SF",D109="FH"),SUM(IF(B109&gt;=_xlfn.NUMBERVALUE('ZD Vorerfassung'!$C$22:$C$36),1,0)*IF(B109&lt;=_xlfn.NUMBERVALUE('ZD Vorerfassung'!$D$22:$D$36),1,0)*'ZD Vorerfassung'!$T$22:$T$36*IF(D109="FH",0.5,1)),
"prüfen")))</f>
        <v>0</v>
      </c>
      <c r="BA109" s="112">
        <f t="shared" si="20"/>
        <v>11</v>
      </c>
    </row>
    <row r="110" spans="2:53" ht="19.5" thickTop="1" thickBot="1" x14ac:dyDescent="0.3">
      <c r="B110" s="99">
        <f t="shared" si="17"/>
        <v>44875</v>
      </c>
      <c r="C110" s="100">
        <f t="shared" si="21"/>
        <v>44875</v>
      </c>
      <c r="D110" s="101" t="str">
        <f t="shared" si="22"/>
        <v>NR</v>
      </c>
      <c r="E110" s="102" t="str">
        <f t="shared" si="18"/>
        <v>Unterrichtstag</v>
      </c>
      <c r="F110" s="103">
        <f t="shared" si="23"/>
        <v>0</v>
      </c>
      <c r="G110" s="104">
        <f t="shared" si="24"/>
        <v>0</v>
      </c>
      <c r="H110" s="104">
        <f>IFERROR(IF('ZD Vorerfassung'!$E$11="manuell",SUM(I110),IF(OR(E110="Feiertag",E110="Wochenende"),0,IF('ZD Vorerfassung'!$E$11="automatisch",AX110,IF(D110="UU","UU",IF(E110=Param2,AX110/24,IF(E110=Param9,AX110/48,"")))))),0)</f>
        <v>0</v>
      </c>
      <c r="I110" s="105"/>
      <c r="J110" s="106">
        <f>IF('ZD Vorerfassung'!$E$12="manuell",SUM(K110:AI110),IF(OR(E110="Feiertag",E110="Wochenende"),0,IF('ZD Vorerfassung'!$E$12="automatisch",AY110,IF(D110="UU","UU",IF(E110=Param2,AY110/24,IF(E110=Param9,AY110/48,""))))))</f>
        <v>0</v>
      </c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5"/>
      <c r="AI110" s="105"/>
      <c r="AJ110" s="107">
        <f t="shared" si="25"/>
        <v>0</v>
      </c>
      <c r="AK110" s="105"/>
      <c r="AL110" s="105"/>
      <c r="AM110" s="105"/>
      <c r="AN110" s="105"/>
      <c r="AO110" s="105"/>
      <c r="AP110" s="105"/>
      <c r="AQ110" s="108">
        <f t="shared" si="26"/>
        <v>0</v>
      </c>
      <c r="AR110" s="108">
        <f t="shared" si="27"/>
        <v>0</v>
      </c>
      <c r="AS110" s="109">
        <f t="shared" si="28"/>
        <v>0</v>
      </c>
      <c r="AU110" s="110">
        <f t="shared" si="19"/>
        <v>0</v>
      </c>
      <c r="AV110" s="111">
        <f>IF(D110="NR",
IF('ZD Vorerfassung'!$E$22="",0,IF(AND(B110&gt;='ZD Vorerfassung'!$C$22,B110&lt;='ZD Vorerfassung'!$D$22),HLOOKUP(TEXT(C110,"ttt"),'ZD Vorerfassung'!$H$21:$L$36,2,0),0))+
IF('ZD Vorerfassung'!$E$23="",0,IF(AND(B110&gt;='ZD Vorerfassung'!$C$23,B110&lt;='ZD Vorerfassung'!$D$23),HLOOKUP(TEXT(C110,"ttt"),'ZD Vorerfassung'!$H$21:$L$36,3,0),0))+
IF('ZD Vorerfassung'!$E$24="",0,IF(AND(B110&gt;='ZD Vorerfassung'!$C$24,B110&lt;='ZD Vorerfassung'!$D$24),HLOOKUP(TEXT(C110,"ttt"),'ZD Vorerfassung'!$H$21:$L$36,4,0),0))+
IF('ZD Vorerfassung'!$E$25="",0,IF(AND(B110&gt;='ZD Vorerfassung'!$C$25,B110&lt;='ZD Vorerfassung'!$D$25),HLOOKUP(TEXT(C110,"ttt"),'ZD Vorerfassung'!$H$21:$L$36,5,0),0))+
IF('ZD Vorerfassung'!$E$26="",0,IF(AND(B110&gt;='ZD Vorerfassung'!$C$26,B110&lt;='ZD Vorerfassung'!$D$26),HLOOKUP(TEXT(C110,"ttt"),'ZD Vorerfassung'!$H$21:$L$36,6,0),0))+
IF('ZD Vorerfassung'!$E$27="",0,IF(AND(B110&gt;='ZD Vorerfassung'!$C$27,B110&lt;='ZD Vorerfassung'!$D$27),HLOOKUP(TEXT(C110,"ttt"),'ZD Vorerfassung'!$H$21:$L$36,7,0),0))+
IF('ZD Vorerfassung'!$E$28="",0,IF(AND(B110&gt;='ZD Vorerfassung'!$C$28,B110&lt;='ZD Vorerfassung'!$D$28),HLOOKUP(TEXT(C110,"ttt"),'ZD Vorerfassung'!$H$21:$L$36,8,0),0))+
IF('ZD Vorerfassung'!$E$29="",0,IF(AND(B110&gt;='ZD Vorerfassung'!$C$29,B110&lt;='ZD Vorerfassung'!$D$29),HLOOKUP(TEXT(C110,"ttt"),'ZD Vorerfassung'!$H$21:$L$36,9,0),0))+
IF('ZD Vorerfassung'!$E$30="",0,IF(AND(B110&gt;='ZD Vorerfassung'!$C$30,B110&lt;='ZD Vorerfassung'!$D$30),HLOOKUP(TEXT(C110,"ttt"),'ZD Vorerfassung'!$H$21:$L$36,10,0),0))+
IF('ZD Vorerfassung'!$E$31="",0,IF(AND(B110&gt;='ZD Vorerfassung'!$C$31,B110&lt;='ZD Vorerfassung'!$D$31),HLOOKUP(TEXT(C110,"ttt"),'ZD Vorerfassung'!$H$21:$L$36,11,0),0))+
IF('ZD Vorerfassung'!$E$32="",0,IF(AND(B110&gt;='ZD Vorerfassung'!$C$32,B110&lt;='ZD Vorerfassung'!$D$32),HLOOKUP(TEXT(C110,"ttt"),'ZD Vorerfassung'!$H$21:$L$36,12,0),0))+
IF('ZD Vorerfassung'!$E$33="",0,IF(AND(B110&gt;='ZD Vorerfassung'!$C$33,B110&lt;='ZD Vorerfassung'!$D$33),HLOOKUP(TEXT(C110,"ttt"),'ZD Vorerfassung'!$H$21:$L$36,13,0),0))+
IF('ZD Vorerfassung'!$E$34="",0,IF(AND(B110&gt;='ZD Vorerfassung'!$C$34,B110&lt;='ZD Vorerfassung'!$D$34),HLOOKUP(TEXT(C110,"ttt"),'ZD Vorerfassung'!$H$21:$L$36,14,0),0))+
IF('ZD Vorerfassung'!$E$35="",0,IF(AND(B110&gt;='ZD Vorerfassung'!$C$35,B110&lt;='ZD Vorerfassung'!$D$35),HLOOKUP(TEXT(C110,"ttt"),'ZD Vorerfassung'!$H$21:$L$36,15,0),0))+
IF('ZD Vorerfassung'!$E$36="",0,IF(AND(B110&gt;='ZD Vorerfassung'!$C$36,B110&lt;='ZD Vorerfassung'!$D$36),HLOOKUP(TEXT(C110,"ttt"),'ZD Vorerfassung'!$H$21:$L$36,16,0),0)),"")</f>
        <v>0</v>
      </c>
      <c r="AW110" s="110">
        <f t="array" ref="AW110">IF(OR(D110="UU",D110="FT",D110="WE"),0,
IF(D110="NR",SUM(IF(B110&gt;=_xlfn.NUMBERVALUE('ZD Vorerfassung'!$C$22:$C$36),1,0)*IF(B110&lt;=_xlfn.NUMBERVALUE('ZD Vorerfassung'!$D$22:$D$36),1,0)*'ZD Vorerfassung'!$Q$22:$Q$36),
IF(OR(D110="SF",D110="FH"),SUM(IF(B110&gt;=_xlfn.NUMBERVALUE('ZD Vorerfassung'!$C$22:$C$36),1,0)*IF(B110&lt;=_xlfn.NUMBERVALUE('ZD Vorerfassung'!$D$22:$D$36),1,0)*'ZD Vorerfassung'!$R$22:$R$36*IF(D110="FH",0.5,1)),
"prüfen")))</f>
        <v>0</v>
      </c>
      <c r="AX110" s="110">
        <f t="array" ref="AX110">IF(OR(D110="UU",D110="FT",D110="WE",E110="Ferien"),0,
IF(D110="NR",SUM(IF(B110&gt;=_xlfn.NUMBERVALUE('ZD Vorerfassung'!$C$22:$C$36),1,0)*IF(B110&lt;=_xlfn.NUMBERVALUE('ZD Vorerfassung'!$D$22:$D$36),1,0)*'ZD Vorerfassung'!$W$22:$W$36),
IF(OR(D110="SF",D110="FH"),SUM(IF(B110&gt;=_xlfn.NUMBERVALUE('ZD Vorerfassung'!$C$22:$C$36),1,0)*IF(B110&lt;=_xlfn.NUMBERVALUE('ZD Vorerfassung'!$D$22:$D$36),1,0)*'ZD Vorerfassung'!$X$22:$X$36*IF(D110="FH",0.5,1)),
"prüfen")))</f>
        <v>0</v>
      </c>
      <c r="AY110" s="110">
        <f t="array" ref="AY110">IF(OR(D110="UU",D110="FT",D110="WE",E110="Ferien"),0,
IF(D110="NR",SUM(IF(B110&gt;=_xlfn.NUMBERVALUE('ZD Vorerfassung'!$C$22:$C$36),1,0)*IF(B110&lt;=_xlfn.NUMBERVALUE('ZD Vorerfassung'!$D$22:$D$36),1,0)*'ZD Vorerfassung'!$U$22:$U$36),
IF(OR(D110="SF",D110="FH"),SUM(IF(B110&gt;=_xlfn.NUMBERVALUE('ZD Vorerfassung'!$C$22:$C$36),1,0)*IF(B110&lt;=_xlfn.NUMBERVALUE('ZD Vorerfassung'!$D$22:$D$36),1,0)*'ZD Vorerfassung'!$V$22:$V$36*IF(D110="FH",0.5,1)),
"prüfen")))</f>
        <v>0</v>
      </c>
      <c r="AZ110" s="110">
        <f t="array" ref="AZ110">IF(OR(D110="UU",D110="FT",D110="WE",E110="Ferien"),0,
IF(D110="NR",SUM(IF(B110&gt;=_xlfn.NUMBERVALUE('ZD Vorerfassung'!$C$22:$C$36),1,0)*IF(B110&lt;=_xlfn.NUMBERVALUE('ZD Vorerfassung'!$D$22:$D$36),1,0)*'ZD Vorerfassung'!$S$22:$S$36),
IF(OR(D110="SF",D110="FH"),SUM(IF(B110&gt;=_xlfn.NUMBERVALUE('ZD Vorerfassung'!$C$22:$C$36),1,0)*IF(B110&lt;=_xlfn.NUMBERVALUE('ZD Vorerfassung'!$D$22:$D$36),1,0)*'ZD Vorerfassung'!$T$22:$T$36*IF(D110="FH",0.5,1)),
"prüfen")))</f>
        <v>0</v>
      </c>
      <c r="BA110" s="112">
        <f t="shared" si="20"/>
        <v>11</v>
      </c>
    </row>
    <row r="111" spans="2:53" ht="19.5" thickTop="1" thickBot="1" x14ac:dyDescent="0.3">
      <c r="B111" s="99">
        <f t="shared" si="17"/>
        <v>44876</v>
      </c>
      <c r="C111" s="100">
        <f t="shared" si="21"/>
        <v>44876</v>
      </c>
      <c r="D111" s="101" t="str">
        <f t="shared" si="22"/>
        <v>NR</v>
      </c>
      <c r="E111" s="102" t="str">
        <f t="shared" si="18"/>
        <v>Unterrichtstag</v>
      </c>
      <c r="F111" s="103">
        <f t="shared" si="23"/>
        <v>0</v>
      </c>
      <c r="G111" s="104">
        <f t="shared" si="24"/>
        <v>0</v>
      </c>
      <c r="H111" s="104">
        <f>IFERROR(IF('ZD Vorerfassung'!$E$11="manuell",SUM(I111),IF(OR(E111="Feiertag",E111="Wochenende"),0,IF('ZD Vorerfassung'!$E$11="automatisch",AX111,IF(D111="UU","UU",IF(E111=Param2,AX111/24,IF(E111=Param9,AX111/48,"")))))),0)</f>
        <v>0</v>
      </c>
      <c r="I111" s="105"/>
      <c r="J111" s="106">
        <f>IF('ZD Vorerfassung'!$E$12="manuell",SUM(K111:AI111),IF(OR(E111="Feiertag",E111="Wochenende"),0,IF('ZD Vorerfassung'!$E$12="automatisch",AY111,IF(D111="UU","UU",IF(E111=Param2,AY111/24,IF(E111=Param9,AY111/48,""))))))</f>
        <v>0</v>
      </c>
      <c r="K111" s="105"/>
      <c r="L111" s="105"/>
      <c r="M111" s="105"/>
      <c r="N111" s="105"/>
      <c r="O111" s="105"/>
      <c r="P111" s="105"/>
      <c r="Q111" s="105"/>
      <c r="R111" s="105"/>
      <c r="S111" s="105"/>
      <c r="T111" s="105"/>
      <c r="U111" s="105"/>
      <c r="V111" s="105"/>
      <c r="W111" s="105"/>
      <c r="X111" s="105"/>
      <c r="Y111" s="105"/>
      <c r="Z111" s="105"/>
      <c r="AA111" s="105"/>
      <c r="AB111" s="105"/>
      <c r="AC111" s="105"/>
      <c r="AD111" s="105"/>
      <c r="AE111" s="105"/>
      <c r="AF111" s="105"/>
      <c r="AG111" s="105"/>
      <c r="AH111" s="105"/>
      <c r="AI111" s="105"/>
      <c r="AJ111" s="107">
        <f t="shared" si="25"/>
        <v>0</v>
      </c>
      <c r="AK111" s="105"/>
      <c r="AL111" s="105"/>
      <c r="AM111" s="105"/>
      <c r="AN111" s="105"/>
      <c r="AO111" s="105"/>
      <c r="AP111" s="105"/>
      <c r="AQ111" s="108">
        <f t="shared" si="26"/>
        <v>0</v>
      </c>
      <c r="AR111" s="108">
        <f t="shared" si="27"/>
        <v>0</v>
      </c>
      <c r="AS111" s="109">
        <f t="shared" si="28"/>
        <v>0</v>
      </c>
      <c r="AU111" s="110">
        <f t="shared" si="19"/>
        <v>0</v>
      </c>
      <c r="AV111" s="111">
        <f>IF(D111="NR",
IF('ZD Vorerfassung'!$E$22="",0,IF(AND(B111&gt;='ZD Vorerfassung'!$C$22,B111&lt;='ZD Vorerfassung'!$D$22),HLOOKUP(TEXT(C111,"ttt"),'ZD Vorerfassung'!$H$21:$L$36,2,0),0))+
IF('ZD Vorerfassung'!$E$23="",0,IF(AND(B111&gt;='ZD Vorerfassung'!$C$23,B111&lt;='ZD Vorerfassung'!$D$23),HLOOKUP(TEXT(C111,"ttt"),'ZD Vorerfassung'!$H$21:$L$36,3,0),0))+
IF('ZD Vorerfassung'!$E$24="",0,IF(AND(B111&gt;='ZD Vorerfassung'!$C$24,B111&lt;='ZD Vorerfassung'!$D$24),HLOOKUP(TEXT(C111,"ttt"),'ZD Vorerfassung'!$H$21:$L$36,4,0),0))+
IF('ZD Vorerfassung'!$E$25="",0,IF(AND(B111&gt;='ZD Vorerfassung'!$C$25,B111&lt;='ZD Vorerfassung'!$D$25),HLOOKUP(TEXT(C111,"ttt"),'ZD Vorerfassung'!$H$21:$L$36,5,0),0))+
IF('ZD Vorerfassung'!$E$26="",0,IF(AND(B111&gt;='ZD Vorerfassung'!$C$26,B111&lt;='ZD Vorerfassung'!$D$26),HLOOKUP(TEXT(C111,"ttt"),'ZD Vorerfassung'!$H$21:$L$36,6,0),0))+
IF('ZD Vorerfassung'!$E$27="",0,IF(AND(B111&gt;='ZD Vorerfassung'!$C$27,B111&lt;='ZD Vorerfassung'!$D$27),HLOOKUP(TEXT(C111,"ttt"),'ZD Vorerfassung'!$H$21:$L$36,7,0),0))+
IF('ZD Vorerfassung'!$E$28="",0,IF(AND(B111&gt;='ZD Vorerfassung'!$C$28,B111&lt;='ZD Vorerfassung'!$D$28),HLOOKUP(TEXT(C111,"ttt"),'ZD Vorerfassung'!$H$21:$L$36,8,0),0))+
IF('ZD Vorerfassung'!$E$29="",0,IF(AND(B111&gt;='ZD Vorerfassung'!$C$29,B111&lt;='ZD Vorerfassung'!$D$29),HLOOKUP(TEXT(C111,"ttt"),'ZD Vorerfassung'!$H$21:$L$36,9,0),0))+
IF('ZD Vorerfassung'!$E$30="",0,IF(AND(B111&gt;='ZD Vorerfassung'!$C$30,B111&lt;='ZD Vorerfassung'!$D$30),HLOOKUP(TEXT(C111,"ttt"),'ZD Vorerfassung'!$H$21:$L$36,10,0),0))+
IF('ZD Vorerfassung'!$E$31="",0,IF(AND(B111&gt;='ZD Vorerfassung'!$C$31,B111&lt;='ZD Vorerfassung'!$D$31),HLOOKUP(TEXT(C111,"ttt"),'ZD Vorerfassung'!$H$21:$L$36,11,0),0))+
IF('ZD Vorerfassung'!$E$32="",0,IF(AND(B111&gt;='ZD Vorerfassung'!$C$32,B111&lt;='ZD Vorerfassung'!$D$32),HLOOKUP(TEXT(C111,"ttt"),'ZD Vorerfassung'!$H$21:$L$36,12,0),0))+
IF('ZD Vorerfassung'!$E$33="",0,IF(AND(B111&gt;='ZD Vorerfassung'!$C$33,B111&lt;='ZD Vorerfassung'!$D$33),HLOOKUP(TEXT(C111,"ttt"),'ZD Vorerfassung'!$H$21:$L$36,13,0),0))+
IF('ZD Vorerfassung'!$E$34="",0,IF(AND(B111&gt;='ZD Vorerfassung'!$C$34,B111&lt;='ZD Vorerfassung'!$D$34),HLOOKUP(TEXT(C111,"ttt"),'ZD Vorerfassung'!$H$21:$L$36,14,0),0))+
IF('ZD Vorerfassung'!$E$35="",0,IF(AND(B111&gt;='ZD Vorerfassung'!$C$35,B111&lt;='ZD Vorerfassung'!$D$35),HLOOKUP(TEXT(C111,"ttt"),'ZD Vorerfassung'!$H$21:$L$36,15,0),0))+
IF('ZD Vorerfassung'!$E$36="",0,IF(AND(B111&gt;='ZD Vorerfassung'!$C$36,B111&lt;='ZD Vorerfassung'!$D$36),HLOOKUP(TEXT(C111,"ttt"),'ZD Vorerfassung'!$H$21:$L$36,16,0),0)),"")</f>
        <v>0</v>
      </c>
      <c r="AW111" s="110">
        <f t="array" ref="AW111">IF(OR(D111="UU",D111="FT",D111="WE"),0,
IF(D111="NR",SUM(IF(B111&gt;=_xlfn.NUMBERVALUE('ZD Vorerfassung'!$C$22:$C$36),1,0)*IF(B111&lt;=_xlfn.NUMBERVALUE('ZD Vorerfassung'!$D$22:$D$36),1,0)*'ZD Vorerfassung'!$Q$22:$Q$36),
IF(OR(D111="SF",D111="FH"),SUM(IF(B111&gt;=_xlfn.NUMBERVALUE('ZD Vorerfassung'!$C$22:$C$36),1,0)*IF(B111&lt;=_xlfn.NUMBERVALUE('ZD Vorerfassung'!$D$22:$D$36),1,0)*'ZD Vorerfassung'!$R$22:$R$36*IF(D111="FH",0.5,1)),
"prüfen")))</f>
        <v>0</v>
      </c>
      <c r="AX111" s="110">
        <f t="array" ref="AX111">IF(OR(D111="UU",D111="FT",D111="WE",E111="Ferien"),0,
IF(D111="NR",SUM(IF(B111&gt;=_xlfn.NUMBERVALUE('ZD Vorerfassung'!$C$22:$C$36),1,0)*IF(B111&lt;=_xlfn.NUMBERVALUE('ZD Vorerfassung'!$D$22:$D$36),1,0)*'ZD Vorerfassung'!$W$22:$W$36),
IF(OR(D111="SF",D111="FH"),SUM(IF(B111&gt;=_xlfn.NUMBERVALUE('ZD Vorerfassung'!$C$22:$C$36),1,0)*IF(B111&lt;=_xlfn.NUMBERVALUE('ZD Vorerfassung'!$D$22:$D$36),1,0)*'ZD Vorerfassung'!$X$22:$X$36*IF(D111="FH",0.5,1)),
"prüfen")))</f>
        <v>0</v>
      </c>
      <c r="AY111" s="110">
        <f t="array" ref="AY111">IF(OR(D111="UU",D111="FT",D111="WE",E111="Ferien"),0,
IF(D111="NR",SUM(IF(B111&gt;=_xlfn.NUMBERVALUE('ZD Vorerfassung'!$C$22:$C$36),1,0)*IF(B111&lt;=_xlfn.NUMBERVALUE('ZD Vorerfassung'!$D$22:$D$36),1,0)*'ZD Vorerfassung'!$U$22:$U$36),
IF(OR(D111="SF",D111="FH"),SUM(IF(B111&gt;=_xlfn.NUMBERVALUE('ZD Vorerfassung'!$C$22:$C$36),1,0)*IF(B111&lt;=_xlfn.NUMBERVALUE('ZD Vorerfassung'!$D$22:$D$36),1,0)*'ZD Vorerfassung'!$V$22:$V$36*IF(D111="FH",0.5,1)),
"prüfen")))</f>
        <v>0</v>
      </c>
      <c r="AZ111" s="110">
        <f t="array" ref="AZ111">IF(OR(D111="UU",D111="FT",D111="WE",E111="Ferien"),0,
IF(D111="NR",SUM(IF(B111&gt;=_xlfn.NUMBERVALUE('ZD Vorerfassung'!$C$22:$C$36),1,0)*IF(B111&lt;=_xlfn.NUMBERVALUE('ZD Vorerfassung'!$D$22:$D$36),1,0)*'ZD Vorerfassung'!$S$22:$S$36),
IF(OR(D111="SF",D111="FH"),SUM(IF(B111&gt;=_xlfn.NUMBERVALUE('ZD Vorerfassung'!$C$22:$C$36),1,0)*IF(B111&lt;=_xlfn.NUMBERVALUE('ZD Vorerfassung'!$D$22:$D$36),1,0)*'ZD Vorerfassung'!$T$22:$T$36*IF(D111="FH",0.5,1)),
"prüfen")))</f>
        <v>0</v>
      </c>
      <c r="BA111" s="112">
        <f t="shared" si="20"/>
        <v>11</v>
      </c>
    </row>
    <row r="112" spans="2:53" ht="19.5" thickTop="1" thickBot="1" x14ac:dyDescent="0.3">
      <c r="B112" s="99">
        <f t="shared" si="17"/>
        <v>44877</v>
      </c>
      <c r="C112" s="100">
        <f t="shared" si="21"/>
        <v>44877</v>
      </c>
      <c r="D112" s="101" t="str">
        <f t="shared" si="22"/>
        <v>NR</v>
      </c>
      <c r="E112" s="102" t="str">
        <f t="shared" si="18"/>
        <v>Unterrichtstag</v>
      </c>
      <c r="F112" s="103">
        <f t="shared" si="23"/>
        <v>0</v>
      </c>
      <c r="G112" s="104">
        <f t="shared" si="24"/>
        <v>0</v>
      </c>
      <c r="H112" s="104">
        <f>IFERROR(IF('ZD Vorerfassung'!$E$11="manuell",SUM(I112),IF(OR(E112="Feiertag",E112="Wochenende"),0,IF('ZD Vorerfassung'!$E$11="automatisch",AX112,IF(D112="UU","UU",IF(E112=Param2,AX112/24,IF(E112=Param9,AX112/48,"")))))),0)</f>
        <v>0</v>
      </c>
      <c r="I112" s="105"/>
      <c r="J112" s="106">
        <f>IF('ZD Vorerfassung'!$E$12="manuell",SUM(K112:AI112),IF(OR(E112="Feiertag",E112="Wochenende"),0,IF('ZD Vorerfassung'!$E$12="automatisch",AY112,IF(D112="UU","UU",IF(E112=Param2,AY112/24,IF(E112=Param9,AY112/48,""))))))</f>
        <v>0</v>
      </c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  <c r="AE112" s="105"/>
      <c r="AF112" s="105"/>
      <c r="AG112" s="105"/>
      <c r="AH112" s="105"/>
      <c r="AI112" s="105"/>
      <c r="AJ112" s="107">
        <f t="shared" si="25"/>
        <v>0</v>
      </c>
      <c r="AK112" s="105"/>
      <c r="AL112" s="105"/>
      <c r="AM112" s="105"/>
      <c r="AN112" s="105"/>
      <c r="AO112" s="105"/>
      <c r="AP112" s="105"/>
      <c r="AQ112" s="108">
        <f t="shared" si="26"/>
        <v>0</v>
      </c>
      <c r="AR112" s="108">
        <f t="shared" si="27"/>
        <v>0</v>
      </c>
      <c r="AS112" s="109">
        <f t="shared" si="28"/>
        <v>0</v>
      </c>
      <c r="AU112" s="110">
        <f t="shared" si="19"/>
        <v>0</v>
      </c>
      <c r="AV112" s="111">
        <f>IF(D112="NR",
IF('ZD Vorerfassung'!$E$22="",0,IF(AND(B112&gt;='ZD Vorerfassung'!$C$22,B112&lt;='ZD Vorerfassung'!$D$22),HLOOKUP(TEXT(C112,"ttt"),'ZD Vorerfassung'!$H$21:$L$36,2,0),0))+
IF('ZD Vorerfassung'!$E$23="",0,IF(AND(B112&gt;='ZD Vorerfassung'!$C$23,B112&lt;='ZD Vorerfassung'!$D$23),HLOOKUP(TEXT(C112,"ttt"),'ZD Vorerfassung'!$H$21:$L$36,3,0),0))+
IF('ZD Vorerfassung'!$E$24="",0,IF(AND(B112&gt;='ZD Vorerfassung'!$C$24,B112&lt;='ZD Vorerfassung'!$D$24),HLOOKUP(TEXT(C112,"ttt"),'ZD Vorerfassung'!$H$21:$L$36,4,0),0))+
IF('ZD Vorerfassung'!$E$25="",0,IF(AND(B112&gt;='ZD Vorerfassung'!$C$25,B112&lt;='ZD Vorerfassung'!$D$25),HLOOKUP(TEXT(C112,"ttt"),'ZD Vorerfassung'!$H$21:$L$36,5,0),0))+
IF('ZD Vorerfassung'!$E$26="",0,IF(AND(B112&gt;='ZD Vorerfassung'!$C$26,B112&lt;='ZD Vorerfassung'!$D$26),HLOOKUP(TEXT(C112,"ttt"),'ZD Vorerfassung'!$H$21:$L$36,6,0),0))+
IF('ZD Vorerfassung'!$E$27="",0,IF(AND(B112&gt;='ZD Vorerfassung'!$C$27,B112&lt;='ZD Vorerfassung'!$D$27),HLOOKUP(TEXT(C112,"ttt"),'ZD Vorerfassung'!$H$21:$L$36,7,0),0))+
IF('ZD Vorerfassung'!$E$28="",0,IF(AND(B112&gt;='ZD Vorerfassung'!$C$28,B112&lt;='ZD Vorerfassung'!$D$28),HLOOKUP(TEXT(C112,"ttt"),'ZD Vorerfassung'!$H$21:$L$36,8,0),0))+
IF('ZD Vorerfassung'!$E$29="",0,IF(AND(B112&gt;='ZD Vorerfassung'!$C$29,B112&lt;='ZD Vorerfassung'!$D$29),HLOOKUP(TEXT(C112,"ttt"),'ZD Vorerfassung'!$H$21:$L$36,9,0),0))+
IF('ZD Vorerfassung'!$E$30="",0,IF(AND(B112&gt;='ZD Vorerfassung'!$C$30,B112&lt;='ZD Vorerfassung'!$D$30),HLOOKUP(TEXT(C112,"ttt"),'ZD Vorerfassung'!$H$21:$L$36,10,0),0))+
IF('ZD Vorerfassung'!$E$31="",0,IF(AND(B112&gt;='ZD Vorerfassung'!$C$31,B112&lt;='ZD Vorerfassung'!$D$31),HLOOKUP(TEXT(C112,"ttt"),'ZD Vorerfassung'!$H$21:$L$36,11,0),0))+
IF('ZD Vorerfassung'!$E$32="",0,IF(AND(B112&gt;='ZD Vorerfassung'!$C$32,B112&lt;='ZD Vorerfassung'!$D$32),HLOOKUP(TEXT(C112,"ttt"),'ZD Vorerfassung'!$H$21:$L$36,12,0),0))+
IF('ZD Vorerfassung'!$E$33="",0,IF(AND(B112&gt;='ZD Vorerfassung'!$C$33,B112&lt;='ZD Vorerfassung'!$D$33),HLOOKUP(TEXT(C112,"ttt"),'ZD Vorerfassung'!$H$21:$L$36,13,0),0))+
IF('ZD Vorerfassung'!$E$34="",0,IF(AND(B112&gt;='ZD Vorerfassung'!$C$34,B112&lt;='ZD Vorerfassung'!$D$34),HLOOKUP(TEXT(C112,"ttt"),'ZD Vorerfassung'!$H$21:$L$36,14,0),0))+
IF('ZD Vorerfassung'!$E$35="",0,IF(AND(B112&gt;='ZD Vorerfassung'!$C$35,B112&lt;='ZD Vorerfassung'!$D$35),HLOOKUP(TEXT(C112,"ttt"),'ZD Vorerfassung'!$H$21:$L$36,15,0),0))+
IF('ZD Vorerfassung'!$E$36="",0,IF(AND(B112&gt;='ZD Vorerfassung'!$C$36,B112&lt;='ZD Vorerfassung'!$D$36),HLOOKUP(TEXT(C112,"ttt"),'ZD Vorerfassung'!$H$21:$L$36,16,0),0)),"")</f>
        <v>0</v>
      </c>
      <c r="AW112" s="110">
        <f t="array" ref="AW112">IF(OR(D112="UU",D112="FT",D112="WE"),0,
IF(D112="NR",SUM(IF(B112&gt;=_xlfn.NUMBERVALUE('ZD Vorerfassung'!$C$22:$C$36),1,0)*IF(B112&lt;=_xlfn.NUMBERVALUE('ZD Vorerfassung'!$D$22:$D$36),1,0)*'ZD Vorerfassung'!$Q$22:$Q$36),
IF(OR(D112="SF",D112="FH"),SUM(IF(B112&gt;=_xlfn.NUMBERVALUE('ZD Vorerfassung'!$C$22:$C$36),1,0)*IF(B112&lt;=_xlfn.NUMBERVALUE('ZD Vorerfassung'!$D$22:$D$36),1,0)*'ZD Vorerfassung'!$R$22:$R$36*IF(D112="FH",0.5,1)),
"prüfen")))</f>
        <v>0</v>
      </c>
      <c r="AX112" s="110">
        <f t="array" ref="AX112">IF(OR(D112="UU",D112="FT",D112="WE",E112="Ferien"),0,
IF(D112="NR",SUM(IF(B112&gt;=_xlfn.NUMBERVALUE('ZD Vorerfassung'!$C$22:$C$36),1,0)*IF(B112&lt;=_xlfn.NUMBERVALUE('ZD Vorerfassung'!$D$22:$D$36),1,0)*'ZD Vorerfassung'!$W$22:$W$36),
IF(OR(D112="SF",D112="FH"),SUM(IF(B112&gt;=_xlfn.NUMBERVALUE('ZD Vorerfassung'!$C$22:$C$36),1,0)*IF(B112&lt;=_xlfn.NUMBERVALUE('ZD Vorerfassung'!$D$22:$D$36),1,0)*'ZD Vorerfassung'!$X$22:$X$36*IF(D112="FH",0.5,1)),
"prüfen")))</f>
        <v>0</v>
      </c>
      <c r="AY112" s="110">
        <f t="array" ref="AY112">IF(OR(D112="UU",D112="FT",D112="WE",E112="Ferien"),0,
IF(D112="NR",SUM(IF(B112&gt;=_xlfn.NUMBERVALUE('ZD Vorerfassung'!$C$22:$C$36),1,0)*IF(B112&lt;=_xlfn.NUMBERVALUE('ZD Vorerfassung'!$D$22:$D$36),1,0)*'ZD Vorerfassung'!$U$22:$U$36),
IF(OR(D112="SF",D112="FH"),SUM(IF(B112&gt;=_xlfn.NUMBERVALUE('ZD Vorerfassung'!$C$22:$C$36),1,0)*IF(B112&lt;=_xlfn.NUMBERVALUE('ZD Vorerfassung'!$D$22:$D$36),1,0)*'ZD Vorerfassung'!$V$22:$V$36*IF(D112="FH",0.5,1)),
"prüfen")))</f>
        <v>0</v>
      </c>
      <c r="AZ112" s="110">
        <f t="array" ref="AZ112">IF(OR(D112="UU",D112="FT",D112="WE",E112="Ferien"),0,
IF(D112="NR",SUM(IF(B112&gt;=_xlfn.NUMBERVALUE('ZD Vorerfassung'!$C$22:$C$36),1,0)*IF(B112&lt;=_xlfn.NUMBERVALUE('ZD Vorerfassung'!$D$22:$D$36),1,0)*'ZD Vorerfassung'!$S$22:$S$36),
IF(OR(D112="SF",D112="FH"),SUM(IF(B112&gt;=_xlfn.NUMBERVALUE('ZD Vorerfassung'!$C$22:$C$36),1,0)*IF(B112&lt;=_xlfn.NUMBERVALUE('ZD Vorerfassung'!$D$22:$D$36),1,0)*'ZD Vorerfassung'!$T$22:$T$36*IF(D112="FH",0.5,1)),
"prüfen")))</f>
        <v>0</v>
      </c>
      <c r="BA112" s="112">
        <f t="shared" si="20"/>
        <v>11</v>
      </c>
    </row>
    <row r="113" spans="2:53" ht="19.5" thickTop="1" thickBot="1" x14ac:dyDescent="0.3">
      <c r="B113" s="99">
        <f t="shared" si="17"/>
        <v>44878</v>
      </c>
      <c r="C113" s="100">
        <f t="shared" si="21"/>
        <v>44878</v>
      </c>
      <c r="D113" s="101" t="str">
        <f t="shared" si="22"/>
        <v>WE</v>
      </c>
      <c r="E113" s="102" t="str">
        <f t="shared" si="18"/>
        <v>Wochenende</v>
      </c>
      <c r="F113" s="103" t="str">
        <f t="shared" si="23"/>
        <v/>
      </c>
      <c r="G113" s="104" t="str">
        <f t="shared" si="24"/>
        <v/>
      </c>
      <c r="H113" s="104">
        <f>IFERROR(IF('ZD Vorerfassung'!$E$11="manuell",SUM(I113),IF(OR(E113="Feiertag",E113="Wochenende"),0,IF('ZD Vorerfassung'!$E$11="automatisch",AX113,IF(D113="UU","UU",IF(E113=Param2,AX113/24,IF(E113=Param9,AX113/48,"")))))),0)</f>
        <v>0</v>
      </c>
      <c r="I113" s="105"/>
      <c r="J113" s="106">
        <f>IF('ZD Vorerfassung'!$E$12="manuell",SUM(K113:AI113),IF(OR(E113="Feiertag",E113="Wochenende"),0,IF('ZD Vorerfassung'!$E$12="automatisch",AY113,IF(D113="UU","UU",IF(E113=Param2,AY113/24,IF(E113=Param9,AY113/48,""))))))</f>
        <v>0</v>
      </c>
      <c r="K113" s="105"/>
      <c r="L113" s="105"/>
      <c r="M113" s="105"/>
      <c r="N113" s="105"/>
      <c r="O113" s="105"/>
      <c r="P113" s="105"/>
      <c r="Q113" s="105"/>
      <c r="R113" s="105"/>
      <c r="S113" s="105"/>
      <c r="T113" s="105"/>
      <c r="U113" s="105"/>
      <c r="V113" s="105"/>
      <c r="W113" s="105"/>
      <c r="X113" s="105"/>
      <c r="Y113" s="105"/>
      <c r="Z113" s="105"/>
      <c r="AA113" s="105"/>
      <c r="AB113" s="105"/>
      <c r="AC113" s="105"/>
      <c r="AD113" s="105"/>
      <c r="AE113" s="105"/>
      <c r="AF113" s="105"/>
      <c r="AG113" s="105"/>
      <c r="AH113" s="105"/>
      <c r="AI113" s="105"/>
      <c r="AJ113" s="107">
        <f t="shared" si="25"/>
        <v>0</v>
      </c>
      <c r="AK113" s="105"/>
      <c r="AL113" s="105"/>
      <c r="AM113" s="105"/>
      <c r="AN113" s="105"/>
      <c r="AO113" s="105"/>
      <c r="AP113" s="105"/>
      <c r="AQ113" s="108">
        <f t="shared" si="26"/>
        <v>0</v>
      </c>
      <c r="AR113" s="108">
        <f t="shared" si="27"/>
        <v>0</v>
      </c>
      <c r="AS113" s="109">
        <f t="shared" si="28"/>
        <v>0</v>
      </c>
      <c r="AU113" s="110">
        <f t="shared" si="19"/>
        <v>0</v>
      </c>
      <c r="AV113" s="111" t="str">
        <f>IF(D113="NR",
IF('ZD Vorerfassung'!$E$22="",0,IF(AND(B113&gt;='ZD Vorerfassung'!$C$22,B113&lt;='ZD Vorerfassung'!$D$22),HLOOKUP(TEXT(C113,"ttt"),'ZD Vorerfassung'!$H$21:$L$36,2,0),0))+
IF('ZD Vorerfassung'!$E$23="",0,IF(AND(B113&gt;='ZD Vorerfassung'!$C$23,B113&lt;='ZD Vorerfassung'!$D$23),HLOOKUP(TEXT(C113,"ttt"),'ZD Vorerfassung'!$H$21:$L$36,3,0),0))+
IF('ZD Vorerfassung'!$E$24="",0,IF(AND(B113&gt;='ZD Vorerfassung'!$C$24,B113&lt;='ZD Vorerfassung'!$D$24),HLOOKUP(TEXT(C113,"ttt"),'ZD Vorerfassung'!$H$21:$L$36,4,0),0))+
IF('ZD Vorerfassung'!$E$25="",0,IF(AND(B113&gt;='ZD Vorerfassung'!$C$25,B113&lt;='ZD Vorerfassung'!$D$25),HLOOKUP(TEXT(C113,"ttt"),'ZD Vorerfassung'!$H$21:$L$36,5,0),0))+
IF('ZD Vorerfassung'!$E$26="",0,IF(AND(B113&gt;='ZD Vorerfassung'!$C$26,B113&lt;='ZD Vorerfassung'!$D$26),HLOOKUP(TEXT(C113,"ttt"),'ZD Vorerfassung'!$H$21:$L$36,6,0),0))+
IF('ZD Vorerfassung'!$E$27="",0,IF(AND(B113&gt;='ZD Vorerfassung'!$C$27,B113&lt;='ZD Vorerfassung'!$D$27),HLOOKUP(TEXT(C113,"ttt"),'ZD Vorerfassung'!$H$21:$L$36,7,0),0))+
IF('ZD Vorerfassung'!$E$28="",0,IF(AND(B113&gt;='ZD Vorerfassung'!$C$28,B113&lt;='ZD Vorerfassung'!$D$28),HLOOKUP(TEXT(C113,"ttt"),'ZD Vorerfassung'!$H$21:$L$36,8,0),0))+
IF('ZD Vorerfassung'!$E$29="",0,IF(AND(B113&gt;='ZD Vorerfassung'!$C$29,B113&lt;='ZD Vorerfassung'!$D$29),HLOOKUP(TEXT(C113,"ttt"),'ZD Vorerfassung'!$H$21:$L$36,9,0),0))+
IF('ZD Vorerfassung'!$E$30="",0,IF(AND(B113&gt;='ZD Vorerfassung'!$C$30,B113&lt;='ZD Vorerfassung'!$D$30),HLOOKUP(TEXT(C113,"ttt"),'ZD Vorerfassung'!$H$21:$L$36,10,0),0))+
IF('ZD Vorerfassung'!$E$31="",0,IF(AND(B113&gt;='ZD Vorerfassung'!$C$31,B113&lt;='ZD Vorerfassung'!$D$31),HLOOKUP(TEXT(C113,"ttt"),'ZD Vorerfassung'!$H$21:$L$36,11,0),0))+
IF('ZD Vorerfassung'!$E$32="",0,IF(AND(B113&gt;='ZD Vorerfassung'!$C$32,B113&lt;='ZD Vorerfassung'!$D$32),HLOOKUP(TEXT(C113,"ttt"),'ZD Vorerfassung'!$H$21:$L$36,12,0),0))+
IF('ZD Vorerfassung'!$E$33="",0,IF(AND(B113&gt;='ZD Vorerfassung'!$C$33,B113&lt;='ZD Vorerfassung'!$D$33),HLOOKUP(TEXT(C113,"ttt"),'ZD Vorerfassung'!$H$21:$L$36,13,0),0))+
IF('ZD Vorerfassung'!$E$34="",0,IF(AND(B113&gt;='ZD Vorerfassung'!$C$34,B113&lt;='ZD Vorerfassung'!$D$34),HLOOKUP(TEXT(C113,"ttt"),'ZD Vorerfassung'!$H$21:$L$36,14,0),0))+
IF('ZD Vorerfassung'!$E$35="",0,IF(AND(B113&gt;='ZD Vorerfassung'!$C$35,B113&lt;='ZD Vorerfassung'!$D$35),HLOOKUP(TEXT(C113,"ttt"),'ZD Vorerfassung'!$H$21:$L$36,15,0),0))+
IF('ZD Vorerfassung'!$E$36="",0,IF(AND(B113&gt;='ZD Vorerfassung'!$C$36,B113&lt;='ZD Vorerfassung'!$D$36),HLOOKUP(TEXT(C113,"ttt"),'ZD Vorerfassung'!$H$21:$L$36,16,0),0)),"")</f>
        <v/>
      </c>
      <c r="AW113" s="110">
        <f t="array" ref="AW113">IF(OR(D113="UU",D113="FT",D113="WE"),0,
IF(D113="NR",SUM(IF(B113&gt;=_xlfn.NUMBERVALUE('ZD Vorerfassung'!$C$22:$C$36),1,0)*IF(B113&lt;=_xlfn.NUMBERVALUE('ZD Vorerfassung'!$D$22:$D$36),1,0)*'ZD Vorerfassung'!$Q$22:$Q$36),
IF(OR(D113="SF",D113="FH"),SUM(IF(B113&gt;=_xlfn.NUMBERVALUE('ZD Vorerfassung'!$C$22:$C$36),1,0)*IF(B113&lt;=_xlfn.NUMBERVALUE('ZD Vorerfassung'!$D$22:$D$36),1,0)*'ZD Vorerfassung'!$R$22:$R$36*IF(D113="FH",0.5,1)),
"prüfen")))</f>
        <v>0</v>
      </c>
      <c r="AX113" s="110">
        <f t="array" ref="AX113">IF(OR(D113="UU",D113="FT",D113="WE",E113="Ferien"),0,
IF(D113="NR",SUM(IF(B113&gt;=_xlfn.NUMBERVALUE('ZD Vorerfassung'!$C$22:$C$36),1,0)*IF(B113&lt;=_xlfn.NUMBERVALUE('ZD Vorerfassung'!$D$22:$D$36),1,0)*'ZD Vorerfassung'!$W$22:$W$36),
IF(OR(D113="SF",D113="FH"),SUM(IF(B113&gt;=_xlfn.NUMBERVALUE('ZD Vorerfassung'!$C$22:$C$36),1,0)*IF(B113&lt;=_xlfn.NUMBERVALUE('ZD Vorerfassung'!$D$22:$D$36),1,0)*'ZD Vorerfassung'!$X$22:$X$36*IF(D113="FH",0.5,1)),
"prüfen")))</f>
        <v>0</v>
      </c>
      <c r="AY113" s="110">
        <f t="array" ref="AY113">IF(OR(D113="UU",D113="FT",D113="WE",E113="Ferien"),0,
IF(D113="NR",SUM(IF(B113&gt;=_xlfn.NUMBERVALUE('ZD Vorerfassung'!$C$22:$C$36),1,0)*IF(B113&lt;=_xlfn.NUMBERVALUE('ZD Vorerfassung'!$D$22:$D$36),1,0)*'ZD Vorerfassung'!$U$22:$U$36),
IF(OR(D113="SF",D113="FH"),SUM(IF(B113&gt;=_xlfn.NUMBERVALUE('ZD Vorerfassung'!$C$22:$C$36),1,0)*IF(B113&lt;=_xlfn.NUMBERVALUE('ZD Vorerfassung'!$D$22:$D$36),1,0)*'ZD Vorerfassung'!$V$22:$V$36*IF(D113="FH",0.5,1)),
"prüfen")))</f>
        <v>0</v>
      </c>
      <c r="AZ113" s="110">
        <f t="array" ref="AZ113">IF(OR(D113="UU",D113="FT",D113="WE",E113="Ferien"),0,
IF(D113="NR",SUM(IF(B113&gt;=_xlfn.NUMBERVALUE('ZD Vorerfassung'!$C$22:$C$36),1,0)*IF(B113&lt;=_xlfn.NUMBERVALUE('ZD Vorerfassung'!$D$22:$D$36),1,0)*'ZD Vorerfassung'!$S$22:$S$36),
IF(OR(D113="SF",D113="FH"),SUM(IF(B113&gt;=_xlfn.NUMBERVALUE('ZD Vorerfassung'!$C$22:$C$36),1,0)*IF(B113&lt;=_xlfn.NUMBERVALUE('ZD Vorerfassung'!$D$22:$D$36),1,0)*'ZD Vorerfassung'!$T$22:$T$36*IF(D113="FH",0.5,1)),
"prüfen")))</f>
        <v>0</v>
      </c>
      <c r="BA113" s="112">
        <f t="shared" si="20"/>
        <v>11</v>
      </c>
    </row>
    <row r="114" spans="2:53" ht="19.5" thickTop="1" thickBot="1" x14ac:dyDescent="0.3">
      <c r="B114" s="99">
        <f t="shared" si="17"/>
        <v>44879</v>
      </c>
      <c r="C114" s="100">
        <f t="shared" si="21"/>
        <v>44879</v>
      </c>
      <c r="D114" s="101" t="str">
        <f t="shared" si="22"/>
        <v>WE</v>
      </c>
      <c r="E114" s="102" t="str">
        <f t="shared" si="18"/>
        <v>Wochenende</v>
      </c>
      <c r="F114" s="103" t="str">
        <f t="shared" si="23"/>
        <v/>
      </c>
      <c r="G114" s="104" t="str">
        <f t="shared" si="24"/>
        <v/>
      </c>
      <c r="H114" s="104">
        <f>IFERROR(IF('ZD Vorerfassung'!$E$11="manuell",SUM(I114),IF(OR(E114="Feiertag",E114="Wochenende"),0,IF('ZD Vorerfassung'!$E$11="automatisch",AX114,IF(D114="UU","UU",IF(E114=Param2,AX114/24,IF(E114=Param9,AX114/48,"")))))),0)</f>
        <v>0</v>
      </c>
      <c r="I114" s="105"/>
      <c r="J114" s="106">
        <f>IF('ZD Vorerfassung'!$E$12="manuell",SUM(K114:AI114),IF(OR(E114="Feiertag",E114="Wochenende"),0,IF('ZD Vorerfassung'!$E$12="automatisch",AY114,IF(D114="UU","UU",IF(E114=Param2,AY114/24,IF(E114=Param9,AY114/48,""))))))</f>
        <v>0</v>
      </c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5"/>
      <c r="AI114" s="105"/>
      <c r="AJ114" s="107">
        <f t="shared" si="25"/>
        <v>0</v>
      </c>
      <c r="AK114" s="105"/>
      <c r="AL114" s="105"/>
      <c r="AM114" s="105"/>
      <c r="AN114" s="105"/>
      <c r="AO114" s="105"/>
      <c r="AP114" s="105"/>
      <c r="AQ114" s="108">
        <f t="shared" si="26"/>
        <v>0</v>
      </c>
      <c r="AR114" s="108">
        <f t="shared" si="27"/>
        <v>0</v>
      </c>
      <c r="AS114" s="109">
        <f t="shared" si="28"/>
        <v>0</v>
      </c>
      <c r="AU114" s="110">
        <f t="shared" si="19"/>
        <v>0</v>
      </c>
      <c r="AV114" s="111" t="str">
        <f>IF(D114="NR",
IF('ZD Vorerfassung'!$E$22="",0,IF(AND(B114&gt;='ZD Vorerfassung'!$C$22,B114&lt;='ZD Vorerfassung'!$D$22),HLOOKUP(TEXT(C114,"ttt"),'ZD Vorerfassung'!$H$21:$L$36,2,0),0))+
IF('ZD Vorerfassung'!$E$23="",0,IF(AND(B114&gt;='ZD Vorerfassung'!$C$23,B114&lt;='ZD Vorerfassung'!$D$23),HLOOKUP(TEXT(C114,"ttt"),'ZD Vorerfassung'!$H$21:$L$36,3,0),0))+
IF('ZD Vorerfassung'!$E$24="",0,IF(AND(B114&gt;='ZD Vorerfassung'!$C$24,B114&lt;='ZD Vorerfassung'!$D$24),HLOOKUP(TEXT(C114,"ttt"),'ZD Vorerfassung'!$H$21:$L$36,4,0),0))+
IF('ZD Vorerfassung'!$E$25="",0,IF(AND(B114&gt;='ZD Vorerfassung'!$C$25,B114&lt;='ZD Vorerfassung'!$D$25),HLOOKUP(TEXT(C114,"ttt"),'ZD Vorerfassung'!$H$21:$L$36,5,0),0))+
IF('ZD Vorerfassung'!$E$26="",0,IF(AND(B114&gt;='ZD Vorerfassung'!$C$26,B114&lt;='ZD Vorerfassung'!$D$26),HLOOKUP(TEXT(C114,"ttt"),'ZD Vorerfassung'!$H$21:$L$36,6,0),0))+
IF('ZD Vorerfassung'!$E$27="",0,IF(AND(B114&gt;='ZD Vorerfassung'!$C$27,B114&lt;='ZD Vorerfassung'!$D$27),HLOOKUP(TEXT(C114,"ttt"),'ZD Vorerfassung'!$H$21:$L$36,7,0),0))+
IF('ZD Vorerfassung'!$E$28="",0,IF(AND(B114&gt;='ZD Vorerfassung'!$C$28,B114&lt;='ZD Vorerfassung'!$D$28),HLOOKUP(TEXT(C114,"ttt"),'ZD Vorerfassung'!$H$21:$L$36,8,0),0))+
IF('ZD Vorerfassung'!$E$29="",0,IF(AND(B114&gt;='ZD Vorerfassung'!$C$29,B114&lt;='ZD Vorerfassung'!$D$29),HLOOKUP(TEXT(C114,"ttt"),'ZD Vorerfassung'!$H$21:$L$36,9,0),0))+
IF('ZD Vorerfassung'!$E$30="",0,IF(AND(B114&gt;='ZD Vorerfassung'!$C$30,B114&lt;='ZD Vorerfassung'!$D$30),HLOOKUP(TEXT(C114,"ttt"),'ZD Vorerfassung'!$H$21:$L$36,10,0),0))+
IF('ZD Vorerfassung'!$E$31="",0,IF(AND(B114&gt;='ZD Vorerfassung'!$C$31,B114&lt;='ZD Vorerfassung'!$D$31),HLOOKUP(TEXT(C114,"ttt"),'ZD Vorerfassung'!$H$21:$L$36,11,0),0))+
IF('ZD Vorerfassung'!$E$32="",0,IF(AND(B114&gt;='ZD Vorerfassung'!$C$32,B114&lt;='ZD Vorerfassung'!$D$32),HLOOKUP(TEXT(C114,"ttt"),'ZD Vorerfassung'!$H$21:$L$36,12,0),0))+
IF('ZD Vorerfassung'!$E$33="",0,IF(AND(B114&gt;='ZD Vorerfassung'!$C$33,B114&lt;='ZD Vorerfassung'!$D$33),HLOOKUP(TEXT(C114,"ttt"),'ZD Vorerfassung'!$H$21:$L$36,13,0),0))+
IF('ZD Vorerfassung'!$E$34="",0,IF(AND(B114&gt;='ZD Vorerfassung'!$C$34,B114&lt;='ZD Vorerfassung'!$D$34),HLOOKUP(TEXT(C114,"ttt"),'ZD Vorerfassung'!$H$21:$L$36,14,0),0))+
IF('ZD Vorerfassung'!$E$35="",0,IF(AND(B114&gt;='ZD Vorerfassung'!$C$35,B114&lt;='ZD Vorerfassung'!$D$35),HLOOKUP(TEXT(C114,"ttt"),'ZD Vorerfassung'!$H$21:$L$36,15,0),0))+
IF('ZD Vorerfassung'!$E$36="",0,IF(AND(B114&gt;='ZD Vorerfassung'!$C$36,B114&lt;='ZD Vorerfassung'!$D$36),HLOOKUP(TEXT(C114,"ttt"),'ZD Vorerfassung'!$H$21:$L$36,16,0),0)),"")</f>
        <v/>
      </c>
      <c r="AW114" s="110">
        <f t="array" ref="AW114">IF(OR(D114="UU",D114="FT",D114="WE"),0,
IF(D114="NR",SUM(IF(B114&gt;=_xlfn.NUMBERVALUE('ZD Vorerfassung'!$C$22:$C$36),1,0)*IF(B114&lt;=_xlfn.NUMBERVALUE('ZD Vorerfassung'!$D$22:$D$36),1,0)*'ZD Vorerfassung'!$Q$22:$Q$36),
IF(OR(D114="SF",D114="FH"),SUM(IF(B114&gt;=_xlfn.NUMBERVALUE('ZD Vorerfassung'!$C$22:$C$36),1,0)*IF(B114&lt;=_xlfn.NUMBERVALUE('ZD Vorerfassung'!$D$22:$D$36),1,0)*'ZD Vorerfassung'!$R$22:$R$36*IF(D114="FH",0.5,1)),
"prüfen")))</f>
        <v>0</v>
      </c>
      <c r="AX114" s="110">
        <f t="array" ref="AX114">IF(OR(D114="UU",D114="FT",D114="WE",E114="Ferien"),0,
IF(D114="NR",SUM(IF(B114&gt;=_xlfn.NUMBERVALUE('ZD Vorerfassung'!$C$22:$C$36),1,0)*IF(B114&lt;=_xlfn.NUMBERVALUE('ZD Vorerfassung'!$D$22:$D$36),1,0)*'ZD Vorerfassung'!$W$22:$W$36),
IF(OR(D114="SF",D114="FH"),SUM(IF(B114&gt;=_xlfn.NUMBERVALUE('ZD Vorerfassung'!$C$22:$C$36),1,0)*IF(B114&lt;=_xlfn.NUMBERVALUE('ZD Vorerfassung'!$D$22:$D$36),1,0)*'ZD Vorerfassung'!$X$22:$X$36*IF(D114="FH",0.5,1)),
"prüfen")))</f>
        <v>0</v>
      </c>
      <c r="AY114" s="110">
        <f t="array" ref="AY114">IF(OR(D114="UU",D114="FT",D114="WE",E114="Ferien"),0,
IF(D114="NR",SUM(IF(B114&gt;=_xlfn.NUMBERVALUE('ZD Vorerfassung'!$C$22:$C$36),1,0)*IF(B114&lt;=_xlfn.NUMBERVALUE('ZD Vorerfassung'!$D$22:$D$36),1,0)*'ZD Vorerfassung'!$U$22:$U$36),
IF(OR(D114="SF",D114="FH"),SUM(IF(B114&gt;=_xlfn.NUMBERVALUE('ZD Vorerfassung'!$C$22:$C$36),1,0)*IF(B114&lt;=_xlfn.NUMBERVALUE('ZD Vorerfassung'!$D$22:$D$36),1,0)*'ZD Vorerfassung'!$V$22:$V$36*IF(D114="FH",0.5,1)),
"prüfen")))</f>
        <v>0</v>
      </c>
      <c r="AZ114" s="110">
        <f t="array" ref="AZ114">IF(OR(D114="UU",D114="FT",D114="WE",E114="Ferien"),0,
IF(D114="NR",SUM(IF(B114&gt;=_xlfn.NUMBERVALUE('ZD Vorerfassung'!$C$22:$C$36),1,0)*IF(B114&lt;=_xlfn.NUMBERVALUE('ZD Vorerfassung'!$D$22:$D$36),1,0)*'ZD Vorerfassung'!$S$22:$S$36),
IF(OR(D114="SF",D114="FH"),SUM(IF(B114&gt;=_xlfn.NUMBERVALUE('ZD Vorerfassung'!$C$22:$C$36),1,0)*IF(B114&lt;=_xlfn.NUMBERVALUE('ZD Vorerfassung'!$D$22:$D$36),1,0)*'ZD Vorerfassung'!$T$22:$T$36*IF(D114="FH",0.5,1)),
"prüfen")))</f>
        <v>0</v>
      </c>
      <c r="BA114" s="112">
        <f t="shared" si="20"/>
        <v>11</v>
      </c>
    </row>
    <row r="115" spans="2:53" ht="19.5" thickTop="1" thickBot="1" x14ac:dyDescent="0.3">
      <c r="B115" s="99">
        <f t="shared" si="17"/>
        <v>44880</v>
      </c>
      <c r="C115" s="100">
        <f t="shared" si="21"/>
        <v>44880</v>
      </c>
      <c r="D115" s="101" t="str">
        <f t="shared" si="22"/>
        <v>NR</v>
      </c>
      <c r="E115" s="102" t="str">
        <f t="shared" si="18"/>
        <v>Unterrichtstag</v>
      </c>
      <c r="F115" s="103">
        <f t="shared" si="23"/>
        <v>0</v>
      </c>
      <c r="G115" s="104">
        <f t="shared" si="24"/>
        <v>0</v>
      </c>
      <c r="H115" s="104">
        <f>IFERROR(IF('ZD Vorerfassung'!$E$11="manuell",SUM(I115),IF(OR(E115="Feiertag",E115="Wochenende"),0,IF('ZD Vorerfassung'!$E$11="automatisch",AX115,IF(D115="UU","UU",IF(E115=Param2,AX115/24,IF(E115=Param9,AX115/48,"")))))),0)</f>
        <v>0</v>
      </c>
      <c r="I115" s="105"/>
      <c r="J115" s="106">
        <f>IF('ZD Vorerfassung'!$E$12="manuell",SUM(K115:AI115),IF(OR(E115="Feiertag",E115="Wochenende"),0,IF('ZD Vorerfassung'!$E$12="automatisch",AY115,IF(D115="UU","UU",IF(E115=Param2,AY115/24,IF(E115=Param9,AY115/48,""))))))</f>
        <v>0</v>
      </c>
      <c r="K115" s="105"/>
      <c r="L115" s="105"/>
      <c r="M115" s="105"/>
      <c r="N115" s="105"/>
      <c r="O115" s="105"/>
      <c r="P115" s="105"/>
      <c r="Q115" s="105"/>
      <c r="R115" s="105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5"/>
      <c r="AD115" s="105"/>
      <c r="AE115" s="105"/>
      <c r="AF115" s="105"/>
      <c r="AG115" s="105"/>
      <c r="AH115" s="105"/>
      <c r="AI115" s="105"/>
      <c r="AJ115" s="107">
        <f t="shared" si="25"/>
        <v>0</v>
      </c>
      <c r="AK115" s="105"/>
      <c r="AL115" s="105"/>
      <c r="AM115" s="105"/>
      <c r="AN115" s="105"/>
      <c r="AO115" s="105"/>
      <c r="AP115" s="105"/>
      <c r="AQ115" s="108">
        <f t="shared" si="26"/>
        <v>0</v>
      </c>
      <c r="AR115" s="108">
        <f t="shared" si="27"/>
        <v>0</v>
      </c>
      <c r="AS115" s="109">
        <f t="shared" si="28"/>
        <v>0</v>
      </c>
      <c r="AU115" s="110">
        <f t="shared" si="19"/>
        <v>0</v>
      </c>
      <c r="AV115" s="111">
        <f>IF(D115="NR",
IF('ZD Vorerfassung'!$E$22="",0,IF(AND(B115&gt;='ZD Vorerfassung'!$C$22,B115&lt;='ZD Vorerfassung'!$D$22),HLOOKUP(TEXT(C115,"ttt"),'ZD Vorerfassung'!$H$21:$L$36,2,0),0))+
IF('ZD Vorerfassung'!$E$23="",0,IF(AND(B115&gt;='ZD Vorerfassung'!$C$23,B115&lt;='ZD Vorerfassung'!$D$23),HLOOKUP(TEXT(C115,"ttt"),'ZD Vorerfassung'!$H$21:$L$36,3,0),0))+
IF('ZD Vorerfassung'!$E$24="",0,IF(AND(B115&gt;='ZD Vorerfassung'!$C$24,B115&lt;='ZD Vorerfassung'!$D$24),HLOOKUP(TEXT(C115,"ttt"),'ZD Vorerfassung'!$H$21:$L$36,4,0),0))+
IF('ZD Vorerfassung'!$E$25="",0,IF(AND(B115&gt;='ZD Vorerfassung'!$C$25,B115&lt;='ZD Vorerfassung'!$D$25),HLOOKUP(TEXT(C115,"ttt"),'ZD Vorerfassung'!$H$21:$L$36,5,0),0))+
IF('ZD Vorerfassung'!$E$26="",0,IF(AND(B115&gt;='ZD Vorerfassung'!$C$26,B115&lt;='ZD Vorerfassung'!$D$26),HLOOKUP(TEXT(C115,"ttt"),'ZD Vorerfassung'!$H$21:$L$36,6,0),0))+
IF('ZD Vorerfassung'!$E$27="",0,IF(AND(B115&gt;='ZD Vorerfassung'!$C$27,B115&lt;='ZD Vorerfassung'!$D$27),HLOOKUP(TEXT(C115,"ttt"),'ZD Vorerfassung'!$H$21:$L$36,7,0),0))+
IF('ZD Vorerfassung'!$E$28="",0,IF(AND(B115&gt;='ZD Vorerfassung'!$C$28,B115&lt;='ZD Vorerfassung'!$D$28),HLOOKUP(TEXT(C115,"ttt"),'ZD Vorerfassung'!$H$21:$L$36,8,0),0))+
IF('ZD Vorerfassung'!$E$29="",0,IF(AND(B115&gt;='ZD Vorerfassung'!$C$29,B115&lt;='ZD Vorerfassung'!$D$29),HLOOKUP(TEXT(C115,"ttt"),'ZD Vorerfassung'!$H$21:$L$36,9,0),0))+
IF('ZD Vorerfassung'!$E$30="",0,IF(AND(B115&gt;='ZD Vorerfassung'!$C$30,B115&lt;='ZD Vorerfassung'!$D$30),HLOOKUP(TEXT(C115,"ttt"),'ZD Vorerfassung'!$H$21:$L$36,10,0),0))+
IF('ZD Vorerfassung'!$E$31="",0,IF(AND(B115&gt;='ZD Vorerfassung'!$C$31,B115&lt;='ZD Vorerfassung'!$D$31),HLOOKUP(TEXT(C115,"ttt"),'ZD Vorerfassung'!$H$21:$L$36,11,0),0))+
IF('ZD Vorerfassung'!$E$32="",0,IF(AND(B115&gt;='ZD Vorerfassung'!$C$32,B115&lt;='ZD Vorerfassung'!$D$32),HLOOKUP(TEXT(C115,"ttt"),'ZD Vorerfassung'!$H$21:$L$36,12,0),0))+
IF('ZD Vorerfassung'!$E$33="",0,IF(AND(B115&gt;='ZD Vorerfassung'!$C$33,B115&lt;='ZD Vorerfassung'!$D$33),HLOOKUP(TEXT(C115,"ttt"),'ZD Vorerfassung'!$H$21:$L$36,13,0),0))+
IF('ZD Vorerfassung'!$E$34="",0,IF(AND(B115&gt;='ZD Vorerfassung'!$C$34,B115&lt;='ZD Vorerfassung'!$D$34),HLOOKUP(TEXT(C115,"ttt"),'ZD Vorerfassung'!$H$21:$L$36,14,0),0))+
IF('ZD Vorerfassung'!$E$35="",0,IF(AND(B115&gt;='ZD Vorerfassung'!$C$35,B115&lt;='ZD Vorerfassung'!$D$35),HLOOKUP(TEXT(C115,"ttt"),'ZD Vorerfassung'!$H$21:$L$36,15,0),0))+
IF('ZD Vorerfassung'!$E$36="",0,IF(AND(B115&gt;='ZD Vorerfassung'!$C$36,B115&lt;='ZD Vorerfassung'!$D$36),HLOOKUP(TEXT(C115,"ttt"),'ZD Vorerfassung'!$H$21:$L$36,16,0),0)),"")</f>
        <v>0</v>
      </c>
      <c r="AW115" s="110">
        <f t="array" ref="AW115">IF(OR(D115="UU",D115="FT",D115="WE"),0,
IF(D115="NR",SUM(IF(B115&gt;=_xlfn.NUMBERVALUE('ZD Vorerfassung'!$C$22:$C$36),1,0)*IF(B115&lt;=_xlfn.NUMBERVALUE('ZD Vorerfassung'!$D$22:$D$36),1,0)*'ZD Vorerfassung'!$Q$22:$Q$36),
IF(OR(D115="SF",D115="FH"),SUM(IF(B115&gt;=_xlfn.NUMBERVALUE('ZD Vorerfassung'!$C$22:$C$36),1,0)*IF(B115&lt;=_xlfn.NUMBERVALUE('ZD Vorerfassung'!$D$22:$D$36),1,0)*'ZD Vorerfassung'!$R$22:$R$36*IF(D115="FH",0.5,1)),
"prüfen")))</f>
        <v>0</v>
      </c>
      <c r="AX115" s="110">
        <f t="array" ref="AX115">IF(OR(D115="UU",D115="FT",D115="WE",E115="Ferien"),0,
IF(D115="NR",SUM(IF(B115&gt;=_xlfn.NUMBERVALUE('ZD Vorerfassung'!$C$22:$C$36),1,0)*IF(B115&lt;=_xlfn.NUMBERVALUE('ZD Vorerfassung'!$D$22:$D$36),1,0)*'ZD Vorerfassung'!$W$22:$W$36),
IF(OR(D115="SF",D115="FH"),SUM(IF(B115&gt;=_xlfn.NUMBERVALUE('ZD Vorerfassung'!$C$22:$C$36),1,0)*IF(B115&lt;=_xlfn.NUMBERVALUE('ZD Vorerfassung'!$D$22:$D$36),1,0)*'ZD Vorerfassung'!$X$22:$X$36*IF(D115="FH",0.5,1)),
"prüfen")))</f>
        <v>0</v>
      </c>
      <c r="AY115" s="110">
        <f t="array" ref="AY115">IF(OR(D115="UU",D115="FT",D115="WE",E115="Ferien"),0,
IF(D115="NR",SUM(IF(B115&gt;=_xlfn.NUMBERVALUE('ZD Vorerfassung'!$C$22:$C$36),1,0)*IF(B115&lt;=_xlfn.NUMBERVALUE('ZD Vorerfassung'!$D$22:$D$36),1,0)*'ZD Vorerfassung'!$U$22:$U$36),
IF(OR(D115="SF",D115="FH"),SUM(IF(B115&gt;=_xlfn.NUMBERVALUE('ZD Vorerfassung'!$C$22:$C$36),1,0)*IF(B115&lt;=_xlfn.NUMBERVALUE('ZD Vorerfassung'!$D$22:$D$36),1,0)*'ZD Vorerfassung'!$V$22:$V$36*IF(D115="FH",0.5,1)),
"prüfen")))</f>
        <v>0</v>
      </c>
      <c r="AZ115" s="110">
        <f t="array" ref="AZ115">IF(OR(D115="UU",D115="FT",D115="WE",E115="Ferien"),0,
IF(D115="NR",SUM(IF(B115&gt;=_xlfn.NUMBERVALUE('ZD Vorerfassung'!$C$22:$C$36),1,0)*IF(B115&lt;=_xlfn.NUMBERVALUE('ZD Vorerfassung'!$D$22:$D$36),1,0)*'ZD Vorerfassung'!$S$22:$S$36),
IF(OR(D115="SF",D115="FH"),SUM(IF(B115&gt;=_xlfn.NUMBERVALUE('ZD Vorerfassung'!$C$22:$C$36),1,0)*IF(B115&lt;=_xlfn.NUMBERVALUE('ZD Vorerfassung'!$D$22:$D$36),1,0)*'ZD Vorerfassung'!$T$22:$T$36*IF(D115="FH",0.5,1)),
"prüfen")))</f>
        <v>0</v>
      </c>
      <c r="BA115" s="112">
        <f t="shared" si="20"/>
        <v>11</v>
      </c>
    </row>
    <row r="116" spans="2:53" ht="19.5" thickTop="1" thickBot="1" x14ac:dyDescent="0.3">
      <c r="B116" s="99">
        <f t="shared" si="17"/>
        <v>44881</v>
      </c>
      <c r="C116" s="100">
        <f t="shared" si="21"/>
        <v>44881</v>
      </c>
      <c r="D116" s="101" t="str">
        <f t="shared" si="22"/>
        <v>NR</v>
      </c>
      <c r="E116" s="102" t="str">
        <f t="shared" si="18"/>
        <v>Unterrichtstag</v>
      </c>
      <c r="F116" s="103">
        <f t="shared" si="23"/>
        <v>0</v>
      </c>
      <c r="G116" s="104">
        <f t="shared" si="24"/>
        <v>0</v>
      </c>
      <c r="H116" s="104">
        <f>IFERROR(IF('ZD Vorerfassung'!$E$11="manuell",SUM(I116),IF(OR(E116="Feiertag",E116="Wochenende"),0,IF('ZD Vorerfassung'!$E$11="automatisch",AX116,IF(D116="UU","UU",IF(E116=Param2,AX116/24,IF(E116=Param9,AX116/48,"")))))),0)</f>
        <v>0</v>
      </c>
      <c r="I116" s="105"/>
      <c r="J116" s="106">
        <f>IF('ZD Vorerfassung'!$E$12="manuell",SUM(K116:AI116),IF(OR(E116="Feiertag",E116="Wochenende"),0,IF('ZD Vorerfassung'!$E$12="automatisch",AY116,IF(D116="UU","UU",IF(E116=Param2,AY116/24,IF(E116=Param9,AY116/48,""))))))</f>
        <v>0</v>
      </c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  <c r="AE116" s="105"/>
      <c r="AF116" s="105"/>
      <c r="AG116" s="105"/>
      <c r="AH116" s="105"/>
      <c r="AI116" s="105"/>
      <c r="AJ116" s="107">
        <f t="shared" si="25"/>
        <v>0</v>
      </c>
      <c r="AK116" s="105"/>
      <c r="AL116" s="105"/>
      <c r="AM116" s="105"/>
      <c r="AN116" s="105"/>
      <c r="AO116" s="105"/>
      <c r="AP116" s="105"/>
      <c r="AQ116" s="108">
        <f t="shared" si="26"/>
        <v>0</v>
      </c>
      <c r="AR116" s="108">
        <f t="shared" si="27"/>
        <v>0</v>
      </c>
      <c r="AS116" s="109">
        <f t="shared" si="28"/>
        <v>0</v>
      </c>
      <c r="AU116" s="110">
        <f t="shared" si="19"/>
        <v>0</v>
      </c>
      <c r="AV116" s="111">
        <f>IF(D116="NR",
IF('ZD Vorerfassung'!$E$22="",0,IF(AND(B116&gt;='ZD Vorerfassung'!$C$22,B116&lt;='ZD Vorerfassung'!$D$22),HLOOKUP(TEXT(C116,"ttt"),'ZD Vorerfassung'!$H$21:$L$36,2,0),0))+
IF('ZD Vorerfassung'!$E$23="",0,IF(AND(B116&gt;='ZD Vorerfassung'!$C$23,B116&lt;='ZD Vorerfassung'!$D$23),HLOOKUP(TEXT(C116,"ttt"),'ZD Vorerfassung'!$H$21:$L$36,3,0),0))+
IF('ZD Vorerfassung'!$E$24="",0,IF(AND(B116&gt;='ZD Vorerfassung'!$C$24,B116&lt;='ZD Vorerfassung'!$D$24),HLOOKUP(TEXT(C116,"ttt"),'ZD Vorerfassung'!$H$21:$L$36,4,0),0))+
IF('ZD Vorerfassung'!$E$25="",0,IF(AND(B116&gt;='ZD Vorerfassung'!$C$25,B116&lt;='ZD Vorerfassung'!$D$25),HLOOKUP(TEXT(C116,"ttt"),'ZD Vorerfassung'!$H$21:$L$36,5,0),0))+
IF('ZD Vorerfassung'!$E$26="",0,IF(AND(B116&gt;='ZD Vorerfassung'!$C$26,B116&lt;='ZD Vorerfassung'!$D$26),HLOOKUP(TEXT(C116,"ttt"),'ZD Vorerfassung'!$H$21:$L$36,6,0),0))+
IF('ZD Vorerfassung'!$E$27="",0,IF(AND(B116&gt;='ZD Vorerfassung'!$C$27,B116&lt;='ZD Vorerfassung'!$D$27),HLOOKUP(TEXT(C116,"ttt"),'ZD Vorerfassung'!$H$21:$L$36,7,0),0))+
IF('ZD Vorerfassung'!$E$28="",0,IF(AND(B116&gt;='ZD Vorerfassung'!$C$28,B116&lt;='ZD Vorerfassung'!$D$28),HLOOKUP(TEXT(C116,"ttt"),'ZD Vorerfassung'!$H$21:$L$36,8,0),0))+
IF('ZD Vorerfassung'!$E$29="",0,IF(AND(B116&gt;='ZD Vorerfassung'!$C$29,B116&lt;='ZD Vorerfassung'!$D$29),HLOOKUP(TEXT(C116,"ttt"),'ZD Vorerfassung'!$H$21:$L$36,9,0),0))+
IF('ZD Vorerfassung'!$E$30="",0,IF(AND(B116&gt;='ZD Vorerfassung'!$C$30,B116&lt;='ZD Vorerfassung'!$D$30),HLOOKUP(TEXT(C116,"ttt"),'ZD Vorerfassung'!$H$21:$L$36,10,0),0))+
IF('ZD Vorerfassung'!$E$31="",0,IF(AND(B116&gt;='ZD Vorerfassung'!$C$31,B116&lt;='ZD Vorerfassung'!$D$31),HLOOKUP(TEXT(C116,"ttt"),'ZD Vorerfassung'!$H$21:$L$36,11,0),0))+
IF('ZD Vorerfassung'!$E$32="",0,IF(AND(B116&gt;='ZD Vorerfassung'!$C$32,B116&lt;='ZD Vorerfassung'!$D$32),HLOOKUP(TEXT(C116,"ttt"),'ZD Vorerfassung'!$H$21:$L$36,12,0),0))+
IF('ZD Vorerfassung'!$E$33="",0,IF(AND(B116&gt;='ZD Vorerfassung'!$C$33,B116&lt;='ZD Vorerfassung'!$D$33),HLOOKUP(TEXT(C116,"ttt"),'ZD Vorerfassung'!$H$21:$L$36,13,0),0))+
IF('ZD Vorerfassung'!$E$34="",0,IF(AND(B116&gt;='ZD Vorerfassung'!$C$34,B116&lt;='ZD Vorerfassung'!$D$34),HLOOKUP(TEXT(C116,"ttt"),'ZD Vorerfassung'!$H$21:$L$36,14,0),0))+
IF('ZD Vorerfassung'!$E$35="",0,IF(AND(B116&gt;='ZD Vorerfassung'!$C$35,B116&lt;='ZD Vorerfassung'!$D$35),HLOOKUP(TEXT(C116,"ttt"),'ZD Vorerfassung'!$H$21:$L$36,15,0),0))+
IF('ZD Vorerfassung'!$E$36="",0,IF(AND(B116&gt;='ZD Vorerfassung'!$C$36,B116&lt;='ZD Vorerfassung'!$D$36),HLOOKUP(TEXT(C116,"ttt"),'ZD Vorerfassung'!$H$21:$L$36,16,0),0)),"")</f>
        <v>0</v>
      </c>
      <c r="AW116" s="110">
        <f t="array" ref="AW116">IF(OR(D116="UU",D116="FT",D116="WE"),0,
IF(D116="NR",SUM(IF(B116&gt;=_xlfn.NUMBERVALUE('ZD Vorerfassung'!$C$22:$C$36),1,0)*IF(B116&lt;=_xlfn.NUMBERVALUE('ZD Vorerfassung'!$D$22:$D$36),1,0)*'ZD Vorerfassung'!$Q$22:$Q$36),
IF(OR(D116="SF",D116="FH"),SUM(IF(B116&gt;=_xlfn.NUMBERVALUE('ZD Vorerfassung'!$C$22:$C$36),1,0)*IF(B116&lt;=_xlfn.NUMBERVALUE('ZD Vorerfassung'!$D$22:$D$36),1,0)*'ZD Vorerfassung'!$R$22:$R$36*IF(D116="FH",0.5,1)),
"prüfen")))</f>
        <v>0</v>
      </c>
      <c r="AX116" s="110">
        <f t="array" ref="AX116">IF(OR(D116="UU",D116="FT",D116="WE",E116="Ferien"),0,
IF(D116="NR",SUM(IF(B116&gt;=_xlfn.NUMBERVALUE('ZD Vorerfassung'!$C$22:$C$36),1,0)*IF(B116&lt;=_xlfn.NUMBERVALUE('ZD Vorerfassung'!$D$22:$D$36),1,0)*'ZD Vorerfassung'!$W$22:$W$36),
IF(OR(D116="SF",D116="FH"),SUM(IF(B116&gt;=_xlfn.NUMBERVALUE('ZD Vorerfassung'!$C$22:$C$36),1,0)*IF(B116&lt;=_xlfn.NUMBERVALUE('ZD Vorerfassung'!$D$22:$D$36),1,0)*'ZD Vorerfassung'!$X$22:$X$36*IF(D116="FH",0.5,1)),
"prüfen")))</f>
        <v>0</v>
      </c>
      <c r="AY116" s="110">
        <f t="array" ref="AY116">IF(OR(D116="UU",D116="FT",D116="WE",E116="Ferien"),0,
IF(D116="NR",SUM(IF(B116&gt;=_xlfn.NUMBERVALUE('ZD Vorerfassung'!$C$22:$C$36),1,0)*IF(B116&lt;=_xlfn.NUMBERVALUE('ZD Vorerfassung'!$D$22:$D$36),1,0)*'ZD Vorerfassung'!$U$22:$U$36),
IF(OR(D116="SF",D116="FH"),SUM(IF(B116&gt;=_xlfn.NUMBERVALUE('ZD Vorerfassung'!$C$22:$C$36),1,0)*IF(B116&lt;=_xlfn.NUMBERVALUE('ZD Vorerfassung'!$D$22:$D$36),1,0)*'ZD Vorerfassung'!$V$22:$V$36*IF(D116="FH",0.5,1)),
"prüfen")))</f>
        <v>0</v>
      </c>
      <c r="AZ116" s="110">
        <f t="array" ref="AZ116">IF(OR(D116="UU",D116="FT",D116="WE",E116="Ferien"),0,
IF(D116="NR",SUM(IF(B116&gt;=_xlfn.NUMBERVALUE('ZD Vorerfassung'!$C$22:$C$36),1,0)*IF(B116&lt;=_xlfn.NUMBERVALUE('ZD Vorerfassung'!$D$22:$D$36),1,0)*'ZD Vorerfassung'!$S$22:$S$36),
IF(OR(D116="SF",D116="FH"),SUM(IF(B116&gt;=_xlfn.NUMBERVALUE('ZD Vorerfassung'!$C$22:$C$36),1,0)*IF(B116&lt;=_xlfn.NUMBERVALUE('ZD Vorerfassung'!$D$22:$D$36),1,0)*'ZD Vorerfassung'!$T$22:$T$36*IF(D116="FH",0.5,1)),
"prüfen")))</f>
        <v>0</v>
      </c>
      <c r="BA116" s="112">
        <f t="shared" si="20"/>
        <v>11</v>
      </c>
    </row>
    <row r="117" spans="2:53" ht="19.5" thickTop="1" thickBot="1" x14ac:dyDescent="0.3">
      <c r="B117" s="99">
        <f t="shared" si="17"/>
        <v>44882</v>
      </c>
      <c r="C117" s="100">
        <f t="shared" si="21"/>
        <v>44882</v>
      </c>
      <c r="D117" s="101" t="str">
        <f t="shared" si="22"/>
        <v>NR</v>
      </c>
      <c r="E117" s="102" t="str">
        <f t="shared" si="18"/>
        <v>Unterrichtstag</v>
      </c>
      <c r="F117" s="103">
        <f t="shared" si="23"/>
        <v>0</v>
      </c>
      <c r="G117" s="104">
        <f t="shared" si="24"/>
        <v>0</v>
      </c>
      <c r="H117" s="104">
        <f>IFERROR(IF('ZD Vorerfassung'!$E$11="manuell",SUM(I117),IF(OR(E117="Feiertag",E117="Wochenende"),0,IF('ZD Vorerfassung'!$E$11="automatisch",AX117,IF(D117="UU","UU",IF(E117=Param2,AX117/24,IF(E117=Param9,AX117/48,"")))))),0)</f>
        <v>0</v>
      </c>
      <c r="I117" s="105"/>
      <c r="J117" s="106">
        <f>IF('ZD Vorerfassung'!$E$12="manuell",SUM(K117:AI117),IF(OR(E117="Feiertag",E117="Wochenende"),0,IF('ZD Vorerfassung'!$E$12="automatisch",AY117,IF(D117="UU","UU",IF(E117=Param2,AY117/24,IF(E117=Param9,AY117/48,""))))))</f>
        <v>0</v>
      </c>
      <c r="K117" s="105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105"/>
      <c r="W117" s="105"/>
      <c r="X117" s="105"/>
      <c r="Y117" s="105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107">
        <f t="shared" si="25"/>
        <v>0</v>
      </c>
      <c r="AK117" s="105"/>
      <c r="AL117" s="105"/>
      <c r="AM117" s="105"/>
      <c r="AN117" s="105"/>
      <c r="AO117" s="105"/>
      <c r="AP117" s="105"/>
      <c r="AQ117" s="108">
        <f t="shared" si="26"/>
        <v>0</v>
      </c>
      <c r="AR117" s="108">
        <f t="shared" si="27"/>
        <v>0</v>
      </c>
      <c r="AS117" s="109">
        <f t="shared" si="28"/>
        <v>0</v>
      </c>
      <c r="AU117" s="110">
        <f t="shared" si="19"/>
        <v>0</v>
      </c>
      <c r="AV117" s="111">
        <f>IF(D117="NR",
IF('ZD Vorerfassung'!$E$22="",0,IF(AND(B117&gt;='ZD Vorerfassung'!$C$22,B117&lt;='ZD Vorerfassung'!$D$22),HLOOKUP(TEXT(C117,"ttt"),'ZD Vorerfassung'!$H$21:$L$36,2,0),0))+
IF('ZD Vorerfassung'!$E$23="",0,IF(AND(B117&gt;='ZD Vorerfassung'!$C$23,B117&lt;='ZD Vorerfassung'!$D$23),HLOOKUP(TEXT(C117,"ttt"),'ZD Vorerfassung'!$H$21:$L$36,3,0),0))+
IF('ZD Vorerfassung'!$E$24="",0,IF(AND(B117&gt;='ZD Vorerfassung'!$C$24,B117&lt;='ZD Vorerfassung'!$D$24),HLOOKUP(TEXT(C117,"ttt"),'ZD Vorerfassung'!$H$21:$L$36,4,0),0))+
IF('ZD Vorerfassung'!$E$25="",0,IF(AND(B117&gt;='ZD Vorerfassung'!$C$25,B117&lt;='ZD Vorerfassung'!$D$25),HLOOKUP(TEXT(C117,"ttt"),'ZD Vorerfassung'!$H$21:$L$36,5,0),0))+
IF('ZD Vorerfassung'!$E$26="",0,IF(AND(B117&gt;='ZD Vorerfassung'!$C$26,B117&lt;='ZD Vorerfassung'!$D$26),HLOOKUP(TEXT(C117,"ttt"),'ZD Vorerfassung'!$H$21:$L$36,6,0),0))+
IF('ZD Vorerfassung'!$E$27="",0,IF(AND(B117&gt;='ZD Vorerfassung'!$C$27,B117&lt;='ZD Vorerfassung'!$D$27),HLOOKUP(TEXT(C117,"ttt"),'ZD Vorerfassung'!$H$21:$L$36,7,0),0))+
IF('ZD Vorerfassung'!$E$28="",0,IF(AND(B117&gt;='ZD Vorerfassung'!$C$28,B117&lt;='ZD Vorerfassung'!$D$28),HLOOKUP(TEXT(C117,"ttt"),'ZD Vorerfassung'!$H$21:$L$36,8,0),0))+
IF('ZD Vorerfassung'!$E$29="",0,IF(AND(B117&gt;='ZD Vorerfassung'!$C$29,B117&lt;='ZD Vorerfassung'!$D$29),HLOOKUP(TEXT(C117,"ttt"),'ZD Vorerfassung'!$H$21:$L$36,9,0),0))+
IF('ZD Vorerfassung'!$E$30="",0,IF(AND(B117&gt;='ZD Vorerfassung'!$C$30,B117&lt;='ZD Vorerfassung'!$D$30),HLOOKUP(TEXT(C117,"ttt"),'ZD Vorerfassung'!$H$21:$L$36,10,0),0))+
IF('ZD Vorerfassung'!$E$31="",0,IF(AND(B117&gt;='ZD Vorerfassung'!$C$31,B117&lt;='ZD Vorerfassung'!$D$31),HLOOKUP(TEXT(C117,"ttt"),'ZD Vorerfassung'!$H$21:$L$36,11,0),0))+
IF('ZD Vorerfassung'!$E$32="",0,IF(AND(B117&gt;='ZD Vorerfassung'!$C$32,B117&lt;='ZD Vorerfassung'!$D$32),HLOOKUP(TEXT(C117,"ttt"),'ZD Vorerfassung'!$H$21:$L$36,12,0),0))+
IF('ZD Vorerfassung'!$E$33="",0,IF(AND(B117&gt;='ZD Vorerfassung'!$C$33,B117&lt;='ZD Vorerfassung'!$D$33),HLOOKUP(TEXT(C117,"ttt"),'ZD Vorerfassung'!$H$21:$L$36,13,0),0))+
IF('ZD Vorerfassung'!$E$34="",0,IF(AND(B117&gt;='ZD Vorerfassung'!$C$34,B117&lt;='ZD Vorerfassung'!$D$34),HLOOKUP(TEXT(C117,"ttt"),'ZD Vorerfassung'!$H$21:$L$36,14,0),0))+
IF('ZD Vorerfassung'!$E$35="",0,IF(AND(B117&gt;='ZD Vorerfassung'!$C$35,B117&lt;='ZD Vorerfassung'!$D$35),HLOOKUP(TEXT(C117,"ttt"),'ZD Vorerfassung'!$H$21:$L$36,15,0),0))+
IF('ZD Vorerfassung'!$E$36="",0,IF(AND(B117&gt;='ZD Vorerfassung'!$C$36,B117&lt;='ZD Vorerfassung'!$D$36),HLOOKUP(TEXT(C117,"ttt"),'ZD Vorerfassung'!$H$21:$L$36,16,0),0)),"")</f>
        <v>0</v>
      </c>
      <c r="AW117" s="110">
        <f t="array" ref="AW117">IF(OR(D117="UU",D117="FT",D117="WE"),0,
IF(D117="NR",SUM(IF(B117&gt;=_xlfn.NUMBERVALUE('ZD Vorerfassung'!$C$22:$C$36),1,0)*IF(B117&lt;=_xlfn.NUMBERVALUE('ZD Vorerfassung'!$D$22:$D$36),1,0)*'ZD Vorerfassung'!$Q$22:$Q$36),
IF(OR(D117="SF",D117="FH"),SUM(IF(B117&gt;=_xlfn.NUMBERVALUE('ZD Vorerfassung'!$C$22:$C$36),1,0)*IF(B117&lt;=_xlfn.NUMBERVALUE('ZD Vorerfassung'!$D$22:$D$36),1,0)*'ZD Vorerfassung'!$R$22:$R$36*IF(D117="FH",0.5,1)),
"prüfen")))</f>
        <v>0</v>
      </c>
      <c r="AX117" s="110">
        <f t="array" ref="AX117">IF(OR(D117="UU",D117="FT",D117="WE",E117="Ferien"),0,
IF(D117="NR",SUM(IF(B117&gt;=_xlfn.NUMBERVALUE('ZD Vorerfassung'!$C$22:$C$36),1,0)*IF(B117&lt;=_xlfn.NUMBERVALUE('ZD Vorerfassung'!$D$22:$D$36),1,0)*'ZD Vorerfassung'!$W$22:$W$36),
IF(OR(D117="SF",D117="FH"),SUM(IF(B117&gt;=_xlfn.NUMBERVALUE('ZD Vorerfassung'!$C$22:$C$36),1,0)*IF(B117&lt;=_xlfn.NUMBERVALUE('ZD Vorerfassung'!$D$22:$D$36),1,0)*'ZD Vorerfassung'!$X$22:$X$36*IF(D117="FH",0.5,1)),
"prüfen")))</f>
        <v>0</v>
      </c>
      <c r="AY117" s="110">
        <f t="array" ref="AY117">IF(OR(D117="UU",D117="FT",D117="WE",E117="Ferien"),0,
IF(D117="NR",SUM(IF(B117&gt;=_xlfn.NUMBERVALUE('ZD Vorerfassung'!$C$22:$C$36),1,0)*IF(B117&lt;=_xlfn.NUMBERVALUE('ZD Vorerfassung'!$D$22:$D$36),1,0)*'ZD Vorerfassung'!$U$22:$U$36),
IF(OR(D117="SF",D117="FH"),SUM(IF(B117&gt;=_xlfn.NUMBERVALUE('ZD Vorerfassung'!$C$22:$C$36),1,0)*IF(B117&lt;=_xlfn.NUMBERVALUE('ZD Vorerfassung'!$D$22:$D$36),1,0)*'ZD Vorerfassung'!$V$22:$V$36*IF(D117="FH",0.5,1)),
"prüfen")))</f>
        <v>0</v>
      </c>
      <c r="AZ117" s="110">
        <f t="array" ref="AZ117">IF(OR(D117="UU",D117="FT",D117="WE",E117="Ferien"),0,
IF(D117="NR",SUM(IF(B117&gt;=_xlfn.NUMBERVALUE('ZD Vorerfassung'!$C$22:$C$36),1,0)*IF(B117&lt;=_xlfn.NUMBERVALUE('ZD Vorerfassung'!$D$22:$D$36),1,0)*'ZD Vorerfassung'!$S$22:$S$36),
IF(OR(D117="SF",D117="FH"),SUM(IF(B117&gt;=_xlfn.NUMBERVALUE('ZD Vorerfassung'!$C$22:$C$36),1,0)*IF(B117&lt;=_xlfn.NUMBERVALUE('ZD Vorerfassung'!$D$22:$D$36),1,0)*'ZD Vorerfassung'!$T$22:$T$36*IF(D117="FH",0.5,1)),
"prüfen")))</f>
        <v>0</v>
      </c>
      <c r="BA117" s="112">
        <f t="shared" si="20"/>
        <v>11</v>
      </c>
    </row>
    <row r="118" spans="2:53" ht="19.5" thickTop="1" thickBot="1" x14ac:dyDescent="0.3">
      <c r="B118" s="99">
        <f t="shared" si="17"/>
        <v>44883</v>
      </c>
      <c r="C118" s="100">
        <f t="shared" si="21"/>
        <v>44883</v>
      </c>
      <c r="D118" s="101" t="str">
        <f t="shared" si="22"/>
        <v>NR</v>
      </c>
      <c r="E118" s="102" t="str">
        <f t="shared" si="18"/>
        <v>Unterrichtstag</v>
      </c>
      <c r="F118" s="103">
        <f t="shared" si="23"/>
        <v>0</v>
      </c>
      <c r="G118" s="104">
        <f t="shared" si="24"/>
        <v>0</v>
      </c>
      <c r="H118" s="104">
        <f>IFERROR(IF('ZD Vorerfassung'!$E$11="manuell",SUM(I118),IF(OR(E118="Feiertag",E118="Wochenende"),0,IF('ZD Vorerfassung'!$E$11="automatisch",AX118,IF(D118="UU","UU",IF(E118=Param2,AX118/24,IF(E118=Param9,AX118/48,"")))))),0)</f>
        <v>0</v>
      </c>
      <c r="I118" s="105"/>
      <c r="J118" s="106">
        <f>IF('ZD Vorerfassung'!$E$12="manuell",SUM(K118:AI118),IF(OR(E118="Feiertag",E118="Wochenende"),0,IF('ZD Vorerfassung'!$E$12="automatisch",AY118,IF(D118="UU","UU",IF(E118=Param2,AY118/24,IF(E118=Param9,AY118/48,""))))))</f>
        <v>0</v>
      </c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  <c r="AA118" s="105"/>
      <c r="AB118" s="105"/>
      <c r="AC118" s="105"/>
      <c r="AD118" s="105"/>
      <c r="AE118" s="105"/>
      <c r="AF118" s="105"/>
      <c r="AG118" s="105"/>
      <c r="AH118" s="105"/>
      <c r="AI118" s="105"/>
      <c r="AJ118" s="107">
        <f t="shared" si="25"/>
        <v>0</v>
      </c>
      <c r="AK118" s="105"/>
      <c r="AL118" s="105"/>
      <c r="AM118" s="105"/>
      <c r="AN118" s="105"/>
      <c r="AO118" s="105"/>
      <c r="AP118" s="105"/>
      <c r="AQ118" s="108">
        <f t="shared" si="26"/>
        <v>0</v>
      </c>
      <c r="AR118" s="108">
        <f t="shared" si="27"/>
        <v>0</v>
      </c>
      <c r="AS118" s="109">
        <f t="shared" si="28"/>
        <v>0</v>
      </c>
      <c r="AU118" s="110">
        <f t="shared" si="19"/>
        <v>0</v>
      </c>
      <c r="AV118" s="111">
        <f>IF(D118="NR",
IF('ZD Vorerfassung'!$E$22="",0,IF(AND(B118&gt;='ZD Vorerfassung'!$C$22,B118&lt;='ZD Vorerfassung'!$D$22),HLOOKUP(TEXT(C118,"ttt"),'ZD Vorerfassung'!$H$21:$L$36,2,0),0))+
IF('ZD Vorerfassung'!$E$23="",0,IF(AND(B118&gt;='ZD Vorerfassung'!$C$23,B118&lt;='ZD Vorerfassung'!$D$23),HLOOKUP(TEXT(C118,"ttt"),'ZD Vorerfassung'!$H$21:$L$36,3,0),0))+
IF('ZD Vorerfassung'!$E$24="",0,IF(AND(B118&gt;='ZD Vorerfassung'!$C$24,B118&lt;='ZD Vorerfassung'!$D$24),HLOOKUP(TEXT(C118,"ttt"),'ZD Vorerfassung'!$H$21:$L$36,4,0),0))+
IF('ZD Vorerfassung'!$E$25="",0,IF(AND(B118&gt;='ZD Vorerfassung'!$C$25,B118&lt;='ZD Vorerfassung'!$D$25),HLOOKUP(TEXT(C118,"ttt"),'ZD Vorerfassung'!$H$21:$L$36,5,0),0))+
IF('ZD Vorerfassung'!$E$26="",0,IF(AND(B118&gt;='ZD Vorerfassung'!$C$26,B118&lt;='ZD Vorerfassung'!$D$26),HLOOKUP(TEXT(C118,"ttt"),'ZD Vorerfassung'!$H$21:$L$36,6,0),0))+
IF('ZD Vorerfassung'!$E$27="",0,IF(AND(B118&gt;='ZD Vorerfassung'!$C$27,B118&lt;='ZD Vorerfassung'!$D$27),HLOOKUP(TEXT(C118,"ttt"),'ZD Vorerfassung'!$H$21:$L$36,7,0),0))+
IF('ZD Vorerfassung'!$E$28="",0,IF(AND(B118&gt;='ZD Vorerfassung'!$C$28,B118&lt;='ZD Vorerfassung'!$D$28),HLOOKUP(TEXT(C118,"ttt"),'ZD Vorerfassung'!$H$21:$L$36,8,0),0))+
IF('ZD Vorerfassung'!$E$29="",0,IF(AND(B118&gt;='ZD Vorerfassung'!$C$29,B118&lt;='ZD Vorerfassung'!$D$29),HLOOKUP(TEXT(C118,"ttt"),'ZD Vorerfassung'!$H$21:$L$36,9,0),0))+
IF('ZD Vorerfassung'!$E$30="",0,IF(AND(B118&gt;='ZD Vorerfassung'!$C$30,B118&lt;='ZD Vorerfassung'!$D$30),HLOOKUP(TEXT(C118,"ttt"),'ZD Vorerfassung'!$H$21:$L$36,10,0),0))+
IF('ZD Vorerfassung'!$E$31="",0,IF(AND(B118&gt;='ZD Vorerfassung'!$C$31,B118&lt;='ZD Vorerfassung'!$D$31),HLOOKUP(TEXT(C118,"ttt"),'ZD Vorerfassung'!$H$21:$L$36,11,0),0))+
IF('ZD Vorerfassung'!$E$32="",0,IF(AND(B118&gt;='ZD Vorerfassung'!$C$32,B118&lt;='ZD Vorerfassung'!$D$32),HLOOKUP(TEXT(C118,"ttt"),'ZD Vorerfassung'!$H$21:$L$36,12,0),0))+
IF('ZD Vorerfassung'!$E$33="",0,IF(AND(B118&gt;='ZD Vorerfassung'!$C$33,B118&lt;='ZD Vorerfassung'!$D$33),HLOOKUP(TEXT(C118,"ttt"),'ZD Vorerfassung'!$H$21:$L$36,13,0),0))+
IF('ZD Vorerfassung'!$E$34="",0,IF(AND(B118&gt;='ZD Vorerfassung'!$C$34,B118&lt;='ZD Vorerfassung'!$D$34),HLOOKUP(TEXT(C118,"ttt"),'ZD Vorerfassung'!$H$21:$L$36,14,0),0))+
IF('ZD Vorerfassung'!$E$35="",0,IF(AND(B118&gt;='ZD Vorerfassung'!$C$35,B118&lt;='ZD Vorerfassung'!$D$35),HLOOKUP(TEXT(C118,"ttt"),'ZD Vorerfassung'!$H$21:$L$36,15,0),0))+
IF('ZD Vorerfassung'!$E$36="",0,IF(AND(B118&gt;='ZD Vorerfassung'!$C$36,B118&lt;='ZD Vorerfassung'!$D$36),HLOOKUP(TEXT(C118,"ttt"),'ZD Vorerfassung'!$H$21:$L$36,16,0),0)),"")</f>
        <v>0</v>
      </c>
      <c r="AW118" s="110">
        <f t="array" ref="AW118">IF(OR(D118="UU",D118="FT",D118="WE"),0,
IF(D118="NR",SUM(IF(B118&gt;=_xlfn.NUMBERVALUE('ZD Vorerfassung'!$C$22:$C$36),1,0)*IF(B118&lt;=_xlfn.NUMBERVALUE('ZD Vorerfassung'!$D$22:$D$36),1,0)*'ZD Vorerfassung'!$Q$22:$Q$36),
IF(OR(D118="SF",D118="FH"),SUM(IF(B118&gt;=_xlfn.NUMBERVALUE('ZD Vorerfassung'!$C$22:$C$36),1,0)*IF(B118&lt;=_xlfn.NUMBERVALUE('ZD Vorerfassung'!$D$22:$D$36),1,0)*'ZD Vorerfassung'!$R$22:$R$36*IF(D118="FH",0.5,1)),
"prüfen")))</f>
        <v>0</v>
      </c>
      <c r="AX118" s="110">
        <f t="array" ref="AX118">IF(OR(D118="UU",D118="FT",D118="WE",E118="Ferien"),0,
IF(D118="NR",SUM(IF(B118&gt;=_xlfn.NUMBERVALUE('ZD Vorerfassung'!$C$22:$C$36),1,0)*IF(B118&lt;=_xlfn.NUMBERVALUE('ZD Vorerfassung'!$D$22:$D$36),1,0)*'ZD Vorerfassung'!$W$22:$W$36),
IF(OR(D118="SF",D118="FH"),SUM(IF(B118&gt;=_xlfn.NUMBERVALUE('ZD Vorerfassung'!$C$22:$C$36),1,0)*IF(B118&lt;=_xlfn.NUMBERVALUE('ZD Vorerfassung'!$D$22:$D$36),1,0)*'ZD Vorerfassung'!$X$22:$X$36*IF(D118="FH",0.5,1)),
"prüfen")))</f>
        <v>0</v>
      </c>
      <c r="AY118" s="110">
        <f t="array" ref="AY118">IF(OR(D118="UU",D118="FT",D118="WE",E118="Ferien"),0,
IF(D118="NR",SUM(IF(B118&gt;=_xlfn.NUMBERVALUE('ZD Vorerfassung'!$C$22:$C$36),1,0)*IF(B118&lt;=_xlfn.NUMBERVALUE('ZD Vorerfassung'!$D$22:$D$36),1,0)*'ZD Vorerfassung'!$U$22:$U$36),
IF(OR(D118="SF",D118="FH"),SUM(IF(B118&gt;=_xlfn.NUMBERVALUE('ZD Vorerfassung'!$C$22:$C$36),1,0)*IF(B118&lt;=_xlfn.NUMBERVALUE('ZD Vorerfassung'!$D$22:$D$36),1,0)*'ZD Vorerfassung'!$V$22:$V$36*IF(D118="FH",0.5,1)),
"prüfen")))</f>
        <v>0</v>
      </c>
      <c r="AZ118" s="110">
        <f t="array" ref="AZ118">IF(OR(D118="UU",D118="FT",D118="WE",E118="Ferien"),0,
IF(D118="NR",SUM(IF(B118&gt;=_xlfn.NUMBERVALUE('ZD Vorerfassung'!$C$22:$C$36),1,0)*IF(B118&lt;=_xlfn.NUMBERVALUE('ZD Vorerfassung'!$D$22:$D$36),1,0)*'ZD Vorerfassung'!$S$22:$S$36),
IF(OR(D118="SF",D118="FH"),SUM(IF(B118&gt;=_xlfn.NUMBERVALUE('ZD Vorerfassung'!$C$22:$C$36),1,0)*IF(B118&lt;=_xlfn.NUMBERVALUE('ZD Vorerfassung'!$D$22:$D$36),1,0)*'ZD Vorerfassung'!$T$22:$T$36*IF(D118="FH",0.5,1)),
"prüfen")))</f>
        <v>0</v>
      </c>
      <c r="BA118" s="112">
        <f t="shared" si="20"/>
        <v>11</v>
      </c>
    </row>
    <row r="119" spans="2:53" ht="19.5" thickTop="1" thickBot="1" x14ac:dyDescent="0.3">
      <c r="B119" s="99">
        <f t="shared" si="17"/>
        <v>44884</v>
      </c>
      <c r="C119" s="100">
        <f t="shared" si="21"/>
        <v>44884</v>
      </c>
      <c r="D119" s="101" t="str">
        <f t="shared" si="22"/>
        <v>NR</v>
      </c>
      <c r="E119" s="102" t="str">
        <f t="shared" si="18"/>
        <v>Unterrichtstag</v>
      </c>
      <c r="F119" s="103">
        <f t="shared" si="23"/>
        <v>0</v>
      </c>
      <c r="G119" s="104">
        <f t="shared" si="24"/>
        <v>0</v>
      </c>
      <c r="H119" s="104">
        <f>IFERROR(IF('ZD Vorerfassung'!$E$11="manuell",SUM(I119),IF(OR(E119="Feiertag",E119="Wochenende"),0,IF('ZD Vorerfassung'!$E$11="automatisch",AX119,IF(D119="UU","UU",IF(E119=Param2,AX119/24,IF(E119=Param9,AX119/48,"")))))),0)</f>
        <v>0</v>
      </c>
      <c r="I119" s="105"/>
      <c r="J119" s="106">
        <f>IF('ZD Vorerfassung'!$E$12="manuell",SUM(K119:AI119),IF(OR(E119="Feiertag",E119="Wochenende"),0,IF('ZD Vorerfassung'!$E$12="automatisch",AY119,IF(D119="UU","UU",IF(E119=Param2,AY119/24,IF(E119=Param9,AY119/48,""))))))</f>
        <v>0</v>
      </c>
      <c r="K119" s="105"/>
      <c r="L119" s="105"/>
      <c r="M119" s="105"/>
      <c r="N119" s="105"/>
      <c r="O119" s="105"/>
      <c r="P119" s="105"/>
      <c r="Q119" s="105"/>
      <c r="R119" s="105"/>
      <c r="S119" s="105"/>
      <c r="T119" s="105"/>
      <c r="U119" s="105"/>
      <c r="V119" s="105"/>
      <c r="W119" s="105"/>
      <c r="X119" s="105"/>
      <c r="Y119" s="105"/>
      <c r="Z119" s="105"/>
      <c r="AA119" s="105"/>
      <c r="AB119" s="105"/>
      <c r="AC119" s="105"/>
      <c r="AD119" s="105"/>
      <c r="AE119" s="105"/>
      <c r="AF119" s="105"/>
      <c r="AG119" s="105"/>
      <c r="AH119" s="105"/>
      <c r="AI119" s="105"/>
      <c r="AJ119" s="107">
        <f t="shared" si="25"/>
        <v>0</v>
      </c>
      <c r="AK119" s="105"/>
      <c r="AL119" s="105"/>
      <c r="AM119" s="105"/>
      <c r="AN119" s="105"/>
      <c r="AO119" s="105"/>
      <c r="AP119" s="105"/>
      <c r="AQ119" s="108">
        <f t="shared" si="26"/>
        <v>0</v>
      </c>
      <c r="AR119" s="108">
        <f t="shared" si="27"/>
        <v>0</v>
      </c>
      <c r="AS119" s="109">
        <f t="shared" si="28"/>
        <v>0</v>
      </c>
      <c r="AU119" s="110">
        <f t="shared" si="19"/>
        <v>0</v>
      </c>
      <c r="AV119" s="111">
        <f>IF(D119="NR",
IF('ZD Vorerfassung'!$E$22="",0,IF(AND(B119&gt;='ZD Vorerfassung'!$C$22,B119&lt;='ZD Vorerfassung'!$D$22),HLOOKUP(TEXT(C119,"ttt"),'ZD Vorerfassung'!$H$21:$L$36,2,0),0))+
IF('ZD Vorerfassung'!$E$23="",0,IF(AND(B119&gt;='ZD Vorerfassung'!$C$23,B119&lt;='ZD Vorerfassung'!$D$23),HLOOKUP(TEXT(C119,"ttt"),'ZD Vorerfassung'!$H$21:$L$36,3,0),0))+
IF('ZD Vorerfassung'!$E$24="",0,IF(AND(B119&gt;='ZD Vorerfassung'!$C$24,B119&lt;='ZD Vorerfassung'!$D$24),HLOOKUP(TEXT(C119,"ttt"),'ZD Vorerfassung'!$H$21:$L$36,4,0),0))+
IF('ZD Vorerfassung'!$E$25="",0,IF(AND(B119&gt;='ZD Vorerfassung'!$C$25,B119&lt;='ZD Vorerfassung'!$D$25),HLOOKUP(TEXT(C119,"ttt"),'ZD Vorerfassung'!$H$21:$L$36,5,0),0))+
IF('ZD Vorerfassung'!$E$26="",0,IF(AND(B119&gt;='ZD Vorerfassung'!$C$26,B119&lt;='ZD Vorerfassung'!$D$26),HLOOKUP(TEXT(C119,"ttt"),'ZD Vorerfassung'!$H$21:$L$36,6,0),0))+
IF('ZD Vorerfassung'!$E$27="",0,IF(AND(B119&gt;='ZD Vorerfassung'!$C$27,B119&lt;='ZD Vorerfassung'!$D$27),HLOOKUP(TEXT(C119,"ttt"),'ZD Vorerfassung'!$H$21:$L$36,7,0),0))+
IF('ZD Vorerfassung'!$E$28="",0,IF(AND(B119&gt;='ZD Vorerfassung'!$C$28,B119&lt;='ZD Vorerfassung'!$D$28),HLOOKUP(TEXT(C119,"ttt"),'ZD Vorerfassung'!$H$21:$L$36,8,0),0))+
IF('ZD Vorerfassung'!$E$29="",0,IF(AND(B119&gt;='ZD Vorerfassung'!$C$29,B119&lt;='ZD Vorerfassung'!$D$29),HLOOKUP(TEXT(C119,"ttt"),'ZD Vorerfassung'!$H$21:$L$36,9,0),0))+
IF('ZD Vorerfassung'!$E$30="",0,IF(AND(B119&gt;='ZD Vorerfassung'!$C$30,B119&lt;='ZD Vorerfassung'!$D$30),HLOOKUP(TEXT(C119,"ttt"),'ZD Vorerfassung'!$H$21:$L$36,10,0),0))+
IF('ZD Vorerfassung'!$E$31="",0,IF(AND(B119&gt;='ZD Vorerfassung'!$C$31,B119&lt;='ZD Vorerfassung'!$D$31),HLOOKUP(TEXT(C119,"ttt"),'ZD Vorerfassung'!$H$21:$L$36,11,0),0))+
IF('ZD Vorerfassung'!$E$32="",0,IF(AND(B119&gt;='ZD Vorerfassung'!$C$32,B119&lt;='ZD Vorerfassung'!$D$32),HLOOKUP(TEXT(C119,"ttt"),'ZD Vorerfassung'!$H$21:$L$36,12,0),0))+
IF('ZD Vorerfassung'!$E$33="",0,IF(AND(B119&gt;='ZD Vorerfassung'!$C$33,B119&lt;='ZD Vorerfassung'!$D$33),HLOOKUP(TEXT(C119,"ttt"),'ZD Vorerfassung'!$H$21:$L$36,13,0),0))+
IF('ZD Vorerfassung'!$E$34="",0,IF(AND(B119&gt;='ZD Vorerfassung'!$C$34,B119&lt;='ZD Vorerfassung'!$D$34),HLOOKUP(TEXT(C119,"ttt"),'ZD Vorerfassung'!$H$21:$L$36,14,0),0))+
IF('ZD Vorerfassung'!$E$35="",0,IF(AND(B119&gt;='ZD Vorerfassung'!$C$35,B119&lt;='ZD Vorerfassung'!$D$35),HLOOKUP(TEXT(C119,"ttt"),'ZD Vorerfassung'!$H$21:$L$36,15,0),0))+
IF('ZD Vorerfassung'!$E$36="",0,IF(AND(B119&gt;='ZD Vorerfassung'!$C$36,B119&lt;='ZD Vorerfassung'!$D$36),HLOOKUP(TEXT(C119,"ttt"),'ZD Vorerfassung'!$H$21:$L$36,16,0),0)),"")</f>
        <v>0</v>
      </c>
      <c r="AW119" s="110">
        <f t="array" ref="AW119">IF(OR(D119="UU",D119="FT",D119="WE"),0,
IF(D119="NR",SUM(IF(B119&gt;=_xlfn.NUMBERVALUE('ZD Vorerfassung'!$C$22:$C$36),1,0)*IF(B119&lt;=_xlfn.NUMBERVALUE('ZD Vorerfassung'!$D$22:$D$36),1,0)*'ZD Vorerfassung'!$Q$22:$Q$36),
IF(OR(D119="SF",D119="FH"),SUM(IF(B119&gt;=_xlfn.NUMBERVALUE('ZD Vorerfassung'!$C$22:$C$36),1,0)*IF(B119&lt;=_xlfn.NUMBERVALUE('ZD Vorerfassung'!$D$22:$D$36),1,0)*'ZD Vorerfassung'!$R$22:$R$36*IF(D119="FH",0.5,1)),
"prüfen")))</f>
        <v>0</v>
      </c>
      <c r="AX119" s="110">
        <f t="array" ref="AX119">IF(OR(D119="UU",D119="FT",D119="WE",E119="Ferien"),0,
IF(D119="NR",SUM(IF(B119&gt;=_xlfn.NUMBERVALUE('ZD Vorerfassung'!$C$22:$C$36),1,0)*IF(B119&lt;=_xlfn.NUMBERVALUE('ZD Vorerfassung'!$D$22:$D$36),1,0)*'ZD Vorerfassung'!$W$22:$W$36),
IF(OR(D119="SF",D119="FH"),SUM(IF(B119&gt;=_xlfn.NUMBERVALUE('ZD Vorerfassung'!$C$22:$C$36),1,0)*IF(B119&lt;=_xlfn.NUMBERVALUE('ZD Vorerfassung'!$D$22:$D$36),1,0)*'ZD Vorerfassung'!$X$22:$X$36*IF(D119="FH",0.5,1)),
"prüfen")))</f>
        <v>0</v>
      </c>
      <c r="AY119" s="110">
        <f t="array" ref="AY119">IF(OR(D119="UU",D119="FT",D119="WE",E119="Ferien"),0,
IF(D119="NR",SUM(IF(B119&gt;=_xlfn.NUMBERVALUE('ZD Vorerfassung'!$C$22:$C$36),1,0)*IF(B119&lt;=_xlfn.NUMBERVALUE('ZD Vorerfassung'!$D$22:$D$36),1,0)*'ZD Vorerfassung'!$U$22:$U$36),
IF(OR(D119="SF",D119="FH"),SUM(IF(B119&gt;=_xlfn.NUMBERVALUE('ZD Vorerfassung'!$C$22:$C$36),1,0)*IF(B119&lt;=_xlfn.NUMBERVALUE('ZD Vorerfassung'!$D$22:$D$36),1,0)*'ZD Vorerfassung'!$V$22:$V$36*IF(D119="FH",0.5,1)),
"prüfen")))</f>
        <v>0</v>
      </c>
      <c r="AZ119" s="110">
        <f t="array" ref="AZ119">IF(OR(D119="UU",D119="FT",D119="WE",E119="Ferien"),0,
IF(D119="NR",SUM(IF(B119&gt;=_xlfn.NUMBERVALUE('ZD Vorerfassung'!$C$22:$C$36),1,0)*IF(B119&lt;=_xlfn.NUMBERVALUE('ZD Vorerfassung'!$D$22:$D$36),1,0)*'ZD Vorerfassung'!$S$22:$S$36),
IF(OR(D119="SF",D119="FH"),SUM(IF(B119&gt;=_xlfn.NUMBERVALUE('ZD Vorerfassung'!$C$22:$C$36),1,0)*IF(B119&lt;=_xlfn.NUMBERVALUE('ZD Vorerfassung'!$D$22:$D$36),1,0)*'ZD Vorerfassung'!$T$22:$T$36*IF(D119="FH",0.5,1)),
"prüfen")))</f>
        <v>0</v>
      </c>
      <c r="BA119" s="112">
        <f t="shared" si="20"/>
        <v>11</v>
      </c>
    </row>
    <row r="120" spans="2:53" ht="19.5" thickTop="1" thickBot="1" x14ac:dyDescent="0.3">
      <c r="B120" s="99">
        <f t="shared" si="17"/>
        <v>44885</v>
      </c>
      <c r="C120" s="100">
        <f t="shared" si="21"/>
        <v>44885</v>
      </c>
      <c r="D120" s="101" t="str">
        <f t="shared" si="22"/>
        <v>WE</v>
      </c>
      <c r="E120" s="102" t="str">
        <f t="shared" si="18"/>
        <v>Wochenende</v>
      </c>
      <c r="F120" s="103" t="str">
        <f t="shared" si="23"/>
        <v/>
      </c>
      <c r="G120" s="104" t="str">
        <f t="shared" si="24"/>
        <v/>
      </c>
      <c r="H120" s="104">
        <f>IFERROR(IF('ZD Vorerfassung'!$E$11="manuell",SUM(I120),IF(OR(E120="Feiertag",E120="Wochenende"),0,IF('ZD Vorerfassung'!$E$11="automatisch",AX120,IF(D120="UU","UU",IF(E120=Param2,AX120/24,IF(E120=Param9,AX120/48,"")))))),0)</f>
        <v>0</v>
      </c>
      <c r="I120" s="105"/>
      <c r="J120" s="106">
        <f>IF('ZD Vorerfassung'!$E$12="manuell",SUM(K120:AI120),IF(OR(E120="Feiertag",E120="Wochenende"),0,IF('ZD Vorerfassung'!$E$12="automatisch",AY120,IF(D120="UU","UU",IF(E120=Param2,AY120/24,IF(E120=Param9,AY120/48,""))))))</f>
        <v>0</v>
      </c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  <c r="AE120" s="105"/>
      <c r="AF120" s="105"/>
      <c r="AG120" s="105"/>
      <c r="AH120" s="105"/>
      <c r="AI120" s="105"/>
      <c r="AJ120" s="107">
        <f t="shared" si="25"/>
        <v>0</v>
      </c>
      <c r="AK120" s="105"/>
      <c r="AL120" s="105"/>
      <c r="AM120" s="105"/>
      <c r="AN120" s="105"/>
      <c r="AO120" s="105"/>
      <c r="AP120" s="105"/>
      <c r="AQ120" s="108">
        <f t="shared" si="26"/>
        <v>0</v>
      </c>
      <c r="AR120" s="108">
        <f t="shared" si="27"/>
        <v>0</v>
      </c>
      <c r="AS120" s="109">
        <f t="shared" si="28"/>
        <v>0</v>
      </c>
      <c r="AU120" s="110">
        <f t="shared" si="19"/>
        <v>0</v>
      </c>
      <c r="AV120" s="111" t="str">
        <f>IF(D120="NR",
IF('ZD Vorerfassung'!$E$22="",0,IF(AND(B120&gt;='ZD Vorerfassung'!$C$22,B120&lt;='ZD Vorerfassung'!$D$22),HLOOKUP(TEXT(C120,"ttt"),'ZD Vorerfassung'!$H$21:$L$36,2,0),0))+
IF('ZD Vorerfassung'!$E$23="",0,IF(AND(B120&gt;='ZD Vorerfassung'!$C$23,B120&lt;='ZD Vorerfassung'!$D$23),HLOOKUP(TEXT(C120,"ttt"),'ZD Vorerfassung'!$H$21:$L$36,3,0),0))+
IF('ZD Vorerfassung'!$E$24="",0,IF(AND(B120&gt;='ZD Vorerfassung'!$C$24,B120&lt;='ZD Vorerfassung'!$D$24),HLOOKUP(TEXT(C120,"ttt"),'ZD Vorerfassung'!$H$21:$L$36,4,0),0))+
IF('ZD Vorerfassung'!$E$25="",0,IF(AND(B120&gt;='ZD Vorerfassung'!$C$25,B120&lt;='ZD Vorerfassung'!$D$25),HLOOKUP(TEXT(C120,"ttt"),'ZD Vorerfassung'!$H$21:$L$36,5,0),0))+
IF('ZD Vorerfassung'!$E$26="",0,IF(AND(B120&gt;='ZD Vorerfassung'!$C$26,B120&lt;='ZD Vorerfassung'!$D$26),HLOOKUP(TEXT(C120,"ttt"),'ZD Vorerfassung'!$H$21:$L$36,6,0),0))+
IF('ZD Vorerfassung'!$E$27="",0,IF(AND(B120&gt;='ZD Vorerfassung'!$C$27,B120&lt;='ZD Vorerfassung'!$D$27),HLOOKUP(TEXT(C120,"ttt"),'ZD Vorerfassung'!$H$21:$L$36,7,0),0))+
IF('ZD Vorerfassung'!$E$28="",0,IF(AND(B120&gt;='ZD Vorerfassung'!$C$28,B120&lt;='ZD Vorerfassung'!$D$28),HLOOKUP(TEXT(C120,"ttt"),'ZD Vorerfassung'!$H$21:$L$36,8,0),0))+
IF('ZD Vorerfassung'!$E$29="",0,IF(AND(B120&gt;='ZD Vorerfassung'!$C$29,B120&lt;='ZD Vorerfassung'!$D$29),HLOOKUP(TEXT(C120,"ttt"),'ZD Vorerfassung'!$H$21:$L$36,9,0),0))+
IF('ZD Vorerfassung'!$E$30="",0,IF(AND(B120&gt;='ZD Vorerfassung'!$C$30,B120&lt;='ZD Vorerfassung'!$D$30),HLOOKUP(TEXT(C120,"ttt"),'ZD Vorerfassung'!$H$21:$L$36,10,0),0))+
IF('ZD Vorerfassung'!$E$31="",0,IF(AND(B120&gt;='ZD Vorerfassung'!$C$31,B120&lt;='ZD Vorerfassung'!$D$31),HLOOKUP(TEXT(C120,"ttt"),'ZD Vorerfassung'!$H$21:$L$36,11,0),0))+
IF('ZD Vorerfassung'!$E$32="",0,IF(AND(B120&gt;='ZD Vorerfassung'!$C$32,B120&lt;='ZD Vorerfassung'!$D$32),HLOOKUP(TEXT(C120,"ttt"),'ZD Vorerfassung'!$H$21:$L$36,12,0),0))+
IF('ZD Vorerfassung'!$E$33="",0,IF(AND(B120&gt;='ZD Vorerfassung'!$C$33,B120&lt;='ZD Vorerfassung'!$D$33),HLOOKUP(TEXT(C120,"ttt"),'ZD Vorerfassung'!$H$21:$L$36,13,0),0))+
IF('ZD Vorerfassung'!$E$34="",0,IF(AND(B120&gt;='ZD Vorerfassung'!$C$34,B120&lt;='ZD Vorerfassung'!$D$34),HLOOKUP(TEXT(C120,"ttt"),'ZD Vorerfassung'!$H$21:$L$36,14,0),0))+
IF('ZD Vorerfassung'!$E$35="",0,IF(AND(B120&gt;='ZD Vorerfassung'!$C$35,B120&lt;='ZD Vorerfassung'!$D$35),HLOOKUP(TEXT(C120,"ttt"),'ZD Vorerfassung'!$H$21:$L$36,15,0),0))+
IF('ZD Vorerfassung'!$E$36="",0,IF(AND(B120&gt;='ZD Vorerfassung'!$C$36,B120&lt;='ZD Vorerfassung'!$D$36),HLOOKUP(TEXT(C120,"ttt"),'ZD Vorerfassung'!$H$21:$L$36,16,0),0)),"")</f>
        <v/>
      </c>
      <c r="AW120" s="110">
        <f t="array" ref="AW120">IF(OR(D120="UU",D120="FT",D120="WE"),0,
IF(D120="NR",SUM(IF(B120&gt;=_xlfn.NUMBERVALUE('ZD Vorerfassung'!$C$22:$C$36),1,0)*IF(B120&lt;=_xlfn.NUMBERVALUE('ZD Vorerfassung'!$D$22:$D$36),1,0)*'ZD Vorerfassung'!$Q$22:$Q$36),
IF(OR(D120="SF",D120="FH"),SUM(IF(B120&gt;=_xlfn.NUMBERVALUE('ZD Vorerfassung'!$C$22:$C$36),1,0)*IF(B120&lt;=_xlfn.NUMBERVALUE('ZD Vorerfassung'!$D$22:$D$36),1,0)*'ZD Vorerfassung'!$R$22:$R$36*IF(D120="FH",0.5,1)),
"prüfen")))</f>
        <v>0</v>
      </c>
      <c r="AX120" s="110">
        <f t="array" ref="AX120">IF(OR(D120="UU",D120="FT",D120="WE",E120="Ferien"),0,
IF(D120="NR",SUM(IF(B120&gt;=_xlfn.NUMBERVALUE('ZD Vorerfassung'!$C$22:$C$36),1,0)*IF(B120&lt;=_xlfn.NUMBERVALUE('ZD Vorerfassung'!$D$22:$D$36),1,0)*'ZD Vorerfassung'!$W$22:$W$36),
IF(OR(D120="SF",D120="FH"),SUM(IF(B120&gt;=_xlfn.NUMBERVALUE('ZD Vorerfassung'!$C$22:$C$36),1,0)*IF(B120&lt;=_xlfn.NUMBERVALUE('ZD Vorerfassung'!$D$22:$D$36),1,0)*'ZD Vorerfassung'!$X$22:$X$36*IF(D120="FH",0.5,1)),
"prüfen")))</f>
        <v>0</v>
      </c>
      <c r="AY120" s="110">
        <f t="array" ref="AY120">IF(OR(D120="UU",D120="FT",D120="WE",E120="Ferien"),0,
IF(D120="NR",SUM(IF(B120&gt;=_xlfn.NUMBERVALUE('ZD Vorerfassung'!$C$22:$C$36),1,0)*IF(B120&lt;=_xlfn.NUMBERVALUE('ZD Vorerfassung'!$D$22:$D$36),1,0)*'ZD Vorerfassung'!$U$22:$U$36),
IF(OR(D120="SF",D120="FH"),SUM(IF(B120&gt;=_xlfn.NUMBERVALUE('ZD Vorerfassung'!$C$22:$C$36),1,0)*IF(B120&lt;=_xlfn.NUMBERVALUE('ZD Vorerfassung'!$D$22:$D$36),1,0)*'ZD Vorerfassung'!$V$22:$V$36*IF(D120="FH",0.5,1)),
"prüfen")))</f>
        <v>0</v>
      </c>
      <c r="AZ120" s="110">
        <f t="array" ref="AZ120">IF(OR(D120="UU",D120="FT",D120="WE",E120="Ferien"),0,
IF(D120="NR",SUM(IF(B120&gt;=_xlfn.NUMBERVALUE('ZD Vorerfassung'!$C$22:$C$36),1,0)*IF(B120&lt;=_xlfn.NUMBERVALUE('ZD Vorerfassung'!$D$22:$D$36),1,0)*'ZD Vorerfassung'!$S$22:$S$36),
IF(OR(D120="SF",D120="FH"),SUM(IF(B120&gt;=_xlfn.NUMBERVALUE('ZD Vorerfassung'!$C$22:$C$36),1,0)*IF(B120&lt;=_xlfn.NUMBERVALUE('ZD Vorerfassung'!$D$22:$D$36),1,0)*'ZD Vorerfassung'!$T$22:$T$36*IF(D120="FH",0.5,1)),
"prüfen")))</f>
        <v>0</v>
      </c>
      <c r="BA120" s="112">
        <f t="shared" si="20"/>
        <v>11</v>
      </c>
    </row>
    <row r="121" spans="2:53" ht="19.5" thickTop="1" thickBot="1" x14ac:dyDescent="0.3">
      <c r="B121" s="99">
        <f t="shared" si="17"/>
        <v>44886</v>
      </c>
      <c r="C121" s="100">
        <f t="shared" si="21"/>
        <v>44886</v>
      </c>
      <c r="D121" s="101" t="str">
        <f t="shared" si="22"/>
        <v>WE</v>
      </c>
      <c r="E121" s="102" t="str">
        <f t="shared" si="18"/>
        <v>Wochenende</v>
      </c>
      <c r="F121" s="103" t="str">
        <f t="shared" si="23"/>
        <v/>
      </c>
      <c r="G121" s="104" t="str">
        <f t="shared" si="24"/>
        <v/>
      </c>
      <c r="H121" s="104">
        <f>IFERROR(IF('ZD Vorerfassung'!$E$11="manuell",SUM(I121),IF(OR(E121="Feiertag",E121="Wochenende"),0,IF('ZD Vorerfassung'!$E$11="automatisch",AX121,IF(D121="UU","UU",IF(E121=Param2,AX121/24,IF(E121=Param9,AX121/48,"")))))),0)</f>
        <v>0</v>
      </c>
      <c r="I121" s="105"/>
      <c r="J121" s="106">
        <f>IF('ZD Vorerfassung'!$E$12="manuell",SUM(K121:AI121),IF(OR(E121="Feiertag",E121="Wochenende"),0,IF('ZD Vorerfassung'!$E$12="automatisch",AY121,IF(D121="UU","UU",IF(E121=Param2,AY121/24,IF(E121=Param9,AY121/48,""))))))</f>
        <v>0</v>
      </c>
      <c r="K121" s="105"/>
      <c r="L121" s="105"/>
      <c r="M121" s="105"/>
      <c r="N121" s="105"/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  <c r="AE121" s="105"/>
      <c r="AF121" s="105"/>
      <c r="AG121" s="105"/>
      <c r="AH121" s="105"/>
      <c r="AI121" s="105"/>
      <c r="AJ121" s="107">
        <f t="shared" si="25"/>
        <v>0</v>
      </c>
      <c r="AK121" s="105"/>
      <c r="AL121" s="105"/>
      <c r="AM121" s="105"/>
      <c r="AN121" s="105"/>
      <c r="AO121" s="105"/>
      <c r="AP121" s="105"/>
      <c r="AQ121" s="108">
        <f t="shared" si="26"/>
        <v>0</v>
      </c>
      <c r="AR121" s="108">
        <f t="shared" si="27"/>
        <v>0</v>
      </c>
      <c r="AS121" s="109">
        <f t="shared" si="28"/>
        <v>0</v>
      </c>
      <c r="AU121" s="110">
        <f t="shared" si="19"/>
        <v>0</v>
      </c>
      <c r="AV121" s="111" t="str">
        <f>IF(D121="NR",
IF('ZD Vorerfassung'!$E$22="",0,IF(AND(B121&gt;='ZD Vorerfassung'!$C$22,B121&lt;='ZD Vorerfassung'!$D$22),HLOOKUP(TEXT(C121,"ttt"),'ZD Vorerfassung'!$H$21:$L$36,2,0),0))+
IF('ZD Vorerfassung'!$E$23="",0,IF(AND(B121&gt;='ZD Vorerfassung'!$C$23,B121&lt;='ZD Vorerfassung'!$D$23),HLOOKUP(TEXT(C121,"ttt"),'ZD Vorerfassung'!$H$21:$L$36,3,0),0))+
IF('ZD Vorerfassung'!$E$24="",0,IF(AND(B121&gt;='ZD Vorerfassung'!$C$24,B121&lt;='ZD Vorerfassung'!$D$24),HLOOKUP(TEXT(C121,"ttt"),'ZD Vorerfassung'!$H$21:$L$36,4,0),0))+
IF('ZD Vorerfassung'!$E$25="",0,IF(AND(B121&gt;='ZD Vorerfassung'!$C$25,B121&lt;='ZD Vorerfassung'!$D$25),HLOOKUP(TEXT(C121,"ttt"),'ZD Vorerfassung'!$H$21:$L$36,5,0),0))+
IF('ZD Vorerfassung'!$E$26="",0,IF(AND(B121&gt;='ZD Vorerfassung'!$C$26,B121&lt;='ZD Vorerfassung'!$D$26),HLOOKUP(TEXT(C121,"ttt"),'ZD Vorerfassung'!$H$21:$L$36,6,0),0))+
IF('ZD Vorerfassung'!$E$27="",0,IF(AND(B121&gt;='ZD Vorerfassung'!$C$27,B121&lt;='ZD Vorerfassung'!$D$27),HLOOKUP(TEXT(C121,"ttt"),'ZD Vorerfassung'!$H$21:$L$36,7,0),0))+
IF('ZD Vorerfassung'!$E$28="",0,IF(AND(B121&gt;='ZD Vorerfassung'!$C$28,B121&lt;='ZD Vorerfassung'!$D$28),HLOOKUP(TEXT(C121,"ttt"),'ZD Vorerfassung'!$H$21:$L$36,8,0),0))+
IF('ZD Vorerfassung'!$E$29="",0,IF(AND(B121&gt;='ZD Vorerfassung'!$C$29,B121&lt;='ZD Vorerfassung'!$D$29),HLOOKUP(TEXT(C121,"ttt"),'ZD Vorerfassung'!$H$21:$L$36,9,0),0))+
IF('ZD Vorerfassung'!$E$30="",0,IF(AND(B121&gt;='ZD Vorerfassung'!$C$30,B121&lt;='ZD Vorerfassung'!$D$30),HLOOKUP(TEXT(C121,"ttt"),'ZD Vorerfassung'!$H$21:$L$36,10,0),0))+
IF('ZD Vorerfassung'!$E$31="",0,IF(AND(B121&gt;='ZD Vorerfassung'!$C$31,B121&lt;='ZD Vorerfassung'!$D$31),HLOOKUP(TEXT(C121,"ttt"),'ZD Vorerfassung'!$H$21:$L$36,11,0),0))+
IF('ZD Vorerfassung'!$E$32="",0,IF(AND(B121&gt;='ZD Vorerfassung'!$C$32,B121&lt;='ZD Vorerfassung'!$D$32),HLOOKUP(TEXT(C121,"ttt"),'ZD Vorerfassung'!$H$21:$L$36,12,0),0))+
IF('ZD Vorerfassung'!$E$33="",0,IF(AND(B121&gt;='ZD Vorerfassung'!$C$33,B121&lt;='ZD Vorerfassung'!$D$33),HLOOKUP(TEXT(C121,"ttt"),'ZD Vorerfassung'!$H$21:$L$36,13,0),0))+
IF('ZD Vorerfassung'!$E$34="",0,IF(AND(B121&gt;='ZD Vorerfassung'!$C$34,B121&lt;='ZD Vorerfassung'!$D$34),HLOOKUP(TEXT(C121,"ttt"),'ZD Vorerfassung'!$H$21:$L$36,14,0),0))+
IF('ZD Vorerfassung'!$E$35="",0,IF(AND(B121&gt;='ZD Vorerfassung'!$C$35,B121&lt;='ZD Vorerfassung'!$D$35),HLOOKUP(TEXT(C121,"ttt"),'ZD Vorerfassung'!$H$21:$L$36,15,0),0))+
IF('ZD Vorerfassung'!$E$36="",0,IF(AND(B121&gt;='ZD Vorerfassung'!$C$36,B121&lt;='ZD Vorerfassung'!$D$36),HLOOKUP(TEXT(C121,"ttt"),'ZD Vorerfassung'!$H$21:$L$36,16,0),0)),"")</f>
        <v/>
      </c>
      <c r="AW121" s="110">
        <f t="array" ref="AW121">IF(OR(D121="UU",D121="FT",D121="WE"),0,
IF(D121="NR",SUM(IF(B121&gt;=_xlfn.NUMBERVALUE('ZD Vorerfassung'!$C$22:$C$36),1,0)*IF(B121&lt;=_xlfn.NUMBERVALUE('ZD Vorerfassung'!$D$22:$D$36),1,0)*'ZD Vorerfassung'!$Q$22:$Q$36),
IF(OR(D121="SF",D121="FH"),SUM(IF(B121&gt;=_xlfn.NUMBERVALUE('ZD Vorerfassung'!$C$22:$C$36),1,0)*IF(B121&lt;=_xlfn.NUMBERVALUE('ZD Vorerfassung'!$D$22:$D$36),1,0)*'ZD Vorerfassung'!$R$22:$R$36*IF(D121="FH",0.5,1)),
"prüfen")))</f>
        <v>0</v>
      </c>
      <c r="AX121" s="110">
        <f t="array" ref="AX121">IF(OR(D121="UU",D121="FT",D121="WE",E121="Ferien"),0,
IF(D121="NR",SUM(IF(B121&gt;=_xlfn.NUMBERVALUE('ZD Vorerfassung'!$C$22:$C$36),1,0)*IF(B121&lt;=_xlfn.NUMBERVALUE('ZD Vorerfassung'!$D$22:$D$36),1,0)*'ZD Vorerfassung'!$W$22:$W$36),
IF(OR(D121="SF",D121="FH"),SUM(IF(B121&gt;=_xlfn.NUMBERVALUE('ZD Vorerfassung'!$C$22:$C$36),1,0)*IF(B121&lt;=_xlfn.NUMBERVALUE('ZD Vorerfassung'!$D$22:$D$36),1,0)*'ZD Vorerfassung'!$X$22:$X$36*IF(D121="FH",0.5,1)),
"prüfen")))</f>
        <v>0</v>
      </c>
      <c r="AY121" s="110">
        <f t="array" ref="AY121">IF(OR(D121="UU",D121="FT",D121="WE",E121="Ferien"),0,
IF(D121="NR",SUM(IF(B121&gt;=_xlfn.NUMBERVALUE('ZD Vorerfassung'!$C$22:$C$36),1,0)*IF(B121&lt;=_xlfn.NUMBERVALUE('ZD Vorerfassung'!$D$22:$D$36),1,0)*'ZD Vorerfassung'!$U$22:$U$36),
IF(OR(D121="SF",D121="FH"),SUM(IF(B121&gt;=_xlfn.NUMBERVALUE('ZD Vorerfassung'!$C$22:$C$36),1,0)*IF(B121&lt;=_xlfn.NUMBERVALUE('ZD Vorerfassung'!$D$22:$D$36),1,0)*'ZD Vorerfassung'!$V$22:$V$36*IF(D121="FH",0.5,1)),
"prüfen")))</f>
        <v>0</v>
      </c>
      <c r="AZ121" s="110">
        <f t="array" ref="AZ121">IF(OR(D121="UU",D121="FT",D121="WE",E121="Ferien"),0,
IF(D121="NR",SUM(IF(B121&gt;=_xlfn.NUMBERVALUE('ZD Vorerfassung'!$C$22:$C$36),1,0)*IF(B121&lt;=_xlfn.NUMBERVALUE('ZD Vorerfassung'!$D$22:$D$36),1,0)*'ZD Vorerfassung'!$S$22:$S$36),
IF(OR(D121="SF",D121="FH"),SUM(IF(B121&gt;=_xlfn.NUMBERVALUE('ZD Vorerfassung'!$C$22:$C$36),1,0)*IF(B121&lt;=_xlfn.NUMBERVALUE('ZD Vorerfassung'!$D$22:$D$36),1,0)*'ZD Vorerfassung'!$T$22:$T$36*IF(D121="FH",0.5,1)),
"prüfen")))</f>
        <v>0</v>
      </c>
      <c r="BA121" s="112">
        <f t="shared" si="20"/>
        <v>11</v>
      </c>
    </row>
    <row r="122" spans="2:53" ht="19.5" thickTop="1" thickBot="1" x14ac:dyDescent="0.3">
      <c r="B122" s="99">
        <f t="shared" si="17"/>
        <v>44887</v>
      </c>
      <c r="C122" s="100">
        <f t="shared" si="21"/>
        <v>44887</v>
      </c>
      <c r="D122" s="101" t="str">
        <f t="shared" si="22"/>
        <v>NR</v>
      </c>
      <c r="E122" s="102" t="str">
        <f t="shared" si="18"/>
        <v>Unterrichtstag</v>
      </c>
      <c r="F122" s="103">
        <f t="shared" si="23"/>
        <v>0</v>
      </c>
      <c r="G122" s="104">
        <f t="shared" si="24"/>
        <v>0</v>
      </c>
      <c r="H122" s="104">
        <f>IFERROR(IF('ZD Vorerfassung'!$E$11="manuell",SUM(I122),IF(OR(E122="Feiertag",E122="Wochenende"),0,IF('ZD Vorerfassung'!$E$11="automatisch",AX122,IF(D122="UU","UU",IF(E122=Param2,AX122/24,IF(E122=Param9,AX122/48,"")))))),0)</f>
        <v>0</v>
      </c>
      <c r="I122" s="105"/>
      <c r="J122" s="106">
        <f>IF('ZD Vorerfassung'!$E$12="manuell",SUM(K122:AI122),IF(OR(E122="Feiertag",E122="Wochenende"),0,IF('ZD Vorerfassung'!$E$12="automatisch",AY122,IF(D122="UU","UU",IF(E122=Param2,AY122/24,IF(E122=Param9,AY122/48,""))))))</f>
        <v>0</v>
      </c>
      <c r="K122" s="105"/>
      <c r="L122" s="105"/>
      <c r="M122" s="105"/>
      <c r="N122" s="105"/>
      <c r="O122" s="105"/>
      <c r="P122" s="105"/>
      <c r="Q122" s="105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  <c r="AE122" s="105"/>
      <c r="AF122" s="105"/>
      <c r="AG122" s="105"/>
      <c r="AH122" s="105"/>
      <c r="AI122" s="105"/>
      <c r="AJ122" s="107">
        <f t="shared" si="25"/>
        <v>0</v>
      </c>
      <c r="AK122" s="105"/>
      <c r="AL122" s="105"/>
      <c r="AM122" s="105"/>
      <c r="AN122" s="105"/>
      <c r="AO122" s="105"/>
      <c r="AP122" s="105"/>
      <c r="AQ122" s="108">
        <f t="shared" si="26"/>
        <v>0</v>
      </c>
      <c r="AR122" s="108">
        <f t="shared" si="27"/>
        <v>0</v>
      </c>
      <c r="AS122" s="109">
        <f t="shared" si="28"/>
        <v>0</v>
      </c>
      <c r="AU122" s="110">
        <f t="shared" si="19"/>
        <v>0</v>
      </c>
      <c r="AV122" s="111">
        <f>IF(D122="NR",
IF('ZD Vorerfassung'!$E$22="",0,IF(AND(B122&gt;='ZD Vorerfassung'!$C$22,B122&lt;='ZD Vorerfassung'!$D$22),HLOOKUP(TEXT(C122,"ttt"),'ZD Vorerfassung'!$H$21:$L$36,2,0),0))+
IF('ZD Vorerfassung'!$E$23="",0,IF(AND(B122&gt;='ZD Vorerfassung'!$C$23,B122&lt;='ZD Vorerfassung'!$D$23),HLOOKUP(TEXT(C122,"ttt"),'ZD Vorerfassung'!$H$21:$L$36,3,0),0))+
IF('ZD Vorerfassung'!$E$24="",0,IF(AND(B122&gt;='ZD Vorerfassung'!$C$24,B122&lt;='ZD Vorerfassung'!$D$24),HLOOKUP(TEXT(C122,"ttt"),'ZD Vorerfassung'!$H$21:$L$36,4,0),0))+
IF('ZD Vorerfassung'!$E$25="",0,IF(AND(B122&gt;='ZD Vorerfassung'!$C$25,B122&lt;='ZD Vorerfassung'!$D$25),HLOOKUP(TEXT(C122,"ttt"),'ZD Vorerfassung'!$H$21:$L$36,5,0),0))+
IF('ZD Vorerfassung'!$E$26="",0,IF(AND(B122&gt;='ZD Vorerfassung'!$C$26,B122&lt;='ZD Vorerfassung'!$D$26),HLOOKUP(TEXT(C122,"ttt"),'ZD Vorerfassung'!$H$21:$L$36,6,0),0))+
IF('ZD Vorerfassung'!$E$27="",0,IF(AND(B122&gt;='ZD Vorerfassung'!$C$27,B122&lt;='ZD Vorerfassung'!$D$27),HLOOKUP(TEXT(C122,"ttt"),'ZD Vorerfassung'!$H$21:$L$36,7,0),0))+
IF('ZD Vorerfassung'!$E$28="",0,IF(AND(B122&gt;='ZD Vorerfassung'!$C$28,B122&lt;='ZD Vorerfassung'!$D$28),HLOOKUP(TEXT(C122,"ttt"),'ZD Vorerfassung'!$H$21:$L$36,8,0),0))+
IF('ZD Vorerfassung'!$E$29="",0,IF(AND(B122&gt;='ZD Vorerfassung'!$C$29,B122&lt;='ZD Vorerfassung'!$D$29),HLOOKUP(TEXT(C122,"ttt"),'ZD Vorerfassung'!$H$21:$L$36,9,0),0))+
IF('ZD Vorerfassung'!$E$30="",0,IF(AND(B122&gt;='ZD Vorerfassung'!$C$30,B122&lt;='ZD Vorerfassung'!$D$30),HLOOKUP(TEXT(C122,"ttt"),'ZD Vorerfassung'!$H$21:$L$36,10,0),0))+
IF('ZD Vorerfassung'!$E$31="",0,IF(AND(B122&gt;='ZD Vorerfassung'!$C$31,B122&lt;='ZD Vorerfassung'!$D$31),HLOOKUP(TEXT(C122,"ttt"),'ZD Vorerfassung'!$H$21:$L$36,11,0),0))+
IF('ZD Vorerfassung'!$E$32="",0,IF(AND(B122&gt;='ZD Vorerfassung'!$C$32,B122&lt;='ZD Vorerfassung'!$D$32),HLOOKUP(TEXT(C122,"ttt"),'ZD Vorerfassung'!$H$21:$L$36,12,0),0))+
IF('ZD Vorerfassung'!$E$33="",0,IF(AND(B122&gt;='ZD Vorerfassung'!$C$33,B122&lt;='ZD Vorerfassung'!$D$33),HLOOKUP(TEXT(C122,"ttt"),'ZD Vorerfassung'!$H$21:$L$36,13,0),0))+
IF('ZD Vorerfassung'!$E$34="",0,IF(AND(B122&gt;='ZD Vorerfassung'!$C$34,B122&lt;='ZD Vorerfassung'!$D$34),HLOOKUP(TEXT(C122,"ttt"),'ZD Vorerfassung'!$H$21:$L$36,14,0),0))+
IF('ZD Vorerfassung'!$E$35="",0,IF(AND(B122&gt;='ZD Vorerfassung'!$C$35,B122&lt;='ZD Vorerfassung'!$D$35),HLOOKUP(TEXT(C122,"ttt"),'ZD Vorerfassung'!$H$21:$L$36,15,0),0))+
IF('ZD Vorerfassung'!$E$36="",0,IF(AND(B122&gt;='ZD Vorerfassung'!$C$36,B122&lt;='ZD Vorerfassung'!$D$36),HLOOKUP(TEXT(C122,"ttt"),'ZD Vorerfassung'!$H$21:$L$36,16,0),0)),"")</f>
        <v>0</v>
      </c>
      <c r="AW122" s="110">
        <f t="array" ref="AW122">IF(OR(D122="UU",D122="FT",D122="WE"),0,
IF(D122="NR",SUM(IF(B122&gt;=_xlfn.NUMBERVALUE('ZD Vorerfassung'!$C$22:$C$36),1,0)*IF(B122&lt;=_xlfn.NUMBERVALUE('ZD Vorerfassung'!$D$22:$D$36),1,0)*'ZD Vorerfassung'!$Q$22:$Q$36),
IF(OR(D122="SF",D122="FH"),SUM(IF(B122&gt;=_xlfn.NUMBERVALUE('ZD Vorerfassung'!$C$22:$C$36),1,0)*IF(B122&lt;=_xlfn.NUMBERVALUE('ZD Vorerfassung'!$D$22:$D$36),1,0)*'ZD Vorerfassung'!$R$22:$R$36*IF(D122="FH",0.5,1)),
"prüfen")))</f>
        <v>0</v>
      </c>
      <c r="AX122" s="110">
        <f t="array" ref="AX122">IF(OR(D122="UU",D122="FT",D122="WE",E122="Ferien"),0,
IF(D122="NR",SUM(IF(B122&gt;=_xlfn.NUMBERVALUE('ZD Vorerfassung'!$C$22:$C$36),1,0)*IF(B122&lt;=_xlfn.NUMBERVALUE('ZD Vorerfassung'!$D$22:$D$36),1,0)*'ZD Vorerfassung'!$W$22:$W$36),
IF(OR(D122="SF",D122="FH"),SUM(IF(B122&gt;=_xlfn.NUMBERVALUE('ZD Vorerfassung'!$C$22:$C$36),1,0)*IF(B122&lt;=_xlfn.NUMBERVALUE('ZD Vorerfassung'!$D$22:$D$36),1,0)*'ZD Vorerfassung'!$X$22:$X$36*IF(D122="FH",0.5,1)),
"prüfen")))</f>
        <v>0</v>
      </c>
      <c r="AY122" s="110">
        <f t="array" ref="AY122">IF(OR(D122="UU",D122="FT",D122="WE",E122="Ferien"),0,
IF(D122="NR",SUM(IF(B122&gt;=_xlfn.NUMBERVALUE('ZD Vorerfassung'!$C$22:$C$36),1,0)*IF(B122&lt;=_xlfn.NUMBERVALUE('ZD Vorerfassung'!$D$22:$D$36),1,0)*'ZD Vorerfassung'!$U$22:$U$36),
IF(OR(D122="SF",D122="FH"),SUM(IF(B122&gt;=_xlfn.NUMBERVALUE('ZD Vorerfassung'!$C$22:$C$36),1,0)*IF(B122&lt;=_xlfn.NUMBERVALUE('ZD Vorerfassung'!$D$22:$D$36),1,0)*'ZD Vorerfassung'!$V$22:$V$36*IF(D122="FH",0.5,1)),
"prüfen")))</f>
        <v>0</v>
      </c>
      <c r="AZ122" s="110">
        <f t="array" ref="AZ122">IF(OR(D122="UU",D122="FT",D122="WE",E122="Ferien"),0,
IF(D122="NR",SUM(IF(B122&gt;=_xlfn.NUMBERVALUE('ZD Vorerfassung'!$C$22:$C$36),1,0)*IF(B122&lt;=_xlfn.NUMBERVALUE('ZD Vorerfassung'!$D$22:$D$36),1,0)*'ZD Vorerfassung'!$S$22:$S$36),
IF(OR(D122="SF",D122="FH"),SUM(IF(B122&gt;=_xlfn.NUMBERVALUE('ZD Vorerfassung'!$C$22:$C$36),1,0)*IF(B122&lt;=_xlfn.NUMBERVALUE('ZD Vorerfassung'!$D$22:$D$36),1,0)*'ZD Vorerfassung'!$T$22:$T$36*IF(D122="FH",0.5,1)),
"prüfen")))</f>
        <v>0</v>
      </c>
      <c r="BA122" s="112">
        <f t="shared" si="20"/>
        <v>11</v>
      </c>
    </row>
    <row r="123" spans="2:53" ht="19.5" thickTop="1" thickBot="1" x14ac:dyDescent="0.3">
      <c r="B123" s="99">
        <f t="shared" si="17"/>
        <v>44888</v>
      </c>
      <c r="C123" s="100">
        <f t="shared" si="21"/>
        <v>44888</v>
      </c>
      <c r="D123" s="101" t="str">
        <f t="shared" si="22"/>
        <v>NR</v>
      </c>
      <c r="E123" s="102" t="str">
        <f t="shared" si="18"/>
        <v>Unterrichtstag</v>
      </c>
      <c r="F123" s="103">
        <f t="shared" si="23"/>
        <v>0</v>
      </c>
      <c r="G123" s="104">
        <f t="shared" si="24"/>
        <v>0</v>
      </c>
      <c r="H123" s="104">
        <f>IFERROR(IF('ZD Vorerfassung'!$E$11="manuell",SUM(I123),IF(OR(E123="Feiertag",E123="Wochenende"),0,IF('ZD Vorerfassung'!$E$11="automatisch",AX123,IF(D123="UU","UU",IF(E123=Param2,AX123/24,IF(E123=Param9,AX123/48,"")))))),0)</f>
        <v>0</v>
      </c>
      <c r="I123" s="105"/>
      <c r="J123" s="106">
        <f>IF('ZD Vorerfassung'!$E$12="manuell",SUM(K123:AI123),IF(OR(E123="Feiertag",E123="Wochenende"),0,IF('ZD Vorerfassung'!$E$12="automatisch",AY123,IF(D123="UU","UU",IF(E123=Param2,AY123/24,IF(E123=Param9,AY123/48,""))))))</f>
        <v>0</v>
      </c>
      <c r="K123" s="105"/>
      <c r="L123" s="105"/>
      <c r="M123" s="105"/>
      <c r="N123" s="105"/>
      <c r="O123" s="105"/>
      <c r="P123" s="105"/>
      <c r="Q123" s="105"/>
      <c r="R123" s="105"/>
      <c r="S123" s="105"/>
      <c r="T123" s="105"/>
      <c r="U123" s="105"/>
      <c r="V123" s="105"/>
      <c r="W123" s="105"/>
      <c r="X123" s="105"/>
      <c r="Y123" s="105"/>
      <c r="Z123" s="105"/>
      <c r="AA123" s="105"/>
      <c r="AB123" s="105"/>
      <c r="AC123" s="105"/>
      <c r="AD123" s="105"/>
      <c r="AE123" s="105"/>
      <c r="AF123" s="105"/>
      <c r="AG123" s="105"/>
      <c r="AH123" s="105"/>
      <c r="AI123" s="105"/>
      <c r="AJ123" s="107">
        <f t="shared" si="25"/>
        <v>0</v>
      </c>
      <c r="AK123" s="105"/>
      <c r="AL123" s="105"/>
      <c r="AM123" s="105"/>
      <c r="AN123" s="105"/>
      <c r="AO123" s="105"/>
      <c r="AP123" s="105"/>
      <c r="AQ123" s="108">
        <f t="shared" si="26"/>
        <v>0</v>
      </c>
      <c r="AR123" s="108">
        <f t="shared" si="27"/>
        <v>0</v>
      </c>
      <c r="AS123" s="109">
        <f t="shared" si="28"/>
        <v>0</v>
      </c>
      <c r="AU123" s="110">
        <f t="shared" si="19"/>
        <v>0</v>
      </c>
      <c r="AV123" s="111">
        <f>IF(D123="NR",
IF('ZD Vorerfassung'!$E$22="",0,IF(AND(B123&gt;='ZD Vorerfassung'!$C$22,B123&lt;='ZD Vorerfassung'!$D$22),HLOOKUP(TEXT(C123,"ttt"),'ZD Vorerfassung'!$H$21:$L$36,2,0),0))+
IF('ZD Vorerfassung'!$E$23="",0,IF(AND(B123&gt;='ZD Vorerfassung'!$C$23,B123&lt;='ZD Vorerfassung'!$D$23),HLOOKUP(TEXT(C123,"ttt"),'ZD Vorerfassung'!$H$21:$L$36,3,0),0))+
IF('ZD Vorerfassung'!$E$24="",0,IF(AND(B123&gt;='ZD Vorerfassung'!$C$24,B123&lt;='ZD Vorerfassung'!$D$24),HLOOKUP(TEXT(C123,"ttt"),'ZD Vorerfassung'!$H$21:$L$36,4,0),0))+
IF('ZD Vorerfassung'!$E$25="",0,IF(AND(B123&gt;='ZD Vorerfassung'!$C$25,B123&lt;='ZD Vorerfassung'!$D$25),HLOOKUP(TEXT(C123,"ttt"),'ZD Vorerfassung'!$H$21:$L$36,5,0),0))+
IF('ZD Vorerfassung'!$E$26="",0,IF(AND(B123&gt;='ZD Vorerfassung'!$C$26,B123&lt;='ZD Vorerfassung'!$D$26),HLOOKUP(TEXT(C123,"ttt"),'ZD Vorerfassung'!$H$21:$L$36,6,0),0))+
IF('ZD Vorerfassung'!$E$27="",0,IF(AND(B123&gt;='ZD Vorerfassung'!$C$27,B123&lt;='ZD Vorerfassung'!$D$27),HLOOKUP(TEXT(C123,"ttt"),'ZD Vorerfassung'!$H$21:$L$36,7,0),0))+
IF('ZD Vorerfassung'!$E$28="",0,IF(AND(B123&gt;='ZD Vorerfassung'!$C$28,B123&lt;='ZD Vorerfassung'!$D$28),HLOOKUP(TEXT(C123,"ttt"),'ZD Vorerfassung'!$H$21:$L$36,8,0),0))+
IF('ZD Vorerfassung'!$E$29="",0,IF(AND(B123&gt;='ZD Vorerfassung'!$C$29,B123&lt;='ZD Vorerfassung'!$D$29),HLOOKUP(TEXT(C123,"ttt"),'ZD Vorerfassung'!$H$21:$L$36,9,0),0))+
IF('ZD Vorerfassung'!$E$30="",0,IF(AND(B123&gt;='ZD Vorerfassung'!$C$30,B123&lt;='ZD Vorerfassung'!$D$30),HLOOKUP(TEXT(C123,"ttt"),'ZD Vorerfassung'!$H$21:$L$36,10,0),0))+
IF('ZD Vorerfassung'!$E$31="",0,IF(AND(B123&gt;='ZD Vorerfassung'!$C$31,B123&lt;='ZD Vorerfassung'!$D$31),HLOOKUP(TEXT(C123,"ttt"),'ZD Vorerfassung'!$H$21:$L$36,11,0),0))+
IF('ZD Vorerfassung'!$E$32="",0,IF(AND(B123&gt;='ZD Vorerfassung'!$C$32,B123&lt;='ZD Vorerfassung'!$D$32),HLOOKUP(TEXT(C123,"ttt"),'ZD Vorerfassung'!$H$21:$L$36,12,0),0))+
IF('ZD Vorerfassung'!$E$33="",0,IF(AND(B123&gt;='ZD Vorerfassung'!$C$33,B123&lt;='ZD Vorerfassung'!$D$33),HLOOKUP(TEXT(C123,"ttt"),'ZD Vorerfassung'!$H$21:$L$36,13,0),0))+
IF('ZD Vorerfassung'!$E$34="",0,IF(AND(B123&gt;='ZD Vorerfassung'!$C$34,B123&lt;='ZD Vorerfassung'!$D$34),HLOOKUP(TEXT(C123,"ttt"),'ZD Vorerfassung'!$H$21:$L$36,14,0),0))+
IF('ZD Vorerfassung'!$E$35="",0,IF(AND(B123&gt;='ZD Vorerfassung'!$C$35,B123&lt;='ZD Vorerfassung'!$D$35),HLOOKUP(TEXT(C123,"ttt"),'ZD Vorerfassung'!$H$21:$L$36,15,0),0))+
IF('ZD Vorerfassung'!$E$36="",0,IF(AND(B123&gt;='ZD Vorerfassung'!$C$36,B123&lt;='ZD Vorerfassung'!$D$36),HLOOKUP(TEXT(C123,"ttt"),'ZD Vorerfassung'!$H$21:$L$36,16,0),0)),"")</f>
        <v>0</v>
      </c>
      <c r="AW123" s="110">
        <f t="array" ref="AW123">IF(OR(D123="UU",D123="FT",D123="WE"),0,
IF(D123="NR",SUM(IF(B123&gt;=_xlfn.NUMBERVALUE('ZD Vorerfassung'!$C$22:$C$36),1,0)*IF(B123&lt;=_xlfn.NUMBERVALUE('ZD Vorerfassung'!$D$22:$D$36),1,0)*'ZD Vorerfassung'!$Q$22:$Q$36),
IF(OR(D123="SF",D123="FH"),SUM(IF(B123&gt;=_xlfn.NUMBERVALUE('ZD Vorerfassung'!$C$22:$C$36),1,0)*IF(B123&lt;=_xlfn.NUMBERVALUE('ZD Vorerfassung'!$D$22:$D$36),1,0)*'ZD Vorerfassung'!$R$22:$R$36*IF(D123="FH",0.5,1)),
"prüfen")))</f>
        <v>0</v>
      </c>
      <c r="AX123" s="110">
        <f t="array" ref="AX123">IF(OR(D123="UU",D123="FT",D123="WE",E123="Ferien"),0,
IF(D123="NR",SUM(IF(B123&gt;=_xlfn.NUMBERVALUE('ZD Vorerfassung'!$C$22:$C$36),1,0)*IF(B123&lt;=_xlfn.NUMBERVALUE('ZD Vorerfassung'!$D$22:$D$36),1,0)*'ZD Vorerfassung'!$W$22:$W$36),
IF(OR(D123="SF",D123="FH"),SUM(IF(B123&gt;=_xlfn.NUMBERVALUE('ZD Vorerfassung'!$C$22:$C$36),1,0)*IF(B123&lt;=_xlfn.NUMBERVALUE('ZD Vorerfassung'!$D$22:$D$36),1,0)*'ZD Vorerfassung'!$X$22:$X$36*IF(D123="FH",0.5,1)),
"prüfen")))</f>
        <v>0</v>
      </c>
      <c r="AY123" s="110">
        <f t="array" ref="AY123">IF(OR(D123="UU",D123="FT",D123="WE",E123="Ferien"),0,
IF(D123="NR",SUM(IF(B123&gt;=_xlfn.NUMBERVALUE('ZD Vorerfassung'!$C$22:$C$36),1,0)*IF(B123&lt;=_xlfn.NUMBERVALUE('ZD Vorerfassung'!$D$22:$D$36),1,0)*'ZD Vorerfassung'!$U$22:$U$36),
IF(OR(D123="SF",D123="FH"),SUM(IF(B123&gt;=_xlfn.NUMBERVALUE('ZD Vorerfassung'!$C$22:$C$36),1,0)*IF(B123&lt;=_xlfn.NUMBERVALUE('ZD Vorerfassung'!$D$22:$D$36),1,0)*'ZD Vorerfassung'!$V$22:$V$36*IF(D123="FH",0.5,1)),
"prüfen")))</f>
        <v>0</v>
      </c>
      <c r="AZ123" s="110">
        <f t="array" ref="AZ123">IF(OR(D123="UU",D123="FT",D123="WE",E123="Ferien"),0,
IF(D123="NR",SUM(IF(B123&gt;=_xlfn.NUMBERVALUE('ZD Vorerfassung'!$C$22:$C$36),1,0)*IF(B123&lt;=_xlfn.NUMBERVALUE('ZD Vorerfassung'!$D$22:$D$36),1,0)*'ZD Vorerfassung'!$S$22:$S$36),
IF(OR(D123="SF",D123="FH"),SUM(IF(B123&gt;=_xlfn.NUMBERVALUE('ZD Vorerfassung'!$C$22:$C$36),1,0)*IF(B123&lt;=_xlfn.NUMBERVALUE('ZD Vorerfassung'!$D$22:$D$36),1,0)*'ZD Vorerfassung'!$T$22:$T$36*IF(D123="FH",0.5,1)),
"prüfen")))</f>
        <v>0</v>
      </c>
      <c r="BA123" s="112">
        <f t="shared" si="20"/>
        <v>11</v>
      </c>
    </row>
    <row r="124" spans="2:53" ht="19.5" thickTop="1" thickBot="1" x14ac:dyDescent="0.3">
      <c r="B124" s="99">
        <f t="shared" si="17"/>
        <v>44889</v>
      </c>
      <c r="C124" s="100">
        <f t="shared" si="21"/>
        <v>44889</v>
      </c>
      <c r="D124" s="101" t="str">
        <f t="shared" si="22"/>
        <v>NR</v>
      </c>
      <c r="E124" s="102" t="str">
        <f t="shared" si="18"/>
        <v>Unterrichtstag</v>
      </c>
      <c r="F124" s="103">
        <f t="shared" si="23"/>
        <v>0</v>
      </c>
      <c r="G124" s="104">
        <f t="shared" si="24"/>
        <v>0</v>
      </c>
      <c r="H124" s="104">
        <f>IFERROR(IF('ZD Vorerfassung'!$E$11="manuell",SUM(I124),IF(OR(E124="Feiertag",E124="Wochenende"),0,IF('ZD Vorerfassung'!$E$11="automatisch",AX124,IF(D124="UU","UU",IF(E124=Param2,AX124/24,IF(E124=Param9,AX124/48,"")))))),0)</f>
        <v>0</v>
      </c>
      <c r="I124" s="105"/>
      <c r="J124" s="106">
        <f>IF('ZD Vorerfassung'!$E$12="manuell",SUM(K124:AI124),IF(OR(E124="Feiertag",E124="Wochenende"),0,IF('ZD Vorerfassung'!$E$12="automatisch",AY124,IF(D124="UU","UU",IF(E124=Param2,AY124/24,IF(E124=Param9,AY124/48,""))))))</f>
        <v>0</v>
      </c>
      <c r="K124" s="105"/>
      <c r="L124" s="105"/>
      <c r="M124" s="105"/>
      <c r="N124" s="105"/>
      <c r="O124" s="105"/>
      <c r="P124" s="105"/>
      <c r="Q124" s="105"/>
      <c r="R124" s="105"/>
      <c r="S124" s="105"/>
      <c r="T124" s="105"/>
      <c r="U124" s="105"/>
      <c r="V124" s="105"/>
      <c r="W124" s="105"/>
      <c r="X124" s="105"/>
      <c r="Y124" s="105"/>
      <c r="Z124" s="105"/>
      <c r="AA124" s="105"/>
      <c r="AB124" s="105"/>
      <c r="AC124" s="105"/>
      <c r="AD124" s="105"/>
      <c r="AE124" s="105"/>
      <c r="AF124" s="105"/>
      <c r="AG124" s="105"/>
      <c r="AH124" s="105"/>
      <c r="AI124" s="105"/>
      <c r="AJ124" s="107">
        <f t="shared" si="25"/>
        <v>0</v>
      </c>
      <c r="AK124" s="105"/>
      <c r="AL124" s="105"/>
      <c r="AM124" s="105"/>
      <c r="AN124" s="105"/>
      <c r="AO124" s="105"/>
      <c r="AP124" s="105"/>
      <c r="AQ124" s="108">
        <f t="shared" si="26"/>
        <v>0</v>
      </c>
      <c r="AR124" s="108">
        <f t="shared" si="27"/>
        <v>0</v>
      </c>
      <c r="AS124" s="109">
        <f t="shared" si="28"/>
        <v>0</v>
      </c>
      <c r="AU124" s="110">
        <f t="shared" si="19"/>
        <v>0</v>
      </c>
      <c r="AV124" s="111">
        <f>IF(D124="NR",
IF('ZD Vorerfassung'!$E$22="",0,IF(AND(B124&gt;='ZD Vorerfassung'!$C$22,B124&lt;='ZD Vorerfassung'!$D$22),HLOOKUP(TEXT(C124,"ttt"),'ZD Vorerfassung'!$H$21:$L$36,2,0),0))+
IF('ZD Vorerfassung'!$E$23="",0,IF(AND(B124&gt;='ZD Vorerfassung'!$C$23,B124&lt;='ZD Vorerfassung'!$D$23),HLOOKUP(TEXT(C124,"ttt"),'ZD Vorerfassung'!$H$21:$L$36,3,0),0))+
IF('ZD Vorerfassung'!$E$24="",0,IF(AND(B124&gt;='ZD Vorerfassung'!$C$24,B124&lt;='ZD Vorerfassung'!$D$24),HLOOKUP(TEXT(C124,"ttt"),'ZD Vorerfassung'!$H$21:$L$36,4,0),0))+
IF('ZD Vorerfassung'!$E$25="",0,IF(AND(B124&gt;='ZD Vorerfassung'!$C$25,B124&lt;='ZD Vorerfassung'!$D$25),HLOOKUP(TEXT(C124,"ttt"),'ZD Vorerfassung'!$H$21:$L$36,5,0),0))+
IF('ZD Vorerfassung'!$E$26="",0,IF(AND(B124&gt;='ZD Vorerfassung'!$C$26,B124&lt;='ZD Vorerfassung'!$D$26),HLOOKUP(TEXT(C124,"ttt"),'ZD Vorerfassung'!$H$21:$L$36,6,0),0))+
IF('ZD Vorerfassung'!$E$27="",0,IF(AND(B124&gt;='ZD Vorerfassung'!$C$27,B124&lt;='ZD Vorerfassung'!$D$27),HLOOKUP(TEXT(C124,"ttt"),'ZD Vorerfassung'!$H$21:$L$36,7,0),0))+
IF('ZD Vorerfassung'!$E$28="",0,IF(AND(B124&gt;='ZD Vorerfassung'!$C$28,B124&lt;='ZD Vorerfassung'!$D$28),HLOOKUP(TEXT(C124,"ttt"),'ZD Vorerfassung'!$H$21:$L$36,8,0),0))+
IF('ZD Vorerfassung'!$E$29="",0,IF(AND(B124&gt;='ZD Vorerfassung'!$C$29,B124&lt;='ZD Vorerfassung'!$D$29),HLOOKUP(TEXT(C124,"ttt"),'ZD Vorerfassung'!$H$21:$L$36,9,0),0))+
IF('ZD Vorerfassung'!$E$30="",0,IF(AND(B124&gt;='ZD Vorerfassung'!$C$30,B124&lt;='ZD Vorerfassung'!$D$30),HLOOKUP(TEXT(C124,"ttt"),'ZD Vorerfassung'!$H$21:$L$36,10,0),0))+
IF('ZD Vorerfassung'!$E$31="",0,IF(AND(B124&gt;='ZD Vorerfassung'!$C$31,B124&lt;='ZD Vorerfassung'!$D$31),HLOOKUP(TEXT(C124,"ttt"),'ZD Vorerfassung'!$H$21:$L$36,11,0),0))+
IF('ZD Vorerfassung'!$E$32="",0,IF(AND(B124&gt;='ZD Vorerfassung'!$C$32,B124&lt;='ZD Vorerfassung'!$D$32),HLOOKUP(TEXT(C124,"ttt"),'ZD Vorerfassung'!$H$21:$L$36,12,0),0))+
IF('ZD Vorerfassung'!$E$33="",0,IF(AND(B124&gt;='ZD Vorerfassung'!$C$33,B124&lt;='ZD Vorerfassung'!$D$33),HLOOKUP(TEXT(C124,"ttt"),'ZD Vorerfassung'!$H$21:$L$36,13,0),0))+
IF('ZD Vorerfassung'!$E$34="",0,IF(AND(B124&gt;='ZD Vorerfassung'!$C$34,B124&lt;='ZD Vorerfassung'!$D$34),HLOOKUP(TEXT(C124,"ttt"),'ZD Vorerfassung'!$H$21:$L$36,14,0),0))+
IF('ZD Vorerfassung'!$E$35="",0,IF(AND(B124&gt;='ZD Vorerfassung'!$C$35,B124&lt;='ZD Vorerfassung'!$D$35),HLOOKUP(TEXT(C124,"ttt"),'ZD Vorerfassung'!$H$21:$L$36,15,0),0))+
IF('ZD Vorerfassung'!$E$36="",0,IF(AND(B124&gt;='ZD Vorerfassung'!$C$36,B124&lt;='ZD Vorerfassung'!$D$36),HLOOKUP(TEXT(C124,"ttt"),'ZD Vorerfassung'!$H$21:$L$36,16,0),0)),"")</f>
        <v>0</v>
      </c>
      <c r="AW124" s="110">
        <f t="array" ref="AW124">IF(OR(D124="UU",D124="FT",D124="WE"),0,
IF(D124="NR",SUM(IF(B124&gt;=_xlfn.NUMBERVALUE('ZD Vorerfassung'!$C$22:$C$36),1,0)*IF(B124&lt;=_xlfn.NUMBERVALUE('ZD Vorerfassung'!$D$22:$D$36),1,0)*'ZD Vorerfassung'!$Q$22:$Q$36),
IF(OR(D124="SF",D124="FH"),SUM(IF(B124&gt;=_xlfn.NUMBERVALUE('ZD Vorerfassung'!$C$22:$C$36),1,0)*IF(B124&lt;=_xlfn.NUMBERVALUE('ZD Vorerfassung'!$D$22:$D$36),1,0)*'ZD Vorerfassung'!$R$22:$R$36*IF(D124="FH",0.5,1)),
"prüfen")))</f>
        <v>0</v>
      </c>
      <c r="AX124" s="110">
        <f t="array" ref="AX124">IF(OR(D124="UU",D124="FT",D124="WE",E124="Ferien"),0,
IF(D124="NR",SUM(IF(B124&gt;=_xlfn.NUMBERVALUE('ZD Vorerfassung'!$C$22:$C$36),1,0)*IF(B124&lt;=_xlfn.NUMBERVALUE('ZD Vorerfassung'!$D$22:$D$36),1,0)*'ZD Vorerfassung'!$W$22:$W$36),
IF(OR(D124="SF",D124="FH"),SUM(IF(B124&gt;=_xlfn.NUMBERVALUE('ZD Vorerfassung'!$C$22:$C$36),1,0)*IF(B124&lt;=_xlfn.NUMBERVALUE('ZD Vorerfassung'!$D$22:$D$36),1,0)*'ZD Vorerfassung'!$X$22:$X$36*IF(D124="FH",0.5,1)),
"prüfen")))</f>
        <v>0</v>
      </c>
      <c r="AY124" s="110">
        <f t="array" ref="AY124">IF(OR(D124="UU",D124="FT",D124="WE",E124="Ferien"),0,
IF(D124="NR",SUM(IF(B124&gt;=_xlfn.NUMBERVALUE('ZD Vorerfassung'!$C$22:$C$36),1,0)*IF(B124&lt;=_xlfn.NUMBERVALUE('ZD Vorerfassung'!$D$22:$D$36),1,0)*'ZD Vorerfassung'!$U$22:$U$36),
IF(OR(D124="SF",D124="FH"),SUM(IF(B124&gt;=_xlfn.NUMBERVALUE('ZD Vorerfassung'!$C$22:$C$36),1,0)*IF(B124&lt;=_xlfn.NUMBERVALUE('ZD Vorerfassung'!$D$22:$D$36),1,0)*'ZD Vorerfassung'!$V$22:$V$36*IF(D124="FH",0.5,1)),
"prüfen")))</f>
        <v>0</v>
      </c>
      <c r="AZ124" s="110">
        <f t="array" ref="AZ124">IF(OR(D124="UU",D124="FT",D124="WE",E124="Ferien"),0,
IF(D124="NR",SUM(IF(B124&gt;=_xlfn.NUMBERVALUE('ZD Vorerfassung'!$C$22:$C$36),1,0)*IF(B124&lt;=_xlfn.NUMBERVALUE('ZD Vorerfassung'!$D$22:$D$36),1,0)*'ZD Vorerfassung'!$S$22:$S$36),
IF(OR(D124="SF",D124="FH"),SUM(IF(B124&gt;=_xlfn.NUMBERVALUE('ZD Vorerfassung'!$C$22:$C$36),1,0)*IF(B124&lt;=_xlfn.NUMBERVALUE('ZD Vorerfassung'!$D$22:$D$36),1,0)*'ZD Vorerfassung'!$T$22:$T$36*IF(D124="FH",0.5,1)),
"prüfen")))</f>
        <v>0</v>
      </c>
      <c r="BA124" s="112">
        <f t="shared" si="20"/>
        <v>11</v>
      </c>
    </row>
    <row r="125" spans="2:53" ht="19.5" thickTop="1" thickBot="1" x14ac:dyDescent="0.3">
      <c r="B125" s="99">
        <f t="shared" si="17"/>
        <v>44890</v>
      </c>
      <c r="C125" s="100">
        <f t="shared" si="21"/>
        <v>44890</v>
      </c>
      <c r="D125" s="101" t="str">
        <f t="shared" si="22"/>
        <v>NR</v>
      </c>
      <c r="E125" s="102" t="str">
        <f t="shared" si="18"/>
        <v>Unterrichtstag</v>
      </c>
      <c r="F125" s="103">
        <f t="shared" si="23"/>
        <v>0</v>
      </c>
      <c r="G125" s="104">
        <f t="shared" si="24"/>
        <v>0</v>
      </c>
      <c r="H125" s="104">
        <f>IFERROR(IF('ZD Vorerfassung'!$E$11="manuell",SUM(I125),IF(OR(E125="Feiertag",E125="Wochenende"),0,IF('ZD Vorerfassung'!$E$11="automatisch",AX125,IF(D125="UU","UU",IF(E125=Param2,AX125/24,IF(E125=Param9,AX125/48,"")))))),0)</f>
        <v>0</v>
      </c>
      <c r="I125" s="105"/>
      <c r="J125" s="106">
        <f>IF('ZD Vorerfassung'!$E$12="manuell",SUM(K125:AI125),IF(OR(E125="Feiertag",E125="Wochenende"),0,IF('ZD Vorerfassung'!$E$12="automatisch",AY125,IF(D125="UU","UU",IF(E125=Param2,AY125/24,IF(E125=Param9,AY125/48,""))))))</f>
        <v>0</v>
      </c>
      <c r="K125" s="105"/>
      <c r="L125" s="105"/>
      <c r="M125" s="105"/>
      <c r="N125" s="105"/>
      <c r="O125" s="105"/>
      <c r="P125" s="105"/>
      <c r="Q125" s="105"/>
      <c r="R125" s="105"/>
      <c r="S125" s="105"/>
      <c r="T125" s="105"/>
      <c r="U125" s="105"/>
      <c r="V125" s="105"/>
      <c r="W125" s="105"/>
      <c r="X125" s="105"/>
      <c r="Y125" s="105"/>
      <c r="Z125" s="105"/>
      <c r="AA125" s="105"/>
      <c r="AB125" s="105"/>
      <c r="AC125" s="105"/>
      <c r="AD125" s="105"/>
      <c r="AE125" s="105"/>
      <c r="AF125" s="105"/>
      <c r="AG125" s="105"/>
      <c r="AH125" s="105"/>
      <c r="AI125" s="105"/>
      <c r="AJ125" s="107">
        <f t="shared" si="25"/>
        <v>0</v>
      </c>
      <c r="AK125" s="105"/>
      <c r="AL125" s="105"/>
      <c r="AM125" s="105"/>
      <c r="AN125" s="105"/>
      <c r="AO125" s="105"/>
      <c r="AP125" s="105"/>
      <c r="AQ125" s="108">
        <f t="shared" si="26"/>
        <v>0</v>
      </c>
      <c r="AR125" s="108">
        <f t="shared" si="27"/>
        <v>0</v>
      </c>
      <c r="AS125" s="109">
        <f t="shared" si="28"/>
        <v>0</v>
      </c>
      <c r="AU125" s="110">
        <f t="shared" si="19"/>
        <v>0</v>
      </c>
      <c r="AV125" s="111">
        <f>IF(D125="NR",
IF('ZD Vorerfassung'!$E$22="",0,IF(AND(B125&gt;='ZD Vorerfassung'!$C$22,B125&lt;='ZD Vorerfassung'!$D$22),HLOOKUP(TEXT(C125,"ttt"),'ZD Vorerfassung'!$H$21:$L$36,2,0),0))+
IF('ZD Vorerfassung'!$E$23="",0,IF(AND(B125&gt;='ZD Vorerfassung'!$C$23,B125&lt;='ZD Vorerfassung'!$D$23),HLOOKUP(TEXT(C125,"ttt"),'ZD Vorerfassung'!$H$21:$L$36,3,0),0))+
IF('ZD Vorerfassung'!$E$24="",0,IF(AND(B125&gt;='ZD Vorerfassung'!$C$24,B125&lt;='ZD Vorerfassung'!$D$24),HLOOKUP(TEXT(C125,"ttt"),'ZD Vorerfassung'!$H$21:$L$36,4,0),0))+
IF('ZD Vorerfassung'!$E$25="",0,IF(AND(B125&gt;='ZD Vorerfassung'!$C$25,B125&lt;='ZD Vorerfassung'!$D$25),HLOOKUP(TEXT(C125,"ttt"),'ZD Vorerfassung'!$H$21:$L$36,5,0),0))+
IF('ZD Vorerfassung'!$E$26="",0,IF(AND(B125&gt;='ZD Vorerfassung'!$C$26,B125&lt;='ZD Vorerfassung'!$D$26),HLOOKUP(TEXT(C125,"ttt"),'ZD Vorerfassung'!$H$21:$L$36,6,0),0))+
IF('ZD Vorerfassung'!$E$27="",0,IF(AND(B125&gt;='ZD Vorerfassung'!$C$27,B125&lt;='ZD Vorerfassung'!$D$27),HLOOKUP(TEXT(C125,"ttt"),'ZD Vorerfassung'!$H$21:$L$36,7,0),0))+
IF('ZD Vorerfassung'!$E$28="",0,IF(AND(B125&gt;='ZD Vorerfassung'!$C$28,B125&lt;='ZD Vorerfassung'!$D$28),HLOOKUP(TEXT(C125,"ttt"),'ZD Vorerfassung'!$H$21:$L$36,8,0),0))+
IF('ZD Vorerfassung'!$E$29="",0,IF(AND(B125&gt;='ZD Vorerfassung'!$C$29,B125&lt;='ZD Vorerfassung'!$D$29),HLOOKUP(TEXT(C125,"ttt"),'ZD Vorerfassung'!$H$21:$L$36,9,0),0))+
IF('ZD Vorerfassung'!$E$30="",0,IF(AND(B125&gt;='ZD Vorerfassung'!$C$30,B125&lt;='ZD Vorerfassung'!$D$30),HLOOKUP(TEXT(C125,"ttt"),'ZD Vorerfassung'!$H$21:$L$36,10,0),0))+
IF('ZD Vorerfassung'!$E$31="",0,IF(AND(B125&gt;='ZD Vorerfassung'!$C$31,B125&lt;='ZD Vorerfassung'!$D$31),HLOOKUP(TEXT(C125,"ttt"),'ZD Vorerfassung'!$H$21:$L$36,11,0),0))+
IF('ZD Vorerfassung'!$E$32="",0,IF(AND(B125&gt;='ZD Vorerfassung'!$C$32,B125&lt;='ZD Vorerfassung'!$D$32),HLOOKUP(TEXT(C125,"ttt"),'ZD Vorerfassung'!$H$21:$L$36,12,0),0))+
IF('ZD Vorerfassung'!$E$33="",0,IF(AND(B125&gt;='ZD Vorerfassung'!$C$33,B125&lt;='ZD Vorerfassung'!$D$33),HLOOKUP(TEXT(C125,"ttt"),'ZD Vorerfassung'!$H$21:$L$36,13,0),0))+
IF('ZD Vorerfassung'!$E$34="",0,IF(AND(B125&gt;='ZD Vorerfassung'!$C$34,B125&lt;='ZD Vorerfassung'!$D$34),HLOOKUP(TEXT(C125,"ttt"),'ZD Vorerfassung'!$H$21:$L$36,14,0),0))+
IF('ZD Vorerfassung'!$E$35="",0,IF(AND(B125&gt;='ZD Vorerfassung'!$C$35,B125&lt;='ZD Vorerfassung'!$D$35),HLOOKUP(TEXT(C125,"ttt"),'ZD Vorerfassung'!$H$21:$L$36,15,0),0))+
IF('ZD Vorerfassung'!$E$36="",0,IF(AND(B125&gt;='ZD Vorerfassung'!$C$36,B125&lt;='ZD Vorerfassung'!$D$36),HLOOKUP(TEXT(C125,"ttt"),'ZD Vorerfassung'!$H$21:$L$36,16,0),0)),"")</f>
        <v>0</v>
      </c>
      <c r="AW125" s="110">
        <f t="array" ref="AW125">IF(OR(D125="UU",D125="FT",D125="WE"),0,
IF(D125="NR",SUM(IF(B125&gt;=_xlfn.NUMBERVALUE('ZD Vorerfassung'!$C$22:$C$36),1,0)*IF(B125&lt;=_xlfn.NUMBERVALUE('ZD Vorerfassung'!$D$22:$D$36),1,0)*'ZD Vorerfassung'!$Q$22:$Q$36),
IF(OR(D125="SF",D125="FH"),SUM(IF(B125&gt;=_xlfn.NUMBERVALUE('ZD Vorerfassung'!$C$22:$C$36),1,0)*IF(B125&lt;=_xlfn.NUMBERVALUE('ZD Vorerfassung'!$D$22:$D$36),1,0)*'ZD Vorerfassung'!$R$22:$R$36*IF(D125="FH",0.5,1)),
"prüfen")))</f>
        <v>0</v>
      </c>
      <c r="AX125" s="110">
        <f t="array" ref="AX125">IF(OR(D125="UU",D125="FT",D125="WE",E125="Ferien"),0,
IF(D125="NR",SUM(IF(B125&gt;=_xlfn.NUMBERVALUE('ZD Vorerfassung'!$C$22:$C$36),1,0)*IF(B125&lt;=_xlfn.NUMBERVALUE('ZD Vorerfassung'!$D$22:$D$36),1,0)*'ZD Vorerfassung'!$W$22:$W$36),
IF(OR(D125="SF",D125="FH"),SUM(IF(B125&gt;=_xlfn.NUMBERVALUE('ZD Vorerfassung'!$C$22:$C$36),1,0)*IF(B125&lt;=_xlfn.NUMBERVALUE('ZD Vorerfassung'!$D$22:$D$36),1,0)*'ZD Vorerfassung'!$X$22:$X$36*IF(D125="FH",0.5,1)),
"prüfen")))</f>
        <v>0</v>
      </c>
      <c r="AY125" s="110">
        <f t="array" ref="AY125">IF(OR(D125="UU",D125="FT",D125="WE",E125="Ferien"),0,
IF(D125="NR",SUM(IF(B125&gt;=_xlfn.NUMBERVALUE('ZD Vorerfassung'!$C$22:$C$36),1,0)*IF(B125&lt;=_xlfn.NUMBERVALUE('ZD Vorerfassung'!$D$22:$D$36),1,0)*'ZD Vorerfassung'!$U$22:$U$36),
IF(OR(D125="SF",D125="FH"),SUM(IF(B125&gt;=_xlfn.NUMBERVALUE('ZD Vorerfassung'!$C$22:$C$36),1,0)*IF(B125&lt;=_xlfn.NUMBERVALUE('ZD Vorerfassung'!$D$22:$D$36),1,0)*'ZD Vorerfassung'!$V$22:$V$36*IF(D125="FH",0.5,1)),
"prüfen")))</f>
        <v>0</v>
      </c>
      <c r="AZ125" s="110">
        <f t="array" ref="AZ125">IF(OR(D125="UU",D125="FT",D125="WE",E125="Ferien"),0,
IF(D125="NR",SUM(IF(B125&gt;=_xlfn.NUMBERVALUE('ZD Vorerfassung'!$C$22:$C$36),1,0)*IF(B125&lt;=_xlfn.NUMBERVALUE('ZD Vorerfassung'!$D$22:$D$36),1,0)*'ZD Vorerfassung'!$S$22:$S$36),
IF(OR(D125="SF",D125="FH"),SUM(IF(B125&gt;=_xlfn.NUMBERVALUE('ZD Vorerfassung'!$C$22:$C$36),1,0)*IF(B125&lt;=_xlfn.NUMBERVALUE('ZD Vorerfassung'!$D$22:$D$36),1,0)*'ZD Vorerfassung'!$T$22:$T$36*IF(D125="FH",0.5,1)),
"prüfen")))</f>
        <v>0</v>
      </c>
      <c r="BA125" s="112">
        <f t="shared" si="20"/>
        <v>11</v>
      </c>
    </row>
    <row r="126" spans="2:53" ht="19.5" thickTop="1" thickBot="1" x14ac:dyDescent="0.3">
      <c r="B126" s="99">
        <f t="shared" si="17"/>
        <v>44891</v>
      </c>
      <c r="C126" s="100">
        <f t="shared" si="21"/>
        <v>44891</v>
      </c>
      <c r="D126" s="101" t="str">
        <f t="shared" si="22"/>
        <v>NR</v>
      </c>
      <c r="E126" s="102" t="str">
        <f t="shared" si="18"/>
        <v>Unterrichtstag</v>
      </c>
      <c r="F126" s="103">
        <f t="shared" si="23"/>
        <v>0</v>
      </c>
      <c r="G126" s="104">
        <f t="shared" si="24"/>
        <v>0</v>
      </c>
      <c r="H126" s="104">
        <f>IFERROR(IF('ZD Vorerfassung'!$E$11="manuell",SUM(I126),IF(OR(E126="Feiertag",E126="Wochenende"),0,IF('ZD Vorerfassung'!$E$11="automatisch",AX126,IF(D126="UU","UU",IF(E126=Param2,AX126/24,IF(E126=Param9,AX126/48,"")))))),0)</f>
        <v>0</v>
      </c>
      <c r="I126" s="105"/>
      <c r="J126" s="106">
        <f>IF('ZD Vorerfassung'!$E$12="manuell",SUM(K126:AI126),IF(OR(E126="Feiertag",E126="Wochenende"),0,IF('ZD Vorerfassung'!$E$12="automatisch",AY126,IF(D126="UU","UU",IF(E126=Param2,AY126/24,IF(E126=Param9,AY126/48,""))))))</f>
        <v>0</v>
      </c>
      <c r="K126" s="105"/>
      <c r="L126" s="105"/>
      <c r="M126" s="105"/>
      <c r="N126" s="105"/>
      <c r="O126" s="105"/>
      <c r="P126" s="105"/>
      <c r="Q126" s="105"/>
      <c r="R126" s="105"/>
      <c r="S126" s="105"/>
      <c r="T126" s="105"/>
      <c r="U126" s="105"/>
      <c r="V126" s="105"/>
      <c r="W126" s="105"/>
      <c r="X126" s="105"/>
      <c r="Y126" s="105"/>
      <c r="Z126" s="105"/>
      <c r="AA126" s="105"/>
      <c r="AB126" s="105"/>
      <c r="AC126" s="105"/>
      <c r="AD126" s="105"/>
      <c r="AE126" s="105"/>
      <c r="AF126" s="105"/>
      <c r="AG126" s="105"/>
      <c r="AH126" s="105"/>
      <c r="AI126" s="105"/>
      <c r="AJ126" s="107">
        <f t="shared" si="25"/>
        <v>0</v>
      </c>
      <c r="AK126" s="105"/>
      <c r="AL126" s="105"/>
      <c r="AM126" s="105"/>
      <c r="AN126" s="105"/>
      <c r="AO126" s="105"/>
      <c r="AP126" s="105"/>
      <c r="AQ126" s="108">
        <f t="shared" si="26"/>
        <v>0</v>
      </c>
      <c r="AR126" s="108">
        <f t="shared" si="27"/>
        <v>0</v>
      </c>
      <c r="AS126" s="109">
        <f t="shared" si="28"/>
        <v>0</v>
      </c>
      <c r="AU126" s="110">
        <f t="shared" si="19"/>
        <v>0</v>
      </c>
      <c r="AV126" s="111">
        <f>IF(D126="NR",
IF('ZD Vorerfassung'!$E$22="",0,IF(AND(B126&gt;='ZD Vorerfassung'!$C$22,B126&lt;='ZD Vorerfassung'!$D$22),HLOOKUP(TEXT(C126,"ttt"),'ZD Vorerfassung'!$H$21:$L$36,2,0),0))+
IF('ZD Vorerfassung'!$E$23="",0,IF(AND(B126&gt;='ZD Vorerfassung'!$C$23,B126&lt;='ZD Vorerfassung'!$D$23),HLOOKUP(TEXT(C126,"ttt"),'ZD Vorerfassung'!$H$21:$L$36,3,0),0))+
IF('ZD Vorerfassung'!$E$24="",0,IF(AND(B126&gt;='ZD Vorerfassung'!$C$24,B126&lt;='ZD Vorerfassung'!$D$24),HLOOKUP(TEXT(C126,"ttt"),'ZD Vorerfassung'!$H$21:$L$36,4,0),0))+
IF('ZD Vorerfassung'!$E$25="",0,IF(AND(B126&gt;='ZD Vorerfassung'!$C$25,B126&lt;='ZD Vorerfassung'!$D$25),HLOOKUP(TEXT(C126,"ttt"),'ZD Vorerfassung'!$H$21:$L$36,5,0),0))+
IF('ZD Vorerfassung'!$E$26="",0,IF(AND(B126&gt;='ZD Vorerfassung'!$C$26,B126&lt;='ZD Vorerfassung'!$D$26),HLOOKUP(TEXT(C126,"ttt"),'ZD Vorerfassung'!$H$21:$L$36,6,0),0))+
IF('ZD Vorerfassung'!$E$27="",0,IF(AND(B126&gt;='ZD Vorerfassung'!$C$27,B126&lt;='ZD Vorerfassung'!$D$27),HLOOKUP(TEXT(C126,"ttt"),'ZD Vorerfassung'!$H$21:$L$36,7,0),0))+
IF('ZD Vorerfassung'!$E$28="",0,IF(AND(B126&gt;='ZD Vorerfassung'!$C$28,B126&lt;='ZD Vorerfassung'!$D$28),HLOOKUP(TEXT(C126,"ttt"),'ZD Vorerfassung'!$H$21:$L$36,8,0),0))+
IF('ZD Vorerfassung'!$E$29="",0,IF(AND(B126&gt;='ZD Vorerfassung'!$C$29,B126&lt;='ZD Vorerfassung'!$D$29),HLOOKUP(TEXT(C126,"ttt"),'ZD Vorerfassung'!$H$21:$L$36,9,0),0))+
IF('ZD Vorerfassung'!$E$30="",0,IF(AND(B126&gt;='ZD Vorerfassung'!$C$30,B126&lt;='ZD Vorerfassung'!$D$30),HLOOKUP(TEXT(C126,"ttt"),'ZD Vorerfassung'!$H$21:$L$36,10,0),0))+
IF('ZD Vorerfassung'!$E$31="",0,IF(AND(B126&gt;='ZD Vorerfassung'!$C$31,B126&lt;='ZD Vorerfassung'!$D$31),HLOOKUP(TEXT(C126,"ttt"),'ZD Vorerfassung'!$H$21:$L$36,11,0),0))+
IF('ZD Vorerfassung'!$E$32="",0,IF(AND(B126&gt;='ZD Vorerfassung'!$C$32,B126&lt;='ZD Vorerfassung'!$D$32),HLOOKUP(TEXT(C126,"ttt"),'ZD Vorerfassung'!$H$21:$L$36,12,0),0))+
IF('ZD Vorerfassung'!$E$33="",0,IF(AND(B126&gt;='ZD Vorerfassung'!$C$33,B126&lt;='ZD Vorerfassung'!$D$33),HLOOKUP(TEXT(C126,"ttt"),'ZD Vorerfassung'!$H$21:$L$36,13,0),0))+
IF('ZD Vorerfassung'!$E$34="",0,IF(AND(B126&gt;='ZD Vorerfassung'!$C$34,B126&lt;='ZD Vorerfassung'!$D$34),HLOOKUP(TEXT(C126,"ttt"),'ZD Vorerfassung'!$H$21:$L$36,14,0),0))+
IF('ZD Vorerfassung'!$E$35="",0,IF(AND(B126&gt;='ZD Vorerfassung'!$C$35,B126&lt;='ZD Vorerfassung'!$D$35),HLOOKUP(TEXT(C126,"ttt"),'ZD Vorerfassung'!$H$21:$L$36,15,0),0))+
IF('ZD Vorerfassung'!$E$36="",0,IF(AND(B126&gt;='ZD Vorerfassung'!$C$36,B126&lt;='ZD Vorerfassung'!$D$36),HLOOKUP(TEXT(C126,"ttt"),'ZD Vorerfassung'!$H$21:$L$36,16,0),0)),"")</f>
        <v>0</v>
      </c>
      <c r="AW126" s="110">
        <f t="array" ref="AW126">IF(OR(D126="UU",D126="FT",D126="WE"),0,
IF(D126="NR",SUM(IF(B126&gt;=_xlfn.NUMBERVALUE('ZD Vorerfassung'!$C$22:$C$36),1,0)*IF(B126&lt;=_xlfn.NUMBERVALUE('ZD Vorerfassung'!$D$22:$D$36),1,0)*'ZD Vorerfassung'!$Q$22:$Q$36),
IF(OR(D126="SF",D126="FH"),SUM(IF(B126&gt;=_xlfn.NUMBERVALUE('ZD Vorerfassung'!$C$22:$C$36),1,0)*IF(B126&lt;=_xlfn.NUMBERVALUE('ZD Vorerfassung'!$D$22:$D$36),1,0)*'ZD Vorerfassung'!$R$22:$R$36*IF(D126="FH",0.5,1)),
"prüfen")))</f>
        <v>0</v>
      </c>
      <c r="AX126" s="110">
        <f t="array" ref="AX126">IF(OR(D126="UU",D126="FT",D126="WE",E126="Ferien"),0,
IF(D126="NR",SUM(IF(B126&gt;=_xlfn.NUMBERVALUE('ZD Vorerfassung'!$C$22:$C$36),1,0)*IF(B126&lt;=_xlfn.NUMBERVALUE('ZD Vorerfassung'!$D$22:$D$36),1,0)*'ZD Vorerfassung'!$W$22:$W$36),
IF(OR(D126="SF",D126="FH"),SUM(IF(B126&gt;=_xlfn.NUMBERVALUE('ZD Vorerfassung'!$C$22:$C$36),1,0)*IF(B126&lt;=_xlfn.NUMBERVALUE('ZD Vorerfassung'!$D$22:$D$36),1,0)*'ZD Vorerfassung'!$X$22:$X$36*IF(D126="FH",0.5,1)),
"prüfen")))</f>
        <v>0</v>
      </c>
      <c r="AY126" s="110">
        <f t="array" ref="AY126">IF(OR(D126="UU",D126="FT",D126="WE",E126="Ferien"),0,
IF(D126="NR",SUM(IF(B126&gt;=_xlfn.NUMBERVALUE('ZD Vorerfassung'!$C$22:$C$36),1,0)*IF(B126&lt;=_xlfn.NUMBERVALUE('ZD Vorerfassung'!$D$22:$D$36),1,0)*'ZD Vorerfassung'!$U$22:$U$36),
IF(OR(D126="SF",D126="FH"),SUM(IF(B126&gt;=_xlfn.NUMBERVALUE('ZD Vorerfassung'!$C$22:$C$36),1,0)*IF(B126&lt;=_xlfn.NUMBERVALUE('ZD Vorerfassung'!$D$22:$D$36),1,0)*'ZD Vorerfassung'!$V$22:$V$36*IF(D126="FH",0.5,1)),
"prüfen")))</f>
        <v>0</v>
      </c>
      <c r="AZ126" s="110">
        <f t="array" ref="AZ126">IF(OR(D126="UU",D126="FT",D126="WE",E126="Ferien"),0,
IF(D126="NR",SUM(IF(B126&gt;=_xlfn.NUMBERVALUE('ZD Vorerfassung'!$C$22:$C$36),1,0)*IF(B126&lt;=_xlfn.NUMBERVALUE('ZD Vorerfassung'!$D$22:$D$36),1,0)*'ZD Vorerfassung'!$S$22:$S$36),
IF(OR(D126="SF",D126="FH"),SUM(IF(B126&gt;=_xlfn.NUMBERVALUE('ZD Vorerfassung'!$C$22:$C$36),1,0)*IF(B126&lt;=_xlfn.NUMBERVALUE('ZD Vorerfassung'!$D$22:$D$36),1,0)*'ZD Vorerfassung'!$T$22:$T$36*IF(D126="FH",0.5,1)),
"prüfen")))</f>
        <v>0</v>
      </c>
      <c r="BA126" s="112">
        <f t="shared" si="20"/>
        <v>11</v>
      </c>
    </row>
    <row r="127" spans="2:53" ht="19.5" thickTop="1" thickBot="1" x14ac:dyDescent="0.3">
      <c r="B127" s="99">
        <f t="shared" si="17"/>
        <v>44892</v>
      </c>
      <c r="C127" s="100">
        <f t="shared" si="21"/>
        <v>44892</v>
      </c>
      <c r="D127" s="101" t="str">
        <f t="shared" si="22"/>
        <v>WE</v>
      </c>
      <c r="E127" s="102" t="str">
        <f t="shared" si="18"/>
        <v>Wochenende</v>
      </c>
      <c r="F127" s="103" t="str">
        <f t="shared" si="23"/>
        <v/>
      </c>
      <c r="G127" s="104" t="str">
        <f t="shared" si="24"/>
        <v/>
      </c>
      <c r="H127" s="104">
        <f>IFERROR(IF('ZD Vorerfassung'!$E$11="manuell",SUM(I127),IF(OR(E127="Feiertag",E127="Wochenende"),0,IF('ZD Vorerfassung'!$E$11="automatisch",AX127,IF(D127="UU","UU",IF(E127=Param2,AX127/24,IF(E127=Param9,AX127/48,"")))))),0)</f>
        <v>0</v>
      </c>
      <c r="I127" s="105"/>
      <c r="J127" s="106">
        <f>IF('ZD Vorerfassung'!$E$12="manuell",SUM(K127:AI127),IF(OR(E127="Feiertag",E127="Wochenende"),0,IF('ZD Vorerfassung'!$E$12="automatisch",AY127,IF(D127="UU","UU",IF(E127=Param2,AY127/24,IF(E127=Param9,AY127/48,""))))))</f>
        <v>0</v>
      </c>
      <c r="K127" s="105"/>
      <c r="L127" s="105"/>
      <c r="M127" s="105"/>
      <c r="N127" s="105"/>
      <c r="O127" s="105"/>
      <c r="P127" s="105"/>
      <c r="Q127" s="105"/>
      <c r="R127" s="105"/>
      <c r="S127" s="105"/>
      <c r="T127" s="105"/>
      <c r="U127" s="105"/>
      <c r="V127" s="105"/>
      <c r="W127" s="105"/>
      <c r="X127" s="105"/>
      <c r="Y127" s="105"/>
      <c r="Z127" s="105"/>
      <c r="AA127" s="105"/>
      <c r="AB127" s="105"/>
      <c r="AC127" s="105"/>
      <c r="AD127" s="105"/>
      <c r="AE127" s="105"/>
      <c r="AF127" s="105"/>
      <c r="AG127" s="105"/>
      <c r="AH127" s="105"/>
      <c r="AI127" s="105"/>
      <c r="AJ127" s="107">
        <f t="shared" si="25"/>
        <v>0</v>
      </c>
      <c r="AK127" s="105"/>
      <c r="AL127" s="105"/>
      <c r="AM127" s="105"/>
      <c r="AN127" s="105"/>
      <c r="AO127" s="105"/>
      <c r="AP127" s="105"/>
      <c r="AQ127" s="108">
        <f t="shared" si="26"/>
        <v>0</v>
      </c>
      <c r="AR127" s="108">
        <f t="shared" si="27"/>
        <v>0</v>
      </c>
      <c r="AS127" s="109">
        <f t="shared" si="28"/>
        <v>0</v>
      </c>
      <c r="AU127" s="110">
        <f t="shared" si="19"/>
        <v>0</v>
      </c>
      <c r="AV127" s="111" t="str">
        <f>IF(D127="NR",
IF('ZD Vorerfassung'!$E$22="",0,IF(AND(B127&gt;='ZD Vorerfassung'!$C$22,B127&lt;='ZD Vorerfassung'!$D$22),HLOOKUP(TEXT(C127,"ttt"),'ZD Vorerfassung'!$H$21:$L$36,2,0),0))+
IF('ZD Vorerfassung'!$E$23="",0,IF(AND(B127&gt;='ZD Vorerfassung'!$C$23,B127&lt;='ZD Vorerfassung'!$D$23),HLOOKUP(TEXT(C127,"ttt"),'ZD Vorerfassung'!$H$21:$L$36,3,0),0))+
IF('ZD Vorerfassung'!$E$24="",0,IF(AND(B127&gt;='ZD Vorerfassung'!$C$24,B127&lt;='ZD Vorerfassung'!$D$24),HLOOKUP(TEXT(C127,"ttt"),'ZD Vorerfassung'!$H$21:$L$36,4,0),0))+
IF('ZD Vorerfassung'!$E$25="",0,IF(AND(B127&gt;='ZD Vorerfassung'!$C$25,B127&lt;='ZD Vorerfassung'!$D$25),HLOOKUP(TEXT(C127,"ttt"),'ZD Vorerfassung'!$H$21:$L$36,5,0),0))+
IF('ZD Vorerfassung'!$E$26="",0,IF(AND(B127&gt;='ZD Vorerfassung'!$C$26,B127&lt;='ZD Vorerfassung'!$D$26),HLOOKUP(TEXT(C127,"ttt"),'ZD Vorerfassung'!$H$21:$L$36,6,0),0))+
IF('ZD Vorerfassung'!$E$27="",0,IF(AND(B127&gt;='ZD Vorerfassung'!$C$27,B127&lt;='ZD Vorerfassung'!$D$27),HLOOKUP(TEXT(C127,"ttt"),'ZD Vorerfassung'!$H$21:$L$36,7,0),0))+
IF('ZD Vorerfassung'!$E$28="",0,IF(AND(B127&gt;='ZD Vorerfassung'!$C$28,B127&lt;='ZD Vorerfassung'!$D$28),HLOOKUP(TEXT(C127,"ttt"),'ZD Vorerfassung'!$H$21:$L$36,8,0),0))+
IF('ZD Vorerfassung'!$E$29="",0,IF(AND(B127&gt;='ZD Vorerfassung'!$C$29,B127&lt;='ZD Vorerfassung'!$D$29),HLOOKUP(TEXT(C127,"ttt"),'ZD Vorerfassung'!$H$21:$L$36,9,0),0))+
IF('ZD Vorerfassung'!$E$30="",0,IF(AND(B127&gt;='ZD Vorerfassung'!$C$30,B127&lt;='ZD Vorerfassung'!$D$30),HLOOKUP(TEXT(C127,"ttt"),'ZD Vorerfassung'!$H$21:$L$36,10,0),0))+
IF('ZD Vorerfassung'!$E$31="",0,IF(AND(B127&gt;='ZD Vorerfassung'!$C$31,B127&lt;='ZD Vorerfassung'!$D$31),HLOOKUP(TEXT(C127,"ttt"),'ZD Vorerfassung'!$H$21:$L$36,11,0),0))+
IF('ZD Vorerfassung'!$E$32="",0,IF(AND(B127&gt;='ZD Vorerfassung'!$C$32,B127&lt;='ZD Vorerfassung'!$D$32),HLOOKUP(TEXT(C127,"ttt"),'ZD Vorerfassung'!$H$21:$L$36,12,0),0))+
IF('ZD Vorerfassung'!$E$33="",0,IF(AND(B127&gt;='ZD Vorerfassung'!$C$33,B127&lt;='ZD Vorerfassung'!$D$33),HLOOKUP(TEXT(C127,"ttt"),'ZD Vorerfassung'!$H$21:$L$36,13,0),0))+
IF('ZD Vorerfassung'!$E$34="",0,IF(AND(B127&gt;='ZD Vorerfassung'!$C$34,B127&lt;='ZD Vorerfassung'!$D$34),HLOOKUP(TEXT(C127,"ttt"),'ZD Vorerfassung'!$H$21:$L$36,14,0),0))+
IF('ZD Vorerfassung'!$E$35="",0,IF(AND(B127&gt;='ZD Vorerfassung'!$C$35,B127&lt;='ZD Vorerfassung'!$D$35),HLOOKUP(TEXT(C127,"ttt"),'ZD Vorerfassung'!$H$21:$L$36,15,0),0))+
IF('ZD Vorerfassung'!$E$36="",0,IF(AND(B127&gt;='ZD Vorerfassung'!$C$36,B127&lt;='ZD Vorerfassung'!$D$36),HLOOKUP(TEXT(C127,"ttt"),'ZD Vorerfassung'!$H$21:$L$36,16,0),0)),"")</f>
        <v/>
      </c>
      <c r="AW127" s="110">
        <f t="array" ref="AW127">IF(OR(D127="UU",D127="FT",D127="WE"),0,
IF(D127="NR",SUM(IF(B127&gt;=_xlfn.NUMBERVALUE('ZD Vorerfassung'!$C$22:$C$36),1,0)*IF(B127&lt;=_xlfn.NUMBERVALUE('ZD Vorerfassung'!$D$22:$D$36),1,0)*'ZD Vorerfassung'!$Q$22:$Q$36),
IF(OR(D127="SF",D127="FH"),SUM(IF(B127&gt;=_xlfn.NUMBERVALUE('ZD Vorerfassung'!$C$22:$C$36),1,0)*IF(B127&lt;=_xlfn.NUMBERVALUE('ZD Vorerfassung'!$D$22:$D$36),1,0)*'ZD Vorerfassung'!$R$22:$R$36*IF(D127="FH",0.5,1)),
"prüfen")))</f>
        <v>0</v>
      </c>
      <c r="AX127" s="110">
        <f t="array" ref="AX127">IF(OR(D127="UU",D127="FT",D127="WE",E127="Ferien"),0,
IF(D127="NR",SUM(IF(B127&gt;=_xlfn.NUMBERVALUE('ZD Vorerfassung'!$C$22:$C$36),1,0)*IF(B127&lt;=_xlfn.NUMBERVALUE('ZD Vorerfassung'!$D$22:$D$36),1,0)*'ZD Vorerfassung'!$W$22:$W$36),
IF(OR(D127="SF",D127="FH"),SUM(IF(B127&gt;=_xlfn.NUMBERVALUE('ZD Vorerfassung'!$C$22:$C$36),1,0)*IF(B127&lt;=_xlfn.NUMBERVALUE('ZD Vorerfassung'!$D$22:$D$36),1,0)*'ZD Vorerfassung'!$X$22:$X$36*IF(D127="FH",0.5,1)),
"prüfen")))</f>
        <v>0</v>
      </c>
      <c r="AY127" s="110">
        <f t="array" ref="AY127">IF(OR(D127="UU",D127="FT",D127="WE",E127="Ferien"),0,
IF(D127="NR",SUM(IF(B127&gt;=_xlfn.NUMBERVALUE('ZD Vorerfassung'!$C$22:$C$36),1,0)*IF(B127&lt;=_xlfn.NUMBERVALUE('ZD Vorerfassung'!$D$22:$D$36),1,0)*'ZD Vorerfassung'!$U$22:$U$36),
IF(OR(D127="SF",D127="FH"),SUM(IF(B127&gt;=_xlfn.NUMBERVALUE('ZD Vorerfassung'!$C$22:$C$36),1,0)*IF(B127&lt;=_xlfn.NUMBERVALUE('ZD Vorerfassung'!$D$22:$D$36),1,0)*'ZD Vorerfassung'!$V$22:$V$36*IF(D127="FH",0.5,1)),
"prüfen")))</f>
        <v>0</v>
      </c>
      <c r="AZ127" s="110">
        <f t="array" ref="AZ127">IF(OR(D127="UU",D127="FT",D127="WE",E127="Ferien"),0,
IF(D127="NR",SUM(IF(B127&gt;=_xlfn.NUMBERVALUE('ZD Vorerfassung'!$C$22:$C$36),1,0)*IF(B127&lt;=_xlfn.NUMBERVALUE('ZD Vorerfassung'!$D$22:$D$36),1,0)*'ZD Vorerfassung'!$S$22:$S$36),
IF(OR(D127="SF",D127="FH"),SUM(IF(B127&gt;=_xlfn.NUMBERVALUE('ZD Vorerfassung'!$C$22:$C$36),1,0)*IF(B127&lt;=_xlfn.NUMBERVALUE('ZD Vorerfassung'!$D$22:$D$36),1,0)*'ZD Vorerfassung'!$T$22:$T$36*IF(D127="FH",0.5,1)),
"prüfen")))</f>
        <v>0</v>
      </c>
      <c r="BA127" s="112">
        <f t="shared" si="20"/>
        <v>11</v>
      </c>
    </row>
    <row r="128" spans="2:53" ht="19.5" thickTop="1" thickBot="1" x14ac:dyDescent="0.3">
      <c r="B128" s="99">
        <f t="shared" si="17"/>
        <v>44893</v>
      </c>
      <c r="C128" s="100">
        <f t="shared" si="21"/>
        <v>44893</v>
      </c>
      <c r="D128" s="101" t="str">
        <f t="shared" si="22"/>
        <v>WE</v>
      </c>
      <c r="E128" s="102" t="str">
        <f t="shared" si="18"/>
        <v>Wochenende</v>
      </c>
      <c r="F128" s="103" t="str">
        <f t="shared" si="23"/>
        <v/>
      </c>
      <c r="G128" s="104" t="str">
        <f t="shared" si="24"/>
        <v/>
      </c>
      <c r="H128" s="104">
        <f>IFERROR(IF('ZD Vorerfassung'!$E$11="manuell",SUM(I128),IF(OR(E128="Feiertag",E128="Wochenende"),0,IF('ZD Vorerfassung'!$E$11="automatisch",AX128,IF(D128="UU","UU",IF(E128=Param2,AX128/24,IF(E128=Param9,AX128/48,"")))))),0)</f>
        <v>0</v>
      </c>
      <c r="I128" s="105"/>
      <c r="J128" s="106">
        <f>IF('ZD Vorerfassung'!$E$12="manuell",SUM(K128:AI128),IF(OR(E128="Feiertag",E128="Wochenende"),0,IF('ZD Vorerfassung'!$E$12="automatisch",AY128,IF(D128="UU","UU",IF(E128=Param2,AY128/24,IF(E128=Param9,AY128/48,""))))))</f>
        <v>0</v>
      </c>
      <c r="K128" s="105"/>
      <c r="L128" s="105"/>
      <c r="M128" s="105"/>
      <c r="N128" s="105"/>
      <c r="O128" s="105"/>
      <c r="P128" s="105"/>
      <c r="Q128" s="105"/>
      <c r="R128" s="105"/>
      <c r="S128" s="105"/>
      <c r="T128" s="105"/>
      <c r="U128" s="105"/>
      <c r="V128" s="105"/>
      <c r="W128" s="105"/>
      <c r="X128" s="105"/>
      <c r="Y128" s="105"/>
      <c r="Z128" s="105"/>
      <c r="AA128" s="105"/>
      <c r="AB128" s="105"/>
      <c r="AC128" s="105"/>
      <c r="AD128" s="105"/>
      <c r="AE128" s="105"/>
      <c r="AF128" s="105"/>
      <c r="AG128" s="105"/>
      <c r="AH128" s="105"/>
      <c r="AI128" s="105"/>
      <c r="AJ128" s="107">
        <f t="shared" si="25"/>
        <v>0</v>
      </c>
      <c r="AK128" s="105"/>
      <c r="AL128" s="105"/>
      <c r="AM128" s="105"/>
      <c r="AN128" s="105"/>
      <c r="AO128" s="105"/>
      <c r="AP128" s="105"/>
      <c r="AQ128" s="108">
        <f t="shared" si="26"/>
        <v>0</v>
      </c>
      <c r="AR128" s="108">
        <f t="shared" si="27"/>
        <v>0</v>
      </c>
      <c r="AS128" s="109">
        <f t="shared" si="28"/>
        <v>0</v>
      </c>
      <c r="AU128" s="110">
        <f t="shared" si="19"/>
        <v>0</v>
      </c>
      <c r="AV128" s="111" t="str">
        <f>IF(D128="NR",
IF('ZD Vorerfassung'!$E$22="",0,IF(AND(B128&gt;='ZD Vorerfassung'!$C$22,B128&lt;='ZD Vorerfassung'!$D$22),HLOOKUP(TEXT(C128,"ttt"),'ZD Vorerfassung'!$H$21:$L$36,2,0),0))+
IF('ZD Vorerfassung'!$E$23="",0,IF(AND(B128&gt;='ZD Vorerfassung'!$C$23,B128&lt;='ZD Vorerfassung'!$D$23),HLOOKUP(TEXT(C128,"ttt"),'ZD Vorerfassung'!$H$21:$L$36,3,0),0))+
IF('ZD Vorerfassung'!$E$24="",0,IF(AND(B128&gt;='ZD Vorerfassung'!$C$24,B128&lt;='ZD Vorerfassung'!$D$24),HLOOKUP(TEXT(C128,"ttt"),'ZD Vorerfassung'!$H$21:$L$36,4,0),0))+
IF('ZD Vorerfassung'!$E$25="",0,IF(AND(B128&gt;='ZD Vorerfassung'!$C$25,B128&lt;='ZD Vorerfassung'!$D$25),HLOOKUP(TEXT(C128,"ttt"),'ZD Vorerfassung'!$H$21:$L$36,5,0),0))+
IF('ZD Vorerfassung'!$E$26="",0,IF(AND(B128&gt;='ZD Vorerfassung'!$C$26,B128&lt;='ZD Vorerfassung'!$D$26),HLOOKUP(TEXT(C128,"ttt"),'ZD Vorerfassung'!$H$21:$L$36,6,0),0))+
IF('ZD Vorerfassung'!$E$27="",0,IF(AND(B128&gt;='ZD Vorerfassung'!$C$27,B128&lt;='ZD Vorerfassung'!$D$27),HLOOKUP(TEXT(C128,"ttt"),'ZD Vorerfassung'!$H$21:$L$36,7,0),0))+
IF('ZD Vorerfassung'!$E$28="",0,IF(AND(B128&gt;='ZD Vorerfassung'!$C$28,B128&lt;='ZD Vorerfassung'!$D$28),HLOOKUP(TEXT(C128,"ttt"),'ZD Vorerfassung'!$H$21:$L$36,8,0),0))+
IF('ZD Vorerfassung'!$E$29="",0,IF(AND(B128&gt;='ZD Vorerfassung'!$C$29,B128&lt;='ZD Vorerfassung'!$D$29),HLOOKUP(TEXT(C128,"ttt"),'ZD Vorerfassung'!$H$21:$L$36,9,0),0))+
IF('ZD Vorerfassung'!$E$30="",0,IF(AND(B128&gt;='ZD Vorerfassung'!$C$30,B128&lt;='ZD Vorerfassung'!$D$30),HLOOKUP(TEXT(C128,"ttt"),'ZD Vorerfassung'!$H$21:$L$36,10,0),0))+
IF('ZD Vorerfassung'!$E$31="",0,IF(AND(B128&gt;='ZD Vorerfassung'!$C$31,B128&lt;='ZD Vorerfassung'!$D$31),HLOOKUP(TEXT(C128,"ttt"),'ZD Vorerfassung'!$H$21:$L$36,11,0),0))+
IF('ZD Vorerfassung'!$E$32="",0,IF(AND(B128&gt;='ZD Vorerfassung'!$C$32,B128&lt;='ZD Vorerfassung'!$D$32),HLOOKUP(TEXT(C128,"ttt"),'ZD Vorerfassung'!$H$21:$L$36,12,0),0))+
IF('ZD Vorerfassung'!$E$33="",0,IF(AND(B128&gt;='ZD Vorerfassung'!$C$33,B128&lt;='ZD Vorerfassung'!$D$33),HLOOKUP(TEXT(C128,"ttt"),'ZD Vorerfassung'!$H$21:$L$36,13,0),0))+
IF('ZD Vorerfassung'!$E$34="",0,IF(AND(B128&gt;='ZD Vorerfassung'!$C$34,B128&lt;='ZD Vorerfassung'!$D$34),HLOOKUP(TEXT(C128,"ttt"),'ZD Vorerfassung'!$H$21:$L$36,14,0),0))+
IF('ZD Vorerfassung'!$E$35="",0,IF(AND(B128&gt;='ZD Vorerfassung'!$C$35,B128&lt;='ZD Vorerfassung'!$D$35),HLOOKUP(TEXT(C128,"ttt"),'ZD Vorerfassung'!$H$21:$L$36,15,0),0))+
IF('ZD Vorerfassung'!$E$36="",0,IF(AND(B128&gt;='ZD Vorerfassung'!$C$36,B128&lt;='ZD Vorerfassung'!$D$36),HLOOKUP(TEXT(C128,"ttt"),'ZD Vorerfassung'!$H$21:$L$36,16,0),0)),"")</f>
        <v/>
      </c>
      <c r="AW128" s="110">
        <f t="array" ref="AW128">IF(OR(D128="UU",D128="FT",D128="WE"),0,
IF(D128="NR",SUM(IF(B128&gt;=_xlfn.NUMBERVALUE('ZD Vorerfassung'!$C$22:$C$36),1,0)*IF(B128&lt;=_xlfn.NUMBERVALUE('ZD Vorerfassung'!$D$22:$D$36),1,0)*'ZD Vorerfassung'!$Q$22:$Q$36),
IF(OR(D128="SF",D128="FH"),SUM(IF(B128&gt;=_xlfn.NUMBERVALUE('ZD Vorerfassung'!$C$22:$C$36),1,0)*IF(B128&lt;=_xlfn.NUMBERVALUE('ZD Vorerfassung'!$D$22:$D$36),1,0)*'ZD Vorerfassung'!$R$22:$R$36*IF(D128="FH",0.5,1)),
"prüfen")))</f>
        <v>0</v>
      </c>
      <c r="AX128" s="110">
        <f t="array" ref="AX128">IF(OR(D128="UU",D128="FT",D128="WE",E128="Ferien"),0,
IF(D128="NR",SUM(IF(B128&gt;=_xlfn.NUMBERVALUE('ZD Vorerfassung'!$C$22:$C$36),1,0)*IF(B128&lt;=_xlfn.NUMBERVALUE('ZD Vorerfassung'!$D$22:$D$36),1,0)*'ZD Vorerfassung'!$W$22:$W$36),
IF(OR(D128="SF",D128="FH"),SUM(IF(B128&gt;=_xlfn.NUMBERVALUE('ZD Vorerfassung'!$C$22:$C$36),1,0)*IF(B128&lt;=_xlfn.NUMBERVALUE('ZD Vorerfassung'!$D$22:$D$36),1,0)*'ZD Vorerfassung'!$X$22:$X$36*IF(D128="FH",0.5,1)),
"prüfen")))</f>
        <v>0</v>
      </c>
      <c r="AY128" s="110">
        <f t="array" ref="AY128">IF(OR(D128="UU",D128="FT",D128="WE",E128="Ferien"),0,
IF(D128="NR",SUM(IF(B128&gt;=_xlfn.NUMBERVALUE('ZD Vorerfassung'!$C$22:$C$36),1,0)*IF(B128&lt;=_xlfn.NUMBERVALUE('ZD Vorerfassung'!$D$22:$D$36),1,0)*'ZD Vorerfassung'!$U$22:$U$36),
IF(OR(D128="SF",D128="FH"),SUM(IF(B128&gt;=_xlfn.NUMBERVALUE('ZD Vorerfassung'!$C$22:$C$36),1,0)*IF(B128&lt;=_xlfn.NUMBERVALUE('ZD Vorerfassung'!$D$22:$D$36),1,0)*'ZD Vorerfassung'!$V$22:$V$36*IF(D128="FH",0.5,1)),
"prüfen")))</f>
        <v>0</v>
      </c>
      <c r="AZ128" s="110">
        <f t="array" ref="AZ128">IF(OR(D128="UU",D128="FT",D128="WE",E128="Ferien"),0,
IF(D128="NR",SUM(IF(B128&gt;=_xlfn.NUMBERVALUE('ZD Vorerfassung'!$C$22:$C$36),1,0)*IF(B128&lt;=_xlfn.NUMBERVALUE('ZD Vorerfassung'!$D$22:$D$36),1,0)*'ZD Vorerfassung'!$S$22:$S$36),
IF(OR(D128="SF",D128="FH"),SUM(IF(B128&gt;=_xlfn.NUMBERVALUE('ZD Vorerfassung'!$C$22:$C$36),1,0)*IF(B128&lt;=_xlfn.NUMBERVALUE('ZD Vorerfassung'!$D$22:$D$36),1,0)*'ZD Vorerfassung'!$T$22:$T$36*IF(D128="FH",0.5,1)),
"prüfen")))</f>
        <v>0</v>
      </c>
      <c r="BA128" s="112">
        <f t="shared" si="20"/>
        <v>11</v>
      </c>
    </row>
    <row r="129" spans="2:53" ht="19.5" thickTop="1" thickBot="1" x14ac:dyDescent="0.3">
      <c r="B129" s="99">
        <f t="shared" si="17"/>
        <v>44894</v>
      </c>
      <c r="C129" s="100">
        <f t="shared" si="21"/>
        <v>44894</v>
      </c>
      <c r="D129" s="101" t="str">
        <f t="shared" si="22"/>
        <v>NR</v>
      </c>
      <c r="E129" s="102" t="str">
        <f t="shared" si="18"/>
        <v>Unterrichtstag</v>
      </c>
      <c r="F129" s="103">
        <f t="shared" si="23"/>
        <v>0</v>
      </c>
      <c r="G129" s="104">
        <f t="shared" si="24"/>
        <v>0</v>
      </c>
      <c r="H129" s="104">
        <f>IFERROR(IF('ZD Vorerfassung'!$E$11="manuell",SUM(I129),IF(OR(E129="Feiertag",E129="Wochenende"),0,IF('ZD Vorerfassung'!$E$11="automatisch",AX129,IF(D129="UU","UU",IF(E129=Param2,AX129/24,IF(E129=Param9,AX129/48,"")))))),0)</f>
        <v>0</v>
      </c>
      <c r="I129" s="105"/>
      <c r="J129" s="106">
        <f>IF('ZD Vorerfassung'!$E$12="manuell",SUM(K129:AI129),IF(OR(E129="Feiertag",E129="Wochenende"),0,IF('ZD Vorerfassung'!$E$12="automatisch",AY129,IF(D129="UU","UU",IF(E129=Param2,AY129/24,IF(E129=Param9,AY129/48,""))))))</f>
        <v>0</v>
      </c>
      <c r="K129" s="105"/>
      <c r="L129" s="105"/>
      <c r="M129" s="105"/>
      <c r="N129" s="105"/>
      <c r="O129" s="105"/>
      <c r="P129" s="105"/>
      <c r="Q129" s="105"/>
      <c r="R129" s="105"/>
      <c r="S129" s="105"/>
      <c r="T129" s="105"/>
      <c r="U129" s="105"/>
      <c r="V129" s="105"/>
      <c r="W129" s="105"/>
      <c r="X129" s="105"/>
      <c r="Y129" s="105"/>
      <c r="Z129" s="105"/>
      <c r="AA129" s="105"/>
      <c r="AB129" s="105"/>
      <c r="AC129" s="105"/>
      <c r="AD129" s="105"/>
      <c r="AE129" s="105"/>
      <c r="AF129" s="105"/>
      <c r="AG129" s="105"/>
      <c r="AH129" s="105"/>
      <c r="AI129" s="105"/>
      <c r="AJ129" s="107">
        <f t="shared" si="25"/>
        <v>0</v>
      </c>
      <c r="AK129" s="105"/>
      <c r="AL129" s="105"/>
      <c r="AM129" s="105"/>
      <c r="AN129" s="105"/>
      <c r="AO129" s="105"/>
      <c r="AP129" s="105"/>
      <c r="AQ129" s="108">
        <f t="shared" si="26"/>
        <v>0</v>
      </c>
      <c r="AR129" s="108">
        <f t="shared" si="27"/>
        <v>0</v>
      </c>
      <c r="AS129" s="109">
        <f t="shared" si="28"/>
        <v>0</v>
      </c>
      <c r="AU129" s="110">
        <f t="shared" si="19"/>
        <v>0</v>
      </c>
      <c r="AV129" s="111">
        <f>IF(D129="NR",
IF('ZD Vorerfassung'!$E$22="",0,IF(AND(B129&gt;='ZD Vorerfassung'!$C$22,B129&lt;='ZD Vorerfassung'!$D$22),HLOOKUP(TEXT(C129,"ttt"),'ZD Vorerfassung'!$H$21:$L$36,2,0),0))+
IF('ZD Vorerfassung'!$E$23="",0,IF(AND(B129&gt;='ZD Vorerfassung'!$C$23,B129&lt;='ZD Vorerfassung'!$D$23),HLOOKUP(TEXT(C129,"ttt"),'ZD Vorerfassung'!$H$21:$L$36,3,0),0))+
IF('ZD Vorerfassung'!$E$24="",0,IF(AND(B129&gt;='ZD Vorerfassung'!$C$24,B129&lt;='ZD Vorerfassung'!$D$24),HLOOKUP(TEXT(C129,"ttt"),'ZD Vorerfassung'!$H$21:$L$36,4,0),0))+
IF('ZD Vorerfassung'!$E$25="",0,IF(AND(B129&gt;='ZD Vorerfassung'!$C$25,B129&lt;='ZD Vorerfassung'!$D$25),HLOOKUP(TEXT(C129,"ttt"),'ZD Vorerfassung'!$H$21:$L$36,5,0),0))+
IF('ZD Vorerfassung'!$E$26="",0,IF(AND(B129&gt;='ZD Vorerfassung'!$C$26,B129&lt;='ZD Vorerfassung'!$D$26),HLOOKUP(TEXT(C129,"ttt"),'ZD Vorerfassung'!$H$21:$L$36,6,0),0))+
IF('ZD Vorerfassung'!$E$27="",0,IF(AND(B129&gt;='ZD Vorerfassung'!$C$27,B129&lt;='ZD Vorerfassung'!$D$27),HLOOKUP(TEXT(C129,"ttt"),'ZD Vorerfassung'!$H$21:$L$36,7,0),0))+
IF('ZD Vorerfassung'!$E$28="",0,IF(AND(B129&gt;='ZD Vorerfassung'!$C$28,B129&lt;='ZD Vorerfassung'!$D$28),HLOOKUP(TEXT(C129,"ttt"),'ZD Vorerfassung'!$H$21:$L$36,8,0),0))+
IF('ZD Vorerfassung'!$E$29="",0,IF(AND(B129&gt;='ZD Vorerfassung'!$C$29,B129&lt;='ZD Vorerfassung'!$D$29),HLOOKUP(TEXT(C129,"ttt"),'ZD Vorerfassung'!$H$21:$L$36,9,0),0))+
IF('ZD Vorerfassung'!$E$30="",0,IF(AND(B129&gt;='ZD Vorerfassung'!$C$30,B129&lt;='ZD Vorerfassung'!$D$30),HLOOKUP(TEXT(C129,"ttt"),'ZD Vorerfassung'!$H$21:$L$36,10,0),0))+
IF('ZD Vorerfassung'!$E$31="",0,IF(AND(B129&gt;='ZD Vorerfassung'!$C$31,B129&lt;='ZD Vorerfassung'!$D$31),HLOOKUP(TEXT(C129,"ttt"),'ZD Vorerfassung'!$H$21:$L$36,11,0),0))+
IF('ZD Vorerfassung'!$E$32="",0,IF(AND(B129&gt;='ZD Vorerfassung'!$C$32,B129&lt;='ZD Vorerfassung'!$D$32),HLOOKUP(TEXT(C129,"ttt"),'ZD Vorerfassung'!$H$21:$L$36,12,0),0))+
IF('ZD Vorerfassung'!$E$33="",0,IF(AND(B129&gt;='ZD Vorerfassung'!$C$33,B129&lt;='ZD Vorerfassung'!$D$33),HLOOKUP(TEXT(C129,"ttt"),'ZD Vorerfassung'!$H$21:$L$36,13,0),0))+
IF('ZD Vorerfassung'!$E$34="",0,IF(AND(B129&gt;='ZD Vorerfassung'!$C$34,B129&lt;='ZD Vorerfassung'!$D$34),HLOOKUP(TEXT(C129,"ttt"),'ZD Vorerfassung'!$H$21:$L$36,14,0),0))+
IF('ZD Vorerfassung'!$E$35="",0,IF(AND(B129&gt;='ZD Vorerfassung'!$C$35,B129&lt;='ZD Vorerfassung'!$D$35),HLOOKUP(TEXT(C129,"ttt"),'ZD Vorerfassung'!$H$21:$L$36,15,0),0))+
IF('ZD Vorerfassung'!$E$36="",0,IF(AND(B129&gt;='ZD Vorerfassung'!$C$36,B129&lt;='ZD Vorerfassung'!$D$36),HLOOKUP(TEXT(C129,"ttt"),'ZD Vorerfassung'!$H$21:$L$36,16,0),0)),"")</f>
        <v>0</v>
      </c>
      <c r="AW129" s="110">
        <f t="array" ref="AW129">IF(OR(D129="UU",D129="FT",D129="WE"),0,
IF(D129="NR",SUM(IF(B129&gt;=_xlfn.NUMBERVALUE('ZD Vorerfassung'!$C$22:$C$36),1,0)*IF(B129&lt;=_xlfn.NUMBERVALUE('ZD Vorerfassung'!$D$22:$D$36),1,0)*'ZD Vorerfassung'!$Q$22:$Q$36),
IF(OR(D129="SF",D129="FH"),SUM(IF(B129&gt;=_xlfn.NUMBERVALUE('ZD Vorerfassung'!$C$22:$C$36),1,0)*IF(B129&lt;=_xlfn.NUMBERVALUE('ZD Vorerfassung'!$D$22:$D$36),1,0)*'ZD Vorerfassung'!$R$22:$R$36*IF(D129="FH",0.5,1)),
"prüfen")))</f>
        <v>0</v>
      </c>
      <c r="AX129" s="110">
        <f t="array" ref="AX129">IF(OR(D129="UU",D129="FT",D129="WE",E129="Ferien"),0,
IF(D129="NR",SUM(IF(B129&gt;=_xlfn.NUMBERVALUE('ZD Vorerfassung'!$C$22:$C$36),1,0)*IF(B129&lt;=_xlfn.NUMBERVALUE('ZD Vorerfassung'!$D$22:$D$36),1,0)*'ZD Vorerfassung'!$W$22:$W$36),
IF(OR(D129="SF",D129="FH"),SUM(IF(B129&gt;=_xlfn.NUMBERVALUE('ZD Vorerfassung'!$C$22:$C$36),1,0)*IF(B129&lt;=_xlfn.NUMBERVALUE('ZD Vorerfassung'!$D$22:$D$36),1,0)*'ZD Vorerfassung'!$X$22:$X$36*IF(D129="FH",0.5,1)),
"prüfen")))</f>
        <v>0</v>
      </c>
      <c r="AY129" s="110">
        <f t="array" ref="AY129">IF(OR(D129="UU",D129="FT",D129="WE",E129="Ferien"),0,
IF(D129="NR",SUM(IF(B129&gt;=_xlfn.NUMBERVALUE('ZD Vorerfassung'!$C$22:$C$36),1,0)*IF(B129&lt;=_xlfn.NUMBERVALUE('ZD Vorerfassung'!$D$22:$D$36),1,0)*'ZD Vorerfassung'!$U$22:$U$36),
IF(OR(D129="SF",D129="FH"),SUM(IF(B129&gt;=_xlfn.NUMBERVALUE('ZD Vorerfassung'!$C$22:$C$36),1,0)*IF(B129&lt;=_xlfn.NUMBERVALUE('ZD Vorerfassung'!$D$22:$D$36),1,0)*'ZD Vorerfassung'!$V$22:$V$36*IF(D129="FH",0.5,1)),
"prüfen")))</f>
        <v>0</v>
      </c>
      <c r="AZ129" s="110">
        <f t="array" ref="AZ129">IF(OR(D129="UU",D129="FT",D129="WE",E129="Ferien"),0,
IF(D129="NR",SUM(IF(B129&gt;=_xlfn.NUMBERVALUE('ZD Vorerfassung'!$C$22:$C$36),1,0)*IF(B129&lt;=_xlfn.NUMBERVALUE('ZD Vorerfassung'!$D$22:$D$36),1,0)*'ZD Vorerfassung'!$S$22:$S$36),
IF(OR(D129="SF",D129="FH"),SUM(IF(B129&gt;=_xlfn.NUMBERVALUE('ZD Vorerfassung'!$C$22:$C$36),1,0)*IF(B129&lt;=_xlfn.NUMBERVALUE('ZD Vorerfassung'!$D$22:$D$36),1,0)*'ZD Vorerfassung'!$T$22:$T$36*IF(D129="FH",0.5,1)),
"prüfen")))</f>
        <v>0</v>
      </c>
      <c r="BA129" s="112">
        <f t="shared" si="20"/>
        <v>11</v>
      </c>
    </row>
    <row r="130" spans="2:53" ht="19.5" thickTop="1" thickBot="1" x14ac:dyDescent="0.3">
      <c r="B130" s="99">
        <f t="shared" si="17"/>
        <v>44895</v>
      </c>
      <c r="C130" s="100">
        <f t="shared" si="21"/>
        <v>44895</v>
      </c>
      <c r="D130" s="101" t="str">
        <f t="shared" si="22"/>
        <v>NR</v>
      </c>
      <c r="E130" s="102" t="str">
        <f t="shared" si="18"/>
        <v>Unterrichtstag</v>
      </c>
      <c r="F130" s="103">
        <f t="shared" si="23"/>
        <v>0</v>
      </c>
      <c r="G130" s="104">
        <f t="shared" si="24"/>
        <v>0</v>
      </c>
      <c r="H130" s="104">
        <f>IFERROR(IF('ZD Vorerfassung'!$E$11="manuell",SUM(I130),IF(OR(E130="Feiertag",E130="Wochenende"),0,IF('ZD Vorerfassung'!$E$11="automatisch",AX130,IF(D130="UU","UU",IF(E130=Param2,AX130/24,IF(E130=Param9,AX130/48,"")))))),0)</f>
        <v>0</v>
      </c>
      <c r="I130" s="105"/>
      <c r="J130" s="106">
        <f>IF('ZD Vorerfassung'!$E$12="manuell",SUM(K130:AI130),IF(OR(E130="Feiertag",E130="Wochenende"),0,IF('ZD Vorerfassung'!$E$12="automatisch",AY130,IF(D130="UU","UU",IF(E130=Param2,AY130/24,IF(E130=Param9,AY130/48,""))))))</f>
        <v>0</v>
      </c>
      <c r="K130" s="105"/>
      <c r="L130" s="105"/>
      <c r="M130" s="105"/>
      <c r="N130" s="105"/>
      <c r="O130" s="105"/>
      <c r="P130" s="105"/>
      <c r="Q130" s="105"/>
      <c r="R130" s="105"/>
      <c r="S130" s="105"/>
      <c r="T130" s="105"/>
      <c r="U130" s="105"/>
      <c r="V130" s="105"/>
      <c r="W130" s="105"/>
      <c r="X130" s="105"/>
      <c r="Y130" s="105"/>
      <c r="Z130" s="105"/>
      <c r="AA130" s="105"/>
      <c r="AB130" s="105"/>
      <c r="AC130" s="105"/>
      <c r="AD130" s="105"/>
      <c r="AE130" s="105"/>
      <c r="AF130" s="105"/>
      <c r="AG130" s="105"/>
      <c r="AH130" s="105"/>
      <c r="AI130" s="105"/>
      <c r="AJ130" s="107">
        <f t="shared" si="25"/>
        <v>0</v>
      </c>
      <c r="AK130" s="105"/>
      <c r="AL130" s="105"/>
      <c r="AM130" s="105"/>
      <c r="AN130" s="105"/>
      <c r="AO130" s="105"/>
      <c r="AP130" s="105"/>
      <c r="AQ130" s="108">
        <f t="shared" si="26"/>
        <v>0</v>
      </c>
      <c r="AR130" s="108">
        <f t="shared" si="27"/>
        <v>0</v>
      </c>
      <c r="AS130" s="109">
        <f t="shared" si="28"/>
        <v>0</v>
      </c>
      <c r="AU130" s="110">
        <f t="shared" si="19"/>
        <v>0</v>
      </c>
      <c r="AV130" s="111">
        <f>IF(D130="NR",
IF('ZD Vorerfassung'!$E$22="",0,IF(AND(B130&gt;='ZD Vorerfassung'!$C$22,B130&lt;='ZD Vorerfassung'!$D$22),HLOOKUP(TEXT(C130,"ttt"),'ZD Vorerfassung'!$H$21:$L$36,2,0),0))+
IF('ZD Vorerfassung'!$E$23="",0,IF(AND(B130&gt;='ZD Vorerfassung'!$C$23,B130&lt;='ZD Vorerfassung'!$D$23),HLOOKUP(TEXT(C130,"ttt"),'ZD Vorerfassung'!$H$21:$L$36,3,0),0))+
IF('ZD Vorerfassung'!$E$24="",0,IF(AND(B130&gt;='ZD Vorerfassung'!$C$24,B130&lt;='ZD Vorerfassung'!$D$24),HLOOKUP(TEXT(C130,"ttt"),'ZD Vorerfassung'!$H$21:$L$36,4,0),0))+
IF('ZD Vorerfassung'!$E$25="",0,IF(AND(B130&gt;='ZD Vorerfassung'!$C$25,B130&lt;='ZD Vorerfassung'!$D$25),HLOOKUP(TEXT(C130,"ttt"),'ZD Vorerfassung'!$H$21:$L$36,5,0),0))+
IF('ZD Vorerfassung'!$E$26="",0,IF(AND(B130&gt;='ZD Vorerfassung'!$C$26,B130&lt;='ZD Vorerfassung'!$D$26),HLOOKUP(TEXT(C130,"ttt"),'ZD Vorerfassung'!$H$21:$L$36,6,0),0))+
IF('ZD Vorerfassung'!$E$27="",0,IF(AND(B130&gt;='ZD Vorerfassung'!$C$27,B130&lt;='ZD Vorerfassung'!$D$27),HLOOKUP(TEXT(C130,"ttt"),'ZD Vorerfassung'!$H$21:$L$36,7,0),0))+
IF('ZD Vorerfassung'!$E$28="",0,IF(AND(B130&gt;='ZD Vorerfassung'!$C$28,B130&lt;='ZD Vorerfassung'!$D$28),HLOOKUP(TEXT(C130,"ttt"),'ZD Vorerfassung'!$H$21:$L$36,8,0),0))+
IF('ZD Vorerfassung'!$E$29="",0,IF(AND(B130&gt;='ZD Vorerfassung'!$C$29,B130&lt;='ZD Vorerfassung'!$D$29),HLOOKUP(TEXT(C130,"ttt"),'ZD Vorerfassung'!$H$21:$L$36,9,0),0))+
IF('ZD Vorerfassung'!$E$30="",0,IF(AND(B130&gt;='ZD Vorerfassung'!$C$30,B130&lt;='ZD Vorerfassung'!$D$30),HLOOKUP(TEXT(C130,"ttt"),'ZD Vorerfassung'!$H$21:$L$36,10,0),0))+
IF('ZD Vorerfassung'!$E$31="",0,IF(AND(B130&gt;='ZD Vorerfassung'!$C$31,B130&lt;='ZD Vorerfassung'!$D$31),HLOOKUP(TEXT(C130,"ttt"),'ZD Vorerfassung'!$H$21:$L$36,11,0),0))+
IF('ZD Vorerfassung'!$E$32="",0,IF(AND(B130&gt;='ZD Vorerfassung'!$C$32,B130&lt;='ZD Vorerfassung'!$D$32),HLOOKUP(TEXT(C130,"ttt"),'ZD Vorerfassung'!$H$21:$L$36,12,0),0))+
IF('ZD Vorerfassung'!$E$33="",0,IF(AND(B130&gt;='ZD Vorerfassung'!$C$33,B130&lt;='ZD Vorerfassung'!$D$33),HLOOKUP(TEXT(C130,"ttt"),'ZD Vorerfassung'!$H$21:$L$36,13,0),0))+
IF('ZD Vorerfassung'!$E$34="",0,IF(AND(B130&gt;='ZD Vorerfassung'!$C$34,B130&lt;='ZD Vorerfassung'!$D$34),HLOOKUP(TEXT(C130,"ttt"),'ZD Vorerfassung'!$H$21:$L$36,14,0),0))+
IF('ZD Vorerfassung'!$E$35="",0,IF(AND(B130&gt;='ZD Vorerfassung'!$C$35,B130&lt;='ZD Vorerfassung'!$D$35),HLOOKUP(TEXT(C130,"ttt"),'ZD Vorerfassung'!$H$21:$L$36,15,0),0))+
IF('ZD Vorerfassung'!$E$36="",0,IF(AND(B130&gt;='ZD Vorerfassung'!$C$36,B130&lt;='ZD Vorerfassung'!$D$36),HLOOKUP(TEXT(C130,"ttt"),'ZD Vorerfassung'!$H$21:$L$36,16,0),0)),"")</f>
        <v>0</v>
      </c>
      <c r="AW130" s="110">
        <f t="array" ref="AW130">IF(OR(D130="UU",D130="FT",D130="WE"),0,
IF(D130="NR",SUM(IF(B130&gt;=_xlfn.NUMBERVALUE('ZD Vorerfassung'!$C$22:$C$36),1,0)*IF(B130&lt;=_xlfn.NUMBERVALUE('ZD Vorerfassung'!$D$22:$D$36),1,0)*'ZD Vorerfassung'!$Q$22:$Q$36),
IF(OR(D130="SF",D130="FH"),SUM(IF(B130&gt;=_xlfn.NUMBERVALUE('ZD Vorerfassung'!$C$22:$C$36),1,0)*IF(B130&lt;=_xlfn.NUMBERVALUE('ZD Vorerfassung'!$D$22:$D$36),1,0)*'ZD Vorerfassung'!$R$22:$R$36*IF(D130="FH",0.5,1)),
"prüfen")))</f>
        <v>0</v>
      </c>
      <c r="AX130" s="110">
        <f t="array" ref="AX130">IF(OR(D130="UU",D130="FT",D130="WE",E130="Ferien"),0,
IF(D130="NR",SUM(IF(B130&gt;=_xlfn.NUMBERVALUE('ZD Vorerfassung'!$C$22:$C$36),1,0)*IF(B130&lt;=_xlfn.NUMBERVALUE('ZD Vorerfassung'!$D$22:$D$36),1,0)*'ZD Vorerfassung'!$W$22:$W$36),
IF(OR(D130="SF",D130="FH"),SUM(IF(B130&gt;=_xlfn.NUMBERVALUE('ZD Vorerfassung'!$C$22:$C$36),1,0)*IF(B130&lt;=_xlfn.NUMBERVALUE('ZD Vorerfassung'!$D$22:$D$36),1,0)*'ZD Vorerfassung'!$X$22:$X$36*IF(D130="FH",0.5,1)),
"prüfen")))</f>
        <v>0</v>
      </c>
      <c r="AY130" s="110">
        <f t="array" ref="AY130">IF(OR(D130="UU",D130="FT",D130="WE",E130="Ferien"),0,
IF(D130="NR",SUM(IF(B130&gt;=_xlfn.NUMBERVALUE('ZD Vorerfassung'!$C$22:$C$36),1,0)*IF(B130&lt;=_xlfn.NUMBERVALUE('ZD Vorerfassung'!$D$22:$D$36),1,0)*'ZD Vorerfassung'!$U$22:$U$36),
IF(OR(D130="SF",D130="FH"),SUM(IF(B130&gt;=_xlfn.NUMBERVALUE('ZD Vorerfassung'!$C$22:$C$36),1,0)*IF(B130&lt;=_xlfn.NUMBERVALUE('ZD Vorerfassung'!$D$22:$D$36),1,0)*'ZD Vorerfassung'!$V$22:$V$36*IF(D130="FH",0.5,1)),
"prüfen")))</f>
        <v>0</v>
      </c>
      <c r="AZ130" s="110">
        <f t="array" ref="AZ130">IF(OR(D130="UU",D130="FT",D130="WE",E130="Ferien"),0,
IF(D130="NR",SUM(IF(B130&gt;=_xlfn.NUMBERVALUE('ZD Vorerfassung'!$C$22:$C$36),1,0)*IF(B130&lt;=_xlfn.NUMBERVALUE('ZD Vorerfassung'!$D$22:$D$36),1,0)*'ZD Vorerfassung'!$S$22:$S$36),
IF(OR(D130="SF",D130="FH"),SUM(IF(B130&gt;=_xlfn.NUMBERVALUE('ZD Vorerfassung'!$C$22:$C$36),1,0)*IF(B130&lt;=_xlfn.NUMBERVALUE('ZD Vorerfassung'!$D$22:$D$36),1,0)*'ZD Vorerfassung'!$T$22:$T$36*IF(D130="FH",0.5,1)),
"prüfen")))</f>
        <v>0</v>
      </c>
      <c r="BA130" s="112">
        <f t="shared" si="20"/>
        <v>12</v>
      </c>
    </row>
    <row r="131" spans="2:53" ht="19.5" thickTop="1" thickBot="1" x14ac:dyDescent="0.3">
      <c r="B131" s="99">
        <f t="shared" si="17"/>
        <v>44896</v>
      </c>
      <c r="C131" s="100">
        <f t="shared" si="21"/>
        <v>44896</v>
      </c>
      <c r="D131" s="101" t="str">
        <f t="shared" si="22"/>
        <v>NR</v>
      </c>
      <c r="E131" s="102" t="str">
        <f t="shared" si="18"/>
        <v>Unterrichtstag</v>
      </c>
      <c r="F131" s="103">
        <f t="shared" si="23"/>
        <v>0</v>
      </c>
      <c r="G131" s="104">
        <f t="shared" si="24"/>
        <v>0</v>
      </c>
      <c r="H131" s="104">
        <f>IFERROR(IF('ZD Vorerfassung'!$E$11="manuell",SUM(I131),IF(OR(E131="Feiertag",E131="Wochenende"),0,IF('ZD Vorerfassung'!$E$11="automatisch",AX131,IF(D131="UU","UU",IF(E131=Param2,AX131/24,IF(E131=Param9,AX131/48,"")))))),0)</f>
        <v>0</v>
      </c>
      <c r="I131" s="105"/>
      <c r="J131" s="106">
        <f>IF('ZD Vorerfassung'!$E$12="manuell",SUM(K131:AI131),IF(OR(E131="Feiertag",E131="Wochenende"),0,IF('ZD Vorerfassung'!$E$12="automatisch",AY131,IF(D131="UU","UU",IF(E131=Param2,AY131/24,IF(E131=Param9,AY131/48,""))))))</f>
        <v>0</v>
      </c>
      <c r="K131" s="105"/>
      <c r="L131" s="105"/>
      <c r="M131" s="105"/>
      <c r="N131" s="105"/>
      <c r="O131" s="105"/>
      <c r="P131" s="105"/>
      <c r="Q131" s="105"/>
      <c r="R131" s="105"/>
      <c r="S131" s="105"/>
      <c r="T131" s="105"/>
      <c r="U131" s="105"/>
      <c r="V131" s="105"/>
      <c r="W131" s="105"/>
      <c r="X131" s="105"/>
      <c r="Y131" s="105"/>
      <c r="Z131" s="105"/>
      <c r="AA131" s="105"/>
      <c r="AB131" s="105"/>
      <c r="AC131" s="105"/>
      <c r="AD131" s="105"/>
      <c r="AE131" s="105"/>
      <c r="AF131" s="105"/>
      <c r="AG131" s="105"/>
      <c r="AH131" s="105"/>
      <c r="AI131" s="105"/>
      <c r="AJ131" s="107">
        <f t="shared" si="25"/>
        <v>0</v>
      </c>
      <c r="AK131" s="105"/>
      <c r="AL131" s="105"/>
      <c r="AM131" s="105"/>
      <c r="AN131" s="105"/>
      <c r="AO131" s="105"/>
      <c r="AP131" s="105"/>
      <c r="AQ131" s="108">
        <f t="shared" si="26"/>
        <v>0</v>
      </c>
      <c r="AR131" s="108">
        <f t="shared" si="27"/>
        <v>0</v>
      </c>
      <c r="AS131" s="109">
        <f t="shared" si="28"/>
        <v>0</v>
      </c>
      <c r="AU131" s="110">
        <f t="shared" si="19"/>
        <v>0</v>
      </c>
      <c r="AV131" s="111">
        <f>IF(D131="NR",
IF('ZD Vorerfassung'!$E$22="",0,IF(AND(B131&gt;='ZD Vorerfassung'!$C$22,B131&lt;='ZD Vorerfassung'!$D$22),HLOOKUP(TEXT(C131,"ttt"),'ZD Vorerfassung'!$H$21:$L$36,2,0),0))+
IF('ZD Vorerfassung'!$E$23="",0,IF(AND(B131&gt;='ZD Vorerfassung'!$C$23,B131&lt;='ZD Vorerfassung'!$D$23),HLOOKUP(TEXT(C131,"ttt"),'ZD Vorerfassung'!$H$21:$L$36,3,0),0))+
IF('ZD Vorerfassung'!$E$24="",0,IF(AND(B131&gt;='ZD Vorerfassung'!$C$24,B131&lt;='ZD Vorerfassung'!$D$24),HLOOKUP(TEXT(C131,"ttt"),'ZD Vorerfassung'!$H$21:$L$36,4,0),0))+
IF('ZD Vorerfassung'!$E$25="",0,IF(AND(B131&gt;='ZD Vorerfassung'!$C$25,B131&lt;='ZD Vorerfassung'!$D$25),HLOOKUP(TEXT(C131,"ttt"),'ZD Vorerfassung'!$H$21:$L$36,5,0),0))+
IF('ZD Vorerfassung'!$E$26="",0,IF(AND(B131&gt;='ZD Vorerfassung'!$C$26,B131&lt;='ZD Vorerfassung'!$D$26),HLOOKUP(TEXT(C131,"ttt"),'ZD Vorerfassung'!$H$21:$L$36,6,0),0))+
IF('ZD Vorerfassung'!$E$27="",0,IF(AND(B131&gt;='ZD Vorerfassung'!$C$27,B131&lt;='ZD Vorerfassung'!$D$27),HLOOKUP(TEXT(C131,"ttt"),'ZD Vorerfassung'!$H$21:$L$36,7,0),0))+
IF('ZD Vorerfassung'!$E$28="",0,IF(AND(B131&gt;='ZD Vorerfassung'!$C$28,B131&lt;='ZD Vorerfassung'!$D$28),HLOOKUP(TEXT(C131,"ttt"),'ZD Vorerfassung'!$H$21:$L$36,8,0),0))+
IF('ZD Vorerfassung'!$E$29="",0,IF(AND(B131&gt;='ZD Vorerfassung'!$C$29,B131&lt;='ZD Vorerfassung'!$D$29),HLOOKUP(TEXT(C131,"ttt"),'ZD Vorerfassung'!$H$21:$L$36,9,0),0))+
IF('ZD Vorerfassung'!$E$30="",0,IF(AND(B131&gt;='ZD Vorerfassung'!$C$30,B131&lt;='ZD Vorerfassung'!$D$30),HLOOKUP(TEXT(C131,"ttt"),'ZD Vorerfassung'!$H$21:$L$36,10,0),0))+
IF('ZD Vorerfassung'!$E$31="",0,IF(AND(B131&gt;='ZD Vorerfassung'!$C$31,B131&lt;='ZD Vorerfassung'!$D$31),HLOOKUP(TEXT(C131,"ttt"),'ZD Vorerfassung'!$H$21:$L$36,11,0),0))+
IF('ZD Vorerfassung'!$E$32="",0,IF(AND(B131&gt;='ZD Vorerfassung'!$C$32,B131&lt;='ZD Vorerfassung'!$D$32),HLOOKUP(TEXT(C131,"ttt"),'ZD Vorerfassung'!$H$21:$L$36,12,0),0))+
IF('ZD Vorerfassung'!$E$33="",0,IF(AND(B131&gt;='ZD Vorerfassung'!$C$33,B131&lt;='ZD Vorerfassung'!$D$33),HLOOKUP(TEXT(C131,"ttt"),'ZD Vorerfassung'!$H$21:$L$36,13,0),0))+
IF('ZD Vorerfassung'!$E$34="",0,IF(AND(B131&gt;='ZD Vorerfassung'!$C$34,B131&lt;='ZD Vorerfassung'!$D$34),HLOOKUP(TEXT(C131,"ttt"),'ZD Vorerfassung'!$H$21:$L$36,14,0),0))+
IF('ZD Vorerfassung'!$E$35="",0,IF(AND(B131&gt;='ZD Vorerfassung'!$C$35,B131&lt;='ZD Vorerfassung'!$D$35),HLOOKUP(TEXT(C131,"ttt"),'ZD Vorerfassung'!$H$21:$L$36,15,0),0))+
IF('ZD Vorerfassung'!$E$36="",0,IF(AND(B131&gt;='ZD Vorerfassung'!$C$36,B131&lt;='ZD Vorerfassung'!$D$36),HLOOKUP(TEXT(C131,"ttt"),'ZD Vorerfassung'!$H$21:$L$36,16,0),0)),"")</f>
        <v>0</v>
      </c>
      <c r="AW131" s="110">
        <f t="array" ref="AW131">IF(OR(D131="UU",D131="FT",D131="WE"),0,
IF(D131="NR",SUM(IF(B131&gt;=_xlfn.NUMBERVALUE('ZD Vorerfassung'!$C$22:$C$36),1,0)*IF(B131&lt;=_xlfn.NUMBERVALUE('ZD Vorerfassung'!$D$22:$D$36),1,0)*'ZD Vorerfassung'!$Q$22:$Q$36),
IF(OR(D131="SF",D131="FH"),SUM(IF(B131&gt;=_xlfn.NUMBERVALUE('ZD Vorerfassung'!$C$22:$C$36),1,0)*IF(B131&lt;=_xlfn.NUMBERVALUE('ZD Vorerfassung'!$D$22:$D$36),1,0)*'ZD Vorerfassung'!$R$22:$R$36*IF(D131="FH",0.5,1)),
"prüfen")))</f>
        <v>0</v>
      </c>
      <c r="AX131" s="110">
        <f t="array" ref="AX131">IF(OR(D131="UU",D131="FT",D131="WE",E131="Ferien"),0,
IF(D131="NR",SUM(IF(B131&gt;=_xlfn.NUMBERVALUE('ZD Vorerfassung'!$C$22:$C$36),1,0)*IF(B131&lt;=_xlfn.NUMBERVALUE('ZD Vorerfassung'!$D$22:$D$36),1,0)*'ZD Vorerfassung'!$W$22:$W$36),
IF(OR(D131="SF",D131="FH"),SUM(IF(B131&gt;=_xlfn.NUMBERVALUE('ZD Vorerfassung'!$C$22:$C$36),1,0)*IF(B131&lt;=_xlfn.NUMBERVALUE('ZD Vorerfassung'!$D$22:$D$36),1,0)*'ZD Vorerfassung'!$X$22:$X$36*IF(D131="FH",0.5,1)),
"prüfen")))</f>
        <v>0</v>
      </c>
      <c r="AY131" s="110">
        <f t="array" ref="AY131">IF(OR(D131="UU",D131="FT",D131="WE",E131="Ferien"),0,
IF(D131="NR",SUM(IF(B131&gt;=_xlfn.NUMBERVALUE('ZD Vorerfassung'!$C$22:$C$36),1,0)*IF(B131&lt;=_xlfn.NUMBERVALUE('ZD Vorerfassung'!$D$22:$D$36),1,0)*'ZD Vorerfassung'!$U$22:$U$36),
IF(OR(D131="SF",D131="FH"),SUM(IF(B131&gt;=_xlfn.NUMBERVALUE('ZD Vorerfassung'!$C$22:$C$36),1,0)*IF(B131&lt;=_xlfn.NUMBERVALUE('ZD Vorerfassung'!$D$22:$D$36),1,0)*'ZD Vorerfassung'!$V$22:$V$36*IF(D131="FH",0.5,1)),
"prüfen")))</f>
        <v>0</v>
      </c>
      <c r="AZ131" s="110">
        <f t="array" ref="AZ131">IF(OR(D131="UU",D131="FT",D131="WE",E131="Ferien"),0,
IF(D131="NR",SUM(IF(B131&gt;=_xlfn.NUMBERVALUE('ZD Vorerfassung'!$C$22:$C$36),1,0)*IF(B131&lt;=_xlfn.NUMBERVALUE('ZD Vorerfassung'!$D$22:$D$36),1,0)*'ZD Vorerfassung'!$S$22:$S$36),
IF(OR(D131="SF",D131="FH"),SUM(IF(B131&gt;=_xlfn.NUMBERVALUE('ZD Vorerfassung'!$C$22:$C$36),1,0)*IF(B131&lt;=_xlfn.NUMBERVALUE('ZD Vorerfassung'!$D$22:$D$36),1,0)*'ZD Vorerfassung'!$T$22:$T$36*IF(D131="FH",0.5,1)),
"prüfen")))</f>
        <v>0</v>
      </c>
      <c r="BA131" s="112">
        <f t="shared" si="20"/>
        <v>12</v>
      </c>
    </row>
    <row r="132" spans="2:53" ht="19.5" thickTop="1" thickBot="1" x14ac:dyDescent="0.3">
      <c r="B132" s="99">
        <f t="shared" si="17"/>
        <v>44897</v>
      </c>
      <c r="C132" s="100">
        <f t="shared" si="21"/>
        <v>44897</v>
      </c>
      <c r="D132" s="101" t="str">
        <f t="shared" si="22"/>
        <v>NR</v>
      </c>
      <c r="E132" s="102" t="str">
        <f t="shared" si="18"/>
        <v>Unterrichtstag</v>
      </c>
      <c r="F132" s="103">
        <f t="shared" si="23"/>
        <v>0</v>
      </c>
      <c r="G132" s="104">
        <f t="shared" si="24"/>
        <v>0</v>
      </c>
      <c r="H132" s="104">
        <f>IFERROR(IF('ZD Vorerfassung'!$E$11="manuell",SUM(I132),IF(OR(E132="Feiertag",E132="Wochenende"),0,IF('ZD Vorerfassung'!$E$11="automatisch",AX132,IF(D132="UU","UU",IF(E132=Param2,AX132/24,IF(E132=Param9,AX132/48,"")))))),0)</f>
        <v>0</v>
      </c>
      <c r="I132" s="105"/>
      <c r="J132" s="106">
        <f>IF('ZD Vorerfassung'!$E$12="manuell",SUM(K132:AI132),IF(OR(E132="Feiertag",E132="Wochenende"),0,IF('ZD Vorerfassung'!$E$12="automatisch",AY132,IF(D132="UU","UU",IF(E132=Param2,AY132/24,IF(E132=Param9,AY132/48,""))))))</f>
        <v>0</v>
      </c>
      <c r="K132" s="105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105"/>
      <c r="W132" s="105"/>
      <c r="X132" s="105"/>
      <c r="Y132" s="105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107">
        <f t="shared" si="25"/>
        <v>0</v>
      </c>
      <c r="AK132" s="105"/>
      <c r="AL132" s="105"/>
      <c r="AM132" s="105"/>
      <c r="AN132" s="105"/>
      <c r="AO132" s="105"/>
      <c r="AP132" s="105"/>
      <c r="AQ132" s="108">
        <f t="shared" si="26"/>
        <v>0</v>
      </c>
      <c r="AR132" s="108">
        <f t="shared" si="27"/>
        <v>0</v>
      </c>
      <c r="AS132" s="109">
        <f t="shared" si="28"/>
        <v>0</v>
      </c>
      <c r="AU132" s="110">
        <f t="shared" si="19"/>
        <v>0</v>
      </c>
      <c r="AV132" s="111">
        <f>IF(D132="NR",
IF('ZD Vorerfassung'!$E$22="",0,IF(AND(B132&gt;='ZD Vorerfassung'!$C$22,B132&lt;='ZD Vorerfassung'!$D$22),HLOOKUP(TEXT(C132,"ttt"),'ZD Vorerfassung'!$H$21:$L$36,2,0),0))+
IF('ZD Vorerfassung'!$E$23="",0,IF(AND(B132&gt;='ZD Vorerfassung'!$C$23,B132&lt;='ZD Vorerfassung'!$D$23),HLOOKUP(TEXT(C132,"ttt"),'ZD Vorerfassung'!$H$21:$L$36,3,0),0))+
IF('ZD Vorerfassung'!$E$24="",0,IF(AND(B132&gt;='ZD Vorerfassung'!$C$24,B132&lt;='ZD Vorerfassung'!$D$24),HLOOKUP(TEXT(C132,"ttt"),'ZD Vorerfassung'!$H$21:$L$36,4,0),0))+
IF('ZD Vorerfassung'!$E$25="",0,IF(AND(B132&gt;='ZD Vorerfassung'!$C$25,B132&lt;='ZD Vorerfassung'!$D$25),HLOOKUP(TEXT(C132,"ttt"),'ZD Vorerfassung'!$H$21:$L$36,5,0),0))+
IF('ZD Vorerfassung'!$E$26="",0,IF(AND(B132&gt;='ZD Vorerfassung'!$C$26,B132&lt;='ZD Vorerfassung'!$D$26),HLOOKUP(TEXT(C132,"ttt"),'ZD Vorerfassung'!$H$21:$L$36,6,0),0))+
IF('ZD Vorerfassung'!$E$27="",0,IF(AND(B132&gt;='ZD Vorerfassung'!$C$27,B132&lt;='ZD Vorerfassung'!$D$27),HLOOKUP(TEXT(C132,"ttt"),'ZD Vorerfassung'!$H$21:$L$36,7,0),0))+
IF('ZD Vorerfassung'!$E$28="",0,IF(AND(B132&gt;='ZD Vorerfassung'!$C$28,B132&lt;='ZD Vorerfassung'!$D$28),HLOOKUP(TEXT(C132,"ttt"),'ZD Vorerfassung'!$H$21:$L$36,8,0),0))+
IF('ZD Vorerfassung'!$E$29="",0,IF(AND(B132&gt;='ZD Vorerfassung'!$C$29,B132&lt;='ZD Vorerfassung'!$D$29),HLOOKUP(TEXT(C132,"ttt"),'ZD Vorerfassung'!$H$21:$L$36,9,0),0))+
IF('ZD Vorerfassung'!$E$30="",0,IF(AND(B132&gt;='ZD Vorerfassung'!$C$30,B132&lt;='ZD Vorerfassung'!$D$30),HLOOKUP(TEXT(C132,"ttt"),'ZD Vorerfassung'!$H$21:$L$36,10,0),0))+
IF('ZD Vorerfassung'!$E$31="",0,IF(AND(B132&gt;='ZD Vorerfassung'!$C$31,B132&lt;='ZD Vorerfassung'!$D$31),HLOOKUP(TEXT(C132,"ttt"),'ZD Vorerfassung'!$H$21:$L$36,11,0),0))+
IF('ZD Vorerfassung'!$E$32="",0,IF(AND(B132&gt;='ZD Vorerfassung'!$C$32,B132&lt;='ZD Vorerfassung'!$D$32),HLOOKUP(TEXT(C132,"ttt"),'ZD Vorerfassung'!$H$21:$L$36,12,0),0))+
IF('ZD Vorerfassung'!$E$33="",0,IF(AND(B132&gt;='ZD Vorerfassung'!$C$33,B132&lt;='ZD Vorerfassung'!$D$33),HLOOKUP(TEXT(C132,"ttt"),'ZD Vorerfassung'!$H$21:$L$36,13,0),0))+
IF('ZD Vorerfassung'!$E$34="",0,IF(AND(B132&gt;='ZD Vorerfassung'!$C$34,B132&lt;='ZD Vorerfassung'!$D$34),HLOOKUP(TEXT(C132,"ttt"),'ZD Vorerfassung'!$H$21:$L$36,14,0),0))+
IF('ZD Vorerfassung'!$E$35="",0,IF(AND(B132&gt;='ZD Vorerfassung'!$C$35,B132&lt;='ZD Vorerfassung'!$D$35),HLOOKUP(TEXT(C132,"ttt"),'ZD Vorerfassung'!$H$21:$L$36,15,0),0))+
IF('ZD Vorerfassung'!$E$36="",0,IF(AND(B132&gt;='ZD Vorerfassung'!$C$36,B132&lt;='ZD Vorerfassung'!$D$36),HLOOKUP(TEXT(C132,"ttt"),'ZD Vorerfassung'!$H$21:$L$36,16,0),0)),"")</f>
        <v>0</v>
      </c>
      <c r="AW132" s="110">
        <f t="array" ref="AW132">IF(OR(D132="UU",D132="FT",D132="WE"),0,
IF(D132="NR",SUM(IF(B132&gt;=_xlfn.NUMBERVALUE('ZD Vorerfassung'!$C$22:$C$36),1,0)*IF(B132&lt;=_xlfn.NUMBERVALUE('ZD Vorerfassung'!$D$22:$D$36),1,0)*'ZD Vorerfassung'!$Q$22:$Q$36),
IF(OR(D132="SF",D132="FH"),SUM(IF(B132&gt;=_xlfn.NUMBERVALUE('ZD Vorerfassung'!$C$22:$C$36),1,0)*IF(B132&lt;=_xlfn.NUMBERVALUE('ZD Vorerfassung'!$D$22:$D$36),1,0)*'ZD Vorerfassung'!$R$22:$R$36*IF(D132="FH",0.5,1)),
"prüfen")))</f>
        <v>0</v>
      </c>
      <c r="AX132" s="110">
        <f t="array" ref="AX132">IF(OR(D132="UU",D132="FT",D132="WE",E132="Ferien"),0,
IF(D132="NR",SUM(IF(B132&gt;=_xlfn.NUMBERVALUE('ZD Vorerfassung'!$C$22:$C$36),1,0)*IF(B132&lt;=_xlfn.NUMBERVALUE('ZD Vorerfassung'!$D$22:$D$36),1,0)*'ZD Vorerfassung'!$W$22:$W$36),
IF(OR(D132="SF",D132="FH"),SUM(IF(B132&gt;=_xlfn.NUMBERVALUE('ZD Vorerfassung'!$C$22:$C$36),1,0)*IF(B132&lt;=_xlfn.NUMBERVALUE('ZD Vorerfassung'!$D$22:$D$36),1,0)*'ZD Vorerfassung'!$X$22:$X$36*IF(D132="FH",0.5,1)),
"prüfen")))</f>
        <v>0</v>
      </c>
      <c r="AY132" s="110">
        <f t="array" ref="AY132">IF(OR(D132="UU",D132="FT",D132="WE",E132="Ferien"),0,
IF(D132="NR",SUM(IF(B132&gt;=_xlfn.NUMBERVALUE('ZD Vorerfassung'!$C$22:$C$36),1,0)*IF(B132&lt;=_xlfn.NUMBERVALUE('ZD Vorerfassung'!$D$22:$D$36),1,0)*'ZD Vorerfassung'!$U$22:$U$36),
IF(OR(D132="SF",D132="FH"),SUM(IF(B132&gt;=_xlfn.NUMBERVALUE('ZD Vorerfassung'!$C$22:$C$36),1,0)*IF(B132&lt;=_xlfn.NUMBERVALUE('ZD Vorerfassung'!$D$22:$D$36),1,0)*'ZD Vorerfassung'!$V$22:$V$36*IF(D132="FH",0.5,1)),
"prüfen")))</f>
        <v>0</v>
      </c>
      <c r="AZ132" s="110">
        <f t="array" ref="AZ132">IF(OR(D132="UU",D132="FT",D132="WE",E132="Ferien"),0,
IF(D132="NR",SUM(IF(B132&gt;=_xlfn.NUMBERVALUE('ZD Vorerfassung'!$C$22:$C$36),1,0)*IF(B132&lt;=_xlfn.NUMBERVALUE('ZD Vorerfassung'!$D$22:$D$36),1,0)*'ZD Vorerfassung'!$S$22:$S$36),
IF(OR(D132="SF",D132="FH"),SUM(IF(B132&gt;=_xlfn.NUMBERVALUE('ZD Vorerfassung'!$C$22:$C$36),1,0)*IF(B132&lt;=_xlfn.NUMBERVALUE('ZD Vorerfassung'!$D$22:$D$36),1,0)*'ZD Vorerfassung'!$T$22:$T$36*IF(D132="FH",0.5,1)),
"prüfen")))</f>
        <v>0</v>
      </c>
      <c r="BA132" s="112">
        <f t="shared" si="20"/>
        <v>12</v>
      </c>
    </row>
    <row r="133" spans="2:53" ht="19.5" thickTop="1" thickBot="1" x14ac:dyDescent="0.3">
      <c r="B133" s="99">
        <f t="shared" si="17"/>
        <v>44898</v>
      </c>
      <c r="C133" s="100">
        <f t="shared" si="21"/>
        <v>44898</v>
      </c>
      <c r="D133" s="101" t="str">
        <f t="shared" si="22"/>
        <v>NR</v>
      </c>
      <c r="E133" s="102" t="str">
        <f t="shared" si="18"/>
        <v>Unterrichtstag</v>
      </c>
      <c r="F133" s="103">
        <f t="shared" si="23"/>
        <v>0</v>
      </c>
      <c r="G133" s="104">
        <f t="shared" si="24"/>
        <v>0</v>
      </c>
      <c r="H133" s="104">
        <f>IFERROR(IF('ZD Vorerfassung'!$E$11="manuell",SUM(I133),IF(OR(E133="Feiertag",E133="Wochenende"),0,IF('ZD Vorerfassung'!$E$11="automatisch",AX133,IF(D133="UU","UU",IF(E133=Param2,AX133/24,IF(E133=Param9,AX133/48,"")))))),0)</f>
        <v>0</v>
      </c>
      <c r="I133" s="105"/>
      <c r="J133" s="106">
        <f>IF('ZD Vorerfassung'!$E$12="manuell",SUM(K133:AI133),IF(OR(E133="Feiertag",E133="Wochenende"),0,IF('ZD Vorerfassung'!$E$12="automatisch",AY133,IF(D133="UU","UU",IF(E133=Param2,AY133/24,IF(E133=Param9,AY133/48,""))))))</f>
        <v>0</v>
      </c>
      <c r="K133" s="105"/>
      <c r="L133" s="105"/>
      <c r="M133" s="105"/>
      <c r="N133" s="105"/>
      <c r="O133" s="105"/>
      <c r="P133" s="105"/>
      <c r="Q133" s="105"/>
      <c r="R133" s="105"/>
      <c r="S133" s="105"/>
      <c r="T133" s="105"/>
      <c r="U133" s="105"/>
      <c r="V133" s="105"/>
      <c r="W133" s="105"/>
      <c r="X133" s="105"/>
      <c r="Y133" s="105"/>
      <c r="Z133" s="105"/>
      <c r="AA133" s="105"/>
      <c r="AB133" s="105"/>
      <c r="AC133" s="105"/>
      <c r="AD133" s="105"/>
      <c r="AE133" s="105"/>
      <c r="AF133" s="105"/>
      <c r="AG133" s="105"/>
      <c r="AH133" s="105"/>
      <c r="AI133" s="105"/>
      <c r="AJ133" s="107">
        <f t="shared" si="25"/>
        <v>0</v>
      </c>
      <c r="AK133" s="105"/>
      <c r="AL133" s="105"/>
      <c r="AM133" s="105"/>
      <c r="AN133" s="105"/>
      <c r="AO133" s="105"/>
      <c r="AP133" s="105"/>
      <c r="AQ133" s="108">
        <f t="shared" si="26"/>
        <v>0</v>
      </c>
      <c r="AR133" s="108">
        <f t="shared" si="27"/>
        <v>0</v>
      </c>
      <c r="AS133" s="109">
        <f t="shared" si="28"/>
        <v>0</v>
      </c>
      <c r="AU133" s="110">
        <f t="shared" si="19"/>
        <v>0</v>
      </c>
      <c r="AV133" s="111">
        <f>IF(D133="NR",
IF('ZD Vorerfassung'!$E$22="",0,IF(AND(B133&gt;='ZD Vorerfassung'!$C$22,B133&lt;='ZD Vorerfassung'!$D$22),HLOOKUP(TEXT(C133,"ttt"),'ZD Vorerfassung'!$H$21:$L$36,2,0),0))+
IF('ZD Vorerfassung'!$E$23="",0,IF(AND(B133&gt;='ZD Vorerfassung'!$C$23,B133&lt;='ZD Vorerfassung'!$D$23),HLOOKUP(TEXT(C133,"ttt"),'ZD Vorerfassung'!$H$21:$L$36,3,0),0))+
IF('ZD Vorerfassung'!$E$24="",0,IF(AND(B133&gt;='ZD Vorerfassung'!$C$24,B133&lt;='ZD Vorerfassung'!$D$24),HLOOKUP(TEXT(C133,"ttt"),'ZD Vorerfassung'!$H$21:$L$36,4,0),0))+
IF('ZD Vorerfassung'!$E$25="",0,IF(AND(B133&gt;='ZD Vorerfassung'!$C$25,B133&lt;='ZD Vorerfassung'!$D$25),HLOOKUP(TEXT(C133,"ttt"),'ZD Vorerfassung'!$H$21:$L$36,5,0),0))+
IF('ZD Vorerfassung'!$E$26="",0,IF(AND(B133&gt;='ZD Vorerfassung'!$C$26,B133&lt;='ZD Vorerfassung'!$D$26),HLOOKUP(TEXT(C133,"ttt"),'ZD Vorerfassung'!$H$21:$L$36,6,0),0))+
IF('ZD Vorerfassung'!$E$27="",0,IF(AND(B133&gt;='ZD Vorerfassung'!$C$27,B133&lt;='ZD Vorerfassung'!$D$27),HLOOKUP(TEXT(C133,"ttt"),'ZD Vorerfassung'!$H$21:$L$36,7,0),0))+
IF('ZD Vorerfassung'!$E$28="",0,IF(AND(B133&gt;='ZD Vorerfassung'!$C$28,B133&lt;='ZD Vorerfassung'!$D$28),HLOOKUP(TEXT(C133,"ttt"),'ZD Vorerfassung'!$H$21:$L$36,8,0),0))+
IF('ZD Vorerfassung'!$E$29="",0,IF(AND(B133&gt;='ZD Vorerfassung'!$C$29,B133&lt;='ZD Vorerfassung'!$D$29),HLOOKUP(TEXT(C133,"ttt"),'ZD Vorerfassung'!$H$21:$L$36,9,0),0))+
IF('ZD Vorerfassung'!$E$30="",0,IF(AND(B133&gt;='ZD Vorerfassung'!$C$30,B133&lt;='ZD Vorerfassung'!$D$30),HLOOKUP(TEXT(C133,"ttt"),'ZD Vorerfassung'!$H$21:$L$36,10,0),0))+
IF('ZD Vorerfassung'!$E$31="",0,IF(AND(B133&gt;='ZD Vorerfassung'!$C$31,B133&lt;='ZD Vorerfassung'!$D$31),HLOOKUP(TEXT(C133,"ttt"),'ZD Vorerfassung'!$H$21:$L$36,11,0),0))+
IF('ZD Vorerfassung'!$E$32="",0,IF(AND(B133&gt;='ZD Vorerfassung'!$C$32,B133&lt;='ZD Vorerfassung'!$D$32),HLOOKUP(TEXT(C133,"ttt"),'ZD Vorerfassung'!$H$21:$L$36,12,0),0))+
IF('ZD Vorerfassung'!$E$33="",0,IF(AND(B133&gt;='ZD Vorerfassung'!$C$33,B133&lt;='ZD Vorerfassung'!$D$33),HLOOKUP(TEXT(C133,"ttt"),'ZD Vorerfassung'!$H$21:$L$36,13,0),0))+
IF('ZD Vorerfassung'!$E$34="",0,IF(AND(B133&gt;='ZD Vorerfassung'!$C$34,B133&lt;='ZD Vorerfassung'!$D$34),HLOOKUP(TEXT(C133,"ttt"),'ZD Vorerfassung'!$H$21:$L$36,14,0),0))+
IF('ZD Vorerfassung'!$E$35="",0,IF(AND(B133&gt;='ZD Vorerfassung'!$C$35,B133&lt;='ZD Vorerfassung'!$D$35),HLOOKUP(TEXT(C133,"ttt"),'ZD Vorerfassung'!$H$21:$L$36,15,0),0))+
IF('ZD Vorerfassung'!$E$36="",0,IF(AND(B133&gt;='ZD Vorerfassung'!$C$36,B133&lt;='ZD Vorerfassung'!$D$36),HLOOKUP(TEXT(C133,"ttt"),'ZD Vorerfassung'!$H$21:$L$36,16,0),0)),"")</f>
        <v>0</v>
      </c>
      <c r="AW133" s="110">
        <f t="array" ref="AW133">IF(OR(D133="UU",D133="FT",D133="WE"),0,
IF(D133="NR",SUM(IF(B133&gt;=_xlfn.NUMBERVALUE('ZD Vorerfassung'!$C$22:$C$36),1,0)*IF(B133&lt;=_xlfn.NUMBERVALUE('ZD Vorerfassung'!$D$22:$D$36),1,0)*'ZD Vorerfassung'!$Q$22:$Q$36),
IF(OR(D133="SF",D133="FH"),SUM(IF(B133&gt;=_xlfn.NUMBERVALUE('ZD Vorerfassung'!$C$22:$C$36),1,0)*IF(B133&lt;=_xlfn.NUMBERVALUE('ZD Vorerfassung'!$D$22:$D$36),1,0)*'ZD Vorerfassung'!$R$22:$R$36*IF(D133="FH",0.5,1)),
"prüfen")))</f>
        <v>0</v>
      </c>
      <c r="AX133" s="110">
        <f t="array" ref="AX133">IF(OR(D133="UU",D133="FT",D133="WE",E133="Ferien"),0,
IF(D133="NR",SUM(IF(B133&gt;=_xlfn.NUMBERVALUE('ZD Vorerfassung'!$C$22:$C$36),1,0)*IF(B133&lt;=_xlfn.NUMBERVALUE('ZD Vorerfassung'!$D$22:$D$36),1,0)*'ZD Vorerfassung'!$W$22:$W$36),
IF(OR(D133="SF",D133="FH"),SUM(IF(B133&gt;=_xlfn.NUMBERVALUE('ZD Vorerfassung'!$C$22:$C$36),1,0)*IF(B133&lt;=_xlfn.NUMBERVALUE('ZD Vorerfassung'!$D$22:$D$36),1,0)*'ZD Vorerfassung'!$X$22:$X$36*IF(D133="FH",0.5,1)),
"prüfen")))</f>
        <v>0</v>
      </c>
      <c r="AY133" s="110">
        <f t="array" ref="AY133">IF(OR(D133="UU",D133="FT",D133="WE",E133="Ferien"),0,
IF(D133="NR",SUM(IF(B133&gt;=_xlfn.NUMBERVALUE('ZD Vorerfassung'!$C$22:$C$36),1,0)*IF(B133&lt;=_xlfn.NUMBERVALUE('ZD Vorerfassung'!$D$22:$D$36),1,0)*'ZD Vorerfassung'!$U$22:$U$36),
IF(OR(D133="SF",D133="FH"),SUM(IF(B133&gt;=_xlfn.NUMBERVALUE('ZD Vorerfassung'!$C$22:$C$36),1,0)*IF(B133&lt;=_xlfn.NUMBERVALUE('ZD Vorerfassung'!$D$22:$D$36),1,0)*'ZD Vorerfassung'!$V$22:$V$36*IF(D133="FH",0.5,1)),
"prüfen")))</f>
        <v>0</v>
      </c>
      <c r="AZ133" s="110">
        <f t="array" ref="AZ133">IF(OR(D133="UU",D133="FT",D133="WE",E133="Ferien"),0,
IF(D133="NR",SUM(IF(B133&gt;=_xlfn.NUMBERVALUE('ZD Vorerfassung'!$C$22:$C$36),1,0)*IF(B133&lt;=_xlfn.NUMBERVALUE('ZD Vorerfassung'!$D$22:$D$36),1,0)*'ZD Vorerfassung'!$S$22:$S$36),
IF(OR(D133="SF",D133="FH"),SUM(IF(B133&gt;=_xlfn.NUMBERVALUE('ZD Vorerfassung'!$C$22:$C$36),1,0)*IF(B133&lt;=_xlfn.NUMBERVALUE('ZD Vorerfassung'!$D$22:$D$36),1,0)*'ZD Vorerfassung'!$T$22:$T$36*IF(D133="FH",0.5,1)),
"prüfen")))</f>
        <v>0</v>
      </c>
      <c r="BA133" s="112">
        <f t="shared" si="20"/>
        <v>12</v>
      </c>
    </row>
    <row r="134" spans="2:53" ht="19.5" thickTop="1" thickBot="1" x14ac:dyDescent="0.3">
      <c r="B134" s="99">
        <f t="shared" si="17"/>
        <v>44899</v>
      </c>
      <c r="C134" s="100">
        <f t="shared" si="21"/>
        <v>44899</v>
      </c>
      <c r="D134" s="101" t="str">
        <f t="shared" si="22"/>
        <v>WE</v>
      </c>
      <c r="E134" s="102" t="str">
        <f t="shared" si="18"/>
        <v>Wochenende</v>
      </c>
      <c r="F134" s="103" t="str">
        <f t="shared" si="23"/>
        <v/>
      </c>
      <c r="G134" s="104" t="str">
        <f t="shared" si="24"/>
        <v/>
      </c>
      <c r="H134" s="104">
        <f>IFERROR(IF('ZD Vorerfassung'!$E$11="manuell",SUM(I134),IF(OR(E134="Feiertag",E134="Wochenende"),0,IF('ZD Vorerfassung'!$E$11="automatisch",AX134,IF(D134="UU","UU",IF(E134=Param2,AX134/24,IF(E134=Param9,AX134/48,"")))))),0)</f>
        <v>0</v>
      </c>
      <c r="I134" s="105"/>
      <c r="J134" s="106">
        <f>IF('ZD Vorerfassung'!$E$12="manuell",SUM(K134:AI134),IF(OR(E134="Feiertag",E134="Wochenende"),0,IF('ZD Vorerfassung'!$E$12="automatisch",AY134,IF(D134="UU","UU",IF(E134=Param2,AY134/24,IF(E134=Param9,AY134/48,""))))))</f>
        <v>0</v>
      </c>
      <c r="K134" s="105"/>
      <c r="L134" s="105"/>
      <c r="M134" s="105"/>
      <c r="N134" s="105"/>
      <c r="O134" s="105"/>
      <c r="P134" s="105"/>
      <c r="Q134" s="105"/>
      <c r="R134" s="105"/>
      <c r="S134" s="105"/>
      <c r="T134" s="105"/>
      <c r="U134" s="105"/>
      <c r="V134" s="105"/>
      <c r="W134" s="105"/>
      <c r="X134" s="105"/>
      <c r="Y134" s="105"/>
      <c r="Z134" s="105"/>
      <c r="AA134" s="105"/>
      <c r="AB134" s="105"/>
      <c r="AC134" s="105"/>
      <c r="AD134" s="105"/>
      <c r="AE134" s="105"/>
      <c r="AF134" s="105"/>
      <c r="AG134" s="105"/>
      <c r="AH134" s="105"/>
      <c r="AI134" s="105"/>
      <c r="AJ134" s="107">
        <f t="shared" si="25"/>
        <v>0</v>
      </c>
      <c r="AK134" s="105"/>
      <c r="AL134" s="105"/>
      <c r="AM134" s="105"/>
      <c r="AN134" s="105"/>
      <c r="AO134" s="105"/>
      <c r="AP134" s="105"/>
      <c r="AQ134" s="108">
        <f t="shared" si="26"/>
        <v>0</v>
      </c>
      <c r="AR134" s="108">
        <f t="shared" si="27"/>
        <v>0</v>
      </c>
      <c r="AS134" s="109">
        <f t="shared" si="28"/>
        <v>0</v>
      </c>
      <c r="AU134" s="110">
        <f t="shared" si="19"/>
        <v>0</v>
      </c>
      <c r="AV134" s="111" t="str">
        <f>IF(D134="NR",
IF('ZD Vorerfassung'!$E$22="",0,IF(AND(B134&gt;='ZD Vorerfassung'!$C$22,B134&lt;='ZD Vorerfassung'!$D$22),HLOOKUP(TEXT(C134,"ttt"),'ZD Vorerfassung'!$H$21:$L$36,2,0),0))+
IF('ZD Vorerfassung'!$E$23="",0,IF(AND(B134&gt;='ZD Vorerfassung'!$C$23,B134&lt;='ZD Vorerfassung'!$D$23),HLOOKUP(TEXT(C134,"ttt"),'ZD Vorerfassung'!$H$21:$L$36,3,0),0))+
IF('ZD Vorerfassung'!$E$24="",0,IF(AND(B134&gt;='ZD Vorerfassung'!$C$24,B134&lt;='ZD Vorerfassung'!$D$24),HLOOKUP(TEXT(C134,"ttt"),'ZD Vorerfassung'!$H$21:$L$36,4,0),0))+
IF('ZD Vorerfassung'!$E$25="",0,IF(AND(B134&gt;='ZD Vorerfassung'!$C$25,B134&lt;='ZD Vorerfassung'!$D$25),HLOOKUP(TEXT(C134,"ttt"),'ZD Vorerfassung'!$H$21:$L$36,5,0),0))+
IF('ZD Vorerfassung'!$E$26="",0,IF(AND(B134&gt;='ZD Vorerfassung'!$C$26,B134&lt;='ZD Vorerfassung'!$D$26),HLOOKUP(TEXT(C134,"ttt"),'ZD Vorerfassung'!$H$21:$L$36,6,0),0))+
IF('ZD Vorerfassung'!$E$27="",0,IF(AND(B134&gt;='ZD Vorerfassung'!$C$27,B134&lt;='ZD Vorerfassung'!$D$27),HLOOKUP(TEXT(C134,"ttt"),'ZD Vorerfassung'!$H$21:$L$36,7,0),0))+
IF('ZD Vorerfassung'!$E$28="",0,IF(AND(B134&gt;='ZD Vorerfassung'!$C$28,B134&lt;='ZD Vorerfassung'!$D$28),HLOOKUP(TEXT(C134,"ttt"),'ZD Vorerfassung'!$H$21:$L$36,8,0),0))+
IF('ZD Vorerfassung'!$E$29="",0,IF(AND(B134&gt;='ZD Vorerfassung'!$C$29,B134&lt;='ZD Vorerfassung'!$D$29),HLOOKUP(TEXT(C134,"ttt"),'ZD Vorerfassung'!$H$21:$L$36,9,0),0))+
IF('ZD Vorerfassung'!$E$30="",0,IF(AND(B134&gt;='ZD Vorerfassung'!$C$30,B134&lt;='ZD Vorerfassung'!$D$30),HLOOKUP(TEXT(C134,"ttt"),'ZD Vorerfassung'!$H$21:$L$36,10,0),0))+
IF('ZD Vorerfassung'!$E$31="",0,IF(AND(B134&gt;='ZD Vorerfassung'!$C$31,B134&lt;='ZD Vorerfassung'!$D$31),HLOOKUP(TEXT(C134,"ttt"),'ZD Vorerfassung'!$H$21:$L$36,11,0),0))+
IF('ZD Vorerfassung'!$E$32="",0,IF(AND(B134&gt;='ZD Vorerfassung'!$C$32,B134&lt;='ZD Vorerfassung'!$D$32),HLOOKUP(TEXT(C134,"ttt"),'ZD Vorerfassung'!$H$21:$L$36,12,0),0))+
IF('ZD Vorerfassung'!$E$33="",0,IF(AND(B134&gt;='ZD Vorerfassung'!$C$33,B134&lt;='ZD Vorerfassung'!$D$33),HLOOKUP(TEXT(C134,"ttt"),'ZD Vorerfassung'!$H$21:$L$36,13,0),0))+
IF('ZD Vorerfassung'!$E$34="",0,IF(AND(B134&gt;='ZD Vorerfassung'!$C$34,B134&lt;='ZD Vorerfassung'!$D$34),HLOOKUP(TEXT(C134,"ttt"),'ZD Vorerfassung'!$H$21:$L$36,14,0),0))+
IF('ZD Vorerfassung'!$E$35="",0,IF(AND(B134&gt;='ZD Vorerfassung'!$C$35,B134&lt;='ZD Vorerfassung'!$D$35),HLOOKUP(TEXT(C134,"ttt"),'ZD Vorerfassung'!$H$21:$L$36,15,0),0))+
IF('ZD Vorerfassung'!$E$36="",0,IF(AND(B134&gt;='ZD Vorerfassung'!$C$36,B134&lt;='ZD Vorerfassung'!$D$36),HLOOKUP(TEXT(C134,"ttt"),'ZD Vorerfassung'!$H$21:$L$36,16,0),0)),"")</f>
        <v/>
      </c>
      <c r="AW134" s="110">
        <f t="array" ref="AW134">IF(OR(D134="UU",D134="FT",D134="WE"),0,
IF(D134="NR",SUM(IF(B134&gt;=_xlfn.NUMBERVALUE('ZD Vorerfassung'!$C$22:$C$36),1,0)*IF(B134&lt;=_xlfn.NUMBERVALUE('ZD Vorerfassung'!$D$22:$D$36),1,0)*'ZD Vorerfassung'!$Q$22:$Q$36),
IF(OR(D134="SF",D134="FH"),SUM(IF(B134&gt;=_xlfn.NUMBERVALUE('ZD Vorerfassung'!$C$22:$C$36),1,0)*IF(B134&lt;=_xlfn.NUMBERVALUE('ZD Vorerfassung'!$D$22:$D$36),1,0)*'ZD Vorerfassung'!$R$22:$R$36*IF(D134="FH",0.5,1)),
"prüfen")))</f>
        <v>0</v>
      </c>
      <c r="AX134" s="110">
        <f t="array" ref="AX134">IF(OR(D134="UU",D134="FT",D134="WE",E134="Ferien"),0,
IF(D134="NR",SUM(IF(B134&gt;=_xlfn.NUMBERVALUE('ZD Vorerfassung'!$C$22:$C$36),1,0)*IF(B134&lt;=_xlfn.NUMBERVALUE('ZD Vorerfassung'!$D$22:$D$36),1,0)*'ZD Vorerfassung'!$W$22:$W$36),
IF(OR(D134="SF",D134="FH"),SUM(IF(B134&gt;=_xlfn.NUMBERVALUE('ZD Vorerfassung'!$C$22:$C$36),1,0)*IF(B134&lt;=_xlfn.NUMBERVALUE('ZD Vorerfassung'!$D$22:$D$36),1,0)*'ZD Vorerfassung'!$X$22:$X$36*IF(D134="FH",0.5,1)),
"prüfen")))</f>
        <v>0</v>
      </c>
      <c r="AY134" s="110">
        <f t="array" ref="AY134">IF(OR(D134="UU",D134="FT",D134="WE",E134="Ferien"),0,
IF(D134="NR",SUM(IF(B134&gt;=_xlfn.NUMBERVALUE('ZD Vorerfassung'!$C$22:$C$36),1,0)*IF(B134&lt;=_xlfn.NUMBERVALUE('ZD Vorerfassung'!$D$22:$D$36),1,0)*'ZD Vorerfassung'!$U$22:$U$36),
IF(OR(D134="SF",D134="FH"),SUM(IF(B134&gt;=_xlfn.NUMBERVALUE('ZD Vorerfassung'!$C$22:$C$36),1,0)*IF(B134&lt;=_xlfn.NUMBERVALUE('ZD Vorerfassung'!$D$22:$D$36),1,0)*'ZD Vorerfassung'!$V$22:$V$36*IF(D134="FH",0.5,1)),
"prüfen")))</f>
        <v>0</v>
      </c>
      <c r="AZ134" s="110">
        <f t="array" ref="AZ134">IF(OR(D134="UU",D134="FT",D134="WE",E134="Ferien"),0,
IF(D134="NR",SUM(IF(B134&gt;=_xlfn.NUMBERVALUE('ZD Vorerfassung'!$C$22:$C$36),1,0)*IF(B134&lt;=_xlfn.NUMBERVALUE('ZD Vorerfassung'!$D$22:$D$36),1,0)*'ZD Vorerfassung'!$S$22:$S$36),
IF(OR(D134="SF",D134="FH"),SUM(IF(B134&gt;=_xlfn.NUMBERVALUE('ZD Vorerfassung'!$C$22:$C$36),1,0)*IF(B134&lt;=_xlfn.NUMBERVALUE('ZD Vorerfassung'!$D$22:$D$36),1,0)*'ZD Vorerfassung'!$T$22:$T$36*IF(D134="FH",0.5,1)),
"prüfen")))</f>
        <v>0</v>
      </c>
      <c r="BA134" s="112">
        <f t="shared" si="20"/>
        <v>12</v>
      </c>
    </row>
    <row r="135" spans="2:53" ht="19.5" thickTop="1" thickBot="1" x14ac:dyDescent="0.3">
      <c r="B135" s="99">
        <f t="shared" si="17"/>
        <v>44900</v>
      </c>
      <c r="C135" s="100">
        <f t="shared" si="21"/>
        <v>44900</v>
      </c>
      <c r="D135" s="101" t="str">
        <f t="shared" si="22"/>
        <v>WE</v>
      </c>
      <c r="E135" s="102" t="str">
        <f t="shared" si="18"/>
        <v>Wochenende</v>
      </c>
      <c r="F135" s="103" t="str">
        <f t="shared" si="23"/>
        <v/>
      </c>
      <c r="G135" s="104" t="str">
        <f t="shared" si="24"/>
        <v/>
      </c>
      <c r="H135" s="104">
        <f>IFERROR(IF('ZD Vorerfassung'!$E$11="manuell",SUM(I135),IF(OR(E135="Feiertag",E135="Wochenende"),0,IF('ZD Vorerfassung'!$E$11="automatisch",AX135,IF(D135="UU","UU",IF(E135=Param2,AX135/24,IF(E135=Param9,AX135/48,"")))))),0)</f>
        <v>0</v>
      </c>
      <c r="I135" s="105"/>
      <c r="J135" s="106">
        <f>IF('ZD Vorerfassung'!$E$12="manuell",SUM(K135:AI135),IF(OR(E135="Feiertag",E135="Wochenende"),0,IF('ZD Vorerfassung'!$E$12="automatisch",AY135,IF(D135="UU","UU",IF(E135=Param2,AY135/24,IF(E135=Param9,AY135/48,""))))))</f>
        <v>0</v>
      </c>
      <c r="K135" s="105"/>
      <c r="L135" s="105"/>
      <c r="M135" s="105"/>
      <c r="N135" s="105"/>
      <c r="O135" s="105"/>
      <c r="P135" s="105"/>
      <c r="Q135" s="105"/>
      <c r="R135" s="105"/>
      <c r="S135" s="105"/>
      <c r="T135" s="105"/>
      <c r="U135" s="105"/>
      <c r="V135" s="105"/>
      <c r="W135" s="105"/>
      <c r="X135" s="105"/>
      <c r="Y135" s="105"/>
      <c r="Z135" s="105"/>
      <c r="AA135" s="105"/>
      <c r="AB135" s="105"/>
      <c r="AC135" s="105"/>
      <c r="AD135" s="105"/>
      <c r="AE135" s="105"/>
      <c r="AF135" s="105"/>
      <c r="AG135" s="105"/>
      <c r="AH135" s="105"/>
      <c r="AI135" s="105"/>
      <c r="AJ135" s="107">
        <f t="shared" si="25"/>
        <v>0</v>
      </c>
      <c r="AK135" s="105"/>
      <c r="AL135" s="105"/>
      <c r="AM135" s="105"/>
      <c r="AN135" s="105"/>
      <c r="AO135" s="105"/>
      <c r="AP135" s="105"/>
      <c r="AQ135" s="108">
        <f t="shared" si="26"/>
        <v>0</v>
      </c>
      <c r="AR135" s="108">
        <f t="shared" si="27"/>
        <v>0</v>
      </c>
      <c r="AS135" s="109">
        <f t="shared" si="28"/>
        <v>0</v>
      </c>
      <c r="AU135" s="110">
        <f t="shared" si="19"/>
        <v>0</v>
      </c>
      <c r="AV135" s="111" t="str">
        <f>IF(D135="NR",
IF('ZD Vorerfassung'!$E$22="",0,IF(AND(B135&gt;='ZD Vorerfassung'!$C$22,B135&lt;='ZD Vorerfassung'!$D$22),HLOOKUP(TEXT(C135,"ttt"),'ZD Vorerfassung'!$H$21:$L$36,2,0),0))+
IF('ZD Vorerfassung'!$E$23="",0,IF(AND(B135&gt;='ZD Vorerfassung'!$C$23,B135&lt;='ZD Vorerfassung'!$D$23),HLOOKUP(TEXT(C135,"ttt"),'ZD Vorerfassung'!$H$21:$L$36,3,0),0))+
IF('ZD Vorerfassung'!$E$24="",0,IF(AND(B135&gt;='ZD Vorerfassung'!$C$24,B135&lt;='ZD Vorerfassung'!$D$24),HLOOKUP(TEXT(C135,"ttt"),'ZD Vorerfassung'!$H$21:$L$36,4,0),0))+
IF('ZD Vorerfassung'!$E$25="",0,IF(AND(B135&gt;='ZD Vorerfassung'!$C$25,B135&lt;='ZD Vorerfassung'!$D$25),HLOOKUP(TEXT(C135,"ttt"),'ZD Vorerfassung'!$H$21:$L$36,5,0),0))+
IF('ZD Vorerfassung'!$E$26="",0,IF(AND(B135&gt;='ZD Vorerfassung'!$C$26,B135&lt;='ZD Vorerfassung'!$D$26),HLOOKUP(TEXT(C135,"ttt"),'ZD Vorerfassung'!$H$21:$L$36,6,0),0))+
IF('ZD Vorerfassung'!$E$27="",0,IF(AND(B135&gt;='ZD Vorerfassung'!$C$27,B135&lt;='ZD Vorerfassung'!$D$27),HLOOKUP(TEXT(C135,"ttt"),'ZD Vorerfassung'!$H$21:$L$36,7,0),0))+
IF('ZD Vorerfassung'!$E$28="",0,IF(AND(B135&gt;='ZD Vorerfassung'!$C$28,B135&lt;='ZD Vorerfassung'!$D$28),HLOOKUP(TEXT(C135,"ttt"),'ZD Vorerfassung'!$H$21:$L$36,8,0),0))+
IF('ZD Vorerfassung'!$E$29="",0,IF(AND(B135&gt;='ZD Vorerfassung'!$C$29,B135&lt;='ZD Vorerfassung'!$D$29),HLOOKUP(TEXT(C135,"ttt"),'ZD Vorerfassung'!$H$21:$L$36,9,0),0))+
IF('ZD Vorerfassung'!$E$30="",0,IF(AND(B135&gt;='ZD Vorerfassung'!$C$30,B135&lt;='ZD Vorerfassung'!$D$30),HLOOKUP(TEXT(C135,"ttt"),'ZD Vorerfassung'!$H$21:$L$36,10,0),0))+
IF('ZD Vorerfassung'!$E$31="",0,IF(AND(B135&gt;='ZD Vorerfassung'!$C$31,B135&lt;='ZD Vorerfassung'!$D$31),HLOOKUP(TEXT(C135,"ttt"),'ZD Vorerfassung'!$H$21:$L$36,11,0),0))+
IF('ZD Vorerfassung'!$E$32="",0,IF(AND(B135&gt;='ZD Vorerfassung'!$C$32,B135&lt;='ZD Vorerfassung'!$D$32),HLOOKUP(TEXT(C135,"ttt"),'ZD Vorerfassung'!$H$21:$L$36,12,0),0))+
IF('ZD Vorerfassung'!$E$33="",0,IF(AND(B135&gt;='ZD Vorerfassung'!$C$33,B135&lt;='ZD Vorerfassung'!$D$33),HLOOKUP(TEXT(C135,"ttt"),'ZD Vorerfassung'!$H$21:$L$36,13,0),0))+
IF('ZD Vorerfassung'!$E$34="",0,IF(AND(B135&gt;='ZD Vorerfassung'!$C$34,B135&lt;='ZD Vorerfassung'!$D$34),HLOOKUP(TEXT(C135,"ttt"),'ZD Vorerfassung'!$H$21:$L$36,14,0),0))+
IF('ZD Vorerfassung'!$E$35="",0,IF(AND(B135&gt;='ZD Vorerfassung'!$C$35,B135&lt;='ZD Vorerfassung'!$D$35),HLOOKUP(TEXT(C135,"ttt"),'ZD Vorerfassung'!$H$21:$L$36,15,0),0))+
IF('ZD Vorerfassung'!$E$36="",0,IF(AND(B135&gt;='ZD Vorerfassung'!$C$36,B135&lt;='ZD Vorerfassung'!$D$36),HLOOKUP(TEXT(C135,"ttt"),'ZD Vorerfassung'!$H$21:$L$36,16,0),0)),"")</f>
        <v/>
      </c>
      <c r="AW135" s="110">
        <f t="array" ref="AW135">IF(OR(D135="UU",D135="FT",D135="WE"),0,
IF(D135="NR",SUM(IF(B135&gt;=_xlfn.NUMBERVALUE('ZD Vorerfassung'!$C$22:$C$36),1,0)*IF(B135&lt;=_xlfn.NUMBERVALUE('ZD Vorerfassung'!$D$22:$D$36),1,0)*'ZD Vorerfassung'!$Q$22:$Q$36),
IF(OR(D135="SF",D135="FH"),SUM(IF(B135&gt;=_xlfn.NUMBERVALUE('ZD Vorerfassung'!$C$22:$C$36),1,0)*IF(B135&lt;=_xlfn.NUMBERVALUE('ZD Vorerfassung'!$D$22:$D$36),1,0)*'ZD Vorerfassung'!$R$22:$R$36*IF(D135="FH",0.5,1)),
"prüfen")))</f>
        <v>0</v>
      </c>
      <c r="AX135" s="110">
        <f t="array" ref="AX135">IF(OR(D135="UU",D135="FT",D135="WE",E135="Ferien"),0,
IF(D135="NR",SUM(IF(B135&gt;=_xlfn.NUMBERVALUE('ZD Vorerfassung'!$C$22:$C$36),1,0)*IF(B135&lt;=_xlfn.NUMBERVALUE('ZD Vorerfassung'!$D$22:$D$36),1,0)*'ZD Vorerfassung'!$W$22:$W$36),
IF(OR(D135="SF",D135="FH"),SUM(IF(B135&gt;=_xlfn.NUMBERVALUE('ZD Vorerfassung'!$C$22:$C$36),1,0)*IF(B135&lt;=_xlfn.NUMBERVALUE('ZD Vorerfassung'!$D$22:$D$36),1,0)*'ZD Vorerfassung'!$X$22:$X$36*IF(D135="FH",0.5,1)),
"prüfen")))</f>
        <v>0</v>
      </c>
      <c r="AY135" s="110">
        <f t="array" ref="AY135">IF(OR(D135="UU",D135="FT",D135="WE",E135="Ferien"),0,
IF(D135="NR",SUM(IF(B135&gt;=_xlfn.NUMBERVALUE('ZD Vorerfassung'!$C$22:$C$36),1,0)*IF(B135&lt;=_xlfn.NUMBERVALUE('ZD Vorerfassung'!$D$22:$D$36),1,0)*'ZD Vorerfassung'!$U$22:$U$36),
IF(OR(D135="SF",D135="FH"),SUM(IF(B135&gt;=_xlfn.NUMBERVALUE('ZD Vorerfassung'!$C$22:$C$36),1,0)*IF(B135&lt;=_xlfn.NUMBERVALUE('ZD Vorerfassung'!$D$22:$D$36),1,0)*'ZD Vorerfassung'!$V$22:$V$36*IF(D135="FH",0.5,1)),
"prüfen")))</f>
        <v>0</v>
      </c>
      <c r="AZ135" s="110">
        <f t="array" ref="AZ135">IF(OR(D135="UU",D135="FT",D135="WE",E135="Ferien"),0,
IF(D135="NR",SUM(IF(B135&gt;=_xlfn.NUMBERVALUE('ZD Vorerfassung'!$C$22:$C$36),1,0)*IF(B135&lt;=_xlfn.NUMBERVALUE('ZD Vorerfassung'!$D$22:$D$36),1,0)*'ZD Vorerfassung'!$S$22:$S$36),
IF(OR(D135="SF",D135="FH"),SUM(IF(B135&gt;=_xlfn.NUMBERVALUE('ZD Vorerfassung'!$C$22:$C$36),1,0)*IF(B135&lt;=_xlfn.NUMBERVALUE('ZD Vorerfassung'!$D$22:$D$36),1,0)*'ZD Vorerfassung'!$T$22:$T$36*IF(D135="FH",0.5,1)),
"prüfen")))</f>
        <v>0</v>
      </c>
      <c r="BA135" s="112">
        <f t="shared" si="20"/>
        <v>12</v>
      </c>
    </row>
    <row r="136" spans="2:53" ht="19.5" thickTop="1" thickBot="1" x14ac:dyDescent="0.3">
      <c r="B136" s="99">
        <f t="shared" ref="B136:B199" si="29">IF(B135="Datum",DATE(LEFT(Schuljahr,4),8,1),B135+1)</f>
        <v>44901</v>
      </c>
      <c r="C136" s="100">
        <f t="shared" si="21"/>
        <v>44901</v>
      </c>
      <c r="D136" s="101" t="str">
        <f t="shared" si="22"/>
        <v>NR</v>
      </c>
      <c r="E136" s="102" t="str">
        <f t="shared" ref="E136:E199" si="30">IF(D136="FT",Param8,
IF(D136="FH",Param9,
IF(D136="WE",Param7,
IF(D136="SF",Param2,
IF(D136="NR",Param1,
IF(D136="UU",Param10,
""))))))</f>
        <v>Unterrichtstag</v>
      </c>
      <c r="F136" s="103">
        <f t="shared" si="23"/>
        <v>0</v>
      </c>
      <c r="G136" s="104">
        <f t="shared" si="24"/>
        <v>0</v>
      </c>
      <c r="H136" s="104">
        <f>IFERROR(IF('ZD Vorerfassung'!$E$11="manuell",SUM(I136),IF(OR(E136="Feiertag",E136="Wochenende"),0,IF('ZD Vorerfassung'!$E$11="automatisch",AX136,IF(D136="UU","UU",IF(E136=Param2,AX136/24,IF(E136=Param9,AX136/48,"")))))),0)</f>
        <v>0</v>
      </c>
      <c r="I136" s="105"/>
      <c r="J136" s="106">
        <f>IF('ZD Vorerfassung'!$E$12="manuell",SUM(K136:AI136),IF(OR(E136="Feiertag",E136="Wochenende"),0,IF('ZD Vorerfassung'!$E$12="automatisch",AY136,IF(D136="UU","UU",IF(E136=Param2,AY136/24,IF(E136=Param9,AY136/48,""))))))</f>
        <v>0</v>
      </c>
      <c r="K136" s="105"/>
      <c r="L136" s="105"/>
      <c r="M136" s="105"/>
      <c r="N136" s="105"/>
      <c r="O136" s="105"/>
      <c r="P136" s="105"/>
      <c r="Q136" s="105"/>
      <c r="R136" s="105"/>
      <c r="S136" s="105"/>
      <c r="T136" s="105"/>
      <c r="U136" s="105"/>
      <c r="V136" s="105"/>
      <c r="W136" s="105"/>
      <c r="X136" s="105"/>
      <c r="Y136" s="105"/>
      <c r="Z136" s="105"/>
      <c r="AA136" s="105"/>
      <c r="AB136" s="105"/>
      <c r="AC136" s="105"/>
      <c r="AD136" s="105"/>
      <c r="AE136" s="105"/>
      <c r="AF136" s="105"/>
      <c r="AG136" s="105"/>
      <c r="AH136" s="105"/>
      <c r="AI136" s="105"/>
      <c r="AJ136" s="107">
        <f t="shared" si="25"/>
        <v>0</v>
      </c>
      <c r="AK136" s="105"/>
      <c r="AL136" s="105"/>
      <c r="AM136" s="105"/>
      <c r="AN136" s="105"/>
      <c r="AO136" s="105"/>
      <c r="AP136" s="105"/>
      <c r="AQ136" s="108">
        <f t="shared" si="26"/>
        <v>0</v>
      </c>
      <c r="AR136" s="108">
        <f t="shared" si="27"/>
        <v>0</v>
      </c>
      <c r="AS136" s="109">
        <f t="shared" si="28"/>
        <v>0</v>
      </c>
      <c r="AU136" s="110">
        <f t="shared" ref="AU136:AU199" si="31">SUM(AW136:AZ136)</f>
        <v>0</v>
      </c>
      <c r="AV136" s="111">
        <f>IF(D136="NR",
IF('ZD Vorerfassung'!$E$22="",0,IF(AND(B136&gt;='ZD Vorerfassung'!$C$22,B136&lt;='ZD Vorerfassung'!$D$22),HLOOKUP(TEXT(C136,"ttt"),'ZD Vorerfassung'!$H$21:$L$36,2,0),0))+
IF('ZD Vorerfassung'!$E$23="",0,IF(AND(B136&gt;='ZD Vorerfassung'!$C$23,B136&lt;='ZD Vorerfassung'!$D$23),HLOOKUP(TEXT(C136,"ttt"),'ZD Vorerfassung'!$H$21:$L$36,3,0),0))+
IF('ZD Vorerfassung'!$E$24="",0,IF(AND(B136&gt;='ZD Vorerfassung'!$C$24,B136&lt;='ZD Vorerfassung'!$D$24),HLOOKUP(TEXT(C136,"ttt"),'ZD Vorerfassung'!$H$21:$L$36,4,0),0))+
IF('ZD Vorerfassung'!$E$25="",0,IF(AND(B136&gt;='ZD Vorerfassung'!$C$25,B136&lt;='ZD Vorerfassung'!$D$25),HLOOKUP(TEXT(C136,"ttt"),'ZD Vorerfassung'!$H$21:$L$36,5,0),0))+
IF('ZD Vorerfassung'!$E$26="",0,IF(AND(B136&gt;='ZD Vorerfassung'!$C$26,B136&lt;='ZD Vorerfassung'!$D$26),HLOOKUP(TEXT(C136,"ttt"),'ZD Vorerfassung'!$H$21:$L$36,6,0),0))+
IF('ZD Vorerfassung'!$E$27="",0,IF(AND(B136&gt;='ZD Vorerfassung'!$C$27,B136&lt;='ZD Vorerfassung'!$D$27),HLOOKUP(TEXT(C136,"ttt"),'ZD Vorerfassung'!$H$21:$L$36,7,0),0))+
IF('ZD Vorerfassung'!$E$28="",0,IF(AND(B136&gt;='ZD Vorerfassung'!$C$28,B136&lt;='ZD Vorerfassung'!$D$28),HLOOKUP(TEXT(C136,"ttt"),'ZD Vorerfassung'!$H$21:$L$36,8,0),0))+
IF('ZD Vorerfassung'!$E$29="",0,IF(AND(B136&gt;='ZD Vorerfassung'!$C$29,B136&lt;='ZD Vorerfassung'!$D$29),HLOOKUP(TEXT(C136,"ttt"),'ZD Vorerfassung'!$H$21:$L$36,9,0),0))+
IF('ZD Vorerfassung'!$E$30="",0,IF(AND(B136&gt;='ZD Vorerfassung'!$C$30,B136&lt;='ZD Vorerfassung'!$D$30),HLOOKUP(TEXT(C136,"ttt"),'ZD Vorerfassung'!$H$21:$L$36,10,0),0))+
IF('ZD Vorerfassung'!$E$31="",0,IF(AND(B136&gt;='ZD Vorerfassung'!$C$31,B136&lt;='ZD Vorerfassung'!$D$31),HLOOKUP(TEXT(C136,"ttt"),'ZD Vorerfassung'!$H$21:$L$36,11,0),0))+
IF('ZD Vorerfassung'!$E$32="",0,IF(AND(B136&gt;='ZD Vorerfassung'!$C$32,B136&lt;='ZD Vorerfassung'!$D$32),HLOOKUP(TEXT(C136,"ttt"),'ZD Vorerfassung'!$H$21:$L$36,12,0),0))+
IF('ZD Vorerfassung'!$E$33="",0,IF(AND(B136&gt;='ZD Vorerfassung'!$C$33,B136&lt;='ZD Vorerfassung'!$D$33),HLOOKUP(TEXT(C136,"ttt"),'ZD Vorerfassung'!$H$21:$L$36,13,0),0))+
IF('ZD Vorerfassung'!$E$34="",0,IF(AND(B136&gt;='ZD Vorerfassung'!$C$34,B136&lt;='ZD Vorerfassung'!$D$34),HLOOKUP(TEXT(C136,"ttt"),'ZD Vorerfassung'!$H$21:$L$36,14,0),0))+
IF('ZD Vorerfassung'!$E$35="",0,IF(AND(B136&gt;='ZD Vorerfassung'!$C$35,B136&lt;='ZD Vorerfassung'!$D$35),HLOOKUP(TEXT(C136,"ttt"),'ZD Vorerfassung'!$H$21:$L$36,15,0),0))+
IF('ZD Vorerfassung'!$E$36="",0,IF(AND(B136&gt;='ZD Vorerfassung'!$C$36,B136&lt;='ZD Vorerfassung'!$D$36),HLOOKUP(TEXT(C136,"ttt"),'ZD Vorerfassung'!$H$21:$L$36,16,0),0)),"")</f>
        <v>0</v>
      </c>
      <c r="AW136" s="110">
        <f t="array" ref="AW136">IF(OR(D136="UU",D136="FT",D136="WE"),0,
IF(D136="NR",SUM(IF(B136&gt;=_xlfn.NUMBERVALUE('ZD Vorerfassung'!$C$22:$C$36),1,0)*IF(B136&lt;=_xlfn.NUMBERVALUE('ZD Vorerfassung'!$D$22:$D$36),1,0)*'ZD Vorerfassung'!$Q$22:$Q$36),
IF(OR(D136="SF",D136="FH"),SUM(IF(B136&gt;=_xlfn.NUMBERVALUE('ZD Vorerfassung'!$C$22:$C$36),1,0)*IF(B136&lt;=_xlfn.NUMBERVALUE('ZD Vorerfassung'!$D$22:$D$36),1,0)*'ZD Vorerfassung'!$R$22:$R$36*IF(D136="FH",0.5,1)),
"prüfen")))</f>
        <v>0</v>
      </c>
      <c r="AX136" s="110">
        <f t="array" ref="AX136">IF(OR(D136="UU",D136="FT",D136="WE",E136="Ferien"),0,
IF(D136="NR",SUM(IF(B136&gt;=_xlfn.NUMBERVALUE('ZD Vorerfassung'!$C$22:$C$36),1,0)*IF(B136&lt;=_xlfn.NUMBERVALUE('ZD Vorerfassung'!$D$22:$D$36),1,0)*'ZD Vorerfassung'!$W$22:$W$36),
IF(OR(D136="SF",D136="FH"),SUM(IF(B136&gt;=_xlfn.NUMBERVALUE('ZD Vorerfassung'!$C$22:$C$36),1,0)*IF(B136&lt;=_xlfn.NUMBERVALUE('ZD Vorerfassung'!$D$22:$D$36),1,0)*'ZD Vorerfassung'!$X$22:$X$36*IF(D136="FH",0.5,1)),
"prüfen")))</f>
        <v>0</v>
      </c>
      <c r="AY136" s="110">
        <f t="array" ref="AY136">IF(OR(D136="UU",D136="FT",D136="WE",E136="Ferien"),0,
IF(D136="NR",SUM(IF(B136&gt;=_xlfn.NUMBERVALUE('ZD Vorerfassung'!$C$22:$C$36),1,0)*IF(B136&lt;=_xlfn.NUMBERVALUE('ZD Vorerfassung'!$D$22:$D$36),1,0)*'ZD Vorerfassung'!$U$22:$U$36),
IF(OR(D136="SF",D136="FH"),SUM(IF(B136&gt;=_xlfn.NUMBERVALUE('ZD Vorerfassung'!$C$22:$C$36),1,0)*IF(B136&lt;=_xlfn.NUMBERVALUE('ZD Vorerfassung'!$D$22:$D$36),1,0)*'ZD Vorerfassung'!$V$22:$V$36*IF(D136="FH",0.5,1)),
"prüfen")))</f>
        <v>0</v>
      </c>
      <c r="AZ136" s="110">
        <f t="array" ref="AZ136">IF(OR(D136="UU",D136="FT",D136="WE",E136="Ferien"),0,
IF(D136="NR",SUM(IF(B136&gt;=_xlfn.NUMBERVALUE('ZD Vorerfassung'!$C$22:$C$36),1,0)*IF(B136&lt;=_xlfn.NUMBERVALUE('ZD Vorerfassung'!$D$22:$D$36),1,0)*'ZD Vorerfassung'!$S$22:$S$36),
IF(OR(D136="SF",D136="FH"),SUM(IF(B136&gt;=_xlfn.NUMBERVALUE('ZD Vorerfassung'!$C$22:$C$36),1,0)*IF(B136&lt;=_xlfn.NUMBERVALUE('ZD Vorerfassung'!$D$22:$D$36),1,0)*'ZD Vorerfassung'!$T$22:$T$36*IF(D136="FH",0.5,1)),
"prüfen")))</f>
        <v>0</v>
      </c>
      <c r="BA136" s="112">
        <f t="shared" ref="BA136:BA199" si="32">MONTH(B136)</f>
        <v>12</v>
      </c>
    </row>
    <row r="137" spans="2:53" ht="19.5" thickTop="1" thickBot="1" x14ac:dyDescent="0.3">
      <c r="B137" s="99">
        <f t="shared" si="29"/>
        <v>44902</v>
      </c>
      <c r="C137" s="100">
        <f t="shared" ref="C137:C200" si="33">B137</f>
        <v>44902</v>
      </c>
      <c r="D137" s="101" t="str">
        <f t="shared" ref="D137:D200" si="34">IF(WEEKDAY(B137,2)&gt;5,"WE",IF(OR(AND(B137&gt;=UU1_start,B137&lt;=UU1_stop),AND(B137&gt;=UU2_start,B137&lt;=UU2_stop),AND(B137&gt;=UU3_start,B137&lt;=UU3_stop)),"UU",
IF(COUNTIF(Data_Feiertage,B137)&gt;0,"FT",
IF(COUNTIF(Data_Feiertage_halb,B137)&gt;0,"FH",
IF(COUNTIF(Data_Schulferien,B137)&gt;0,"SF",
"NR")))))</f>
        <v>NR</v>
      </c>
      <c r="E137" s="102" t="str">
        <f t="shared" si="30"/>
        <v>Unterrichtstag</v>
      </c>
      <c r="F137" s="103">
        <f t="shared" ref="F137:F200" si="35">IF(E137=Param1,AV137,"")</f>
        <v>0</v>
      </c>
      <c r="G137" s="104">
        <f t="shared" ref="G137:G200" si="36">IF(F137="","",F137*0.75*60/1440)</f>
        <v>0</v>
      </c>
      <c r="H137" s="104">
        <f>IFERROR(IF('ZD Vorerfassung'!$E$11="manuell",SUM(I137),IF(OR(E137="Feiertag",E137="Wochenende"),0,IF('ZD Vorerfassung'!$E$11="automatisch",AX137,IF(D137="UU","UU",IF(E137=Param2,AX137/24,IF(E137=Param9,AX137/48,"")))))),0)</f>
        <v>0</v>
      </c>
      <c r="I137" s="105"/>
      <c r="J137" s="106">
        <f>IF('ZD Vorerfassung'!$E$12="manuell",SUM(K137:AI137),IF(OR(E137="Feiertag",E137="Wochenende"),0,IF('ZD Vorerfassung'!$E$12="automatisch",AY137,IF(D137="UU","UU",IF(E137=Param2,AY137/24,IF(E137=Param9,AY137/48,""))))))</f>
        <v>0</v>
      </c>
      <c r="K137" s="105"/>
      <c r="L137" s="105"/>
      <c r="M137" s="105"/>
      <c r="N137" s="105"/>
      <c r="O137" s="105"/>
      <c r="P137" s="105"/>
      <c r="Q137" s="105"/>
      <c r="R137" s="105"/>
      <c r="S137" s="105"/>
      <c r="T137" s="105"/>
      <c r="U137" s="105"/>
      <c r="V137" s="105"/>
      <c r="W137" s="105"/>
      <c r="X137" s="105"/>
      <c r="Y137" s="105"/>
      <c r="Z137" s="105"/>
      <c r="AA137" s="105"/>
      <c r="AB137" s="105"/>
      <c r="AC137" s="105"/>
      <c r="AD137" s="105"/>
      <c r="AE137" s="105"/>
      <c r="AF137" s="105"/>
      <c r="AG137" s="105"/>
      <c r="AH137" s="105"/>
      <c r="AI137" s="105"/>
      <c r="AJ137" s="107">
        <f t="shared" ref="AJ137:AJ200" si="37">IF(VorsaldoFerien="manuell",SUM(AK137:AP137),IF(OR(E137="Feiertag",E137="Wochenende"),0,IF(VorsaldoFerien="automatisch",AZ137,IF(D137="UU","UU",IF(E137=Param2,AX137/24,IF(E137=Param9,AX137/48,""))))))</f>
        <v>0</v>
      </c>
      <c r="AK137" s="105"/>
      <c r="AL137" s="105"/>
      <c r="AM137" s="105"/>
      <c r="AN137" s="105"/>
      <c r="AO137" s="105"/>
      <c r="AP137" s="105"/>
      <c r="AQ137" s="108">
        <f t="shared" ref="AQ137:AQ200" si="38">IF(OR(D137="FT",D137="WE",D137="UU"),0,
IF(D137="FH",AU137/2,AU137))</f>
        <v>0</v>
      </c>
      <c r="AR137" s="108">
        <f t="shared" ref="AR137:AR200" si="39">IF(E137=Param1,SUM(G137,H137,J137,AJ137),
IF(OR(E137=Param2,E137=Param3,E137=Param7,E137=Param8,E137=Param9),SUM(G137,H137,J137,AJ137),
IF(OR(E137=Param4,E137=Param6),AQ137,
IF(OR(E137=Param5,E137=Param10),0,0))))</f>
        <v>0</v>
      </c>
      <c r="AS137" s="109">
        <f t="shared" ref="AS137:AS200" si="40">IF(AND(DAY(B137)=1,MONTH(B137)=8),0+AR137-AQ137,AS136+AR137-AQ137)</f>
        <v>0</v>
      </c>
      <c r="AU137" s="110">
        <f t="shared" si="31"/>
        <v>0</v>
      </c>
      <c r="AV137" s="111">
        <f>IF(D137="NR",
IF('ZD Vorerfassung'!$E$22="",0,IF(AND(B137&gt;='ZD Vorerfassung'!$C$22,B137&lt;='ZD Vorerfassung'!$D$22),HLOOKUP(TEXT(C137,"ttt"),'ZD Vorerfassung'!$H$21:$L$36,2,0),0))+
IF('ZD Vorerfassung'!$E$23="",0,IF(AND(B137&gt;='ZD Vorerfassung'!$C$23,B137&lt;='ZD Vorerfassung'!$D$23),HLOOKUP(TEXT(C137,"ttt"),'ZD Vorerfassung'!$H$21:$L$36,3,0),0))+
IF('ZD Vorerfassung'!$E$24="",0,IF(AND(B137&gt;='ZD Vorerfassung'!$C$24,B137&lt;='ZD Vorerfassung'!$D$24),HLOOKUP(TEXT(C137,"ttt"),'ZD Vorerfassung'!$H$21:$L$36,4,0),0))+
IF('ZD Vorerfassung'!$E$25="",0,IF(AND(B137&gt;='ZD Vorerfassung'!$C$25,B137&lt;='ZD Vorerfassung'!$D$25),HLOOKUP(TEXT(C137,"ttt"),'ZD Vorerfassung'!$H$21:$L$36,5,0),0))+
IF('ZD Vorerfassung'!$E$26="",0,IF(AND(B137&gt;='ZD Vorerfassung'!$C$26,B137&lt;='ZD Vorerfassung'!$D$26),HLOOKUP(TEXT(C137,"ttt"),'ZD Vorerfassung'!$H$21:$L$36,6,0),0))+
IF('ZD Vorerfassung'!$E$27="",0,IF(AND(B137&gt;='ZD Vorerfassung'!$C$27,B137&lt;='ZD Vorerfassung'!$D$27),HLOOKUP(TEXT(C137,"ttt"),'ZD Vorerfassung'!$H$21:$L$36,7,0),0))+
IF('ZD Vorerfassung'!$E$28="",0,IF(AND(B137&gt;='ZD Vorerfassung'!$C$28,B137&lt;='ZD Vorerfassung'!$D$28),HLOOKUP(TEXT(C137,"ttt"),'ZD Vorerfassung'!$H$21:$L$36,8,0),0))+
IF('ZD Vorerfassung'!$E$29="",0,IF(AND(B137&gt;='ZD Vorerfassung'!$C$29,B137&lt;='ZD Vorerfassung'!$D$29),HLOOKUP(TEXT(C137,"ttt"),'ZD Vorerfassung'!$H$21:$L$36,9,0),0))+
IF('ZD Vorerfassung'!$E$30="",0,IF(AND(B137&gt;='ZD Vorerfassung'!$C$30,B137&lt;='ZD Vorerfassung'!$D$30),HLOOKUP(TEXT(C137,"ttt"),'ZD Vorerfassung'!$H$21:$L$36,10,0),0))+
IF('ZD Vorerfassung'!$E$31="",0,IF(AND(B137&gt;='ZD Vorerfassung'!$C$31,B137&lt;='ZD Vorerfassung'!$D$31),HLOOKUP(TEXT(C137,"ttt"),'ZD Vorerfassung'!$H$21:$L$36,11,0),0))+
IF('ZD Vorerfassung'!$E$32="",0,IF(AND(B137&gt;='ZD Vorerfassung'!$C$32,B137&lt;='ZD Vorerfassung'!$D$32),HLOOKUP(TEXT(C137,"ttt"),'ZD Vorerfassung'!$H$21:$L$36,12,0),0))+
IF('ZD Vorerfassung'!$E$33="",0,IF(AND(B137&gt;='ZD Vorerfassung'!$C$33,B137&lt;='ZD Vorerfassung'!$D$33),HLOOKUP(TEXT(C137,"ttt"),'ZD Vorerfassung'!$H$21:$L$36,13,0),0))+
IF('ZD Vorerfassung'!$E$34="",0,IF(AND(B137&gt;='ZD Vorerfassung'!$C$34,B137&lt;='ZD Vorerfassung'!$D$34),HLOOKUP(TEXT(C137,"ttt"),'ZD Vorerfassung'!$H$21:$L$36,14,0),0))+
IF('ZD Vorerfassung'!$E$35="",0,IF(AND(B137&gt;='ZD Vorerfassung'!$C$35,B137&lt;='ZD Vorerfassung'!$D$35),HLOOKUP(TEXT(C137,"ttt"),'ZD Vorerfassung'!$H$21:$L$36,15,0),0))+
IF('ZD Vorerfassung'!$E$36="",0,IF(AND(B137&gt;='ZD Vorerfassung'!$C$36,B137&lt;='ZD Vorerfassung'!$D$36),HLOOKUP(TEXT(C137,"ttt"),'ZD Vorerfassung'!$H$21:$L$36,16,0),0)),"")</f>
        <v>0</v>
      </c>
      <c r="AW137" s="110">
        <f t="array" ref="AW137">IF(OR(D137="UU",D137="FT",D137="WE"),0,
IF(D137="NR",SUM(IF(B137&gt;=_xlfn.NUMBERVALUE('ZD Vorerfassung'!$C$22:$C$36),1,0)*IF(B137&lt;=_xlfn.NUMBERVALUE('ZD Vorerfassung'!$D$22:$D$36),1,0)*'ZD Vorerfassung'!$Q$22:$Q$36),
IF(OR(D137="SF",D137="FH"),SUM(IF(B137&gt;=_xlfn.NUMBERVALUE('ZD Vorerfassung'!$C$22:$C$36),1,0)*IF(B137&lt;=_xlfn.NUMBERVALUE('ZD Vorerfassung'!$D$22:$D$36),1,0)*'ZD Vorerfassung'!$R$22:$R$36*IF(D137="FH",0.5,1)),
"prüfen")))</f>
        <v>0</v>
      </c>
      <c r="AX137" s="110">
        <f t="array" ref="AX137">IF(OR(D137="UU",D137="FT",D137="WE",E137="Ferien"),0,
IF(D137="NR",SUM(IF(B137&gt;=_xlfn.NUMBERVALUE('ZD Vorerfassung'!$C$22:$C$36),1,0)*IF(B137&lt;=_xlfn.NUMBERVALUE('ZD Vorerfassung'!$D$22:$D$36),1,0)*'ZD Vorerfassung'!$W$22:$W$36),
IF(OR(D137="SF",D137="FH"),SUM(IF(B137&gt;=_xlfn.NUMBERVALUE('ZD Vorerfassung'!$C$22:$C$36),1,0)*IF(B137&lt;=_xlfn.NUMBERVALUE('ZD Vorerfassung'!$D$22:$D$36),1,0)*'ZD Vorerfassung'!$X$22:$X$36*IF(D137="FH",0.5,1)),
"prüfen")))</f>
        <v>0</v>
      </c>
      <c r="AY137" s="110">
        <f t="array" ref="AY137">IF(OR(D137="UU",D137="FT",D137="WE",E137="Ferien"),0,
IF(D137="NR",SUM(IF(B137&gt;=_xlfn.NUMBERVALUE('ZD Vorerfassung'!$C$22:$C$36),1,0)*IF(B137&lt;=_xlfn.NUMBERVALUE('ZD Vorerfassung'!$D$22:$D$36),1,0)*'ZD Vorerfassung'!$U$22:$U$36),
IF(OR(D137="SF",D137="FH"),SUM(IF(B137&gt;=_xlfn.NUMBERVALUE('ZD Vorerfassung'!$C$22:$C$36),1,0)*IF(B137&lt;=_xlfn.NUMBERVALUE('ZD Vorerfassung'!$D$22:$D$36),1,0)*'ZD Vorerfassung'!$V$22:$V$36*IF(D137="FH",0.5,1)),
"prüfen")))</f>
        <v>0</v>
      </c>
      <c r="AZ137" s="110">
        <f t="array" ref="AZ137">IF(OR(D137="UU",D137="FT",D137="WE",E137="Ferien"),0,
IF(D137="NR",SUM(IF(B137&gt;=_xlfn.NUMBERVALUE('ZD Vorerfassung'!$C$22:$C$36),1,0)*IF(B137&lt;=_xlfn.NUMBERVALUE('ZD Vorerfassung'!$D$22:$D$36),1,0)*'ZD Vorerfassung'!$S$22:$S$36),
IF(OR(D137="SF",D137="FH"),SUM(IF(B137&gt;=_xlfn.NUMBERVALUE('ZD Vorerfassung'!$C$22:$C$36),1,0)*IF(B137&lt;=_xlfn.NUMBERVALUE('ZD Vorerfassung'!$D$22:$D$36),1,0)*'ZD Vorerfassung'!$T$22:$T$36*IF(D137="FH",0.5,1)),
"prüfen")))</f>
        <v>0</v>
      </c>
      <c r="BA137" s="112">
        <f t="shared" si="32"/>
        <v>12</v>
      </c>
    </row>
    <row r="138" spans="2:53" ht="19.5" thickTop="1" thickBot="1" x14ac:dyDescent="0.3">
      <c r="B138" s="99">
        <f t="shared" si="29"/>
        <v>44903</v>
      </c>
      <c r="C138" s="100">
        <f t="shared" si="33"/>
        <v>44903</v>
      </c>
      <c r="D138" s="101" t="str">
        <f t="shared" si="34"/>
        <v>NR</v>
      </c>
      <c r="E138" s="102" t="str">
        <f t="shared" si="30"/>
        <v>Unterrichtstag</v>
      </c>
      <c r="F138" s="103">
        <f t="shared" si="35"/>
        <v>0</v>
      </c>
      <c r="G138" s="104">
        <f t="shared" si="36"/>
        <v>0</v>
      </c>
      <c r="H138" s="104">
        <f>IFERROR(IF('ZD Vorerfassung'!$E$11="manuell",SUM(I138),IF(OR(E138="Feiertag",E138="Wochenende"),0,IF('ZD Vorerfassung'!$E$11="automatisch",AX138,IF(D138="UU","UU",IF(E138=Param2,AX138/24,IF(E138=Param9,AX138/48,"")))))),0)</f>
        <v>0</v>
      </c>
      <c r="I138" s="105"/>
      <c r="J138" s="106">
        <f>IF('ZD Vorerfassung'!$E$12="manuell",SUM(K138:AI138),IF(OR(E138="Feiertag",E138="Wochenende"),0,IF('ZD Vorerfassung'!$E$12="automatisch",AY138,IF(D138="UU","UU",IF(E138=Param2,AY138/24,IF(E138=Param9,AY138/48,""))))))</f>
        <v>0</v>
      </c>
      <c r="K138" s="105"/>
      <c r="L138" s="105"/>
      <c r="M138" s="105"/>
      <c r="N138" s="105"/>
      <c r="O138" s="105"/>
      <c r="P138" s="105"/>
      <c r="Q138" s="105"/>
      <c r="R138" s="105"/>
      <c r="S138" s="105"/>
      <c r="T138" s="105"/>
      <c r="U138" s="105"/>
      <c r="V138" s="105"/>
      <c r="W138" s="105"/>
      <c r="X138" s="105"/>
      <c r="Y138" s="105"/>
      <c r="Z138" s="105"/>
      <c r="AA138" s="105"/>
      <c r="AB138" s="105"/>
      <c r="AC138" s="105"/>
      <c r="AD138" s="105"/>
      <c r="AE138" s="105"/>
      <c r="AF138" s="105"/>
      <c r="AG138" s="105"/>
      <c r="AH138" s="105"/>
      <c r="AI138" s="105"/>
      <c r="AJ138" s="107">
        <f t="shared" si="37"/>
        <v>0</v>
      </c>
      <c r="AK138" s="105"/>
      <c r="AL138" s="105"/>
      <c r="AM138" s="105"/>
      <c r="AN138" s="105"/>
      <c r="AO138" s="105"/>
      <c r="AP138" s="105"/>
      <c r="AQ138" s="108">
        <f t="shared" si="38"/>
        <v>0</v>
      </c>
      <c r="AR138" s="108">
        <f t="shared" si="39"/>
        <v>0</v>
      </c>
      <c r="AS138" s="109">
        <f t="shared" si="40"/>
        <v>0</v>
      </c>
      <c r="AU138" s="110">
        <f t="shared" si="31"/>
        <v>0</v>
      </c>
      <c r="AV138" s="111">
        <f>IF(D138="NR",
IF('ZD Vorerfassung'!$E$22="",0,IF(AND(B138&gt;='ZD Vorerfassung'!$C$22,B138&lt;='ZD Vorerfassung'!$D$22),HLOOKUP(TEXT(C138,"ttt"),'ZD Vorerfassung'!$H$21:$L$36,2,0),0))+
IF('ZD Vorerfassung'!$E$23="",0,IF(AND(B138&gt;='ZD Vorerfassung'!$C$23,B138&lt;='ZD Vorerfassung'!$D$23),HLOOKUP(TEXT(C138,"ttt"),'ZD Vorerfassung'!$H$21:$L$36,3,0),0))+
IF('ZD Vorerfassung'!$E$24="",0,IF(AND(B138&gt;='ZD Vorerfassung'!$C$24,B138&lt;='ZD Vorerfassung'!$D$24),HLOOKUP(TEXT(C138,"ttt"),'ZD Vorerfassung'!$H$21:$L$36,4,0),0))+
IF('ZD Vorerfassung'!$E$25="",0,IF(AND(B138&gt;='ZD Vorerfassung'!$C$25,B138&lt;='ZD Vorerfassung'!$D$25),HLOOKUP(TEXT(C138,"ttt"),'ZD Vorerfassung'!$H$21:$L$36,5,0),0))+
IF('ZD Vorerfassung'!$E$26="",0,IF(AND(B138&gt;='ZD Vorerfassung'!$C$26,B138&lt;='ZD Vorerfassung'!$D$26),HLOOKUP(TEXT(C138,"ttt"),'ZD Vorerfassung'!$H$21:$L$36,6,0),0))+
IF('ZD Vorerfassung'!$E$27="",0,IF(AND(B138&gt;='ZD Vorerfassung'!$C$27,B138&lt;='ZD Vorerfassung'!$D$27),HLOOKUP(TEXT(C138,"ttt"),'ZD Vorerfassung'!$H$21:$L$36,7,0),0))+
IF('ZD Vorerfassung'!$E$28="",0,IF(AND(B138&gt;='ZD Vorerfassung'!$C$28,B138&lt;='ZD Vorerfassung'!$D$28),HLOOKUP(TEXT(C138,"ttt"),'ZD Vorerfassung'!$H$21:$L$36,8,0),0))+
IF('ZD Vorerfassung'!$E$29="",0,IF(AND(B138&gt;='ZD Vorerfassung'!$C$29,B138&lt;='ZD Vorerfassung'!$D$29),HLOOKUP(TEXT(C138,"ttt"),'ZD Vorerfassung'!$H$21:$L$36,9,0),0))+
IF('ZD Vorerfassung'!$E$30="",0,IF(AND(B138&gt;='ZD Vorerfassung'!$C$30,B138&lt;='ZD Vorerfassung'!$D$30),HLOOKUP(TEXT(C138,"ttt"),'ZD Vorerfassung'!$H$21:$L$36,10,0),0))+
IF('ZD Vorerfassung'!$E$31="",0,IF(AND(B138&gt;='ZD Vorerfassung'!$C$31,B138&lt;='ZD Vorerfassung'!$D$31),HLOOKUP(TEXT(C138,"ttt"),'ZD Vorerfassung'!$H$21:$L$36,11,0),0))+
IF('ZD Vorerfassung'!$E$32="",0,IF(AND(B138&gt;='ZD Vorerfassung'!$C$32,B138&lt;='ZD Vorerfassung'!$D$32),HLOOKUP(TEXT(C138,"ttt"),'ZD Vorerfassung'!$H$21:$L$36,12,0),0))+
IF('ZD Vorerfassung'!$E$33="",0,IF(AND(B138&gt;='ZD Vorerfassung'!$C$33,B138&lt;='ZD Vorerfassung'!$D$33),HLOOKUP(TEXT(C138,"ttt"),'ZD Vorerfassung'!$H$21:$L$36,13,0),0))+
IF('ZD Vorerfassung'!$E$34="",0,IF(AND(B138&gt;='ZD Vorerfassung'!$C$34,B138&lt;='ZD Vorerfassung'!$D$34),HLOOKUP(TEXT(C138,"ttt"),'ZD Vorerfassung'!$H$21:$L$36,14,0),0))+
IF('ZD Vorerfassung'!$E$35="",0,IF(AND(B138&gt;='ZD Vorerfassung'!$C$35,B138&lt;='ZD Vorerfassung'!$D$35),HLOOKUP(TEXT(C138,"ttt"),'ZD Vorerfassung'!$H$21:$L$36,15,0),0))+
IF('ZD Vorerfassung'!$E$36="",0,IF(AND(B138&gt;='ZD Vorerfassung'!$C$36,B138&lt;='ZD Vorerfassung'!$D$36),HLOOKUP(TEXT(C138,"ttt"),'ZD Vorerfassung'!$H$21:$L$36,16,0),0)),"")</f>
        <v>0</v>
      </c>
      <c r="AW138" s="110">
        <f t="array" ref="AW138">IF(OR(D138="UU",D138="FT",D138="WE"),0,
IF(D138="NR",SUM(IF(B138&gt;=_xlfn.NUMBERVALUE('ZD Vorerfassung'!$C$22:$C$36),1,0)*IF(B138&lt;=_xlfn.NUMBERVALUE('ZD Vorerfassung'!$D$22:$D$36),1,0)*'ZD Vorerfassung'!$Q$22:$Q$36),
IF(OR(D138="SF",D138="FH"),SUM(IF(B138&gt;=_xlfn.NUMBERVALUE('ZD Vorerfassung'!$C$22:$C$36),1,0)*IF(B138&lt;=_xlfn.NUMBERVALUE('ZD Vorerfassung'!$D$22:$D$36),1,0)*'ZD Vorerfassung'!$R$22:$R$36*IF(D138="FH",0.5,1)),
"prüfen")))</f>
        <v>0</v>
      </c>
      <c r="AX138" s="110">
        <f t="array" ref="AX138">IF(OR(D138="UU",D138="FT",D138="WE",E138="Ferien"),0,
IF(D138="NR",SUM(IF(B138&gt;=_xlfn.NUMBERVALUE('ZD Vorerfassung'!$C$22:$C$36),1,0)*IF(B138&lt;=_xlfn.NUMBERVALUE('ZD Vorerfassung'!$D$22:$D$36),1,0)*'ZD Vorerfassung'!$W$22:$W$36),
IF(OR(D138="SF",D138="FH"),SUM(IF(B138&gt;=_xlfn.NUMBERVALUE('ZD Vorerfassung'!$C$22:$C$36),1,0)*IF(B138&lt;=_xlfn.NUMBERVALUE('ZD Vorerfassung'!$D$22:$D$36),1,0)*'ZD Vorerfassung'!$X$22:$X$36*IF(D138="FH",0.5,1)),
"prüfen")))</f>
        <v>0</v>
      </c>
      <c r="AY138" s="110">
        <f t="array" ref="AY138">IF(OR(D138="UU",D138="FT",D138="WE",E138="Ferien"),0,
IF(D138="NR",SUM(IF(B138&gt;=_xlfn.NUMBERVALUE('ZD Vorerfassung'!$C$22:$C$36),1,0)*IF(B138&lt;=_xlfn.NUMBERVALUE('ZD Vorerfassung'!$D$22:$D$36),1,0)*'ZD Vorerfassung'!$U$22:$U$36),
IF(OR(D138="SF",D138="FH"),SUM(IF(B138&gt;=_xlfn.NUMBERVALUE('ZD Vorerfassung'!$C$22:$C$36),1,0)*IF(B138&lt;=_xlfn.NUMBERVALUE('ZD Vorerfassung'!$D$22:$D$36),1,0)*'ZD Vorerfassung'!$V$22:$V$36*IF(D138="FH",0.5,1)),
"prüfen")))</f>
        <v>0</v>
      </c>
      <c r="AZ138" s="110">
        <f t="array" ref="AZ138">IF(OR(D138="UU",D138="FT",D138="WE",E138="Ferien"),0,
IF(D138="NR",SUM(IF(B138&gt;=_xlfn.NUMBERVALUE('ZD Vorerfassung'!$C$22:$C$36),1,0)*IF(B138&lt;=_xlfn.NUMBERVALUE('ZD Vorerfassung'!$D$22:$D$36),1,0)*'ZD Vorerfassung'!$S$22:$S$36),
IF(OR(D138="SF",D138="FH"),SUM(IF(B138&gt;=_xlfn.NUMBERVALUE('ZD Vorerfassung'!$C$22:$C$36),1,0)*IF(B138&lt;=_xlfn.NUMBERVALUE('ZD Vorerfassung'!$D$22:$D$36),1,0)*'ZD Vorerfassung'!$T$22:$T$36*IF(D138="FH",0.5,1)),
"prüfen")))</f>
        <v>0</v>
      </c>
      <c r="BA138" s="112">
        <f t="shared" si="32"/>
        <v>12</v>
      </c>
    </row>
    <row r="139" spans="2:53" ht="19.5" thickTop="1" thickBot="1" x14ac:dyDescent="0.3">
      <c r="B139" s="99">
        <f t="shared" si="29"/>
        <v>44904</v>
      </c>
      <c r="C139" s="100">
        <f t="shared" si="33"/>
        <v>44904</v>
      </c>
      <c r="D139" s="101" t="str">
        <f t="shared" si="34"/>
        <v>NR</v>
      </c>
      <c r="E139" s="102" t="str">
        <f t="shared" si="30"/>
        <v>Unterrichtstag</v>
      </c>
      <c r="F139" s="103">
        <f t="shared" si="35"/>
        <v>0</v>
      </c>
      <c r="G139" s="104">
        <f t="shared" si="36"/>
        <v>0</v>
      </c>
      <c r="H139" s="104">
        <f>IFERROR(IF('ZD Vorerfassung'!$E$11="manuell",SUM(I139),IF(OR(E139="Feiertag",E139="Wochenende"),0,IF('ZD Vorerfassung'!$E$11="automatisch",AX139,IF(D139="UU","UU",IF(E139=Param2,AX139/24,IF(E139=Param9,AX139/48,"")))))),0)</f>
        <v>0</v>
      </c>
      <c r="I139" s="105"/>
      <c r="J139" s="106">
        <f>IF('ZD Vorerfassung'!$E$12="manuell",SUM(K139:AI139),IF(OR(E139="Feiertag",E139="Wochenende"),0,IF('ZD Vorerfassung'!$E$12="automatisch",AY139,IF(D139="UU","UU",IF(E139=Param2,AY139/24,IF(E139=Param9,AY139/48,""))))))</f>
        <v>0</v>
      </c>
      <c r="K139" s="105"/>
      <c r="L139" s="105"/>
      <c r="M139" s="105"/>
      <c r="N139" s="105"/>
      <c r="O139" s="105"/>
      <c r="P139" s="105"/>
      <c r="Q139" s="105"/>
      <c r="R139" s="105"/>
      <c r="S139" s="105"/>
      <c r="T139" s="105"/>
      <c r="U139" s="105"/>
      <c r="V139" s="105"/>
      <c r="W139" s="105"/>
      <c r="X139" s="105"/>
      <c r="Y139" s="105"/>
      <c r="Z139" s="105"/>
      <c r="AA139" s="105"/>
      <c r="AB139" s="105"/>
      <c r="AC139" s="105"/>
      <c r="AD139" s="105"/>
      <c r="AE139" s="105"/>
      <c r="AF139" s="105"/>
      <c r="AG139" s="105"/>
      <c r="AH139" s="105"/>
      <c r="AI139" s="105"/>
      <c r="AJ139" s="107">
        <f t="shared" si="37"/>
        <v>0</v>
      </c>
      <c r="AK139" s="105"/>
      <c r="AL139" s="105"/>
      <c r="AM139" s="105"/>
      <c r="AN139" s="105"/>
      <c r="AO139" s="105"/>
      <c r="AP139" s="105"/>
      <c r="AQ139" s="108">
        <f t="shared" si="38"/>
        <v>0</v>
      </c>
      <c r="AR139" s="108">
        <f t="shared" si="39"/>
        <v>0</v>
      </c>
      <c r="AS139" s="109">
        <f t="shared" si="40"/>
        <v>0</v>
      </c>
      <c r="AU139" s="110">
        <f t="shared" si="31"/>
        <v>0</v>
      </c>
      <c r="AV139" s="111">
        <f>IF(D139="NR",
IF('ZD Vorerfassung'!$E$22="",0,IF(AND(B139&gt;='ZD Vorerfassung'!$C$22,B139&lt;='ZD Vorerfassung'!$D$22),HLOOKUP(TEXT(C139,"ttt"),'ZD Vorerfassung'!$H$21:$L$36,2,0),0))+
IF('ZD Vorerfassung'!$E$23="",0,IF(AND(B139&gt;='ZD Vorerfassung'!$C$23,B139&lt;='ZD Vorerfassung'!$D$23),HLOOKUP(TEXT(C139,"ttt"),'ZD Vorerfassung'!$H$21:$L$36,3,0),0))+
IF('ZD Vorerfassung'!$E$24="",0,IF(AND(B139&gt;='ZD Vorerfassung'!$C$24,B139&lt;='ZD Vorerfassung'!$D$24),HLOOKUP(TEXT(C139,"ttt"),'ZD Vorerfassung'!$H$21:$L$36,4,0),0))+
IF('ZD Vorerfassung'!$E$25="",0,IF(AND(B139&gt;='ZD Vorerfassung'!$C$25,B139&lt;='ZD Vorerfassung'!$D$25),HLOOKUP(TEXT(C139,"ttt"),'ZD Vorerfassung'!$H$21:$L$36,5,0),0))+
IF('ZD Vorerfassung'!$E$26="",0,IF(AND(B139&gt;='ZD Vorerfassung'!$C$26,B139&lt;='ZD Vorerfassung'!$D$26),HLOOKUP(TEXT(C139,"ttt"),'ZD Vorerfassung'!$H$21:$L$36,6,0),0))+
IF('ZD Vorerfassung'!$E$27="",0,IF(AND(B139&gt;='ZD Vorerfassung'!$C$27,B139&lt;='ZD Vorerfassung'!$D$27),HLOOKUP(TEXT(C139,"ttt"),'ZD Vorerfassung'!$H$21:$L$36,7,0),0))+
IF('ZD Vorerfassung'!$E$28="",0,IF(AND(B139&gt;='ZD Vorerfassung'!$C$28,B139&lt;='ZD Vorerfassung'!$D$28),HLOOKUP(TEXT(C139,"ttt"),'ZD Vorerfassung'!$H$21:$L$36,8,0),0))+
IF('ZD Vorerfassung'!$E$29="",0,IF(AND(B139&gt;='ZD Vorerfassung'!$C$29,B139&lt;='ZD Vorerfassung'!$D$29),HLOOKUP(TEXT(C139,"ttt"),'ZD Vorerfassung'!$H$21:$L$36,9,0),0))+
IF('ZD Vorerfassung'!$E$30="",0,IF(AND(B139&gt;='ZD Vorerfassung'!$C$30,B139&lt;='ZD Vorerfassung'!$D$30),HLOOKUP(TEXT(C139,"ttt"),'ZD Vorerfassung'!$H$21:$L$36,10,0),0))+
IF('ZD Vorerfassung'!$E$31="",0,IF(AND(B139&gt;='ZD Vorerfassung'!$C$31,B139&lt;='ZD Vorerfassung'!$D$31),HLOOKUP(TEXT(C139,"ttt"),'ZD Vorerfassung'!$H$21:$L$36,11,0),0))+
IF('ZD Vorerfassung'!$E$32="",0,IF(AND(B139&gt;='ZD Vorerfassung'!$C$32,B139&lt;='ZD Vorerfassung'!$D$32),HLOOKUP(TEXT(C139,"ttt"),'ZD Vorerfassung'!$H$21:$L$36,12,0),0))+
IF('ZD Vorerfassung'!$E$33="",0,IF(AND(B139&gt;='ZD Vorerfassung'!$C$33,B139&lt;='ZD Vorerfassung'!$D$33),HLOOKUP(TEXT(C139,"ttt"),'ZD Vorerfassung'!$H$21:$L$36,13,0),0))+
IF('ZD Vorerfassung'!$E$34="",0,IF(AND(B139&gt;='ZD Vorerfassung'!$C$34,B139&lt;='ZD Vorerfassung'!$D$34),HLOOKUP(TEXT(C139,"ttt"),'ZD Vorerfassung'!$H$21:$L$36,14,0),0))+
IF('ZD Vorerfassung'!$E$35="",0,IF(AND(B139&gt;='ZD Vorerfassung'!$C$35,B139&lt;='ZD Vorerfassung'!$D$35),HLOOKUP(TEXT(C139,"ttt"),'ZD Vorerfassung'!$H$21:$L$36,15,0),0))+
IF('ZD Vorerfassung'!$E$36="",0,IF(AND(B139&gt;='ZD Vorerfassung'!$C$36,B139&lt;='ZD Vorerfassung'!$D$36),HLOOKUP(TEXT(C139,"ttt"),'ZD Vorerfassung'!$H$21:$L$36,16,0),0)),"")</f>
        <v>0</v>
      </c>
      <c r="AW139" s="110">
        <f t="array" ref="AW139">IF(OR(D139="UU",D139="FT",D139="WE"),0,
IF(D139="NR",SUM(IF(B139&gt;=_xlfn.NUMBERVALUE('ZD Vorerfassung'!$C$22:$C$36),1,0)*IF(B139&lt;=_xlfn.NUMBERVALUE('ZD Vorerfassung'!$D$22:$D$36),1,0)*'ZD Vorerfassung'!$Q$22:$Q$36),
IF(OR(D139="SF",D139="FH"),SUM(IF(B139&gt;=_xlfn.NUMBERVALUE('ZD Vorerfassung'!$C$22:$C$36),1,0)*IF(B139&lt;=_xlfn.NUMBERVALUE('ZD Vorerfassung'!$D$22:$D$36),1,0)*'ZD Vorerfassung'!$R$22:$R$36*IF(D139="FH",0.5,1)),
"prüfen")))</f>
        <v>0</v>
      </c>
      <c r="AX139" s="110">
        <f t="array" ref="AX139">IF(OR(D139="UU",D139="FT",D139="WE",E139="Ferien"),0,
IF(D139="NR",SUM(IF(B139&gt;=_xlfn.NUMBERVALUE('ZD Vorerfassung'!$C$22:$C$36),1,0)*IF(B139&lt;=_xlfn.NUMBERVALUE('ZD Vorerfassung'!$D$22:$D$36),1,0)*'ZD Vorerfassung'!$W$22:$W$36),
IF(OR(D139="SF",D139="FH"),SUM(IF(B139&gt;=_xlfn.NUMBERVALUE('ZD Vorerfassung'!$C$22:$C$36),1,0)*IF(B139&lt;=_xlfn.NUMBERVALUE('ZD Vorerfassung'!$D$22:$D$36),1,0)*'ZD Vorerfassung'!$X$22:$X$36*IF(D139="FH",0.5,1)),
"prüfen")))</f>
        <v>0</v>
      </c>
      <c r="AY139" s="110">
        <f t="array" ref="AY139">IF(OR(D139="UU",D139="FT",D139="WE",E139="Ferien"),0,
IF(D139="NR",SUM(IF(B139&gt;=_xlfn.NUMBERVALUE('ZD Vorerfassung'!$C$22:$C$36),1,0)*IF(B139&lt;=_xlfn.NUMBERVALUE('ZD Vorerfassung'!$D$22:$D$36),1,0)*'ZD Vorerfassung'!$U$22:$U$36),
IF(OR(D139="SF",D139="FH"),SUM(IF(B139&gt;=_xlfn.NUMBERVALUE('ZD Vorerfassung'!$C$22:$C$36),1,0)*IF(B139&lt;=_xlfn.NUMBERVALUE('ZD Vorerfassung'!$D$22:$D$36),1,0)*'ZD Vorerfassung'!$V$22:$V$36*IF(D139="FH",0.5,1)),
"prüfen")))</f>
        <v>0</v>
      </c>
      <c r="AZ139" s="110">
        <f t="array" ref="AZ139">IF(OR(D139="UU",D139="FT",D139="WE",E139="Ferien"),0,
IF(D139="NR",SUM(IF(B139&gt;=_xlfn.NUMBERVALUE('ZD Vorerfassung'!$C$22:$C$36),1,0)*IF(B139&lt;=_xlfn.NUMBERVALUE('ZD Vorerfassung'!$D$22:$D$36),1,0)*'ZD Vorerfassung'!$S$22:$S$36),
IF(OR(D139="SF",D139="FH"),SUM(IF(B139&gt;=_xlfn.NUMBERVALUE('ZD Vorerfassung'!$C$22:$C$36),1,0)*IF(B139&lt;=_xlfn.NUMBERVALUE('ZD Vorerfassung'!$D$22:$D$36),1,0)*'ZD Vorerfassung'!$T$22:$T$36*IF(D139="FH",0.5,1)),
"prüfen")))</f>
        <v>0</v>
      </c>
      <c r="BA139" s="112">
        <f t="shared" si="32"/>
        <v>12</v>
      </c>
    </row>
    <row r="140" spans="2:53" ht="19.5" thickTop="1" thickBot="1" x14ac:dyDescent="0.3">
      <c r="B140" s="99">
        <f t="shared" si="29"/>
        <v>44905</v>
      </c>
      <c r="C140" s="100">
        <f t="shared" si="33"/>
        <v>44905</v>
      </c>
      <c r="D140" s="101" t="str">
        <f t="shared" si="34"/>
        <v>NR</v>
      </c>
      <c r="E140" s="102" t="str">
        <f t="shared" si="30"/>
        <v>Unterrichtstag</v>
      </c>
      <c r="F140" s="103">
        <f t="shared" si="35"/>
        <v>0</v>
      </c>
      <c r="G140" s="104">
        <f t="shared" si="36"/>
        <v>0</v>
      </c>
      <c r="H140" s="104">
        <f>IFERROR(IF('ZD Vorerfassung'!$E$11="manuell",SUM(I140),IF(OR(E140="Feiertag",E140="Wochenende"),0,IF('ZD Vorerfassung'!$E$11="automatisch",AX140,IF(D140="UU","UU",IF(E140=Param2,AX140/24,IF(E140=Param9,AX140/48,"")))))),0)</f>
        <v>0</v>
      </c>
      <c r="I140" s="105"/>
      <c r="J140" s="106">
        <f>IF('ZD Vorerfassung'!$E$12="manuell",SUM(K140:AI140),IF(OR(E140="Feiertag",E140="Wochenende"),0,IF('ZD Vorerfassung'!$E$12="automatisch",AY140,IF(D140="UU","UU",IF(E140=Param2,AY140/24,IF(E140=Param9,AY140/48,""))))))</f>
        <v>0</v>
      </c>
      <c r="K140" s="105"/>
      <c r="L140" s="105"/>
      <c r="M140" s="105"/>
      <c r="N140" s="105"/>
      <c r="O140" s="105"/>
      <c r="P140" s="105"/>
      <c r="Q140" s="105"/>
      <c r="R140" s="105"/>
      <c r="S140" s="105"/>
      <c r="T140" s="105"/>
      <c r="U140" s="105"/>
      <c r="V140" s="105"/>
      <c r="W140" s="105"/>
      <c r="X140" s="105"/>
      <c r="Y140" s="105"/>
      <c r="Z140" s="105"/>
      <c r="AA140" s="105"/>
      <c r="AB140" s="105"/>
      <c r="AC140" s="105"/>
      <c r="AD140" s="105"/>
      <c r="AE140" s="105"/>
      <c r="AF140" s="105"/>
      <c r="AG140" s="105"/>
      <c r="AH140" s="105"/>
      <c r="AI140" s="105"/>
      <c r="AJ140" s="107">
        <f t="shared" si="37"/>
        <v>0</v>
      </c>
      <c r="AK140" s="105"/>
      <c r="AL140" s="105"/>
      <c r="AM140" s="105"/>
      <c r="AN140" s="105"/>
      <c r="AO140" s="105"/>
      <c r="AP140" s="105"/>
      <c r="AQ140" s="108">
        <f t="shared" si="38"/>
        <v>0</v>
      </c>
      <c r="AR140" s="108">
        <f t="shared" si="39"/>
        <v>0</v>
      </c>
      <c r="AS140" s="109">
        <f t="shared" si="40"/>
        <v>0</v>
      </c>
      <c r="AU140" s="110">
        <f t="shared" si="31"/>
        <v>0</v>
      </c>
      <c r="AV140" s="111">
        <f>IF(D140="NR",
IF('ZD Vorerfassung'!$E$22="",0,IF(AND(B140&gt;='ZD Vorerfassung'!$C$22,B140&lt;='ZD Vorerfassung'!$D$22),HLOOKUP(TEXT(C140,"ttt"),'ZD Vorerfassung'!$H$21:$L$36,2,0),0))+
IF('ZD Vorerfassung'!$E$23="",0,IF(AND(B140&gt;='ZD Vorerfassung'!$C$23,B140&lt;='ZD Vorerfassung'!$D$23),HLOOKUP(TEXT(C140,"ttt"),'ZD Vorerfassung'!$H$21:$L$36,3,0),0))+
IF('ZD Vorerfassung'!$E$24="",0,IF(AND(B140&gt;='ZD Vorerfassung'!$C$24,B140&lt;='ZD Vorerfassung'!$D$24),HLOOKUP(TEXT(C140,"ttt"),'ZD Vorerfassung'!$H$21:$L$36,4,0),0))+
IF('ZD Vorerfassung'!$E$25="",0,IF(AND(B140&gt;='ZD Vorerfassung'!$C$25,B140&lt;='ZD Vorerfassung'!$D$25),HLOOKUP(TEXT(C140,"ttt"),'ZD Vorerfassung'!$H$21:$L$36,5,0),0))+
IF('ZD Vorerfassung'!$E$26="",0,IF(AND(B140&gt;='ZD Vorerfassung'!$C$26,B140&lt;='ZD Vorerfassung'!$D$26),HLOOKUP(TEXT(C140,"ttt"),'ZD Vorerfassung'!$H$21:$L$36,6,0),0))+
IF('ZD Vorerfassung'!$E$27="",0,IF(AND(B140&gt;='ZD Vorerfassung'!$C$27,B140&lt;='ZD Vorerfassung'!$D$27),HLOOKUP(TEXT(C140,"ttt"),'ZD Vorerfassung'!$H$21:$L$36,7,0),0))+
IF('ZD Vorerfassung'!$E$28="",0,IF(AND(B140&gt;='ZD Vorerfassung'!$C$28,B140&lt;='ZD Vorerfassung'!$D$28),HLOOKUP(TEXT(C140,"ttt"),'ZD Vorerfassung'!$H$21:$L$36,8,0),0))+
IF('ZD Vorerfassung'!$E$29="",0,IF(AND(B140&gt;='ZD Vorerfassung'!$C$29,B140&lt;='ZD Vorerfassung'!$D$29),HLOOKUP(TEXT(C140,"ttt"),'ZD Vorerfassung'!$H$21:$L$36,9,0),0))+
IF('ZD Vorerfassung'!$E$30="",0,IF(AND(B140&gt;='ZD Vorerfassung'!$C$30,B140&lt;='ZD Vorerfassung'!$D$30),HLOOKUP(TEXT(C140,"ttt"),'ZD Vorerfassung'!$H$21:$L$36,10,0),0))+
IF('ZD Vorerfassung'!$E$31="",0,IF(AND(B140&gt;='ZD Vorerfassung'!$C$31,B140&lt;='ZD Vorerfassung'!$D$31),HLOOKUP(TEXT(C140,"ttt"),'ZD Vorerfassung'!$H$21:$L$36,11,0),0))+
IF('ZD Vorerfassung'!$E$32="",0,IF(AND(B140&gt;='ZD Vorerfassung'!$C$32,B140&lt;='ZD Vorerfassung'!$D$32),HLOOKUP(TEXT(C140,"ttt"),'ZD Vorerfassung'!$H$21:$L$36,12,0),0))+
IF('ZD Vorerfassung'!$E$33="",0,IF(AND(B140&gt;='ZD Vorerfassung'!$C$33,B140&lt;='ZD Vorerfassung'!$D$33),HLOOKUP(TEXT(C140,"ttt"),'ZD Vorerfassung'!$H$21:$L$36,13,0),0))+
IF('ZD Vorerfassung'!$E$34="",0,IF(AND(B140&gt;='ZD Vorerfassung'!$C$34,B140&lt;='ZD Vorerfassung'!$D$34),HLOOKUP(TEXT(C140,"ttt"),'ZD Vorerfassung'!$H$21:$L$36,14,0),0))+
IF('ZD Vorerfassung'!$E$35="",0,IF(AND(B140&gt;='ZD Vorerfassung'!$C$35,B140&lt;='ZD Vorerfassung'!$D$35),HLOOKUP(TEXT(C140,"ttt"),'ZD Vorerfassung'!$H$21:$L$36,15,0),0))+
IF('ZD Vorerfassung'!$E$36="",0,IF(AND(B140&gt;='ZD Vorerfassung'!$C$36,B140&lt;='ZD Vorerfassung'!$D$36),HLOOKUP(TEXT(C140,"ttt"),'ZD Vorerfassung'!$H$21:$L$36,16,0),0)),"")</f>
        <v>0</v>
      </c>
      <c r="AW140" s="110">
        <f t="array" ref="AW140">IF(OR(D140="UU",D140="FT",D140="WE"),0,
IF(D140="NR",SUM(IF(B140&gt;=_xlfn.NUMBERVALUE('ZD Vorerfassung'!$C$22:$C$36),1,0)*IF(B140&lt;=_xlfn.NUMBERVALUE('ZD Vorerfassung'!$D$22:$D$36),1,0)*'ZD Vorerfassung'!$Q$22:$Q$36),
IF(OR(D140="SF",D140="FH"),SUM(IF(B140&gt;=_xlfn.NUMBERVALUE('ZD Vorerfassung'!$C$22:$C$36),1,0)*IF(B140&lt;=_xlfn.NUMBERVALUE('ZD Vorerfassung'!$D$22:$D$36),1,0)*'ZD Vorerfassung'!$R$22:$R$36*IF(D140="FH",0.5,1)),
"prüfen")))</f>
        <v>0</v>
      </c>
      <c r="AX140" s="110">
        <f t="array" ref="AX140">IF(OR(D140="UU",D140="FT",D140="WE",E140="Ferien"),0,
IF(D140="NR",SUM(IF(B140&gt;=_xlfn.NUMBERVALUE('ZD Vorerfassung'!$C$22:$C$36),1,0)*IF(B140&lt;=_xlfn.NUMBERVALUE('ZD Vorerfassung'!$D$22:$D$36),1,0)*'ZD Vorerfassung'!$W$22:$W$36),
IF(OR(D140="SF",D140="FH"),SUM(IF(B140&gt;=_xlfn.NUMBERVALUE('ZD Vorerfassung'!$C$22:$C$36),1,0)*IF(B140&lt;=_xlfn.NUMBERVALUE('ZD Vorerfassung'!$D$22:$D$36),1,0)*'ZD Vorerfassung'!$X$22:$X$36*IF(D140="FH",0.5,1)),
"prüfen")))</f>
        <v>0</v>
      </c>
      <c r="AY140" s="110">
        <f t="array" ref="AY140">IF(OR(D140="UU",D140="FT",D140="WE",E140="Ferien"),0,
IF(D140="NR",SUM(IF(B140&gt;=_xlfn.NUMBERVALUE('ZD Vorerfassung'!$C$22:$C$36),1,0)*IF(B140&lt;=_xlfn.NUMBERVALUE('ZD Vorerfassung'!$D$22:$D$36),1,0)*'ZD Vorerfassung'!$U$22:$U$36),
IF(OR(D140="SF",D140="FH"),SUM(IF(B140&gt;=_xlfn.NUMBERVALUE('ZD Vorerfassung'!$C$22:$C$36),1,0)*IF(B140&lt;=_xlfn.NUMBERVALUE('ZD Vorerfassung'!$D$22:$D$36),1,0)*'ZD Vorerfassung'!$V$22:$V$36*IF(D140="FH",0.5,1)),
"prüfen")))</f>
        <v>0</v>
      </c>
      <c r="AZ140" s="110">
        <f t="array" ref="AZ140">IF(OR(D140="UU",D140="FT",D140="WE",E140="Ferien"),0,
IF(D140="NR",SUM(IF(B140&gt;=_xlfn.NUMBERVALUE('ZD Vorerfassung'!$C$22:$C$36),1,0)*IF(B140&lt;=_xlfn.NUMBERVALUE('ZD Vorerfassung'!$D$22:$D$36),1,0)*'ZD Vorerfassung'!$S$22:$S$36),
IF(OR(D140="SF",D140="FH"),SUM(IF(B140&gt;=_xlfn.NUMBERVALUE('ZD Vorerfassung'!$C$22:$C$36),1,0)*IF(B140&lt;=_xlfn.NUMBERVALUE('ZD Vorerfassung'!$D$22:$D$36),1,0)*'ZD Vorerfassung'!$T$22:$T$36*IF(D140="FH",0.5,1)),
"prüfen")))</f>
        <v>0</v>
      </c>
      <c r="BA140" s="112">
        <f t="shared" si="32"/>
        <v>12</v>
      </c>
    </row>
    <row r="141" spans="2:53" ht="19.5" thickTop="1" thickBot="1" x14ac:dyDescent="0.3">
      <c r="B141" s="99">
        <f t="shared" si="29"/>
        <v>44906</v>
      </c>
      <c r="C141" s="100">
        <f t="shared" si="33"/>
        <v>44906</v>
      </c>
      <c r="D141" s="101" t="str">
        <f t="shared" si="34"/>
        <v>WE</v>
      </c>
      <c r="E141" s="102" t="str">
        <f t="shared" si="30"/>
        <v>Wochenende</v>
      </c>
      <c r="F141" s="103" t="str">
        <f t="shared" si="35"/>
        <v/>
      </c>
      <c r="G141" s="104" t="str">
        <f t="shared" si="36"/>
        <v/>
      </c>
      <c r="H141" s="104">
        <f>IFERROR(IF('ZD Vorerfassung'!$E$11="manuell",SUM(I141),IF(OR(E141="Feiertag",E141="Wochenende"),0,IF('ZD Vorerfassung'!$E$11="automatisch",AX141,IF(D141="UU","UU",IF(E141=Param2,AX141/24,IF(E141=Param9,AX141/48,"")))))),0)</f>
        <v>0</v>
      </c>
      <c r="I141" s="105"/>
      <c r="J141" s="106">
        <f>IF('ZD Vorerfassung'!$E$12="manuell",SUM(K141:AI141),IF(OR(E141="Feiertag",E141="Wochenende"),0,IF('ZD Vorerfassung'!$E$12="automatisch",AY141,IF(D141="UU","UU",IF(E141=Param2,AY141/24,IF(E141=Param9,AY141/48,""))))))</f>
        <v>0</v>
      </c>
      <c r="K141" s="105"/>
      <c r="L141" s="105"/>
      <c r="M141" s="105"/>
      <c r="N141" s="105"/>
      <c r="O141" s="105"/>
      <c r="P141" s="105"/>
      <c r="Q141" s="105"/>
      <c r="R141" s="105"/>
      <c r="S141" s="105"/>
      <c r="T141" s="105"/>
      <c r="U141" s="105"/>
      <c r="V141" s="105"/>
      <c r="W141" s="105"/>
      <c r="X141" s="105"/>
      <c r="Y141" s="105"/>
      <c r="Z141" s="105"/>
      <c r="AA141" s="105"/>
      <c r="AB141" s="105"/>
      <c r="AC141" s="105"/>
      <c r="AD141" s="105"/>
      <c r="AE141" s="105"/>
      <c r="AF141" s="105"/>
      <c r="AG141" s="105"/>
      <c r="AH141" s="105"/>
      <c r="AI141" s="105"/>
      <c r="AJ141" s="107">
        <f t="shared" si="37"/>
        <v>0</v>
      </c>
      <c r="AK141" s="105"/>
      <c r="AL141" s="105"/>
      <c r="AM141" s="105"/>
      <c r="AN141" s="105"/>
      <c r="AO141" s="105"/>
      <c r="AP141" s="105"/>
      <c r="AQ141" s="108">
        <f t="shared" si="38"/>
        <v>0</v>
      </c>
      <c r="AR141" s="108">
        <f t="shared" si="39"/>
        <v>0</v>
      </c>
      <c r="AS141" s="109">
        <f t="shared" si="40"/>
        <v>0</v>
      </c>
      <c r="AU141" s="110">
        <f t="shared" si="31"/>
        <v>0</v>
      </c>
      <c r="AV141" s="111" t="str">
        <f>IF(D141="NR",
IF('ZD Vorerfassung'!$E$22="",0,IF(AND(B141&gt;='ZD Vorerfassung'!$C$22,B141&lt;='ZD Vorerfassung'!$D$22),HLOOKUP(TEXT(C141,"ttt"),'ZD Vorerfassung'!$H$21:$L$36,2,0),0))+
IF('ZD Vorerfassung'!$E$23="",0,IF(AND(B141&gt;='ZD Vorerfassung'!$C$23,B141&lt;='ZD Vorerfassung'!$D$23),HLOOKUP(TEXT(C141,"ttt"),'ZD Vorerfassung'!$H$21:$L$36,3,0),0))+
IF('ZD Vorerfassung'!$E$24="",0,IF(AND(B141&gt;='ZD Vorerfassung'!$C$24,B141&lt;='ZD Vorerfassung'!$D$24),HLOOKUP(TEXT(C141,"ttt"),'ZD Vorerfassung'!$H$21:$L$36,4,0),0))+
IF('ZD Vorerfassung'!$E$25="",0,IF(AND(B141&gt;='ZD Vorerfassung'!$C$25,B141&lt;='ZD Vorerfassung'!$D$25),HLOOKUP(TEXT(C141,"ttt"),'ZD Vorerfassung'!$H$21:$L$36,5,0),0))+
IF('ZD Vorerfassung'!$E$26="",0,IF(AND(B141&gt;='ZD Vorerfassung'!$C$26,B141&lt;='ZD Vorerfassung'!$D$26),HLOOKUP(TEXT(C141,"ttt"),'ZD Vorerfassung'!$H$21:$L$36,6,0),0))+
IF('ZD Vorerfassung'!$E$27="",0,IF(AND(B141&gt;='ZD Vorerfassung'!$C$27,B141&lt;='ZD Vorerfassung'!$D$27),HLOOKUP(TEXT(C141,"ttt"),'ZD Vorerfassung'!$H$21:$L$36,7,0),0))+
IF('ZD Vorerfassung'!$E$28="",0,IF(AND(B141&gt;='ZD Vorerfassung'!$C$28,B141&lt;='ZD Vorerfassung'!$D$28),HLOOKUP(TEXT(C141,"ttt"),'ZD Vorerfassung'!$H$21:$L$36,8,0),0))+
IF('ZD Vorerfassung'!$E$29="",0,IF(AND(B141&gt;='ZD Vorerfassung'!$C$29,B141&lt;='ZD Vorerfassung'!$D$29),HLOOKUP(TEXT(C141,"ttt"),'ZD Vorerfassung'!$H$21:$L$36,9,0),0))+
IF('ZD Vorerfassung'!$E$30="",0,IF(AND(B141&gt;='ZD Vorerfassung'!$C$30,B141&lt;='ZD Vorerfassung'!$D$30),HLOOKUP(TEXT(C141,"ttt"),'ZD Vorerfassung'!$H$21:$L$36,10,0),0))+
IF('ZD Vorerfassung'!$E$31="",0,IF(AND(B141&gt;='ZD Vorerfassung'!$C$31,B141&lt;='ZD Vorerfassung'!$D$31),HLOOKUP(TEXT(C141,"ttt"),'ZD Vorerfassung'!$H$21:$L$36,11,0),0))+
IF('ZD Vorerfassung'!$E$32="",0,IF(AND(B141&gt;='ZD Vorerfassung'!$C$32,B141&lt;='ZD Vorerfassung'!$D$32),HLOOKUP(TEXT(C141,"ttt"),'ZD Vorerfassung'!$H$21:$L$36,12,0),0))+
IF('ZD Vorerfassung'!$E$33="",0,IF(AND(B141&gt;='ZD Vorerfassung'!$C$33,B141&lt;='ZD Vorerfassung'!$D$33),HLOOKUP(TEXT(C141,"ttt"),'ZD Vorerfassung'!$H$21:$L$36,13,0),0))+
IF('ZD Vorerfassung'!$E$34="",0,IF(AND(B141&gt;='ZD Vorerfassung'!$C$34,B141&lt;='ZD Vorerfassung'!$D$34),HLOOKUP(TEXT(C141,"ttt"),'ZD Vorerfassung'!$H$21:$L$36,14,0),0))+
IF('ZD Vorerfassung'!$E$35="",0,IF(AND(B141&gt;='ZD Vorerfassung'!$C$35,B141&lt;='ZD Vorerfassung'!$D$35),HLOOKUP(TEXT(C141,"ttt"),'ZD Vorerfassung'!$H$21:$L$36,15,0),0))+
IF('ZD Vorerfassung'!$E$36="",0,IF(AND(B141&gt;='ZD Vorerfassung'!$C$36,B141&lt;='ZD Vorerfassung'!$D$36),HLOOKUP(TEXT(C141,"ttt"),'ZD Vorerfassung'!$H$21:$L$36,16,0),0)),"")</f>
        <v/>
      </c>
      <c r="AW141" s="110">
        <f t="array" ref="AW141">IF(OR(D141="UU",D141="FT",D141="WE"),0,
IF(D141="NR",SUM(IF(B141&gt;=_xlfn.NUMBERVALUE('ZD Vorerfassung'!$C$22:$C$36),1,0)*IF(B141&lt;=_xlfn.NUMBERVALUE('ZD Vorerfassung'!$D$22:$D$36),1,0)*'ZD Vorerfassung'!$Q$22:$Q$36),
IF(OR(D141="SF",D141="FH"),SUM(IF(B141&gt;=_xlfn.NUMBERVALUE('ZD Vorerfassung'!$C$22:$C$36),1,0)*IF(B141&lt;=_xlfn.NUMBERVALUE('ZD Vorerfassung'!$D$22:$D$36),1,0)*'ZD Vorerfassung'!$R$22:$R$36*IF(D141="FH",0.5,1)),
"prüfen")))</f>
        <v>0</v>
      </c>
      <c r="AX141" s="110">
        <f t="array" ref="AX141">IF(OR(D141="UU",D141="FT",D141="WE",E141="Ferien"),0,
IF(D141="NR",SUM(IF(B141&gt;=_xlfn.NUMBERVALUE('ZD Vorerfassung'!$C$22:$C$36),1,0)*IF(B141&lt;=_xlfn.NUMBERVALUE('ZD Vorerfassung'!$D$22:$D$36),1,0)*'ZD Vorerfassung'!$W$22:$W$36),
IF(OR(D141="SF",D141="FH"),SUM(IF(B141&gt;=_xlfn.NUMBERVALUE('ZD Vorerfassung'!$C$22:$C$36),1,0)*IF(B141&lt;=_xlfn.NUMBERVALUE('ZD Vorerfassung'!$D$22:$D$36),1,0)*'ZD Vorerfassung'!$X$22:$X$36*IF(D141="FH",0.5,1)),
"prüfen")))</f>
        <v>0</v>
      </c>
      <c r="AY141" s="110">
        <f t="array" ref="AY141">IF(OR(D141="UU",D141="FT",D141="WE",E141="Ferien"),0,
IF(D141="NR",SUM(IF(B141&gt;=_xlfn.NUMBERVALUE('ZD Vorerfassung'!$C$22:$C$36),1,0)*IF(B141&lt;=_xlfn.NUMBERVALUE('ZD Vorerfassung'!$D$22:$D$36),1,0)*'ZD Vorerfassung'!$U$22:$U$36),
IF(OR(D141="SF",D141="FH"),SUM(IF(B141&gt;=_xlfn.NUMBERVALUE('ZD Vorerfassung'!$C$22:$C$36),1,0)*IF(B141&lt;=_xlfn.NUMBERVALUE('ZD Vorerfassung'!$D$22:$D$36),1,0)*'ZD Vorerfassung'!$V$22:$V$36*IF(D141="FH",0.5,1)),
"prüfen")))</f>
        <v>0</v>
      </c>
      <c r="AZ141" s="110">
        <f t="array" ref="AZ141">IF(OR(D141="UU",D141="FT",D141="WE",E141="Ferien"),0,
IF(D141="NR",SUM(IF(B141&gt;=_xlfn.NUMBERVALUE('ZD Vorerfassung'!$C$22:$C$36),1,0)*IF(B141&lt;=_xlfn.NUMBERVALUE('ZD Vorerfassung'!$D$22:$D$36),1,0)*'ZD Vorerfassung'!$S$22:$S$36),
IF(OR(D141="SF",D141="FH"),SUM(IF(B141&gt;=_xlfn.NUMBERVALUE('ZD Vorerfassung'!$C$22:$C$36),1,0)*IF(B141&lt;=_xlfn.NUMBERVALUE('ZD Vorerfassung'!$D$22:$D$36),1,0)*'ZD Vorerfassung'!$T$22:$T$36*IF(D141="FH",0.5,1)),
"prüfen")))</f>
        <v>0</v>
      </c>
      <c r="BA141" s="112">
        <f t="shared" si="32"/>
        <v>12</v>
      </c>
    </row>
    <row r="142" spans="2:53" ht="19.5" thickTop="1" thickBot="1" x14ac:dyDescent="0.3">
      <c r="B142" s="99">
        <f t="shared" si="29"/>
        <v>44907</v>
      </c>
      <c r="C142" s="100">
        <f t="shared" si="33"/>
        <v>44907</v>
      </c>
      <c r="D142" s="101" t="str">
        <f t="shared" si="34"/>
        <v>WE</v>
      </c>
      <c r="E142" s="102" t="str">
        <f t="shared" si="30"/>
        <v>Wochenende</v>
      </c>
      <c r="F142" s="103" t="str">
        <f t="shared" si="35"/>
        <v/>
      </c>
      <c r="G142" s="104" t="str">
        <f t="shared" si="36"/>
        <v/>
      </c>
      <c r="H142" s="104">
        <f>IFERROR(IF('ZD Vorerfassung'!$E$11="manuell",SUM(I142),IF(OR(E142="Feiertag",E142="Wochenende"),0,IF('ZD Vorerfassung'!$E$11="automatisch",AX142,IF(D142="UU","UU",IF(E142=Param2,AX142/24,IF(E142=Param9,AX142/48,"")))))),0)</f>
        <v>0</v>
      </c>
      <c r="I142" s="105"/>
      <c r="J142" s="106">
        <f>IF('ZD Vorerfassung'!$E$12="manuell",SUM(K142:AI142),IF(OR(E142="Feiertag",E142="Wochenende"),0,IF('ZD Vorerfassung'!$E$12="automatisch",AY142,IF(D142="UU","UU",IF(E142=Param2,AY142/24,IF(E142=Param9,AY142/48,""))))))</f>
        <v>0</v>
      </c>
      <c r="K142" s="105"/>
      <c r="L142" s="105"/>
      <c r="M142" s="105"/>
      <c r="N142" s="105"/>
      <c r="O142" s="105"/>
      <c r="P142" s="105"/>
      <c r="Q142" s="105"/>
      <c r="R142" s="105"/>
      <c r="S142" s="105"/>
      <c r="T142" s="105"/>
      <c r="U142" s="105"/>
      <c r="V142" s="105"/>
      <c r="W142" s="105"/>
      <c r="X142" s="105"/>
      <c r="Y142" s="105"/>
      <c r="Z142" s="105"/>
      <c r="AA142" s="105"/>
      <c r="AB142" s="105"/>
      <c r="AC142" s="105"/>
      <c r="AD142" s="105"/>
      <c r="AE142" s="105"/>
      <c r="AF142" s="105"/>
      <c r="AG142" s="105"/>
      <c r="AH142" s="105"/>
      <c r="AI142" s="105"/>
      <c r="AJ142" s="107">
        <f t="shared" si="37"/>
        <v>0</v>
      </c>
      <c r="AK142" s="105"/>
      <c r="AL142" s="105"/>
      <c r="AM142" s="105"/>
      <c r="AN142" s="105"/>
      <c r="AO142" s="105"/>
      <c r="AP142" s="105"/>
      <c r="AQ142" s="108">
        <f t="shared" si="38"/>
        <v>0</v>
      </c>
      <c r="AR142" s="108">
        <f t="shared" si="39"/>
        <v>0</v>
      </c>
      <c r="AS142" s="109">
        <f t="shared" si="40"/>
        <v>0</v>
      </c>
      <c r="AU142" s="110">
        <f t="shared" si="31"/>
        <v>0</v>
      </c>
      <c r="AV142" s="111" t="str">
        <f>IF(D142="NR",
IF('ZD Vorerfassung'!$E$22="",0,IF(AND(B142&gt;='ZD Vorerfassung'!$C$22,B142&lt;='ZD Vorerfassung'!$D$22),HLOOKUP(TEXT(C142,"ttt"),'ZD Vorerfassung'!$H$21:$L$36,2,0),0))+
IF('ZD Vorerfassung'!$E$23="",0,IF(AND(B142&gt;='ZD Vorerfassung'!$C$23,B142&lt;='ZD Vorerfassung'!$D$23),HLOOKUP(TEXT(C142,"ttt"),'ZD Vorerfassung'!$H$21:$L$36,3,0),0))+
IF('ZD Vorerfassung'!$E$24="",0,IF(AND(B142&gt;='ZD Vorerfassung'!$C$24,B142&lt;='ZD Vorerfassung'!$D$24),HLOOKUP(TEXT(C142,"ttt"),'ZD Vorerfassung'!$H$21:$L$36,4,0),0))+
IF('ZD Vorerfassung'!$E$25="",0,IF(AND(B142&gt;='ZD Vorerfassung'!$C$25,B142&lt;='ZD Vorerfassung'!$D$25),HLOOKUP(TEXT(C142,"ttt"),'ZD Vorerfassung'!$H$21:$L$36,5,0),0))+
IF('ZD Vorerfassung'!$E$26="",0,IF(AND(B142&gt;='ZD Vorerfassung'!$C$26,B142&lt;='ZD Vorerfassung'!$D$26),HLOOKUP(TEXT(C142,"ttt"),'ZD Vorerfassung'!$H$21:$L$36,6,0),0))+
IF('ZD Vorerfassung'!$E$27="",0,IF(AND(B142&gt;='ZD Vorerfassung'!$C$27,B142&lt;='ZD Vorerfassung'!$D$27),HLOOKUP(TEXT(C142,"ttt"),'ZD Vorerfassung'!$H$21:$L$36,7,0),0))+
IF('ZD Vorerfassung'!$E$28="",0,IF(AND(B142&gt;='ZD Vorerfassung'!$C$28,B142&lt;='ZD Vorerfassung'!$D$28),HLOOKUP(TEXT(C142,"ttt"),'ZD Vorerfassung'!$H$21:$L$36,8,0),0))+
IF('ZD Vorerfassung'!$E$29="",0,IF(AND(B142&gt;='ZD Vorerfassung'!$C$29,B142&lt;='ZD Vorerfassung'!$D$29),HLOOKUP(TEXT(C142,"ttt"),'ZD Vorerfassung'!$H$21:$L$36,9,0),0))+
IF('ZD Vorerfassung'!$E$30="",0,IF(AND(B142&gt;='ZD Vorerfassung'!$C$30,B142&lt;='ZD Vorerfassung'!$D$30),HLOOKUP(TEXT(C142,"ttt"),'ZD Vorerfassung'!$H$21:$L$36,10,0),0))+
IF('ZD Vorerfassung'!$E$31="",0,IF(AND(B142&gt;='ZD Vorerfassung'!$C$31,B142&lt;='ZD Vorerfassung'!$D$31),HLOOKUP(TEXT(C142,"ttt"),'ZD Vorerfassung'!$H$21:$L$36,11,0),0))+
IF('ZD Vorerfassung'!$E$32="",0,IF(AND(B142&gt;='ZD Vorerfassung'!$C$32,B142&lt;='ZD Vorerfassung'!$D$32),HLOOKUP(TEXT(C142,"ttt"),'ZD Vorerfassung'!$H$21:$L$36,12,0),0))+
IF('ZD Vorerfassung'!$E$33="",0,IF(AND(B142&gt;='ZD Vorerfassung'!$C$33,B142&lt;='ZD Vorerfassung'!$D$33),HLOOKUP(TEXT(C142,"ttt"),'ZD Vorerfassung'!$H$21:$L$36,13,0),0))+
IF('ZD Vorerfassung'!$E$34="",0,IF(AND(B142&gt;='ZD Vorerfassung'!$C$34,B142&lt;='ZD Vorerfassung'!$D$34),HLOOKUP(TEXT(C142,"ttt"),'ZD Vorerfassung'!$H$21:$L$36,14,0),0))+
IF('ZD Vorerfassung'!$E$35="",0,IF(AND(B142&gt;='ZD Vorerfassung'!$C$35,B142&lt;='ZD Vorerfassung'!$D$35),HLOOKUP(TEXT(C142,"ttt"),'ZD Vorerfassung'!$H$21:$L$36,15,0),0))+
IF('ZD Vorerfassung'!$E$36="",0,IF(AND(B142&gt;='ZD Vorerfassung'!$C$36,B142&lt;='ZD Vorerfassung'!$D$36),HLOOKUP(TEXT(C142,"ttt"),'ZD Vorerfassung'!$H$21:$L$36,16,0),0)),"")</f>
        <v/>
      </c>
      <c r="AW142" s="110">
        <f t="array" ref="AW142">IF(OR(D142="UU",D142="FT",D142="WE"),0,
IF(D142="NR",SUM(IF(B142&gt;=_xlfn.NUMBERVALUE('ZD Vorerfassung'!$C$22:$C$36),1,0)*IF(B142&lt;=_xlfn.NUMBERVALUE('ZD Vorerfassung'!$D$22:$D$36),1,0)*'ZD Vorerfassung'!$Q$22:$Q$36),
IF(OR(D142="SF",D142="FH"),SUM(IF(B142&gt;=_xlfn.NUMBERVALUE('ZD Vorerfassung'!$C$22:$C$36),1,0)*IF(B142&lt;=_xlfn.NUMBERVALUE('ZD Vorerfassung'!$D$22:$D$36),1,0)*'ZD Vorerfassung'!$R$22:$R$36*IF(D142="FH",0.5,1)),
"prüfen")))</f>
        <v>0</v>
      </c>
      <c r="AX142" s="110">
        <f t="array" ref="AX142">IF(OR(D142="UU",D142="FT",D142="WE",E142="Ferien"),0,
IF(D142="NR",SUM(IF(B142&gt;=_xlfn.NUMBERVALUE('ZD Vorerfassung'!$C$22:$C$36),1,0)*IF(B142&lt;=_xlfn.NUMBERVALUE('ZD Vorerfassung'!$D$22:$D$36),1,0)*'ZD Vorerfassung'!$W$22:$W$36),
IF(OR(D142="SF",D142="FH"),SUM(IF(B142&gt;=_xlfn.NUMBERVALUE('ZD Vorerfassung'!$C$22:$C$36),1,0)*IF(B142&lt;=_xlfn.NUMBERVALUE('ZD Vorerfassung'!$D$22:$D$36),1,0)*'ZD Vorerfassung'!$X$22:$X$36*IF(D142="FH",0.5,1)),
"prüfen")))</f>
        <v>0</v>
      </c>
      <c r="AY142" s="110">
        <f t="array" ref="AY142">IF(OR(D142="UU",D142="FT",D142="WE",E142="Ferien"),0,
IF(D142="NR",SUM(IF(B142&gt;=_xlfn.NUMBERVALUE('ZD Vorerfassung'!$C$22:$C$36),1,0)*IF(B142&lt;=_xlfn.NUMBERVALUE('ZD Vorerfassung'!$D$22:$D$36),1,0)*'ZD Vorerfassung'!$U$22:$U$36),
IF(OR(D142="SF",D142="FH"),SUM(IF(B142&gt;=_xlfn.NUMBERVALUE('ZD Vorerfassung'!$C$22:$C$36),1,0)*IF(B142&lt;=_xlfn.NUMBERVALUE('ZD Vorerfassung'!$D$22:$D$36),1,0)*'ZD Vorerfassung'!$V$22:$V$36*IF(D142="FH",0.5,1)),
"prüfen")))</f>
        <v>0</v>
      </c>
      <c r="AZ142" s="110">
        <f t="array" ref="AZ142">IF(OR(D142="UU",D142="FT",D142="WE",E142="Ferien"),0,
IF(D142="NR",SUM(IF(B142&gt;=_xlfn.NUMBERVALUE('ZD Vorerfassung'!$C$22:$C$36),1,0)*IF(B142&lt;=_xlfn.NUMBERVALUE('ZD Vorerfassung'!$D$22:$D$36),1,0)*'ZD Vorerfassung'!$S$22:$S$36),
IF(OR(D142="SF",D142="FH"),SUM(IF(B142&gt;=_xlfn.NUMBERVALUE('ZD Vorerfassung'!$C$22:$C$36),1,0)*IF(B142&lt;=_xlfn.NUMBERVALUE('ZD Vorerfassung'!$D$22:$D$36),1,0)*'ZD Vorerfassung'!$T$22:$T$36*IF(D142="FH",0.5,1)),
"prüfen")))</f>
        <v>0</v>
      </c>
      <c r="BA142" s="112">
        <f t="shared" si="32"/>
        <v>12</v>
      </c>
    </row>
    <row r="143" spans="2:53" ht="19.5" thickTop="1" thickBot="1" x14ac:dyDescent="0.3">
      <c r="B143" s="99">
        <f t="shared" si="29"/>
        <v>44908</v>
      </c>
      <c r="C143" s="100">
        <f t="shared" si="33"/>
        <v>44908</v>
      </c>
      <c r="D143" s="101" t="str">
        <f t="shared" si="34"/>
        <v>NR</v>
      </c>
      <c r="E143" s="102" t="str">
        <f t="shared" si="30"/>
        <v>Unterrichtstag</v>
      </c>
      <c r="F143" s="103">
        <f t="shared" si="35"/>
        <v>0</v>
      </c>
      <c r="G143" s="104">
        <f t="shared" si="36"/>
        <v>0</v>
      </c>
      <c r="H143" s="104">
        <f>IFERROR(IF('ZD Vorerfassung'!$E$11="manuell",SUM(I143),IF(OR(E143="Feiertag",E143="Wochenende"),0,IF('ZD Vorerfassung'!$E$11="automatisch",AX143,IF(D143="UU","UU",IF(E143=Param2,AX143/24,IF(E143=Param9,AX143/48,"")))))),0)</f>
        <v>0</v>
      </c>
      <c r="I143" s="105"/>
      <c r="J143" s="106">
        <f>IF('ZD Vorerfassung'!$E$12="manuell",SUM(K143:AI143),IF(OR(E143="Feiertag",E143="Wochenende"),0,IF('ZD Vorerfassung'!$E$12="automatisch",AY143,IF(D143="UU","UU",IF(E143=Param2,AY143/24,IF(E143=Param9,AY143/48,""))))))</f>
        <v>0</v>
      </c>
      <c r="K143" s="105"/>
      <c r="L143" s="105"/>
      <c r="M143" s="105"/>
      <c r="N143" s="105"/>
      <c r="O143" s="105"/>
      <c r="P143" s="105"/>
      <c r="Q143" s="105"/>
      <c r="R143" s="105"/>
      <c r="S143" s="105"/>
      <c r="T143" s="105"/>
      <c r="U143" s="105"/>
      <c r="V143" s="105"/>
      <c r="W143" s="105"/>
      <c r="X143" s="105"/>
      <c r="Y143" s="105"/>
      <c r="Z143" s="105"/>
      <c r="AA143" s="105"/>
      <c r="AB143" s="105"/>
      <c r="AC143" s="105"/>
      <c r="AD143" s="105"/>
      <c r="AE143" s="105"/>
      <c r="AF143" s="105"/>
      <c r="AG143" s="105"/>
      <c r="AH143" s="105"/>
      <c r="AI143" s="105"/>
      <c r="AJ143" s="107">
        <f t="shared" si="37"/>
        <v>0</v>
      </c>
      <c r="AK143" s="105"/>
      <c r="AL143" s="105"/>
      <c r="AM143" s="105"/>
      <c r="AN143" s="105"/>
      <c r="AO143" s="105"/>
      <c r="AP143" s="105"/>
      <c r="AQ143" s="108">
        <f t="shared" si="38"/>
        <v>0</v>
      </c>
      <c r="AR143" s="108">
        <f t="shared" si="39"/>
        <v>0</v>
      </c>
      <c r="AS143" s="109">
        <f t="shared" si="40"/>
        <v>0</v>
      </c>
      <c r="AU143" s="110">
        <f t="shared" si="31"/>
        <v>0</v>
      </c>
      <c r="AV143" s="111">
        <f>IF(D143="NR",
IF('ZD Vorerfassung'!$E$22="",0,IF(AND(B143&gt;='ZD Vorerfassung'!$C$22,B143&lt;='ZD Vorerfassung'!$D$22),HLOOKUP(TEXT(C143,"ttt"),'ZD Vorerfassung'!$H$21:$L$36,2,0),0))+
IF('ZD Vorerfassung'!$E$23="",0,IF(AND(B143&gt;='ZD Vorerfassung'!$C$23,B143&lt;='ZD Vorerfassung'!$D$23),HLOOKUP(TEXT(C143,"ttt"),'ZD Vorerfassung'!$H$21:$L$36,3,0),0))+
IF('ZD Vorerfassung'!$E$24="",0,IF(AND(B143&gt;='ZD Vorerfassung'!$C$24,B143&lt;='ZD Vorerfassung'!$D$24),HLOOKUP(TEXT(C143,"ttt"),'ZD Vorerfassung'!$H$21:$L$36,4,0),0))+
IF('ZD Vorerfassung'!$E$25="",0,IF(AND(B143&gt;='ZD Vorerfassung'!$C$25,B143&lt;='ZD Vorerfassung'!$D$25),HLOOKUP(TEXT(C143,"ttt"),'ZD Vorerfassung'!$H$21:$L$36,5,0),0))+
IF('ZD Vorerfassung'!$E$26="",0,IF(AND(B143&gt;='ZD Vorerfassung'!$C$26,B143&lt;='ZD Vorerfassung'!$D$26),HLOOKUP(TEXT(C143,"ttt"),'ZD Vorerfassung'!$H$21:$L$36,6,0),0))+
IF('ZD Vorerfassung'!$E$27="",0,IF(AND(B143&gt;='ZD Vorerfassung'!$C$27,B143&lt;='ZD Vorerfassung'!$D$27),HLOOKUP(TEXT(C143,"ttt"),'ZD Vorerfassung'!$H$21:$L$36,7,0),0))+
IF('ZD Vorerfassung'!$E$28="",0,IF(AND(B143&gt;='ZD Vorerfassung'!$C$28,B143&lt;='ZD Vorerfassung'!$D$28),HLOOKUP(TEXT(C143,"ttt"),'ZD Vorerfassung'!$H$21:$L$36,8,0),0))+
IF('ZD Vorerfassung'!$E$29="",0,IF(AND(B143&gt;='ZD Vorerfassung'!$C$29,B143&lt;='ZD Vorerfassung'!$D$29),HLOOKUP(TEXT(C143,"ttt"),'ZD Vorerfassung'!$H$21:$L$36,9,0),0))+
IF('ZD Vorerfassung'!$E$30="",0,IF(AND(B143&gt;='ZD Vorerfassung'!$C$30,B143&lt;='ZD Vorerfassung'!$D$30),HLOOKUP(TEXT(C143,"ttt"),'ZD Vorerfassung'!$H$21:$L$36,10,0),0))+
IF('ZD Vorerfassung'!$E$31="",0,IF(AND(B143&gt;='ZD Vorerfassung'!$C$31,B143&lt;='ZD Vorerfassung'!$D$31),HLOOKUP(TEXT(C143,"ttt"),'ZD Vorerfassung'!$H$21:$L$36,11,0),0))+
IF('ZD Vorerfassung'!$E$32="",0,IF(AND(B143&gt;='ZD Vorerfassung'!$C$32,B143&lt;='ZD Vorerfassung'!$D$32),HLOOKUP(TEXT(C143,"ttt"),'ZD Vorerfassung'!$H$21:$L$36,12,0),0))+
IF('ZD Vorerfassung'!$E$33="",0,IF(AND(B143&gt;='ZD Vorerfassung'!$C$33,B143&lt;='ZD Vorerfassung'!$D$33),HLOOKUP(TEXT(C143,"ttt"),'ZD Vorerfassung'!$H$21:$L$36,13,0),0))+
IF('ZD Vorerfassung'!$E$34="",0,IF(AND(B143&gt;='ZD Vorerfassung'!$C$34,B143&lt;='ZD Vorerfassung'!$D$34),HLOOKUP(TEXT(C143,"ttt"),'ZD Vorerfassung'!$H$21:$L$36,14,0),0))+
IF('ZD Vorerfassung'!$E$35="",0,IF(AND(B143&gt;='ZD Vorerfassung'!$C$35,B143&lt;='ZD Vorerfassung'!$D$35),HLOOKUP(TEXT(C143,"ttt"),'ZD Vorerfassung'!$H$21:$L$36,15,0),0))+
IF('ZD Vorerfassung'!$E$36="",0,IF(AND(B143&gt;='ZD Vorerfassung'!$C$36,B143&lt;='ZD Vorerfassung'!$D$36),HLOOKUP(TEXT(C143,"ttt"),'ZD Vorerfassung'!$H$21:$L$36,16,0),0)),"")</f>
        <v>0</v>
      </c>
      <c r="AW143" s="110">
        <f t="array" ref="AW143">IF(OR(D143="UU",D143="FT",D143="WE"),0,
IF(D143="NR",SUM(IF(B143&gt;=_xlfn.NUMBERVALUE('ZD Vorerfassung'!$C$22:$C$36),1,0)*IF(B143&lt;=_xlfn.NUMBERVALUE('ZD Vorerfassung'!$D$22:$D$36),1,0)*'ZD Vorerfassung'!$Q$22:$Q$36),
IF(OR(D143="SF",D143="FH"),SUM(IF(B143&gt;=_xlfn.NUMBERVALUE('ZD Vorerfassung'!$C$22:$C$36),1,0)*IF(B143&lt;=_xlfn.NUMBERVALUE('ZD Vorerfassung'!$D$22:$D$36),1,0)*'ZD Vorerfassung'!$R$22:$R$36*IF(D143="FH",0.5,1)),
"prüfen")))</f>
        <v>0</v>
      </c>
      <c r="AX143" s="110">
        <f t="array" ref="AX143">IF(OR(D143="UU",D143="FT",D143="WE",E143="Ferien"),0,
IF(D143="NR",SUM(IF(B143&gt;=_xlfn.NUMBERVALUE('ZD Vorerfassung'!$C$22:$C$36),1,0)*IF(B143&lt;=_xlfn.NUMBERVALUE('ZD Vorerfassung'!$D$22:$D$36),1,0)*'ZD Vorerfassung'!$W$22:$W$36),
IF(OR(D143="SF",D143="FH"),SUM(IF(B143&gt;=_xlfn.NUMBERVALUE('ZD Vorerfassung'!$C$22:$C$36),1,0)*IF(B143&lt;=_xlfn.NUMBERVALUE('ZD Vorerfassung'!$D$22:$D$36),1,0)*'ZD Vorerfassung'!$X$22:$X$36*IF(D143="FH",0.5,1)),
"prüfen")))</f>
        <v>0</v>
      </c>
      <c r="AY143" s="110">
        <f t="array" ref="AY143">IF(OR(D143="UU",D143="FT",D143="WE",E143="Ferien"),0,
IF(D143="NR",SUM(IF(B143&gt;=_xlfn.NUMBERVALUE('ZD Vorerfassung'!$C$22:$C$36),1,0)*IF(B143&lt;=_xlfn.NUMBERVALUE('ZD Vorerfassung'!$D$22:$D$36),1,0)*'ZD Vorerfassung'!$U$22:$U$36),
IF(OR(D143="SF",D143="FH"),SUM(IF(B143&gt;=_xlfn.NUMBERVALUE('ZD Vorerfassung'!$C$22:$C$36),1,0)*IF(B143&lt;=_xlfn.NUMBERVALUE('ZD Vorerfassung'!$D$22:$D$36),1,0)*'ZD Vorerfassung'!$V$22:$V$36*IF(D143="FH",0.5,1)),
"prüfen")))</f>
        <v>0</v>
      </c>
      <c r="AZ143" s="110">
        <f t="array" ref="AZ143">IF(OR(D143="UU",D143="FT",D143="WE",E143="Ferien"),0,
IF(D143="NR",SUM(IF(B143&gt;=_xlfn.NUMBERVALUE('ZD Vorerfassung'!$C$22:$C$36),1,0)*IF(B143&lt;=_xlfn.NUMBERVALUE('ZD Vorerfassung'!$D$22:$D$36),1,0)*'ZD Vorerfassung'!$S$22:$S$36),
IF(OR(D143="SF",D143="FH"),SUM(IF(B143&gt;=_xlfn.NUMBERVALUE('ZD Vorerfassung'!$C$22:$C$36),1,0)*IF(B143&lt;=_xlfn.NUMBERVALUE('ZD Vorerfassung'!$D$22:$D$36),1,0)*'ZD Vorerfassung'!$T$22:$T$36*IF(D143="FH",0.5,1)),
"prüfen")))</f>
        <v>0</v>
      </c>
      <c r="BA143" s="112">
        <f t="shared" si="32"/>
        <v>12</v>
      </c>
    </row>
    <row r="144" spans="2:53" ht="19.5" thickTop="1" thickBot="1" x14ac:dyDescent="0.3">
      <c r="B144" s="99">
        <f t="shared" si="29"/>
        <v>44909</v>
      </c>
      <c r="C144" s="100">
        <f t="shared" si="33"/>
        <v>44909</v>
      </c>
      <c r="D144" s="101" t="str">
        <f t="shared" si="34"/>
        <v>NR</v>
      </c>
      <c r="E144" s="102" t="str">
        <f t="shared" si="30"/>
        <v>Unterrichtstag</v>
      </c>
      <c r="F144" s="103">
        <f t="shared" si="35"/>
        <v>0</v>
      </c>
      <c r="G144" s="104">
        <f t="shared" si="36"/>
        <v>0</v>
      </c>
      <c r="H144" s="104">
        <f>IFERROR(IF('ZD Vorerfassung'!$E$11="manuell",SUM(I144),IF(OR(E144="Feiertag",E144="Wochenende"),0,IF('ZD Vorerfassung'!$E$11="automatisch",AX144,IF(D144="UU","UU",IF(E144=Param2,AX144/24,IF(E144=Param9,AX144/48,"")))))),0)</f>
        <v>0</v>
      </c>
      <c r="I144" s="105"/>
      <c r="J144" s="106">
        <f>IF('ZD Vorerfassung'!$E$12="manuell",SUM(K144:AI144),IF(OR(E144="Feiertag",E144="Wochenende"),0,IF('ZD Vorerfassung'!$E$12="automatisch",AY144,IF(D144="UU","UU",IF(E144=Param2,AY144/24,IF(E144=Param9,AY144/48,""))))))</f>
        <v>0</v>
      </c>
      <c r="K144" s="105"/>
      <c r="L144" s="105"/>
      <c r="M144" s="105"/>
      <c r="N144" s="105"/>
      <c r="O144" s="105"/>
      <c r="P144" s="105"/>
      <c r="Q144" s="105"/>
      <c r="R144" s="105"/>
      <c r="S144" s="105"/>
      <c r="T144" s="105"/>
      <c r="U144" s="105"/>
      <c r="V144" s="105"/>
      <c r="W144" s="105"/>
      <c r="X144" s="105"/>
      <c r="Y144" s="105"/>
      <c r="Z144" s="105"/>
      <c r="AA144" s="105"/>
      <c r="AB144" s="105"/>
      <c r="AC144" s="105"/>
      <c r="AD144" s="105"/>
      <c r="AE144" s="105"/>
      <c r="AF144" s="105"/>
      <c r="AG144" s="105"/>
      <c r="AH144" s="105"/>
      <c r="AI144" s="105"/>
      <c r="AJ144" s="107">
        <f t="shared" si="37"/>
        <v>0</v>
      </c>
      <c r="AK144" s="105"/>
      <c r="AL144" s="105"/>
      <c r="AM144" s="105"/>
      <c r="AN144" s="105"/>
      <c r="AO144" s="105"/>
      <c r="AP144" s="105"/>
      <c r="AQ144" s="108">
        <f t="shared" si="38"/>
        <v>0</v>
      </c>
      <c r="AR144" s="108">
        <f t="shared" si="39"/>
        <v>0</v>
      </c>
      <c r="AS144" s="109">
        <f t="shared" si="40"/>
        <v>0</v>
      </c>
      <c r="AU144" s="110">
        <f t="shared" si="31"/>
        <v>0</v>
      </c>
      <c r="AV144" s="111">
        <f>IF(D144="NR",
IF('ZD Vorerfassung'!$E$22="",0,IF(AND(B144&gt;='ZD Vorerfassung'!$C$22,B144&lt;='ZD Vorerfassung'!$D$22),HLOOKUP(TEXT(C144,"ttt"),'ZD Vorerfassung'!$H$21:$L$36,2,0),0))+
IF('ZD Vorerfassung'!$E$23="",0,IF(AND(B144&gt;='ZD Vorerfassung'!$C$23,B144&lt;='ZD Vorerfassung'!$D$23),HLOOKUP(TEXT(C144,"ttt"),'ZD Vorerfassung'!$H$21:$L$36,3,0),0))+
IF('ZD Vorerfassung'!$E$24="",0,IF(AND(B144&gt;='ZD Vorerfassung'!$C$24,B144&lt;='ZD Vorerfassung'!$D$24),HLOOKUP(TEXT(C144,"ttt"),'ZD Vorerfassung'!$H$21:$L$36,4,0),0))+
IF('ZD Vorerfassung'!$E$25="",0,IF(AND(B144&gt;='ZD Vorerfassung'!$C$25,B144&lt;='ZD Vorerfassung'!$D$25),HLOOKUP(TEXT(C144,"ttt"),'ZD Vorerfassung'!$H$21:$L$36,5,0),0))+
IF('ZD Vorerfassung'!$E$26="",0,IF(AND(B144&gt;='ZD Vorerfassung'!$C$26,B144&lt;='ZD Vorerfassung'!$D$26),HLOOKUP(TEXT(C144,"ttt"),'ZD Vorerfassung'!$H$21:$L$36,6,0),0))+
IF('ZD Vorerfassung'!$E$27="",0,IF(AND(B144&gt;='ZD Vorerfassung'!$C$27,B144&lt;='ZD Vorerfassung'!$D$27),HLOOKUP(TEXT(C144,"ttt"),'ZD Vorerfassung'!$H$21:$L$36,7,0),0))+
IF('ZD Vorerfassung'!$E$28="",0,IF(AND(B144&gt;='ZD Vorerfassung'!$C$28,B144&lt;='ZD Vorerfassung'!$D$28),HLOOKUP(TEXT(C144,"ttt"),'ZD Vorerfassung'!$H$21:$L$36,8,0),0))+
IF('ZD Vorerfassung'!$E$29="",0,IF(AND(B144&gt;='ZD Vorerfassung'!$C$29,B144&lt;='ZD Vorerfassung'!$D$29),HLOOKUP(TEXT(C144,"ttt"),'ZD Vorerfassung'!$H$21:$L$36,9,0),0))+
IF('ZD Vorerfassung'!$E$30="",0,IF(AND(B144&gt;='ZD Vorerfassung'!$C$30,B144&lt;='ZD Vorerfassung'!$D$30),HLOOKUP(TEXT(C144,"ttt"),'ZD Vorerfassung'!$H$21:$L$36,10,0),0))+
IF('ZD Vorerfassung'!$E$31="",0,IF(AND(B144&gt;='ZD Vorerfassung'!$C$31,B144&lt;='ZD Vorerfassung'!$D$31),HLOOKUP(TEXT(C144,"ttt"),'ZD Vorerfassung'!$H$21:$L$36,11,0),0))+
IF('ZD Vorerfassung'!$E$32="",0,IF(AND(B144&gt;='ZD Vorerfassung'!$C$32,B144&lt;='ZD Vorerfassung'!$D$32),HLOOKUP(TEXT(C144,"ttt"),'ZD Vorerfassung'!$H$21:$L$36,12,0),0))+
IF('ZD Vorerfassung'!$E$33="",0,IF(AND(B144&gt;='ZD Vorerfassung'!$C$33,B144&lt;='ZD Vorerfassung'!$D$33),HLOOKUP(TEXT(C144,"ttt"),'ZD Vorerfassung'!$H$21:$L$36,13,0),0))+
IF('ZD Vorerfassung'!$E$34="",0,IF(AND(B144&gt;='ZD Vorerfassung'!$C$34,B144&lt;='ZD Vorerfassung'!$D$34),HLOOKUP(TEXT(C144,"ttt"),'ZD Vorerfassung'!$H$21:$L$36,14,0),0))+
IF('ZD Vorerfassung'!$E$35="",0,IF(AND(B144&gt;='ZD Vorerfassung'!$C$35,B144&lt;='ZD Vorerfassung'!$D$35),HLOOKUP(TEXT(C144,"ttt"),'ZD Vorerfassung'!$H$21:$L$36,15,0),0))+
IF('ZD Vorerfassung'!$E$36="",0,IF(AND(B144&gt;='ZD Vorerfassung'!$C$36,B144&lt;='ZD Vorerfassung'!$D$36),HLOOKUP(TEXT(C144,"ttt"),'ZD Vorerfassung'!$H$21:$L$36,16,0),0)),"")</f>
        <v>0</v>
      </c>
      <c r="AW144" s="110">
        <f t="array" ref="AW144">IF(OR(D144="UU",D144="FT",D144="WE"),0,
IF(D144="NR",SUM(IF(B144&gt;=_xlfn.NUMBERVALUE('ZD Vorerfassung'!$C$22:$C$36),1,0)*IF(B144&lt;=_xlfn.NUMBERVALUE('ZD Vorerfassung'!$D$22:$D$36),1,0)*'ZD Vorerfassung'!$Q$22:$Q$36),
IF(OR(D144="SF",D144="FH"),SUM(IF(B144&gt;=_xlfn.NUMBERVALUE('ZD Vorerfassung'!$C$22:$C$36),1,0)*IF(B144&lt;=_xlfn.NUMBERVALUE('ZD Vorerfassung'!$D$22:$D$36),1,0)*'ZD Vorerfassung'!$R$22:$R$36*IF(D144="FH",0.5,1)),
"prüfen")))</f>
        <v>0</v>
      </c>
      <c r="AX144" s="110">
        <f t="array" ref="AX144">IF(OR(D144="UU",D144="FT",D144="WE",E144="Ferien"),0,
IF(D144="NR",SUM(IF(B144&gt;=_xlfn.NUMBERVALUE('ZD Vorerfassung'!$C$22:$C$36),1,0)*IF(B144&lt;=_xlfn.NUMBERVALUE('ZD Vorerfassung'!$D$22:$D$36),1,0)*'ZD Vorerfassung'!$W$22:$W$36),
IF(OR(D144="SF",D144="FH"),SUM(IF(B144&gt;=_xlfn.NUMBERVALUE('ZD Vorerfassung'!$C$22:$C$36),1,0)*IF(B144&lt;=_xlfn.NUMBERVALUE('ZD Vorerfassung'!$D$22:$D$36),1,0)*'ZD Vorerfassung'!$X$22:$X$36*IF(D144="FH",0.5,1)),
"prüfen")))</f>
        <v>0</v>
      </c>
      <c r="AY144" s="110">
        <f t="array" ref="AY144">IF(OR(D144="UU",D144="FT",D144="WE",E144="Ferien"),0,
IF(D144="NR",SUM(IF(B144&gt;=_xlfn.NUMBERVALUE('ZD Vorerfassung'!$C$22:$C$36),1,0)*IF(B144&lt;=_xlfn.NUMBERVALUE('ZD Vorerfassung'!$D$22:$D$36),1,0)*'ZD Vorerfassung'!$U$22:$U$36),
IF(OR(D144="SF",D144="FH"),SUM(IF(B144&gt;=_xlfn.NUMBERVALUE('ZD Vorerfassung'!$C$22:$C$36),1,0)*IF(B144&lt;=_xlfn.NUMBERVALUE('ZD Vorerfassung'!$D$22:$D$36),1,0)*'ZD Vorerfassung'!$V$22:$V$36*IF(D144="FH",0.5,1)),
"prüfen")))</f>
        <v>0</v>
      </c>
      <c r="AZ144" s="110">
        <f t="array" ref="AZ144">IF(OR(D144="UU",D144="FT",D144="WE",E144="Ferien"),0,
IF(D144="NR",SUM(IF(B144&gt;=_xlfn.NUMBERVALUE('ZD Vorerfassung'!$C$22:$C$36),1,0)*IF(B144&lt;=_xlfn.NUMBERVALUE('ZD Vorerfassung'!$D$22:$D$36),1,0)*'ZD Vorerfassung'!$S$22:$S$36),
IF(OR(D144="SF",D144="FH"),SUM(IF(B144&gt;=_xlfn.NUMBERVALUE('ZD Vorerfassung'!$C$22:$C$36),1,0)*IF(B144&lt;=_xlfn.NUMBERVALUE('ZD Vorerfassung'!$D$22:$D$36),1,0)*'ZD Vorerfassung'!$T$22:$T$36*IF(D144="FH",0.5,1)),
"prüfen")))</f>
        <v>0</v>
      </c>
      <c r="BA144" s="112">
        <f t="shared" si="32"/>
        <v>12</v>
      </c>
    </row>
    <row r="145" spans="2:53" ht="19.5" thickTop="1" thickBot="1" x14ac:dyDescent="0.3">
      <c r="B145" s="99">
        <f t="shared" si="29"/>
        <v>44910</v>
      </c>
      <c r="C145" s="100">
        <f t="shared" si="33"/>
        <v>44910</v>
      </c>
      <c r="D145" s="101" t="str">
        <f t="shared" si="34"/>
        <v>NR</v>
      </c>
      <c r="E145" s="102" t="str">
        <f t="shared" si="30"/>
        <v>Unterrichtstag</v>
      </c>
      <c r="F145" s="103">
        <f t="shared" si="35"/>
        <v>0</v>
      </c>
      <c r="G145" s="104">
        <f t="shared" si="36"/>
        <v>0</v>
      </c>
      <c r="H145" s="104">
        <f>IFERROR(IF('ZD Vorerfassung'!$E$11="manuell",SUM(I145),IF(OR(E145="Feiertag",E145="Wochenende"),0,IF('ZD Vorerfassung'!$E$11="automatisch",AX145,IF(D145="UU","UU",IF(E145=Param2,AX145/24,IF(E145=Param9,AX145/48,"")))))),0)</f>
        <v>0</v>
      </c>
      <c r="I145" s="105"/>
      <c r="J145" s="106">
        <f>IF('ZD Vorerfassung'!$E$12="manuell",SUM(K145:AI145),IF(OR(E145="Feiertag",E145="Wochenende"),0,IF('ZD Vorerfassung'!$E$12="automatisch",AY145,IF(D145="UU","UU",IF(E145=Param2,AY145/24,IF(E145=Param9,AY145/48,""))))))</f>
        <v>0</v>
      </c>
      <c r="K145" s="105"/>
      <c r="L145" s="105"/>
      <c r="M145" s="105"/>
      <c r="N145" s="105"/>
      <c r="O145" s="105"/>
      <c r="P145" s="105"/>
      <c r="Q145" s="105"/>
      <c r="R145" s="105"/>
      <c r="S145" s="105"/>
      <c r="T145" s="105"/>
      <c r="U145" s="105"/>
      <c r="V145" s="105"/>
      <c r="W145" s="105"/>
      <c r="X145" s="105"/>
      <c r="Y145" s="105"/>
      <c r="Z145" s="105"/>
      <c r="AA145" s="105"/>
      <c r="AB145" s="105"/>
      <c r="AC145" s="105"/>
      <c r="AD145" s="105"/>
      <c r="AE145" s="105"/>
      <c r="AF145" s="105"/>
      <c r="AG145" s="105"/>
      <c r="AH145" s="105"/>
      <c r="AI145" s="105"/>
      <c r="AJ145" s="107">
        <f t="shared" si="37"/>
        <v>0</v>
      </c>
      <c r="AK145" s="105"/>
      <c r="AL145" s="105"/>
      <c r="AM145" s="105"/>
      <c r="AN145" s="105"/>
      <c r="AO145" s="105"/>
      <c r="AP145" s="105"/>
      <c r="AQ145" s="108">
        <f t="shared" si="38"/>
        <v>0</v>
      </c>
      <c r="AR145" s="108">
        <f t="shared" si="39"/>
        <v>0</v>
      </c>
      <c r="AS145" s="109">
        <f t="shared" si="40"/>
        <v>0</v>
      </c>
      <c r="AU145" s="110">
        <f t="shared" si="31"/>
        <v>0</v>
      </c>
      <c r="AV145" s="111">
        <f>IF(D145="NR",
IF('ZD Vorerfassung'!$E$22="",0,IF(AND(B145&gt;='ZD Vorerfassung'!$C$22,B145&lt;='ZD Vorerfassung'!$D$22),HLOOKUP(TEXT(C145,"ttt"),'ZD Vorerfassung'!$H$21:$L$36,2,0),0))+
IF('ZD Vorerfassung'!$E$23="",0,IF(AND(B145&gt;='ZD Vorerfassung'!$C$23,B145&lt;='ZD Vorerfassung'!$D$23),HLOOKUP(TEXT(C145,"ttt"),'ZD Vorerfassung'!$H$21:$L$36,3,0),0))+
IF('ZD Vorerfassung'!$E$24="",0,IF(AND(B145&gt;='ZD Vorerfassung'!$C$24,B145&lt;='ZD Vorerfassung'!$D$24),HLOOKUP(TEXT(C145,"ttt"),'ZD Vorerfassung'!$H$21:$L$36,4,0),0))+
IF('ZD Vorerfassung'!$E$25="",0,IF(AND(B145&gt;='ZD Vorerfassung'!$C$25,B145&lt;='ZD Vorerfassung'!$D$25),HLOOKUP(TEXT(C145,"ttt"),'ZD Vorerfassung'!$H$21:$L$36,5,0),0))+
IF('ZD Vorerfassung'!$E$26="",0,IF(AND(B145&gt;='ZD Vorerfassung'!$C$26,B145&lt;='ZD Vorerfassung'!$D$26),HLOOKUP(TEXT(C145,"ttt"),'ZD Vorerfassung'!$H$21:$L$36,6,0),0))+
IF('ZD Vorerfassung'!$E$27="",0,IF(AND(B145&gt;='ZD Vorerfassung'!$C$27,B145&lt;='ZD Vorerfassung'!$D$27),HLOOKUP(TEXT(C145,"ttt"),'ZD Vorerfassung'!$H$21:$L$36,7,0),0))+
IF('ZD Vorerfassung'!$E$28="",0,IF(AND(B145&gt;='ZD Vorerfassung'!$C$28,B145&lt;='ZD Vorerfassung'!$D$28),HLOOKUP(TEXT(C145,"ttt"),'ZD Vorerfassung'!$H$21:$L$36,8,0),0))+
IF('ZD Vorerfassung'!$E$29="",0,IF(AND(B145&gt;='ZD Vorerfassung'!$C$29,B145&lt;='ZD Vorerfassung'!$D$29),HLOOKUP(TEXT(C145,"ttt"),'ZD Vorerfassung'!$H$21:$L$36,9,0),0))+
IF('ZD Vorerfassung'!$E$30="",0,IF(AND(B145&gt;='ZD Vorerfassung'!$C$30,B145&lt;='ZD Vorerfassung'!$D$30),HLOOKUP(TEXT(C145,"ttt"),'ZD Vorerfassung'!$H$21:$L$36,10,0),0))+
IF('ZD Vorerfassung'!$E$31="",0,IF(AND(B145&gt;='ZD Vorerfassung'!$C$31,B145&lt;='ZD Vorerfassung'!$D$31),HLOOKUP(TEXT(C145,"ttt"),'ZD Vorerfassung'!$H$21:$L$36,11,0),0))+
IF('ZD Vorerfassung'!$E$32="",0,IF(AND(B145&gt;='ZD Vorerfassung'!$C$32,B145&lt;='ZD Vorerfassung'!$D$32),HLOOKUP(TEXT(C145,"ttt"),'ZD Vorerfassung'!$H$21:$L$36,12,0),0))+
IF('ZD Vorerfassung'!$E$33="",0,IF(AND(B145&gt;='ZD Vorerfassung'!$C$33,B145&lt;='ZD Vorerfassung'!$D$33),HLOOKUP(TEXT(C145,"ttt"),'ZD Vorerfassung'!$H$21:$L$36,13,0),0))+
IF('ZD Vorerfassung'!$E$34="",0,IF(AND(B145&gt;='ZD Vorerfassung'!$C$34,B145&lt;='ZD Vorerfassung'!$D$34),HLOOKUP(TEXT(C145,"ttt"),'ZD Vorerfassung'!$H$21:$L$36,14,0),0))+
IF('ZD Vorerfassung'!$E$35="",0,IF(AND(B145&gt;='ZD Vorerfassung'!$C$35,B145&lt;='ZD Vorerfassung'!$D$35),HLOOKUP(TEXT(C145,"ttt"),'ZD Vorerfassung'!$H$21:$L$36,15,0),0))+
IF('ZD Vorerfassung'!$E$36="",0,IF(AND(B145&gt;='ZD Vorerfassung'!$C$36,B145&lt;='ZD Vorerfassung'!$D$36),HLOOKUP(TEXT(C145,"ttt"),'ZD Vorerfassung'!$H$21:$L$36,16,0),0)),"")</f>
        <v>0</v>
      </c>
      <c r="AW145" s="110">
        <f t="array" ref="AW145">IF(OR(D145="UU",D145="FT",D145="WE"),0,
IF(D145="NR",SUM(IF(B145&gt;=_xlfn.NUMBERVALUE('ZD Vorerfassung'!$C$22:$C$36),1,0)*IF(B145&lt;=_xlfn.NUMBERVALUE('ZD Vorerfassung'!$D$22:$D$36),1,0)*'ZD Vorerfassung'!$Q$22:$Q$36),
IF(OR(D145="SF",D145="FH"),SUM(IF(B145&gt;=_xlfn.NUMBERVALUE('ZD Vorerfassung'!$C$22:$C$36),1,0)*IF(B145&lt;=_xlfn.NUMBERVALUE('ZD Vorerfassung'!$D$22:$D$36),1,0)*'ZD Vorerfassung'!$R$22:$R$36*IF(D145="FH",0.5,1)),
"prüfen")))</f>
        <v>0</v>
      </c>
      <c r="AX145" s="110">
        <f t="array" ref="AX145">IF(OR(D145="UU",D145="FT",D145="WE",E145="Ferien"),0,
IF(D145="NR",SUM(IF(B145&gt;=_xlfn.NUMBERVALUE('ZD Vorerfassung'!$C$22:$C$36),1,0)*IF(B145&lt;=_xlfn.NUMBERVALUE('ZD Vorerfassung'!$D$22:$D$36),1,0)*'ZD Vorerfassung'!$W$22:$W$36),
IF(OR(D145="SF",D145="FH"),SUM(IF(B145&gt;=_xlfn.NUMBERVALUE('ZD Vorerfassung'!$C$22:$C$36),1,0)*IF(B145&lt;=_xlfn.NUMBERVALUE('ZD Vorerfassung'!$D$22:$D$36),1,0)*'ZD Vorerfassung'!$X$22:$X$36*IF(D145="FH",0.5,1)),
"prüfen")))</f>
        <v>0</v>
      </c>
      <c r="AY145" s="110">
        <f t="array" ref="AY145">IF(OR(D145="UU",D145="FT",D145="WE",E145="Ferien"),0,
IF(D145="NR",SUM(IF(B145&gt;=_xlfn.NUMBERVALUE('ZD Vorerfassung'!$C$22:$C$36),1,0)*IF(B145&lt;=_xlfn.NUMBERVALUE('ZD Vorerfassung'!$D$22:$D$36),1,0)*'ZD Vorerfassung'!$U$22:$U$36),
IF(OR(D145="SF",D145="FH"),SUM(IF(B145&gt;=_xlfn.NUMBERVALUE('ZD Vorerfassung'!$C$22:$C$36),1,0)*IF(B145&lt;=_xlfn.NUMBERVALUE('ZD Vorerfassung'!$D$22:$D$36),1,0)*'ZD Vorerfassung'!$V$22:$V$36*IF(D145="FH",0.5,1)),
"prüfen")))</f>
        <v>0</v>
      </c>
      <c r="AZ145" s="110">
        <f t="array" ref="AZ145">IF(OR(D145="UU",D145="FT",D145="WE",E145="Ferien"),0,
IF(D145="NR",SUM(IF(B145&gt;=_xlfn.NUMBERVALUE('ZD Vorerfassung'!$C$22:$C$36),1,0)*IF(B145&lt;=_xlfn.NUMBERVALUE('ZD Vorerfassung'!$D$22:$D$36),1,0)*'ZD Vorerfassung'!$S$22:$S$36),
IF(OR(D145="SF",D145="FH"),SUM(IF(B145&gt;=_xlfn.NUMBERVALUE('ZD Vorerfassung'!$C$22:$C$36),1,0)*IF(B145&lt;=_xlfn.NUMBERVALUE('ZD Vorerfassung'!$D$22:$D$36),1,0)*'ZD Vorerfassung'!$T$22:$T$36*IF(D145="FH",0.5,1)),
"prüfen")))</f>
        <v>0</v>
      </c>
      <c r="BA145" s="112">
        <f t="shared" si="32"/>
        <v>12</v>
      </c>
    </row>
    <row r="146" spans="2:53" ht="19.5" thickTop="1" thickBot="1" x14ac:dyDescent="0.3">
      <c r="B146" s="99">
        <f t="shared" si="29"/>
        <v>44911</v>
      </c>
      <c r="C146" s="100">
        <f t="shared" si="33"/>
        <v>44911</v>
      </c>
      <c r="D146" s="101" t="str">
        <f t="shared" si="34"/>
        <v>NR</v>
      </c>
      <c r="E146" s="102" t="str">
        <f t="shared" si="30"/>
        <v>Unterrichtstag</v>
      </c>
      <c r="F146" s="103">
        <f t="shared" si="35"/>
        <v>0</v>
      </c>
      <c r="G146" s="104">
        <f t="shared" si="36"/>
        <v>0</v>
      </c>
      <c r="H146" s="104">
        <f>IFERROR(IF('ZD Vorerfassung'!$E$11="manuell",SUM(I146),IF(OR(E146="Feiertag",E146="Wochenende"),0,IF('ZD Vorerfassung'!$E$11="automatisch",AX146,IF(D146="UU","UU",IF(E146=Param2,AX146/24,IF(E146=Param9,AX146/48,"")))))),0)</f>
        <v>0</v>
      </c>
      <c r="I146" s="105"/>
      <c r="J146" s="106">
        <f>IF('ZD Vorerfassung'!$E$12="manuell",SUM(K146:AI146),IF(OR(E146="Feiertag",E146="Wochenende"),0,IF('ZD Vorerfassung'!$E$12="automatisch",AY146,IF(D146="UU","UU",IF(E146=Param2,AY146/24,IF(E146=Param9,AY146/48,""))))))</f>
        <v>0</v>
      </c>
      <c r="K146" s="105"/>
      <c r="L146" s="105"/>
      <c r="M146" s="105"/>
      <c r="N146" s="105"/>
      <c r="O146" s="105"/>
      <c r="P146" s="105"/>
      <c r="Q146" s="105"/>
      <c r="R146" s="105"/>
      <c r="S146" s="105"/>
      <c r="T146" s="105"/>
      <c r="U146" s="105"/>
      <c r="V146" s="105"/>
      <c r="W146" s="105"/>
      <c r="X146" s="105"/>
      <c r="Y146" s="105"/>
      <c r="Z146" s="105"/>
      <c r="AA146" s="105"/>
      <c r="AB146" s="105"/>
      <c r="AC146" s="105"/>
      <c r="AD146" s="105"/>
      <c r="AE146" s="105"/>
      <c r="AF146" s="105"/>
      <c r="AG146" s="105"/>
      <c r="AH146" s="105"/>
      <c r="AI146" s="105"/>
      <c r="AJ146" s="107">
        <f t="shared" si="37"/>
        <v>0</v>
      </c>
      <c r="AK146" s="105"/>
      <c r="AL146" s="105"/>
      <c r="AM146" s="105"/>
      <c r="AN146" s="105"/>
      <c r="AO146" s="105"/>
      <c r="AP146" s="105"/>
      <c r="AQ146" s="108">
        <f t="shared" si="38"/>
        <v>0</v>
      </c>
      <c r="AR146" s="108">
        <f t="shared" si="39"/>
        <v>0</v>
      </c>
      <c r="AS146" s="109">
        <f t="shared" si="40"/>
        <v>0</v>
      </c>
      <c r="AU146" s="110">
        <f t="shared" si="31"/>
        <v>0</v>
      </c>
      <c r="AV146" s="111">
        <f>IF(D146="NR",
IF('ZD Vorerfassung'!$E$22="",0,IF(AND(B146&gt;='ZD Vorerfassung'!$C$22,B146&lt;='ZD Vorerfassung'!$D$22),HLOOKUP(TEXT(C146,"ttt"),'ZD Vorerfassung'!$H$21:$L$36,2,0),0))+
IF('ZD Vorerfassung'!$E$23="",0,IF(AND(B146&gt;='ZD Vorerfassung'!$C$23,B146&lt;='ZD Vorerfassung'!$D$23),HLOOKUP(TEXT(C146,"ttt"),'ZD Vorerfassung'!$H$21:$L$36,3,0),0))+
IF('ZD Vorerfassung'!$E$24="",0,IF(AND(B146&gt;='ZD Vorerfassung'!$C$24,B146&lt;='ZD Vorerfassung'!$D$24),HLOOKUP(TEXT(C146,"ttt"),'ZD Vorerfassung'!$H$21:$L$36,4,0),0))+
IF('ZD Vorerfassung'!$E$25="",0,IF(AND(B146&gt;='ZD Vorerfassung'!$C$25,B146&lt;='ZD Vorerfassung'!$D$25),HLOOKUP(TEXT(C146,"ttt"),'ZD Vorerfassung'!$H$21:$L$36,5,0),0))+
IF('ZD Vorerfassung'!$E$26="",0,IF(AND(B146&gt;='ZD Vorerfassung'!$C$26,B146&lt;='ZD Vorerfassung'!$D$26),HLOOKUP(TEXT(C146,"ttt"),'ZD Vorerfassung'!$H$21:$L$36,6,0),0))+
IF('ZD Vorerfassung'!$E$27="",0,IF(AND(B146&gt;='ZD Vorerfassung'!$C$27,B146&lt;='ZD Vorerfassung'!$D$27),HLOOKUP(TEXT(C146,"ttt"),'ZD Vorerfassung'!$H$21:$L$36,7,0),0))+
IF('ZD Vorerfassung'!$E$28="",0,IF(AND(B146&gt;='ZD Vorerfassung'!$C$28,B146&lt;='ZD Vorerfassung'!$D$28),HLOOKUP(TEXT(C146,"ttt"),'ZD Vorerfassung'!$H$21:$L$36,8,0),0))+
IF('ZD Vorerfassung'!$E$29="",0,IF(AND(B146&gt;='ZD Vorerfassung'!$C$29,B146&lt;='ZD Vorerfassung'!$D$29),HLOOKUP(TEXT(C146,"ttt"),'ZD Vorerfassung'!$H$21:$L$36,9,0),0))+
IF('ZD Vorerfassung'!$E$30="",0,IF(AND(B146&gt;='ZD Vorerfassung'!$C$30,B146&lt;='ZD Vorerfassung'!$D$30),HLOOKUP(TEXT(C146,"ttt"),'ZD Vorerfassung'!$H$21:$L$36,10,0),0))+
IF('ZD Vorerfassung'!$E$31="",0,IF(AND(B146&gt;='ZD Vorerfassung'!$C$31,B146&lt;='ZD Vorerfassung'!$D$31),HLOOKUP(TEXT(C146,"ttt"),'ZD Vorerfassung'!$H$21:$L$36,11,0),0))+
IF('ZD Vorerfassung'!$E$32="",0,IF(AND(B146&gt;='ZD Vorerfassung'!$C$32,B146&lt;='ZD Vorerfassung'!$D$32),HLOOKUP(TEXT(C146,"ttt"),'ZD Vorerfassung'!$H$21:$L$36,12,0),0))+
IF('ZD Vorerfassung'!$E$33="",0,IF(AND(B146&gt;='ZD Vorerfassung'!$C$33,B146&lt;='ZD Vorerfassung'!$D$33),HLOOKUP(TEXT(C146,"ttt"),'ZD Vorerfassung'!$H$21:$L$36,13,0),0))+
IF('ZD Vorerfassung'!$E$34="",0,IF(AND(B146&gt;='ZD Vorerfassung'!$C$34,B146&lt;='ZD Vorerfassung'!$D$34),HLOOKUP(TEXT(C146,"ttt"),'ZD Vorerfassung'!$H$21:$L$36,14,0),0))+
IF('ZD Vorerfassung'!$E$35="",0,IF(AND(B146&gt;='ZD Vorerfassung'!$C$35,B146&lt;='ZD Vorerfassung'!$D$35),HLOOKUP(TEXT(C146,"ttt"),'ZD Vorerfassung'!$H$21:$L$36,15,0),0))+
IF('ZD Vorerfassung'!$E$36="",0,IF(AND(B146&gt;='ZD Vorerfassung'!$C$36,B146&lt;='ZD Vorerfassung'!$D$36),HLOOKUP(TEXT(C146,"ttt"),'ZD Vorerfassung'!$H$21:$L$36,16,0),0)),"")</f>
        <v>0</v>
      </c>
      <c r="AW146" s="110">
        <f t="array" ref="AW146">IF(OR(D146="UU",D146="FT",D146="WE"),0,
IF(D146="NR",SUM(IF(B146&gt;=_xlfn.NUMBERVALUE('ZD Vorerfassung'!$C$22:$C$36),1,0)*IF(B146&lt;=_xlfn.NUMBERVALUE('ZD Vorerfassung'!$D$22:$D$36),1,0)*'ZD Vorerfassung'!$Q$22:$Q$36),
IF(OR(D146="SF",D146="FH"),SUM(IF(B146&gt;=_xlfn.NUMBERVALUE('ZD Vorerfassung'!$C$22:$C$36),1,0)*IF(B146&lt;=_xlfn.NUMBERVALUE('ZD Vorerfassung'!$D$22:$D$36),1,0)*'ZD Vorerfassung'!$R$22:$R$36*IF(D146="FH",0.5,1)),
"prüfen")))</f>
        <v>0</v>
      </c>
      <c r="AX146" s="110">
        <f t="array" ref="AX146">IF(OR(D146="UU",D146="FT",D146="WE",E146="Ferien"),0,
IF(D146="NR",SUM(IF(B146&gt;=_xlfn.NUMBERVALUE('ZD Vorerfassung'!$C$22:$C$36),1,0)*IF(B146&lt;=_xlfn.NUMBERVALUE('ZD Vorerfassung'!$D$22:$D$36),1,0)*'ZD Vorerfassung'!$W$22:$W$36),
IF(OR(D146="SF",D146="FH"),SUM(IF(B146&gt;=_xlfn.NUMBERVALUE('ZD Vorerfassung'!$C$22:$C$36),1,0)*IF(B146&lt;=_xlfn.NUMBERVALUE('ZD Vorerfassung'!$D$22:$D$36),1,0)*'ZD Vorerfassung'!$X$22:$X$36*IF(D146="FH",0.5,1)),
"prüfen")))</f>
        <v>0</v>
      </c>
      <c r="AY146" s="110">
        <f t="array" ref="AY146">IF(OR(D146="UU",D146="FT",D146="WE",E146="Ferien"),0,
IF(D146="NR",SUM(IF(B146&gt;=_xlfn.NUMBERVALUE('ZD Vorerfassung'!$C$22:$C$36),1,0)*IF(B146&lt;=_xlfn.NUMBERVALUE('ZD Vorerfassung'!$D$22:$D$36),1,0)*'ZD Vorerfassung'!$U$22:$U$36),
IF(OR(D146="SF",D146="FH"),SUM(IF(B146&gt;=_xlfn.NUMBERVALUE('ZD Vorerfassung'!$C$22:$C$36),1,0)*IF(B146&lt;=_xlfn.NUMBERVALUE('ZD Vorerfassung'!$D$22:$D$36),1,0)*'ZD Vorerfassung'!$V$22:$V$36*IF(D146="FH",0.5,1)),
"prüfen")))</f>
        <v>0</v>
      </c>
      <c r="AZ146" s="110">
        <f t="array" ref="AZ146">IF(OR(D146="UU",D146="FT",D146="WE",E146="Ferien"),0,
IF(D146="NR",SUM(IF(B146&gt;=_xlfn.NUMBERVALUE('ZD Vorerfassung'!$C$22:$C$36),1,0)*IF(B146&lt;=_xlfn.NUMBERVALUE('ZD Vorerfassung'!$D$22:$D$36),1,0)*'ZD Vorerfassung'!$S$22:$S$36),
IF(OR(D146="SF",D146="FH"),SUM(IF(B146&gt;=_xlfn.NUMBERVALUE('ZD Vorerfassung'!$C$22:$C$36),1,0)*IF(B146&lt;=_xlfn.NUMBERVALUE('ZD Vorerfassung'!$D$22:$D$36),1,0)*'ZD Vorerfassung'!$T$22:$T$36*IF(D146="FH",0.5,1)),
"prüfen")))</f>
        <v>0</v>
      </c>
      <c r="BA146" s="112">
        <f t="shared" si="32"/>
        <v>12</v>
      </c>
    </row>
    <row r="147" spans="2:53" ht="19.5" thickTop="1" thickBot="1" x14ac:dyDescent="0.3">
      <c r="B147" s="99">
        <f t="shared" si="29"/>
        <v>44912</v>
      </c>
      <c r="C147" s="100">
        <f t="shared" si="33"/>
        <v>44912</v>
      </c>
      <c r="D147" s="101" t="str">
        <f t="shared" si="34"/>
        <v>NR</v>
      </c>
      <c r="E147" s="102" t="str">
        <f t="shared" si="30"/>
        <v>Unterrichtstag</v>
      </c>
      <c r="F147" s="103">
        <f t="shared" si="35"/>
        <v>0</v>
      </c>
      <c r="G147" s="104">
        <f t="shared" si="36"/>
        <v>0</v>
      </c>
      <c r="H147" s="104">
        <f>IFERROR(IF('ZD Vorerfassung'!$E$11="manuell",SUM(I147),IF(OR(E147="Feiertag",E147="Wochenende"),0,IF('ZD Vorerfassung'!$E$11="automatisch",AX147,IF(D147="UU","UU",IF(E147=Param2,AX147/24,IF(E147=Param9,AX147/48,"")))))),0)</f>
        <v>0</v>
      </c>
      <c r="I147" s="105"/>
      <c r="J147" s="106">
        <f>IF('ZD Vorerfassung'!$E$12="manuell",SUM(K147:AI147),IF(OR(E147="Feiertag",E147="Wochenende"),0,IF('ZD Vorerfassung'!$E$12="automatisch",AY147,IF(D147="UU","UU",IF(E147=Param2,AY147/24,IF(E147=Param9,AY147/48,""))))))</f>
        <v>0</v>
      </c>
      <c r="K147" s="105"/>
      <c r="L147" s="105"/>
      <c r="M147" s="105"/>
      <c r="N147" s="105"/>
      <c r="O147" s="105"/>
      <c r="P147" s="105"/>
      <c r="Q147" s="105"/>
      <c r="R147" s="105"/>
      <c r="S147" s="105"/>
      <c r="T147" s="105"/>
      <c r="U147" s="105"/>
      <c r="V147" s="105"/>
      <c r="W147" s="105"/>
      <c r="X147" s="105"/>
      <c r="Y147" s="105"/>
      <c r="Z147" s="105"/>
      <c r="AA147" s="105"/>
      <c r="AB147" s="105"/>
      <c r="AC147" s="105"/>
      <c r="AD147" s="105"/>
      <c r="AE147" s="105"/>
      <c r="AF147" s="105"/>
      <c r="AG147" s="105"/>
      <c r="AH147" s="105"/>
      <c r="AI147" s="105"/>
      <c r="AJ147" s="107">
        <f t="shared" si="37"/>
        <v>0</v>
      </c>
      <c r="AK147" s="105"/>
      <c r="AL147" s="105"/>
      <c r="AM147" s="105"/>
      <c r="AN147" s="105"/>
      <c r="AO147" s="105"/>
      <c r="AP147" s="105"/>
      <c r="AQ147" s="108">
        <f t="shared" si="38"/>
        <v>0</v>
      </c>
      <c r="AR147" s="108">
        <f t="shared" si="39"/>
        <v>0</v>
      </c>
      <c r="AS147" s="109">
        <f t="shared" si="40"/>
        <v>0</v>
      </c>
      <c r="AU147" s="110">
        <f t="shared" si="31"/>
        <v>0</v>
      </c>
      <c r="AV147" s="111">
        <f>IF(D147="NR",
IF('ZD Vorerfassung'!$E$22="",0,IF(AND(B147&gt;='ZD Vorerfassung'!$C$22,B147&lt;='ZD Vorerfassung'!$D$22),HLOOKUP(TEXT(C147,"ttt"),'ZD Vorerfassung'!$H$21:$L$36,2,0),0))+
IF('ZD Vorerfassung'!$E$23="",0,IF(AND(B147&gt;='ZD Vorerfassung'!$C$23,B147&lt;='ZD Vorerfassung'!$D$23),HLOOKUP(TEXT(C147,"ttt"),'ZD Vorerfassung'!$H$21:$L$36,3,0),0))+
IF('ZD Vorerfassung'!$E$24="",0,IF(AND(B147&gt;='ZD Vorerfassung'!$C$24,B147&lt;='ZD Vorerfassung'!$D$24),HLOOKUP(TEXT(C147,"ttt"),'ZD Vorerfassung'!$H$21:$L$36,4,0),0))+
IF('ZD Vorerfassung'!$E$25="",0,IF(AND(B147&gt;='ZD Vorerfassung'!$C$25,B147&lt;='ZD Vorerfassung'!$D$25),HLOOKUP(TEXT(C147,"ttt"),'ZD Vorerfassung'!$H$21:$L$36,5,0),0))+
IF('ZD Vorerfassung'!$E$26="",0,IF(AND(B147&gt;='ZD Vorerfassung'!$C$26,B147&lt;='ZD Vorerfassung'!$D$26),HLOOKUP(TEXT(C147,"ttt"),'ZD Vorerfassung'!$H$21:$L$36,6,0),0))+
IF('ZD Vorerfassung'!$E$27="",0,IF(AND(B147&gt;='ZD Vorerfassung'!$C$27,B147&lt;='ZD Vorerfassung'!$D$27),HLOOKUP(TEXT(C147,"ttt"),'ZD Vorerfassung'!$H$21:$L$36,7,0),0))+
IF('ZD Vorerfassung'!$E$28="",0,IF(AND(B147&gt;='ZD Vorerfassung'!$C$28,B147&lt;='ZD Vorerfassung'!$D$28),HLOOKUP(TEXT(C147,"ttt"),'ZD Vorerfassung'!$H$21:$L$36,8,0),0))+
IF('ZD Vorerfassung'!$E$29="",0,IF(AND(B147&gt;='ZD Vorerfassung'!$C$29,B147&lt;='ZD Vorerfassung'!$D$29),HLOOKUP(TEXT(C147,"ttt"),'ZD Vorerfassung'!$H$21:$L$36,9,0),0))+
IF('ZD Vorerfassung'!$E$30="",0,IF(AND(B147&gt;='ZD Vorerfassung'!$C$30,B147&lt;='ZD Vorerfassung'!$D$30),HLOOKUP(TEXT(C147,"ttt"),'ZD Vorerfassung'!$H$21:$L$36,10,0),0))+
IF('ZD Vorerfassung'!$E$31="",0,IF(AND(B147&gt;='ZD Vorerfassung'!$C$31,B147&lt;='ZD Vorerfassung'!$D$31),HLOOKUP(TEXT(C147,"ttt"),'ZD Vorerfassung'!$H$21:$L$36,11,0),0))+
IF('ZD Vorerfassung'!$E$32="",0,IF(AND(B147&gt;='ZD Vorerfassung'!$C$32,B147&lt;='ZD Vorerfassung'!$D$32),HLOOKUP(TEXT(C147,"ttt"),'ZD Vorerfassung'!$H$21:$L$36,12,0),0))+
IF('ZD Vorerfassung'!$E$33="",0,IF(AND(B147&gt;='ZD Vorerfassung'!$C$33,B147&lt;='ZD Vorerfassung'!$D$33),HLOOKUP(TEXT(C147,"ttt"),'ZD Vorerfassung'!$H$21:$L$36,13,0),0))+
IF('ZD Vorerfassung'!$E$34="",0,IF(AND(B147&gt;='ZD Vorerfassung'!$C$34,B147&lt;='ZD Vorerfassung'!$D$34),HLOOKUP(TEXT(C147,"ttt"),'ZD Vorerfassung'!$H$21:$L$36,14,0),0))+
IF('ZD Vorerfassung'!$E$35="",0,IF(AND(B147&gt;='ZD Vorerfassung'!$C$35,B147&lt;='ZD Vorerfassung'!$D$35),HLOOKUP(TEXT(C147,"ttt"),'ZD Vorerfassung'!$H$21:$L$36,15,0),0))+
IF('ZD Vorerfassung'!$E$36="",0,IF(AND(B147&gt;='ZD Vorerfassung'!$C$36,B147&lt;='ZD Vorerfassung'!$D$36),HLOOKUP(TEXT(C147,"ttt"),'ZD Vorerfassung'!$H$21:$L$36,16,0),0)),"")</f>
        <v>0</v>
      </c>
      <c r="AW147" s="110">
        <f t="array" ref="AW147">IF(OR(D147="UU",D147="FT",D147="WE"),0,
IF(D147="NR",SUM(IF(B147&gt;=_xlfn.NUMBERVALUE('ZD Vorerfassung'!$C$22:$C$36),1,0)*IF(B147&lt;=_xlfn.NUMBERVALUE('ZD Vorerfassung'!$D$22:$D$36),1,0)*'ZD Vorerfassung'!$Q$22:$Q$36),
IF(OR(D147="SF",D147="FH"),SUM(IF(B147&gt;=_xlfn.NUMBERVALUE('ZD Vorerfassung'!$C$22:$C$36),1,0)*IF(B147&lt;=_xlfn.NUMBERVALUE('ZD Vorerfassung'!$D$22:$D$36),1,0)*'ZD Vorerfassung'!$R$22:$R$36*IF(D147="FH",0.5,1)),
"prüfen")))</f>
        <v>0</v>
      </c>
      <c r="AX147" s="110">
        <f t="array" ref="AX147">IF(OR(D147="UU",D147="FT",D147="WE",E147="Ferien"),0,
IF(D147="NR",SUM(IF(B147&gt;=_xlfn.NUMBERVALUE('ZD Vorerfassung'!$C$22:$C$36),1,0)*IF(B147&lt;=_xlfn.NUMBERVALUE('ZD Vorerfassung'!$D$22:$D$36),1,0)*'ZD Vorerfassung'!$W$22:$W$36),
IF(OR(D147="SF",D147="FH"),SUM(IF(B147&gt;=_xlfn.NUMBERVALUE('ZD Vorerfassung'!$C$22:$C$36),1,0)*IF(B147&lt;=_xlfn.NUMBERVALUE('ZD Vorerfassung'!$D$22:$D$36),1,0)*'ZD Vorerfassung'!$X$22:$X$36*IF(D147="FH",0.5,1)),
"prüfen")))</f>
        <v>0</v>
      </c>
      <c r="AY147" s="110">
        <f t="array" ref="AY147">IF(OR(D147="UU",D147="FT",D147="WE",E147="Ferien"),0,
IF(D147="NR",SUM(IF(B147&gt;=_xlfn.NUMBERVALUE('ZD Vorerfassung'!$C$22:$C$36),1,0)*IF(B147&lt;=_xlfn.NUMBERVALUE('ZD Vorerfassung'!$D$22:$D$36),1,0)*'ZD Vorerfassung'!$U$22:$U$36),
IF(OR(D147="SF",D147="FH"),SUM(IF(B147&gt;=_xlfn.NUMBERVALUE('ZD Vorerfassung'!$C$22:$C$36),1,0)*IF(B147&lt;=_xlfn.NUMBERVALUE('ZD Vorerfassung'!$D$22:$D$36),1,0)*'ZD Vorerfassung'!$V$22:$V$36*IF(D147="FH",0.5,1)),
"prüfen")))</f>
        <v>0</v>
      </c>
      <c r="AZ147" s="110">
        <f t="array" ref="AZ147">IF(OR(D147="UU",D147="FT",D147="WE",E147="Ferien"),0,
IF(D147="NR",SUM(IF(B147&gt;=_xlfn.NUMBERVALUE('ZD Vorerfassung'!$C$22:$C$36),1,0)*IF(B147&lt;=_xlfn.NUMBERVALUE('ZD Vorerfassung'!$D$22:$D$36),1,0)*'ZD Vorerfassung'!$S$22:$S$36),
IF(OR(D147="SF",D147="FH"),SUM(IF(B147&gt;=_xlfn.NUMBERVALUE('ZD Vorerfassung'!$C$22:$C$36),1,0)*IF(B147&lt;=_xlfn.NUMBERVALUE('ZD Vorerfassung'!$D$22:$D$36),1,0)*'ZD Vorerfassung'!$T$22:$T$36*IF(D147="FH",0.5,1)),
"prüfen")))</f>
        <v>0</v>
      </c>
      <c r="BA147" s="112">
        <f t="shared" si="32"/>
        <v>12</v>
      </c>
    </row>
    <row r="148" spans="2:53" ht="19.5" thickTop="1" thickBot="1" x14ac:dyDescent="0.3">
      <c r="B148" s="99">
        <f t="shared" si="29"/>
        <v>44913</v>
      </c>
      <c r="C148" s="100">
        <f t="shared" si="33"/>
        <v>44913</v>
      </c>
      <c r="D148" s="101" t="str">
        <f t="shared" si="34"/>
        <v>WE</v>
      </c>
      <c r="E148" s="102" t="str">
        <f t="shared" si="30"/>
        <v>Wochenende</v>
      </c>
      <c r="F148" s="103" t="str">
        <f t="shared" si="35"/>
        <v/>
      </c>
      <c r="G148" s="104" t="str">
        <f t="shared" si="36"/>
        <v/>
      </c>
      <c r="H148" s="104">
        <f>IFERROR(IF('ZD Vorerfassung'!$E$11="manuell",SUM(I148),IF(OR(E148="Feiertag",E148="Wochenende"),0,IF('ZD Vorerfassung'!$E$11="automatisch",AX148,IF(D148="UU","UU",IF(E148=Param2,AX148/24,IF(E148=Param9,AX148/48,"")))))),0)</f>
        <v>0</v>
      </c>
      <c r="I148" s="105"/>
      <c r="J148" s="106">
        <f>IF('ZD Vorerfassung'!$E$12="manuell",SUM(K148:AI148),IF(OR(E148="Feiertag",E148="Wochenende"),0,IF('ZD Vorerfassung'!$E$12="automatisch",AY148,IF(D148="UU","UU",IF(E148=Param2,AY148/24,IF(E148=Param9,AY148/48,""))))))</f>
        <v>0</v>
      </c>
      <c r="K148" s="105"/>
      <c r="L148" s="105"/>
      <c r="M148" s="105"/>
      <c r="N148" s="105"/>
      <c r="O148" s="105"/>
      <c r="P148" s="105"/>
      <c r="Q148" s="105"/>
      <c r="R148" s="105"/>
      <c r="S148" s="105"/>
      <c r="T148" s="105"/>
      <c r="U148" s="105"/>
      <c r="V148" s="105"/>
      <c r="W148" s="105"/>
      <c r="X148" s="105"/>
      <c r="Y148" s="105"/>
      <c r="Z148" s="105"/>
      <c r="AA148" s="105"/>
      <c r="AB148" s="105"/>
      <c r="AC148" s="105"/>
      <c r="AD148" s="105"/>
      <c r="AE148" s="105"/>
      <c r="AF148" s="105"/>
      <c r="AG148" s="105"/>
      <c r="AH148" s="105"/>
      <c r="AI148" s="105"/>
      <c r="AJ148" s="107">
        <f t="shared" si="37"/>
        <v>0</v>
      </c>
      <c r="AK148" s="105"/>
      <c r="AL148" s="105"/>
      <c r="AM148" s="105"/>
      <c r="AN148" s="105"/>
      <c r="AO148" s="105"/>
      <c r="AP148" s="105"/>
      <c r="AQ148" s="108">
        <f t="shared" si="38"/>
        <v>0</v>
      </c>
      <c r="AR148" s="108">
        <f t="shared" si="39"/>
        <v>0</v>
      </c>
      <c r="AS148" s="109">
        <f t="shared" si="40"/>
        <v>0</v>
      </c>
      <c r="AU148" s="110">
        <f t="shared" si="31"/>
        <v>0</v>
      </c>
      <c r="AV148" s="111" t="str">
        <f>IF(D148="NR",
IF('ZD Vorerfassung'!$E$22="",0,IF(AND(B148&gt;='ZD Vorerfassung'!$C$22,B148&lt;='ZD Vorerfassung'!$D$22),HLOOKUP(TEXT(C148,"ttt"),'ZD Vorerfassung'!$H$21:$L$36,2,0),0))+
IF('ZD Vorerfassung'!$E$23="",0,IF(AND(B148&gt;='ZD Vorerfassung'!$C$23,B148&lt;='ZD Vorerfassung'!$D$23),HLOOKUP(TEXT(C148,"ttt"),'ZD Vorerfassung'!$H$21:$L$36,3,0),0))+
IF('ZD Vorerfassung'!$E$24="",0,IF(AND(B148&gt;='ZD Vorerfassung'!$C$24,B148&lt;='ZD Vorerfassung'!$D$24),HLOOKUP(TEXT(C148,"ttt"),'ZD Vorerfassung'!$H$21:$L$36,4,0),0))+
IF('ZD Vorerfassung'!$E$25="",0,IF(AND(B148&gt;='ZD Vorerfassung'!$C$25,B148&lt;='ZD Vorerfassung'!$D$25),HLOOKUP(TEXT(C148,"ttt"),'ZD Vorerfassung'!$H$21:$L$36,5,0),0))+
IF('ZD Vorerfassung'!$E$26="",0,IF(AND(B148&gt;='ZD Vorerfassung'!$C$26,B148&lt;='ZD Vorerfassung'!$D$26),HLOOKUP(TEXT(C148,"ttt"),'ZD Vorerfassung'!$H$21:$L$36,6,0),0))+
IF('ZD Vorerfassung'!$E$27="",0,IF(AND(B148&gt;='ZD Vorerfassung'!$C$27,B148&lt;='ZD Vorerfassung'!$D$27),HLOOKUP(TEXT(C148,"ttt"),'ZD Vorerfassung'!$H$21:$L$36,7,0),0))+
IF('ZD Vorerfassung'!$E$28="",0,IF(AND(B148&gt;='ZD Vorerfassung'!$C$28,B148&lt;='ZD Vorerfassung'!$D$28),HLOOKUP(TEXT(C148,"ttt"),'ZD Vorerfassung'!$H$21:$L$36,8,0),0))+
IF('ZD Vorerfassung'!$E$29="",0,IF(AND(B148&gt;='ZD Vorerfassung'!$C$29,B148&lt;='ZD Vorerfassung'!$D$29),HLOOKUP(TEXT(C148,"ttt"),'ZD Vorerfassung'!$H$21:$L$36,9,0),0))+
IF('ZD Vorerfassung'!$E$30="",0,IF(AND(B148&gt;='ZD Vorerfassung'!$C$30,B148&lt;='ZD Vorerfassung'!$D$30),HLOOKUP(TEXT(C148,"ttt"),'ZD Vorerfassung'!$H$21:$L$36,10,0),0))+
IF('ZD Vorerfassung'!$E$31="",0,IF(AND(B148&gt;='ZD Vorerfassung'!$C$31,B148&lt;='ZD Vorerfassung'!$D$31),HLOOKUP(TEXT(C148,"ttt"),'ZD Vorerfassung'!$H$21:$L$36,11,0),0))+
IF('ZD Vorerfassung'!$E$32="",0,IF(AND(B148&gt;='ZD Vorerfassung'!$C$32,B148&lt;='ZD Vorerfassung'!$D$32),HLOOKUP(TEXT(C148,"ttt"),'ZD Vorerfassung'!$H$21:$L$36,12,0),0))+
IF('ZD Vorerfassung'!$E$33="",0,IF(AND(B148&gt;='ZD Vorerfassung'!$C$33,B148&lt;='ZD Vorerfassung'!$D$33),HLOOKUP(TEXT(C148,"ttt"),'ZD Vorerfassung'!$H$21:$L$36,13,0),0))+
IF('ZD Vorerfassung'!$E$34="",0,IF(AND(B148&gt;='ZD Vorerfassung'!$C$34,B148&lt;='ZD Vorerfassung'!$D$34),HLOOKUP(TEXT(C148,"ttt"),'ZD Vorerfassung'!$H$21:$L$36,14,0),0))+
IF('ZD Vorerfassung'!$E$35="",0,IF(AND(B148&gt;='ZD Vorerfassung'!$C$35,B148&lt;='ZD Vorerfassung'!$D$35),HLOOKUP(TEXT(C148,"ttt"),'ZD Vorerfassung'!$H$21:$L$36,15,0),0))+
IF('ZD Vorerfassung'!$E$36="",0,IF(AND(B148&gt;='ZD Vorerfassung'!$C$36,B148&lt;='ZD Vorerfassung'!$D$36),HLOOKUP(TEXT(C148,"ttt"),'ZD Vorerfassung'!$H$21:$L$36,16,0),0)),"")</f>
        <v/>
      </c>
      <c r="AW148" s="110">
        <f t="array" ref="AW148">IF(OR(D148="UU",D148="FT",D148="WE"),0,
IF(D148="NR",SUM(IF(B148&gt;=_xlfn.NUMBERVALUE('ZD Vorerfassung'!$C$22:$C$36),1,0)*IF(B148&lt;=_xlfn.NUMBERVALUE('ZD Vorerfassung'!$D$22:$D$36),1,0)*'ZD Vorerfassung'!$Q$22:$Q$36),
IF(OR(D148="SF",D148="FH"),SUM(IF(B148&gt;=_xlfn.NUMBERVALUE('ZD Vorerfassung'!$C$22:$C$36),1,0)*IF(B148&lt;=_xlfn.NUMBERVALUE('ZD Vorerfassung'!$D$22:$D$36),1,0)*'ZD Vorerfassung'!$R$22:$R$36*IF(D148="FH",0.5,1)),
"prüfen")))</f>
        <v>0</v>
      </c>
      <c r="AX148" s="110">
        <f t="array" ref="AX148">IF(OR(D148="UU",D148="FT",D148="WE",E148="Ferien"),0,
IF(D148="NR",SUM(IF(B148&gt;=_xlfn.NUMBERVALUE('ZD Vorerfassung'!$C$22:$C$36),1,0)*IF(B148&lt;=_xlfn.NUMBERVALUE('ZD Vorerfassung'!$D$22:$D$36),1,0)*'ZD Vorerfassung'!$W$22:$W$36),
IF(OR(D148="SF",D148="FH"),SUM(IF(B148&gt;=_xlfn.NUMBERVALUE('ZD Vorerfassung'!$C$22:$C$36),1,0)*IF(B148&lt;=_xlfn.NUMBERVALUE('ZD Vorerfassung'!$D$22:$D$36),1,0)*'ZD Vorerfassung'!$X$22:$X$36*IF(D148="FH",0.5,1)),
"prüfen")))</f>
        <v>0</v>
      </c>
      <c r="AY148" s="110">
        <f t="array" ref="AY148">IF(OR(D148="UU",D148="FT",D148="WE",E148="Ferien"),0,
IF(D148="NR",SUM(IF(B148&gt;=_xlfn.NUMBERVALUE('ZD Vorerfassung'!$C$22:$C$36),1,0)*IF(B148&lt;=_xlfn.NUMBERVALUE('ZD Vorerfassung'!$D$22:$D$36),1,0)*'ZD Vorerfassung'!$U$22:$U$36),
IF(OR(D148="SF",D148="FH"),SUM(IF(B148&gt;=_xlfn.NUMBERVALUE('ZD Vorerfassung'!$C$22:$C$36),1,0)*IF(B148&lt;=_xlfn.NUMBERVALUE('ZD Vorerfassung'!$D$22:$D$36),1,0)*'ZD Vorerfassung'!$V$22:$V$36*IF(D148="FH",0.5,1)),
"prüfen")))</f>
        <v>0</v>
      </c>
      <c r="AZ148" s="110">
        <f t="array" ref="AZ148">IF(OR(D148="UU",D148="FT",D148="WE",E148="Ferien"),0,
IF(D148="NR",SUM(IF(B148&gt;=_xlfn.NUMBERVALUE('ZD Vorerfassung'!$C$22:$C$36),1,0)*IF(B148&lt;=_xlfn.NUMBERVALUE('ZD Vorerfassung'!$D$22:$D$36),1,0)*'ZD Vorerfassung'!$S$22:$S$36),
IF(OR(D148="SF",D148="FH"),SUM(IF(B148&gt;=_xlfn.NUMBERVALUE('ZD Vorerfassung'!$C$22:$C$36),1,0)*IF(B148&lt;=_xlfn.NUMBERVALUE('ZD Vorerfassung'!$D$22:$D$36),1,0)*'ZD Vorerfassung'!$T$22:$T$36*IF(D148="FH",0.5,1)),
"prüfen")))</f>
        <v>0</v>
      </c>
      <c r="BA148" s="112">
        <f t="shared" si="32"/>
        <v>12</v>
      </c>
    </row>
    <row r="149" spans="2:53" ht="19.5" thickTop="1" thickBot="1" x14ac:dyDescent="0.3">
      <c r="B149" s="99">
        <f t="shared" si="29"/>
        <v>44914</v>
      </c>
      <c r="C149" s="100">
        <f t="shared" si="33"/>
        <v>44914</v>
      </c>
      <c r="D149" s="101" t="str">
        <f t="shared" si="34"/>
        <v>WE</v>
      </c>
      <c r="E149" s="102" t="str">
        <f t="shared" si="30"/>
        <v>Wochenende</v>
      </c>
      <c r="F149" s="103" t="str">
        <f t="shared" si="35"/>
        <v/>
      </c>
      <c r="G149" s="104" t="str">
        <f t="shared" si="36"/>
        <v/>
      </c>
      <c r="H149" s="104">
        <f>IFERROR(IF('ZD Vorerfassung'!$E$11="manuell",SUM(I149),IF(OR(E149="Feiertag",E149="Wochenende"),0,IF('ZD Vorerfassung'!$E$11="automatisch",AX149,IF(D149="UU","UU",IF(E149=Param2,AX149/24,IF(E149=Param9,AX149/48,"")))))),0)</f>
        <v>0</v>
      </c>
      <c r="I149" s="105"/>
      <c r="J149" s="106">
        <f>IF('ZD Vorerfassung'!$E$12="manuell",SUM(K149:AI149),IF(OR(E149="Feiertag",E149="Wochenende"),0,IF('ZD Vorerfassung'!$E$12="automatisch",AY149,IF(D149="UU","UU",IF(E149=Param2,AY149/24,IF(E149=Param9,AY149/48,""))))))</f>
        <v>0</v>
      </c>
      <c r="K149" s="105"/>
      <c r="L149" s="105"/>
      <c r="M149" s="105"/>
      <c r="N149" s="105"/>
      <c r="O149" s="105"/>
      <c r="P149" s="105"/>
      <c r="Q149" s="105"/>
      <c r="R149" s="105"/>
      <c r="S149" s="105"/>
      <c r="T149" s="105"/>
      <c r="U149" s="105"/>
      <c r="V149" s="105"/>
      <c r="W149" s="105"/>
      <c r="X149" s="105"/>
      <c r="Y149" s="105"/>
      <c r="Z149" s="105"/>
      <c r="AA149" s="105"/>
      <c r="AB149" s="105"/>
      <c r="AC149" s="105"/>
      <c r="AD149" s="105"/>
      <c r="AE149" s="105"/>
      <c r="AF149" s="105"/>
      <c r="AG149" s="105"/>
      <c r="AH149" s="105"/>
      <c r="AI149" s="105"/>
      <c r="AJ149" s="107">
        <f t="shared" si="37"/>
        <v>0</v>
      </c>
      <c r="AK149" s="105"/>
      <c r="AL149" s="105"/>
      <c r="AM149" s="105"/>
      <c r="AN149" s="105"/>
      <c r="AO149" s="105"/>
      <c r="AP149" s="105"/>
      <c r="AQ149" s="108">
        <f t="shared" si="38"/>
        <v>0</v>
      </c>
      <c r="AR149" s="108">
        <f t="shared" si="39"/>
        <v>0</v>
      </c>
      <c r="AS149" s="109">
        <f t="shared" si="40"/>
        <v>0</v>
      </c>
      <c r="AU149" s="110">
        <f t="shared" si="31"/>
        <v>0</v>
      </c>
      <c r="AV149" s="111" t="str">
        <f>IF(D149="NR",
IF('ZD Vorerfassung'!$E$22="",0,IF(AND(B149&gt;='ZD Vorerfassung'!$C$22,B149&lt;='ZD Vorerfassung'!$D$22),HLOOKUP(TEXT(C149,"ttt"),'ZD Vorerfassung'!$H$21:$L$36,2,0),0))+
IF('ZD Vorerfassung'!$E$23="",0,IF(AND(B149&gt;='ZD Vorerfassung'!$C$23,B149&lt;='ZD Vorerfassung'!$D$23),HLOOKUP(TEXT(C149,"ttt"),'ZD Vorerfassung'!$H$21:$L$36,3,0),0))+
IF('ZD Vorerfassung'!$E$24="",0,IF(AND(B149&gt;='ZD Vorerfassung'!$C$24,B149&lt;='ZD Vorerfassung'!$D$24),HLOOKUP(TEXT(C149,"ttt"),'ZD Vorerfassung'!$H$21:$L$36,4,0),0))+
IF('ZD Vorerfassung'!$E$25="",0,IF(AND(B149&gt;='ZD Vorerfassung'!$C$25,B149&lt;='ZD Vorerfassung'!$D$25),HLOOKUP(TEXT(C149,"ttt"),'ZD Vorerfassung'!$H$21:$L$36,5,0),0))+
IF('ZD Vorerfassung'!$E$26="",0,IF(AND(B149&gt;='ZD Vorerfassung'!$C$26,B149&lt;='ZD Vorerfassung'!$D$26),HLOOKUP(TEXT(C149,"ttt"),'ZD Vorerfassung'!$H$21:$L$36,6,0),0))+
IF('ZD Vorerfassung'!$E$27="",0,IF(AND(B149&gt;='ZD Vorerfassung'!$C$27,B149&lt;='ZD Vorerfassung'!$D$27),HLOOKUP(TEXT(C149,"ttt"),'ZD Vorerfassung'!$H$21:$L$36,7,0),0))+
IF('ZD Vorerfassung'!$E$28="",0,IF(AND(B149&gt;='ZD Vorerfassung'!$C$28,B149&lt;='ZD Vorerfassung'!$D$28),HLOOKUP(TEXT(C149,"ttt"),'ZD Vorerfassung'!$H$21:$L$36,8,0),0))+
IF('ZD Vorerfassung'!$E$29="",0,IF(AND(B149&gt;='ZD Vorerfassung'!$C$29,B149&lt;='ZD Vorerfassung'!$D$29),HLOOKUP(TEXT(C149,"ttt"),'ZD Vorerfassung'!$H$21:$L$36,9,0),0))+
IF('ZD Vorerfassung'!$E$30="",0,IF(AND(B149&gt;='ZD Vorerfassung'!$C$30,B149&lt;='ZD Vorerfassung'!$D$30),HLOOKUP(TEXT(C149,"ttt"),'ZD Vorerfassung'!$H$21:$L$36,10,0),0))+
IF('ZD Vorerfassung'!$E$31="",0,IF(AND(B149&gt;='ZD Vorerfassung'!$C$31,B149&lt;='ZD Vorerfassung'!$D$31),HLOOKUP(TEXT(C149,"ttt"),'ZD Vorerfassung'!$H$21:$L$36,11,0),0))+
IF('ZD Vorerfassung'!$E$32="",0,IF(AND(B149&gt;='ZD Vorerfassung'!$C$32,B149&lt;='ZD Vorerfassung'!$D$32),HLOOKUP(TEXT(C149,"ttt"),'ZD Vorerfassung'!$H$21:$L$36,12,0),0))+
IF('ZD Vorerfassung'!$E$33="",0,IF(AND(B149&gt;='ZD Vorerfassung'!$C$33,B149&lt;='ZD Vorerfassung'!$D$33),HLOOKUP(TEXT(C149,"ttt"),'ZD Vorerfassung'!$H$21:$L$36,13,0),0))+
IF('ZD Vorerfassung'!$E$34="",0,IF(AND(B149&gt;='ZD Vorerfassung'!$C$34,B149&lt;='ZD Vorerfassung'!$D$34),HLOOKUP(TEXT(C149,"ttt"),'ZD Vorerfassung'!$H$21:$L$36,14,0),0))+
IF('ZD Vorerfassung'!$E$35="",0,IF(AND(B149&gt;='ZD Vorerfassung'!$C$35,B149&lt;='ZD Vorerfassung'!$D$35),HLOOKUP(TEXT(C149,"ttt"),'ZD Vorerfassung'!$H$21:$L$36,15,0),0))+
IF('ZD Vorerfassung'!$E$36="",0,IF(AND(B149&gt;='ZD Vorerfassung'!$C$36,B149&lt;='ZD Vorerfassung'!$D$36),HLOOKUP(TEXT(C149,"ttt"),'ZD Vorerfassung'!$H$21:$L$36,16,0),0)),"")</f>
        <v/>
      </c>
      <c r="AW149" s="110">
        <f t="array" ref="AW149">IF(OR(D149="UU",D149="FT",D149="WE"),0,
IF(D149="NR",SUM(IF(B149&gt;=_xlfn.NUMBERVALUE('ZD Vorerfassung'!$C$22:$C$36),1,0)*IF(B149&lt;=_xlfn.NUMBERVALUE('ZD Vorerfassung'!$D$22:$D$36),1,0)*'ZD Vorerfassung'!$Q$22:$Q$36),
IF(OR(D149="SF",D149="FH"),SUM(IF(B149&gt;=_xlfn.NUMBERVALUE('ZD Vorerfassung'!$C$22:$C$36),1,0)*IF(B149&lt;=_xlfn.NUMBERVALUE('ZD Vorerfassung'!$D$22:$D$36),1,0)*'ZD Vorerfassung'!$R$22:$R$36*IF(D149="FH",0.5,1)),
"prüfen")))</f>
        <v>0</v>
      </c>
      <c r="AX149" s="110">
        <f t="array" ref="AX149">IF(OR(D149="UU",D149="FT",D149="WE",E149="Ferien"),0,
IF(D149="NR",SUM(IF(B149&gt;=_xlfn.NUMBERVALUE('ZD Vorerfassung'!$C$22:$C$36),1,0)*IF(B149&lt;=_xlfn.NUMBERVALUE('ZD Vorerfassung'!$D$22:$D$36),1,0)*'ZD Vorerfassung'!$W$22:$W$36),
IF(OR(D149="SF",D149="FH"),SUM(IF(B149&gt;=_xlfn.NUMBERVALUE('ZD Vorerfassung'!$C$22:$C$36),1,0)*IF(B149&lt;=_xlfn.NUMBERVALUE('ZD Vorerfassung'!$D$22:$D$36),1,0)*'ZD Vorerfassung'!$X$22:$X$36*IF(D149="FH",0.5,1)),
"prüfen")))</f>
        <v>0</v>
      </c>
      <c r="AY149" s="110">
        <f t="array" ref="AY149">IF(OR(D149="UU",D149="FT",D149="WE",E149="Ferien"),0,
IF(D149="NR",SUM(IF(B149&gt;=_xlfn.NUMBERVALUE('ZD Vorerfassung'!$C$22:$C$36),1,0)*IF(B149&lt;=_xlfn.NUMBERVALUE('ZD Vorerfassung'!$D$22:$D$36),1,0)*'ZD Vorerfassung'!$U$22:$U$36),
IF(OR(D149="SF",D149="FH"),SUM(IF(B149&gt;=_xlfn.NUMBERVALUE('ZD Vorerfassung'!$C$22:$C$36),1,0)*IF(B149&lt;=_xlfn.NUMBERVALUE('ZD Vorerfassung'!$D$22:$D$36),1,0)*'ZD Vorerfassung'!$V$22:$V$36*IF(D149="FH",0.5,1)),
"prüfen")))</f>
        <v>0</v>
      </c>
      <c r="AZ149" s="110">
        <f t="array" ref="AZ149">IF(OR(D149="UU",D149="FT",D149="WE",E149="Ferien"),0,
IF(D149="NR",SUM(IF(B149&gt;=_xlfn.NUMBERVALUE('ZD Vorerfassung'!$C$22:$C$36),1,0)*IF(B149&lt;=_xlfn.NUMBERVALUE('ZD Vorerfassung'!$D$22:$D$36),1,0)*'ZD Vorerfassung'!$S$22:$S$36),
IF(OR(D149="SF",D149="FH"),SUM(IF(B149&gt;=_xlfn.NUMBERVALUE('ZD Vorerfassung'!$C$22:$C$36),1,0)*IF(B149&lt;=_xlfn.NUMBERVALUE('ZD Vorerfassung'!$D$22:$D$36),1,0)*'ZD Vorerfassung'!$T$22:$T$36*IF(D149="FH",0.5,1)),
"prüfen")))</f>
        <v>0</v>
      </c>
      <c r="BA149" s="112">
        <f t="shared" si="32"/>
        <v>12</v>
      </c>
    </row>
    <row r="150" spans="2:53" ht="19.5" thickTop="1" thickBot="1" x14ac:dyDescent="0.3">
      <c r="B150" s="99">
        <f t="shared" si="29"/>
        <v>44915</v>
      </c>
      <c r="C150" s="100">
        <f t="shared" si="33"/>
        <v>44915</v>
      </c>
      <c r="D150" s="101" t="str">
        <f t="shared" si="34"/>
        <v>SF</v>
      </c>
      <c r="E150" s="102" t="str">
        <f t="shared" si="30"/>
        <v>unterrichtsfreie Arbeitszeit</v>
      </c>
      <c r="F150" s="103" t="str">
        <f t="shared" si="35"/>
        <v/>
      </c>
      <c r="G150" s="104" t="str">
        <f t="shared" si="36"/>
        <v/>
      </c>
      <c r="H150" s="104">
        <f>IFERROR(IF('ZD Vorerfassung'!$E$11="manuell",SUM(I150),IF(OR(E150="Feiertag",E150="Wochenende"),0,IF('ZD Vorerfassung'!$E$11="automatisch",AX150,IF(D150="UU","UU",IF(E150=Param2,AX150/24,IF(E150=Param9,AX150/48,"")))))),0)</f>
        <v>0</v>
      </c>
      <c r="I150" s="105"/>
      <c r="J150" s="106">
        <f>IF('ZD Vorerfassung'!$E$12="manuell",SUM(K150:AI150),IF(OR(E150="Feiertag",E150="Wochenende"),0,IF('ZD Vorerfassung'!$E$12="automatisch",AY150,IF(D150="UU","UU",IF(E150=Param2,AY150/24,IF(E150=Param9,AY150/48,""))))))</f>
        <v>0</v>
      </c>
      <c r="K150" s="105"/>
      <c r="L150" s="105"/>
      <c r="M150" s="105"/>
      <c r="N150" s="105"/>
      <c r="O150" s="105"/>
      <c r="P150" s="105"/>
      <c r="Q150" s="105"/>
      <c r="R150" s="105"/>
      <c r="S150" s="105"/>
      <c r="T150" s="105"/>
      <c r="U150" s="105"/>
      <c r="V150" s="105"/>
      <c r="W150" s="105"/>
      <c r="X150" s="105"/>
      <c r="Y150" s="105"/>
      <c r="Z150" s="105"/>
      <c r="AA150" s="105"/>
      <c r="AB150" s="105"/>
      <c r="AC150" s="105"/>
      <c r="AD150" s="105"/>
      <c r="AE150" s="105"/>
      <c r="AF150" s="105"/>
      <c r="AG150" s="105"/>
      <c r="AH150" s="105"/>
      <c r="AI150" s="105"/>
      <c r="AJ150" s="107">
        <f t="shared" si="37"/>
        <v>0</v>
      </c>
      <c r="AK150" s="105"/>
      <c r="AL150" s="105"/>
      <c r="AM150" s="105"/>
      <c r="AN150" s="105"/>
      <c r="AO150" s="105"/>
      <c r="AP150" s="105"/>
      <c r="AQ150" s="108">
        <f t="shared" si="38"/>
        <v>0</v>
      </c>
      <c r="AR150" s="108">
        <f t="shared" si="39"/>
        <v>0</v>
      </c>
      <c r="AS150" s="109">
        <f t="shared" si="40"/>
        <v>0</v>
      </c>
      <c r="AU150" s="110">
        <f t="shared" si="31"/>
        <v>0</v>
      </c>
      <c r="AV150" s="111" t="str">
        <f>IF(D150="NR",
IF('ZD Vorerfassung'!$E$22="",0,IF(AND(B150&gt;='ZD Vorerfassung'!$C$22,B150&lt;='ZD Vorerfassung'!$D$22),HLOOKUP(TEXT(C150,"ttt"),'ZD Vorerfassung'!$H$21:$L$36,2,0),0))+
IF('ZD Vorerfassung'!$E$23="",0,IF(AND(B150&gt;='ZD Vorerfassung'!$C$23,B150&lt;='ZD Vorerfassung'!$D$23),HLOOKUP(TEXT(C150,"ttt"),'ZD Vorerfassung'!$H$21:$L$36,3,0),0))+
IF('ZD Vorerfassung'!$E$24="",0,IF(AND(B150&gt;='ZD Vorerfassung'!$C$24,B150&lt;='ZD Vorerfassung'!$D$24),HLOOKUP(TEXT(C150,"ttt"),'ZD Vorerfassung'!$H$21:$L$36,4,0),0))+
IF('ZD Vorerfassung'!$E$25="",0,IF(AND(B150&gt;='ZD Vorerfassung'!$C$25,B150&lt;='ZD Vorerfassung'!$D$25),HLOOKUP(TEXT(C150,"ttt"),'ZD Vorerfassung'!$H$21:$L$36,5,0),0))+
IF('ZD Vorerfassung'!$E$26="",0,IF(AND(B150&gt;='ZD Vorerfassung'!$C$26,B150&lt;='ZD Vorerfassung'!$D$26),HLOOKUP(TEXT(C150,"ttt"),'ZD Vorerfassung'!$H$21:$L$36,6,0),0))+
IF('ZD Vorerfassung'!$E$27="",0,IF(AND(B150&gt;='ZD Vorerfassung'!$C$27,B150&lt;='ZD Vorerfassung'!$D$27),HLOOKUP(TEXT(C150,"ttt"),'ZD Vorerfassung'!$H$21:$L$36,7,0),0))+
IF('ZD Vorerfassung'!$E$28="",0,IF(AND(B150&gt;='ZD Vorerfassung'!$C$28,B150&lt;='ZD Vorerfassung'!$D$28),HLOOKUP(TEXT(C150,"ttt"),'ZD Vorerfassung'!$H$21:$L$36,8,0),0))+
IF('ZD Vorerfassung'!$E$29="",0,IF(AND(B150&gt;='ZD Vorerfassung'!$C$29,B150&lt;='ZD Vorerfassung'!$D$29),HLOOKUP(TEXT(C150,"ttt"),'ZD Vorerfassung'!$H$21:$L$36,9,0),0))+
IF('ZD Vorerfassung'!$E$30="",0,IF(AND(B150&gt;='ZD Vorerfassung'!$C$30,B150&lt;='ZD Vorerfassung'!$D$30),HLOOKUP(TEXT(C150,"ttt"),'ZD Vorerfassung'!$H$21:$L$36,10,0),0))+
IF('ZD Vorerfassung'!$E$31="",0,IF(AND(B150&gt;='ZD Vorerfassung'!$C$31,B150&lt;='ZD Vorerfassung'!$D$31),HLOOKUP(TEXT(C150,"ttt"),'ZD Vorerfassung'!$H$21:$L$36,11,0),0))+
IF('ZD Vorerfassung'!$E$32="",0,IF(AND(B150&gt;='ZD Vorerfassung'!$C$32,B150&lt;='ZD Vorerfassung'!$D$32),HLOOKUP(TEXT(C150,"ttt"),'ZD Vorerfassung'!$H$21:$L$36,12,0),0))+
IF('ZD Vorerfassung'!$E$33="",0,IF(AND(B150&gt;='ZD Vorerfassung'!$C$33,B150&lt;='ZD Vorerfassung'!$D$33),HLOOKUP(TEXT(C150,"ttt"),'ZD Vorerfassung'!$H$21:$L$36,13,0),0))+
IF('ZD Vorerfassung'!$E$34="",0,IF(AND(B150&gt;='ZD Vorerfassung'!$C$34,B150&lt;='ZD Vorerfassung'!$D$34),HLOOKUP(TEXT(C150,"ttt"),'ZD Vorerfassung'!$H$21:$L$36,14,0),0))+
IF('ZD Vorerfassung'!$E$35="",0,IF(AND(B150&gt;='ZD Vorerfassung'!$C$35,B150&lt;='ZD Vorerfassung'!$D$35),HLOOKUP(TEXT(C150,"ttt"),'ZD Vorerfassung'!$H$21:$L$36,15,0),0))+
IF('ZD Vorerfassung'!$E$36="",0,IF(AND(B150&gt;='ZD Vorerfassung'!$C$36,B150&lt;='ZD Vorerfassung'!$D$36),HLOOKUP(TEXT(C150,"ttt"),'ZD Vorerfassung'!$H$21:$L$36,16,0),0)),"")</f>
        <v/>
      </c>
      <c r="AW150" s="110">
        <f t="array" ref="AW150">IF(OR(D150="UU",D150="FT",D150="WE"),0,
IF(D150="NR",SUM(IF(B150&gt;=_xlfn.NUMBERVALUE('ZD Vorerfassung'!$C$22:$C$36),1,0)*IF(B150&lt;=_xlfn.NUMBERVALUE('ZD Vorerfassung'!$D$22:$D$36),1,0)*'ZD Vorerfassung'!$Q$22:$Q$36),
IF(OR(D150="SF",D150="FH"),SUM(IF(B150&gt;=_xlfn.NUMBERVALUE('ZD Vorerfassung'!$C$22:$C$36),1,0)*IF(B150&lt;=_xlfn.NUMBERVALUE('ZD Vorerfassung'!$D$22:$D$36),1,0)*'ZD Vorerfassung'!$R$22:$R$36*IF(D150="FH",0.5,1)),
"prüfen")))</f>
        <v>0</v>
      </c>
      <c r="AX150" s="110">
        <f t="array" ref="AX150">IF(OR(D150="UU",D150="FT",D150="WE",E150="Ferien"),0,
IF(D150="NR",SUM(IF(B150&gt;=_xlfn.NUMBERVALUE('ZD Vorerfassung'!$C$22:$C$36),1,0)*IF(B150&lt;=_xlfn.NUMBERVALUE('ZD Vorerfassung'!$D$22:$D$36),1,0)*'ZD Vorerfassung'!$W$22:$W$36),
IF(OR(D150="SF",D150="FH"),SUM(IF(B150&gt;=_xlfn.NUMBERVALUE('ZD Vorerfassung'!$C$22:$C$36),1,0)*IF(B150&lt;=_xlfn.NUMBERVALUE('ZD Vorerfassung'!$D$22:$D$36),1,0)*'ZD Vorerfassung'!$X$22:$X$36*IF(D150="FH",0.5,1)),
"prüfen")))</f>
        <v>0</v>
      </c>
      <c r="AY150" s="110">
        <f t="array" ref="AY150">IF(OR(D150="UU",D150="FT",D150="WE",E150="Ferien"),0,
IF(D150="NR",SUM(IF(B150&gt;=_xlfn.NUMBERVALUE('ZD Vorerfassung'!$C$22:$C$36),1,0)*IF(B150&lt;=_xlfn.NUMBERVALUE('ZD Vorerfassung'!$D$22:$D$36),1,0)*'ZD Vorerfassung'!$U$22:$U$36),
IF(OR(D150="SF",D150="FH"),SUM(IF(B150&gt;=_xlfn.NUMBERVALUE('ZD Vorerfassung'!$C$22:$C$36),1,0)*IF(B150&lt;=_xlfn.NUMBERVALUE('ZD Vorerfassung'!$D$22:$D$36),1,0)*'ZD Vorerfassung'!$V$22:$V$36*IF(D150="FH",0.5,1)),
"prüfen")))</f>
        <v>0</v>
      </c>
      <c r="AZ150" s="110">
        <f t="array" ref="AZ150">IF(OR(D150="UU",D150="FT",D150="WE",E150="Ferien"),0,
IF(D150="NR",SUM(IF(B150&gt;=_xlfn.NUMBERVALUE('ZD Vorerfassung'!$C$22:$C$36),1,0)*IF(B150&lt;=_xlfn.NUMBERVALUE('ZD Vorerfassung'!$D$22:$D$36),1,0)*'ZD Vorerfassung'!$S$22:$S$36),
IF(OR(D150="SF",D150="FH"),SUM(IF(B150&gt;=_xlfn.NUMBERVALUE('ZD Vorerfassung'!$C$22:$C$36),1,0)*IF(B150&lt;=_xlfn.NUMBERVALUE('ZD Vorerfassung'!$D$22:$D$36),1,0)*'ZD Vorerfassung'!$T$22:$T$36*IF(D150="FH",0.5,1)),
"prüfen")))</f>
        <v>0</v>
      </c>
      <c r="BA150" s="112">
        <f t="shared" si="32"/>
        <v>12</v>
      </c>
    </row>
    <row r="151" spans="2:53" ht="19.5" thickTop="1" thickBot="1" x14ac:dyDescent="0.3">
      <c r="B151" s="99">
        <f t="shared" si="29"/>
        <v>44916</v>
      </c>
      <c r="C151" s="100">
        <f t="shared" si="33"/>
        <v>44916</v>
      </c>
      <c r="D151" s="101" t="str">
        <f t="shared" si="34"/>
        <v>SF</v>
      </c>
      <c r="E151" s="102" t="str">
        <f t="shared" si="30"/>
        <v>unterrichtsfreie Arbeitszeit</v>
      </c>
      <c r="F151" s="103" t="str">
        <f t="shared" si="35"/>
        <v/>
      </c>
      <c r="G151" s="104" t="str">
        <f t="shared" si="36"/>
        <v/>
      </c>
      <c r="H151" s="104">
        <f>IFERROR(IF('ZD Vorerfassung'!$E$11="manuell",SUM(I151),IF(OR(E151="Feiertag",E151="Wochenende"),0,IF('ZD Vorerfassung'!$E$11="automatisch",AX151,IF(D151="UU","UU",IF(E151=Param2,AX151/24,IF(E151=Param9,AX151/48,"")))))),0)</f>
        <v>0</v>
      </c>
      <c r="I151" s="105"/>
      <c r="J151" s="106">
        <f>IF('ZD Vorerfassung'!$E$12="manuell",SUM(K151:AI151),IF(OR(E151="Feiertag",E151="Wochenende"),0,IF('ZD Vorerfassung'!$E$12="automatisch",AY151,IF(D151="UU","UU",IF(E151=Param2,AY151/24,IF(E151=Param9,AY151/48,""))))))</f>
        <v>0</v>
      </c>
      <c r="K151" s="105"/>
      <c r="L151" s="105"/>
      <c r="M151" s="105"/>
      <c r="N151" s="105"/>
      <c r="O151" s="105"/>
      <c r="P151" s="105"/>
      <c r="Q151" s="105"/>
      <c r="R151" s="105"/>
      <c r="S151" s="105"/>
      <c r="T151" s="105"/>
      <c r="U151" s="105"/>
      <c r="V151" s="105"/>
      <c r="W151" s="105"/>
      <c r="X151" s="105"/>
      <c r="Y151" s="105"/>
      <c r="Z151" s="105"/>
      <c r="AA151" s="105"/>
      <c r="AB151" s="105"/>
      <c r="AC151" s="105"/>
      <c r="AD151" s="105"/>
      <c r="AE151" s="105"/>
      <c r="AF151" s="105"/>
      <c r="AG151" s="105"/>
      <c r="AH151" s="105"/>
      <c r="AI151" s="105"/>
      <c r="AJ151" s="107">
        <f t="shared" si="37"/>
        <v>0</v>
      </c>
      <c r="AK151" s="105"/>
      <c r="AL151" s="105"/>
      <c r="AM151" s="105"/>
      <c r="AN151" s="105"/>
      <c r="AO151" s="105"/>
      <c r="AP151" s="105"/>
      <c r="AQ151" s="108">
        <f t="shared" si="38"/>
        <v>0</v>
      </c>
      <c r="AR151" s="108">
        <f t="shared" si="39"/>
        <v>0</v>
      </c>
      <c r="AS151" s="109">
        <f t="shared" si="40"/>
        <v>0</v>
      </c>
      <c r="AU151" s="110">
        <f t="shared" si="31"/>
        <v>0</v>
      </c>
      <c r="AV151" s="111" t="str">
        <f>IF(D151="NR",
IF('ZD Vorerfassung'!$E$22="",0,IF(AND(B151&gt;='ZD Vorerfassung'!$C$22,B151&lt;='ZD Vorerfassung'!$D$22),HLOOKUP(TEXT(C151,"ttt"),'ZD Vorerfassung'!$H$21:$L$36,2,0),0))+
IF('ZD Vorerfassung'!$E$23="",0,IF(AND(B151&gt;='ZD Vorerfassung'!$C$23,B151&lt;='ZD Vorerfassung'!$D$23),HLOOKUP(TEXT(C151,"ttt"),'ZD Vorerfassung'!$H$21:$L$36,3,0),0))+
IF('ZD Vorerfassung'!$E$24="",0,IF(AND(B151&gt;='ZD Vorerfassung'!$C$24,B151&lt;='ZD Vorerfassung'!$D$24),HLOOKUP(TEXT(C151,"ttt"),'ZD Vorerfassung'!$H$21:$L$36,4,0),0))+
IF('ZD Vorerfassung'!$E$25="",0,IF(AND(B151&gt;='ZD Vorerfassung'!$C$25,B151&lt;='ZD Vorerfassung'!$D$25),HLOOKUP(TEXT(C151,"ttt"),'ZD Vorerfassung'!$H$21:$L$36,5,0),0))+
IF('ZD Vorerfassung'!$E$26="",0,IF(AND(B151&gt;='ZD Vorerfassung'!$C$26,B151&lt;='ZD Vorerfassung'!$D$26),HLOOKUP(TEXT(C151,"ttt"),'ZD Vorerfassung'!$H$21:$L$36,6,0),0))+
IF('ZD Vorerfassung'!$E$27="",0,IF(AND(B151&gt;='ZD Vorerfassung'!$C$27,B151&lt;='ZD Vorerfassung'!$D$27),HLOOKUP(TEXT(C151,"ttt"),'ZD Vorerfassung'!$H$21:$L$36,7,0),0))+
IF('ZD Vorerfassung'!$E$28="",0,IF(AND(B151&gt;='ZD Vorerfassung'!$C$28,B151&lt;='ZD Vorerfassung'!$D$28),HLOOKUP(TEXT(C151,"ttt"),'ZD Vorerfassung'!$H$21:$L$36,8,0),0))+
IF('ZD Vorerfassung'!$E$29="",0,IF(AND(B151&gt;='ZD Vorerfassung'!$C$29,B151&lt;='ZD Vorerfassung'!$D$29),HLOOKUP(TEXT(C151,"ttt"),'ZD Vorerfassung'!$H$21:$L$36,9,0),0))+
IF('ZD Vorerfassung'!$E$30="",0,IF(AND(B151&gt;='ZD Vorerfassung'!$C$30,B151&lt;='ZD Vorerfassung'!$D$30),HLOOKUP(TEXT(C151,"ttt"),'ZD Vorerfassung'!$H$21:$L$36,10,0),0))+
IF('ZD Vorerfassung'!$E$31="",0,IF(AND(B151&gt;='ZD Vorerfassung'!$C$31,B151&lt;='ZD Vorerfassung'!$D$31),HLOOKUP(TEXT(C151,"ttt"),'ZD Vorerfassung'!$H$21:$L$36,11,0),0))+
IF('ZD Vorerfassung'!$E$32="",0,IF(AND(B151&gt;='ZD Vorerfassung'!$C$32,B151&lt;='ZD Vorerfassung'!$D$32),HLOOKUP(TEXT(C151,"ttt"),'ZD Vorerfassung'!$H$21:$L$36,12,0),0))+
IF('ZD Vorerfassung'!$E$33="",0,IF(AND(B151&gt;='ZD Vorerfassung'!$C$33,B151&lt;='ZD Vorerfassung'!$D$33),HLOOKUP(TEXT(C151,"ttt"),'ZD Vorerfassung'!$H$21:$L$36,13,0),0))+
IF('ZD Vorerfassung'!$E$34="",0,IF(AND(B151&gt;='ZD Vorerfassung'!$C$34,B151&lt;='ZD Vorerfassung'!$D$34),HLOOKUP(TEXT(C151,"ttt"),'ZD Vorerfassung'!$H$21:$L$36,14,0),0))+
IF('ZD Vorerfassung'!$E$35="",0,IF(AND(B151&gt;='ZD Vorerfassung'!$C$35,B151&lt;='ZD Vorerfassung'!$D$35),HLOOKUP(TEXT(C151,"ttt"),'ZD Vorerfassung'!$H$21:$L$36,15,0),0))+
IF('ZD Vorerfassung'!$E$36="",0,IF(AND(B151&gt;='ZD Vorerfassung'!$C$36,B151&lt;='ZD Vorerfassung'!$D$36),HLOOKUP(TEXT(C151,"ttt"),'ZD Vorerfassung'!$H$21:$L$36,16,0),0)),"")</f>
        <v/>
      </c>
      <c r="AW151" s="110">
        <f t="array" ref="AW151">IF(OR(D151="UU",D151="FT",D151="WE"),0,
IF(D151="NR",SUM(IF(B151&gt;=_xlfn.NUMBERVALUE('ZD Vorerfassung'!$C$22:$C$36),1,0)*IF(B151&lt;=_xlfn.NUMBERVALUE('ZD Vorerfassung'!$D$22:$D$36),1,0)*'ZD Vorerfassung'!$Q$22:$Q$36),
IF(OR(D151="SF",D151="FH"),SUM(IF(B151&gt;=_xlfn.NUMBERVALUE('ZD Vorerfassung'!$C$22:$C$36),1,0)*IF(B151&lt;=_xlfn.NUMBERVALUE('ZD Vorerfassung'!$D$22:$D$36),1,0)*'ZD Vorerfassung'!$R$22:$R$36*IF(D151="FH",0.5,1)),
"prüfen")))</f>
        <v>0</v>
      </c>
      <c r="AX151" s="110">
        <f t="array" ref="AX151">IF(OR(D151="UU",D151="FT",D151="WE",E151="Ferien"),0,
IF(D151="NR",SUM(IF(B151&gt;=_xlfn.NUMBERVALUE('ZD Vorerfassung'!$C$22:$C$36),1,0)*IF(B151&lt;=_xlfn.NUMBERVALUE('ZD Vorerfassung'!$D$22:$D$36),1,0)*'ZD Vorerfassung'!$W$22:$W$36),
IF(OR(D151="SF",D151="FH"),SUM(IF(B151&gt;=_xlfn.NUMBERVALUE('ZD Vorerfassung'!$C$22:$C$36),1,0)*IF(B151&lt;=_xlfn.NUMBERVALUE('ZD Vorerfassung'!$D$22:$D$36),1,0)*'ZD Vorerfassung'!$X$22:$X$36*IF(D151="FH",0.5,1)),
"prüfen")))</f>
        <v>0</v>
      </c>
      <c r="AY151" s="110">
        <f t="array" ref="AY151">IF(OR(D151="UU",D151="FT",D151="WE",E151="Ferien"),0,
IF(D151="NR",SUM(IF(B151&gt;=_xlfn.NUMBERVALUE('ZD Vorerfassung'!$C$22:$C$36),1,0)*IF(B151&lt;=_xlfn.NUMBERVALUE('ZD Vorerfassung'!$D$22:$D$36),1,0)*'ZD Vorerfassung'!$U$22:$U$36),
IF(OR(D151="SF",D151="FH"),SUM(IF(B151&gt;=_xlfn.NUMBERVALUE('ZD Vorerfassung'!$C$22:$C$36),1,0)*IF(B151&lt;=_xlfn.NUMBERVALUE('ZD Vorerfassung'!$D$22:$D$36),1,0)*'ZD Vorerfassung'!$V$22:$V$36*IF(D151="FH",0.5,1)),
"prüfen")))</f>
        <v>0</v>
      </c>
      <c r="AZ151" s="110">
        <f t="array" ref="AZ151">IF(OR(D151="UU",D151="FT",D151="WE",E151="Ferien"),0,
IF(D151="NR",SUM(IF(B151&gt;=_xlfn.NUMBERVALUE('ZD Vorerfassung'!$C$22:$C$36),1,0)*IF(B151&lt;=_xlfn.NUMBERVALUE('ZD Vorerfassung'!$D$22:$D$36),1,0)*'ZD Vorerfassung'!$S$22:$S$36),
IF(OR(D151="SF",D151="FH"),SUM(IF(B151&gt;=_xlfn.NUMBERVALUE('ZD Vorerfassung'!$C$22:$C$36),1,0)*IF(B151&lt;=_xlfn.NUMBERVALUE('ZD Vorerfassung'!$D$22:$D$36),1,0)*'ZD Vorerfassung'!$T$22:$T$36*IF(D151="FH",0.5,1)),
"prüfen")))</f>
        <v>0</v>
      </c>
      <c r="BA151" s="112">
        <f t="shared" si="32"/>
        <v>12</v>
      </c>
    </row>
    <row r="152" spans="2:53" ht="19.5" thickTop="1" thickBot="1" x14ac:dyDescent="0.3">
      <c r="B152" s="99">
        <f t="shared" si="29"/>
        <v>44917</v>
      </c>
      <c r="C152" s="100">
        <f t="shared" si="33"/>
        <v>44917</v>
      </c>
      <c r="D152" s="101" t="str">
        <f t="shared" si="34"/>
        <v>SF</v>
      </c>
      <c r="E152" s="102" t="str">
        <f t="shared" si="30"/>
        <v>unterrichtsfreie Arbeitszeit</v>
      </c>
      <c r="F152" s="103" t="str">
        <f t="shared" si="35"/>
        <v/>
      </c>
      <c r="G152" s="104" t="str">
        <f t="shared" si="36"/>
        <v/>
      </c>
      <c r="H152" s="104">
        <f>IFERROR(IF('ZD Vorerfassung'!$E$11="manuell",SUM(I152),IF(OR(E152="Feiertag",E152="Wochenende"),0,IF('ZD Vorerfassung'!$E$11="automatisch",AX152,IF(D152="UU","UU",IF(E152=Param2,AX152/24,IF(E152=Param9,AX152/48,"")))))),0)</f>
        <v>0</v>
      </c>
      <c r="I152" s="105"/>
      <c r="J152" s="106">
        <f>IF('ZD Vorerfassung'!$E$12="manuell",SUM(K152:AI152),IF(OR(E152="Feiertag",E152="Wochenende"),0,IF('ZD Vorerfassung'!$E$12="automatisch",AY152,IF(D152="UU","UU",IF(E152=Param2,AY152/24,IF(E152=Param9,AY152/48,""))))))</f>
        <v>0</v>
      </c>
      <c r="K152" s="105"/>
      <c r="L152" s="105"/>
      <c r="M152" s="105"/>
      <c r="N152" s="105"/>
      <c r="O152" s="105"/>
      <c r="P152" s="105"/>
      <c r="Q152" s="105"/>
      <c r="R152" s="105"/>
      <c r="S152" s="105"/>
      <c r="T152" s="105"/>
      <c r="U152" s="105"/>
      <c r="V152" s="105"/>
      <c r="W152" s="105"/>
      <c r="X152" s="105"/>
      <c r="Y152" s="105"/>
      <c r="Z152" s="105"/>
      <c r="AA152" s="105"/>
      <c r="AB152" s="105"/>
      <c r="AC152" s="105"/>
      <c r="AD152" s="105"/>
      <c r="AE152" s="105"/>
      <c r="AF152" s="105"/>
      <c r="AG152" s="105"/>
      <c r="AH152" s="105"/>
      <c r="AI152" s="105"/>
      <c r="AJ152" s="107">
        <f t="shared" si="37"/>
        <v>0</v>
      </c>
      <c r="AK152" s="105"/>
      <c r="AL152" s="105"/>
      <c r="AM152" s="105"/>
      <c r="AN152" s="105"/>
      <c r="AO152" s="105"/>
      <c r="AP152" s="105"/>
      <c r="AQ152" s="108">
        <f t="shared" si="38"/>
        <v>0</v>
      </c>
      <c r="AR152" s="108">
        <f t="shared" si="39"/>
        <v>0</v>
      </c>
      <c r="AS152" s="109">
        <f t="shared" si="40"/>
        <v>0</v>
      </c>
      <c r="AU152" s="110">
        <f t="shared" si="31"/>
        <v>0</v>
      </c>
      <c r="AV152" s="111" t="str">
        <f>IF(D152="NR",
IF('ZD Vorerfassung'!$E$22="",0,IF(AND(B152&gt;='ZD Vorerfassung'!$C$22,B152&lt;='ZD Vorerfassung'!$D$22),HLOOKUP(TEXT(C152,"ttt"),'ZD Vorerfassung'!$H$21:$L$36,2,0),0))+
IF('ZD Vorerfassung'!$E$23="",0,IF(AND(B152&gt;='ZD Vorerfassung'!$C$23,B152&lt;='ZD Vorerfassung'!$D$23),HLOOKUP(TEXT(C152,"ttt"),'ZD Vorerfassung'!$H$21:$L$36,3,0),0))+
IF('ZD Vorerfassung'!$E$24="",0,IF(AND(B152&gt;='ZD Vorerfassung'!$C$24,B152&lt;='ZD Vorerfassung'!$D$24),HLOOKUP(TEXT(C152,"ttt"),'ZD Vorerfassung'!$H$21:$L$36,4,0),0))+
IF('ZD Vorerfassung'!$E$25="",0,IF(AND(B152&gt;='ZD Vorerfassung'!$C$25,B152&lt;='ZD Vorerfassung'!$D$25),HLOOKUP(TEXT(C152,"ttt"),'ZD Vorerfassung'!$H$21:$L$36,5,0),0))+
IF('ZD Vorerfassung'!$E$26="",0,IF(AND(B152&gt;='ZD Vorerfassung'!$C$26,B152&lt;='ZD Vorerfassung'!$D$26),HLOOKUP(TEXT(C152,"ttt"),'ZD Vorerfassung'!$H$21:$L$36,6,0),0))+
IF('ZD Vorerfassung'!$E$27="",0,IF(AND(B152&gt;='ZD Vorerfassung'!$C$27,B152&lt;='ZD Vorerfassung'!$D$27),HLOOKUP(TEXT(C152,"ttt"),'ZD Vorerfassung'!$H$21:$L$36,7,0),0))+
IF('ZD Vorerfassung'!$E$28="",0,IF(AND(B152&gt;='ZD Vorerfassung'!$C$28,B152&lt;='ZD Vorerfassung'!$D$28),HLOOKUP(TEXT(C152,"ttt"),'ZD Vorerfassung'!$H$21:$L$36,8,0),0))+
IF('ZD Vorerfassung'!$E$29="",0,IF(AND(B152&gt;='ZD Vorerfassung'!$C$29,B152&lt;='ZD Vorerfassung'!$D$29),HLOOKUP(TEXT(C152,"ttt"),'ZD Vorerfassung'!$H$21:$L$36,9,0),0))+
IF('ZD Vorerfassung'!$E$30="",0,IF(AND(B152&gt;='ZD Vorerfassung'!$C$30,B152&lt;='ZD Vorerfassung'!$D$30),HLOOKUP(TEXT(C152,"ttt"),'ZD Vorerfassung'!$H$21:$L$36,10,0),0))+
IF('ZD Vorerfassung'!$E$31="",0,IF(AND(B152&gt;='ZD Vorerfassung'!$C$31,B152&lt;='ZD Vorerfassung'!$D$31),HLOOKUP(TEXT(C152,"ttt"),'ZD Vorerfassung'!$H$21:$L$36,11,0),0))+
IF('ZD Vorerfassung'!$E$32="",0,IF(AND(B152&gt;='ZD Vorerfassung'!$C$32,B152&lt;='ZD Vorerfassung'!$D$32),HLOOKUP(TEXT(C152,"ttt"),'ZD Vorerfassung'!$H$21:$L$36,12,0),0))+
IF('ZD Vorerfassung'!$E$33="",0,IF(AND(B152&gt;='ZD Vorerfassung'!$C$33,B152&lt;='ZD Vorerfassung'!$D$33),HLOOKUP(TEXT(C152,"ttt"),'ZD Vorerfassung'!$H$21:$L$36,13,0),0))+
IF('ZD Vorerfassung'!$E$34="",0,IF(AND(B152&gt;='ZD Vorerfassung'!$C$34,B152&lt;='ZD Vorerfassung'!$D$34),HLOOKUP(TEXT(C152,"ttt"),'ZD Vorerfassung'!$H$21:$L$36,14,0),0))+
IF('ZD Vorerfassung'!$E$35="",0,IF(AND(B152&gt;='ZD Vorerfassung'!$C$35,B152&lt;='ZD Vorerfassung'!$D$35),HLOOKUP(TEXT(C152,"ttt"),'ZD Vorerfassung'!$H$21:$L$36,15,0),0))+
IF('ZD Vorerfassung'!$E$36="",0,IF(AND(B152&gt;='ZD Vorerfassung'!$C$36,B152&lt;='ZD Vorerfassung'!$D$36),HLOOKUP(TEXT(C152,"ttt"),'ZD Vorerfassung'!$H$21:$L$36,16,0),0)),"")</f>
        <v/>
      </c>
      <c r="AW152" s="110">
        <f t="array" ref="AW152">IF(OR(D152="UU",D152="FT",D152="WE"),0,
IF(D152="NR",SUM(IF(B152&gt;=_xlfn.NUMBERVALUE('ZD Vorerfassung'!$C$22:$C$36),1,0)*IF(B152&lt;=_xlfn.NUMBERVALUE('ZD Vorerfassung'!$D$22:$D$36),1,0)*'ZD Vorerfassung'!$Q$22:$Q$36),
IF(OR(D152="SF",D152="FH"),SUM(IF(B152&gt;=_xlfn.NUMBERVALUE('ZD Vorerfassung'!$C$22:$C$36),1,0)*IF(B152&lt;=_xlfn.NUMBERVALUE('ZD Vorerfassung'!$D$22:$D$36),1,0)*'ZD Vorerfassung'!$R$22:$R$36*IF(D152="FH",0.5,1)),
"prüfen")))</f>
        <v>0</v>
      </c>
      <c r="AX152" s="110">
        <f t="array" ref="AX152">IF(OR(D152="UU",D152="FT",D152="WE",E152="Ferien"),0,
IF(D152="NR",SUM(IF(B152&gt;=_xlfn.NUMBERVALUE('ZD Vorerfassung'!$C$22:$C$36),1,0)*IF(B152&lt;=_xlfn.NUMBERVALUE('ZD Vorerfassung'!$D$22:$D$36),1,0)*'ZD Vorerfassung'!$W$22:$W$36),
IF(OR(D152="SF",D152="FH"),SUM(IF(B152&gt;=_xlfn.NUMBERVALUE('ZD Vorerfassung'!$C$22:$C$36),1,0)*IF(B152&lt;=_xlfn.NUMBERVALUE('ZD Vorerfassung'!$D$22:$D$36),1,0)*'ZD Vorerfassung'!$X$22:$X$36*IF(D152="FH",0.5,1)),
"prüfen")))</f>
        <v>0</v>
      </c>
      <c r="AY152" s="110">
        <f t="array" ref="AY152">IF(OR(D152="UU",D152="FT",D152="WE",E152="Ferien"),0,
IF(D152="NR",SUM(IF(B152&gt;=_xlfn.NUMBERVALUE('ZD Vorerfassung'!$C$22:$C$36),1,0)*IF(B152&lt;=_xlfn.NUMBERVALUE('ZD Vorerfassung'!$D$22:$D$36),1,0)*'ZD Vorerfassung'!$U$22:$U$36),
IF(OR(D152="SF",D152="FH"),SUM(IF(B152&gt;=_xlfn.NUMBERVALUE('ZD Vorerfassung'!$C$22:$C$36),1,0)*IF(B152&lt;=_xlfn.NUMBERVALUE('ZD Vorerfassung'!$D$22:$D$36),1,0)*'ZD Vorerfassung'!$V$22:$V$36*IF(D152="FH",0.5,1)),
"prüfen")))</f>
        <v>0</v>
      </c>
      <c r="AZ152" s="110">
        <f t="array" ref="AZ152">IF(OR(D152="UU",D152="FT",D152="WE",E152="Ferien"),0,
IF(D152="NR",SUM(IF(B152&gt;=_xlfn.NUMBERVALUE('ZD Vorerfassung'!$C$22:$C$36),1,0)*IF(B152&lt;=_xlfn.NUMBERVALUE('ZD Vorerfassung'!$D$22:$D$36),1,0)*'ZD Vorerfassung'!$S$22:$S$36),
IF(OR(D152="SF",D152="FH"),SUM(IF(B152&gt;=_xlfn.NUMBERVALUE('ZD Vorerfassung'!$C$22:$C$36),1,0)*IF(B152&lt;=_xlfn.NUMBERVALUE('ZD Vorerfassung'!$D$22:$D$36),1,0)*'ZD Vorerfassung'!$T$22:$T$36*IF(D152="FH",0.5,1)),
"prüfen")))</f>
        <v>0</v>
      </c>
      <c r="BA152" s="112">
        <f t="shared" si="32"/>
        <v>12</v>
      </c>
    </row>
    <row r="153" spans="2:53" ht="19.5" thickTop="1" thickBot="1" x14ac:dyDescent="0.3">
      <c r="B153" s="99">
        <f t="shared" si="29"/>
        <v>44918</v>
      </c>
      <c r="C153" s="100">
        <f t="shared" si="33"/>
        <v>44918</v>
      </c>
      <c r="D153" s="101" t="str">
        <f t="shared" si="34"/>
        <v>FH</v>
      </c>
      <c r="E153" s="102" t="str">
        <f t="shared" si="30"/>
        <v>Feiertag halb</v>
      </c>
      <c r="F153" s="103" t="str">
        <f t="shared" si="35"/>
        <v/>
      </c>
      <c r="G153" s="104" t="str">
        <f t="shared" si="36"/>
        <v/>
      </c>
      <c r="H153" s="104">
        <f>IFERROR(IF('ZD Vorerfassung'!$E$11="manuell",SUM(I153),IF(OR(E153="Feiertag",E153="Wochenende"),0,IF('ZD Vorerfassung'!$E$11="automatisch",AX153,IF(D153="UU","UU",IF(E153=Param2,AX153/24,IF(E153=Param9,AX153/48,"")))))),0)</f>
        <v>0</v>
      </c>
      <c r="I153" s="105"/>
      <c r="J153" s="106">
        <f>IF('ZD Vorerfassung'!$E$12="manuell",SUM(K153:AI153),IF(OR(E153="Feiertag",E153="Wochenende"),0,IF('ZD Vorerfassung'!$E$12="automatisch",AY153,IF(D153="UU","UU",IF(E153=Param2,AY153/24,IF(E153=Param9,AY153/48,""))))))</f>
        <v>0</v>
      </c>
      <c r="K153" s="105"/>
      <c r="L153" s="105"/>
      <c r="M153" s="105"/>
      <c r="N153" s="105"/>
      <c r="O153" s="105"/>
      <c r="P153" s="105"/>
      <c r="Q153" s="105"/>
      <c r="R153" s="105"/>
      <c r="S153" s="105"/>
      <c r="T153" s="105"/>
      <c r="U153" s="105"/>
      <c r="V153" s="105"/>
      <c r="W153" s="105"/>
      <c r="X153" s="105"/>
      <c r="Y153" s="105"/>
      <c r="Z153" s="105"/>
      <c r="AA153" s="105"/>
      <c r="AB153" s="105"/>
      <c r="AC153" s="105"/>
      <c r="AD153" s="105"/>
      <c r="AE153" s="105"/>
      <c r="AF153" s="105"/>
      <c r="AG153" s="105"/>
      <c r="AH153" s="105"/>
      <c r="AI153" s="105"/>
      <c r="AJ153" s="107">
        <f t="shared" si="37"/>
        <v>0</v>
      </c>
      <c r="AK153" s="105"/>
      <c r="AL153" s="105"/>
      <c r="AM153" s="105"/>
      <c r="AN153" s="105"/>
      <c r="AO153" s="105"/>
      <c r="AP153" s="105"/>
      <c r="AQ153" s="108">
        <f t="shared" si="38"/>
        <v>0</v>
      </c>
      <c r="AR153" s="108">
        <f t="shared" si="39"/>
        <v>0</v>
      </c>
      <c r="AS153" s="109">
        <f t="shared" si="40"/>
        <v>0</v>
      </c>
      <c r="AU153" s="110">
        <f t="shared" si="31"/>
        <v>0</v>
      </c>
      <c r="AV153" s="111" t="str">
        <f>IF(D153="NR",
IF('ZD Vorerfassung'!$E$22="",0,IF(AND(B153&gt;='ZD Vorerfassung'!$C$22,B153&lt;='ZD Vorerfassung'!$D$22),HLOOKUP(TEXT(C153,"ttt"),'ZD Vorerfassung'!$H$21:$L$36,2,0),0))+
IF('ZD Vorerfassung'!$E$23="",0,IF(AND(B153&gt;='ZD Vorerfassung'!$C$23,B153&lt;='ZD Vorerfassung'!$D$23),HLOOKUP(TEXT(C153,"ttt"),'ZD Vorerfassung'!$H$21:$L$36,3,0),0))+
IF('ZD Vorerfassung'!$E$24="",0,IF(AND(B153&gt;='ZD Vorerfassung'!$C$24,B153&lt;='ZD Vorerfassung'!$D$24),HLOOKUP(TEXT(C153,"ttt"),'ZD Vorerfassung'!$H$21:$L$36,4,0),0))+
IF('ZD Vorerfassung'!$E$25="",0,IF(AND(B153&gt;='ZD Vorerfassung'!$C$25,B153&lt;='ZD Vorerfassung'!$D$25),HLOOKUP(TEXT(C153,"ttt"),'ZD Vorerfassung'!$H$21:$L$36,5,0),0))+
IF('ZD Vorerfassung'!$E$26="",0,IF(AND(B153&gt;='ZD Vorerfassung'!$C$26,B153&lt;='ZD Vorerfassung'!$D$26),HLOOKUP(TEXT(C153,"ttt"),'ZD Vorerfassung'!$H$21:$L$36,6,0),0))+
IF('ZD Vorerfassung'!$E$27="",0,IF(AND(B153&gt;='ZD Vorerfassung'!$C$27,B153&lt;='ZD Vorerfassung'!$D$27),HLOOKUP(TEXT(C153,"ttt"),'ZD Vorerfassung'!$H$21:$L$36,7,0),0))+
IF('ZD Vorerfassung'!$E$28="",0,IF(AND(B153&gt;='ZD Vorerfassung'!$C$28,B153&lt;='ZD Vorerfassung'!$D$28),HLOOKUP(TEXT(C153,"ttt"),'ZD Vorerfassung'!$H$21:$L$36,8,0),0))+
IF('ZD Vorerfassung'!$E$29="",0,IF(AND(B153&gt;='ZD Vorerfassung'!$C$29,B153&lt;='ZD Vorerfassung'!$D$29),HLOOKUP(TEXT(C153,"ttt"),'ZD Vorerfassung'!$H$21:$L$36,9,0),0))+
IF('ZD Vorerfassung'!$E$30="",0,IF(AND(B153&gt;='ZD Vorerfassung'!$C$30,B153&lt;='ZD Vorerfassung'!$D$30),HLOOKUP(TEXT(C153,"ttt"),'ZD Vorerfassung'!$H$21:$L$36,10,0),0))+
IF('ZD Vorerfassung'!$E$31="",0,IF(AND(B153&gt;='ZD Vorerfassung'!$C$31,B153&lt;='ZD Vorerfassung'!$D$31),HLOOKUP(TEXT(C153,"ttt"),'ZD Vorerfassung'!$H$21:$L$36,11,0),0))+
IF('ZD Vorerfassung'!$E$32="",0,IF(AND(B153&gt;='ZD Vorerfassung'!$C$32,B153&lt;='ZD Vorerfassung'!$D$32),HLOOKUP(TEXT(C153,"ttt"),'ZD Vorerfassung'!$H$21:$L$36,12,0),0))+
IF('ZD Vorerfassung'!$E$33="",0,IF(AND(B153&gt;='ZD Vorerfassung'!$C$33,B153&lt;='ZD Vorerfassung'!$D$33),HLOOKUP(TEXT(C153,"ttt"),'ZD Vorerfassung'!$H$21:$L$36,13,0),0))+
IF('ZD Vorerfassung'!$E$34="",0,IF(AND(B153&gt;='ZD Vorerfassung'!$C$34,B153&lt;='ZD Vorerfassung'!$D$34),HLOOKUP(TEXT(C153,"ttt"),'ZD Vorerfassung'!$H$21:$L$36,14,0),0))+
IF('ZD Vorerfassung'!$E$35="",0,IF(AND(B153&gt;='ZD Vorerfassung'!$C$35,B153&lt;='ZD Vorerfassung'!$D$35),HLOOKUP(TEXT(C153,"ttt"),'ZD Vorerfassung'!$H$21:$L$36,15,0),0))+
IF('ZD Vorerfassung'!$E$36="",0,IF(AND(B153&gt;='ZD Vorerfassung'!$C$36,B153&lt;='ZD Vorerfassung'!$D$36),HLOOKUP(TEXT(C153,"ttt"),'ZD Vorerfassung'!$H$21:$L$36,16,0),0)),"")</f>
        <v/>
      </c>
      <c r="AW153" s="110">
        <f t="array" ref="AW153">IF(OR(D153="UU",D153="FT",D153="WE"),0,
IF(D153="NR",SUM(IF(B153&gt;=_xlfn.NUMBERVALUE('ZD Vorerfassung'!$C$22:$C$36),1,0)*IF(B153&lt;=_xlfn.NUMBERVALUE('ZD Vorerfassung'!$D$22:$D$36),1,0)*'ZD Vorerfassung'!$Q$22:$Q$36),
IF(OR(D153="SF",D153="FH"),SUM(IF(B153&gt;=_xlfn.NUMBERVALUE('ZD Vorerfassung'!$C$22:$C$36),1,0)*IF(B153&lt;=_xlfn.NUMBERVALUE('ZD Vorerfassung'!$D$22:$D$36),1,0)*'ZD Vorerfassung'!$R$22:$R$36*IF(D153="FH",0.5,1)),
"prüfen")))</f>
        <v>0</v>
      </c>
      <c r="AX153" s="110">
        <f t="array" ref="AX153">IF(OR(D153="UU",D153="FT",D153="WE",E153="Ferien"),0,
IF(D153="NR",SUM(IF(B153&gt;=_xlfn.NUMBERVALUE('ZD Vorerfassung'!$C$22:$C$36),1,0)*IF(B153&lt;=_xlfn.NUMBERVALUE('ZD Vorerfassung'!$D$22:$D$36),1,0)*'ZD Vorerfassung'!$W$22:$W$36),
IF(OR(D153="SF",D153="FH"),SUM(IF(B153&gt;=_xlfn.NUMBERVALUE('ZD Vorerfassung'!$C$22:$C$36),1,0)*IF(B153&lt;=_xlfn.NUMBERVALUE('ZD Vorerfassung'!$D$22:$D$36),1,0)*'ZD Vorerfassung'!$X$22:$X$36*IF(D153="FH",0.5,1)),
"prüfen")))</f>
        <v>0</v>
      </c>
      <c r="AY153" s="110">
        <f t="array" ref="AY153">IF(OR(D153="UU",D153="FT",D153="WE",E153="Ferien"),0,
IF(D153="NR",SUM(IF(B153&gt;=_xlfn.NUMBERVALUE('ZD Vorerfassung'!$C$22:$C$36),1,0)*IF(B153&lt;=_xlfn.NUMBERVALUE('ZD Vorerfassung'!$D$22:$D$36),1,0)*'ZD Vorerfassung'!$U$22:$U$36),
IF(OR(D153="SF",D153="FH"),SUM(IF(B153&gt;=_xlfn.NUMBERVALUE('ZD Vorerfassung'!$C$22:$C$36),1,0)*IF(B153&lt;=_xlfn.NUMBERVALUE('ZD Vorerfassung'!$D$22:$D$36),1,0)*'ZD Vorerfassung'!$V$22:$V$36*IF(D153="FH",0.5,1)),
"prüfen")))</f>
        <v>0</v>
      </c>
      <c r="AZ153" s="110">
        <f t="array" ref="AZ153">IF(OR(D153="UU",D153="FT",D153="WE",E153="Ferien"),0,
IF(D153="NR",SUM(IF(B153&gt;=_xlfn.NUMBERVALUE('ZD Vorerfassung'!$C$22:$C$36),1,0)*IF(B153&lt;=_xlfn.NUMBERVALUE('ZD Vorerfassung'!$D$22:$D$36),1,0)*'ZD Vorerfassung'!$S$22:$S$36),
IF(OR(D153="SF",D153="FH"),SUM(IF(B153&gt;=_xlfn.NUMBERVALUE('ZD Vorerfassung'!$C$22:$C$36),1,0)*IF(B153&lt;=_xlfn.NUMBERVALUE('ZD Vorerfassung'!$D$22:$D$36),1,0)*'ZD Vorerfassung'!$T$22:$T$36*IF(D153="FH",0.5,1)),
"prüfen")))</f>
        <v>0</v>
      </c>
      <c r="BA153" s="112">
        <f t="shared" si="32"/>
        <v>12</v>
      </c>
    </row>
    <row r="154" spans="2:53" ht="19.5" thickTop="1" thickBot="1" x14ac:dyDescent="0.3">
      <c r="B154" s="99">
        <f t="shared" si="29"/>
        <v>44919</v>
      </c>
      <c r="C154" s="100">
        <f t="shared" si="33"/>
        <v>44919</v>
      </c>
      <c r="D154" s="101" t="str">
        <f t="shared" si="34"/>
        <v>FT</v>
      </c>
      <c r="E154" s="102" t="str">
        <f t="shared" si="30"/>
        <v>Feiertag</v>
      </c>
      <c r="F154" s="103" t="str">
        <f t="shared" si="35"/>
        <v/>
      </c>
      <c r="G154" s="104" t="str">
        <f t="shared" si="36"/>
        <v/>
      </c>
      <c r="H154" s="104">
        <f>IFERROR(IF('ZD Vorerfassung'!$E$11="manuell",SUM(I154),IF(OR(E154="Feiertag",E154="Wochenende"),0,IF('ZD Vorerfassung'!$E$11="automatisch",AX154,IF(D154="UU","UU",IF(E154=Param2,AX154/24,IF(E154=Param9,AX154/48,"")))))),0)</f>
        <v>0</v>
      </c>
      <c r="I154" s="105"/>
      <c r="J154" s="106">
        <f>IF('ZD Vorerfassung'!$E$12="manuell",SUM(K154:AI154),IF(OR(E154="Feiertag",E154="Wochenende"),0,IF('ZD Vorerfassung'!$E$12="automatisch",AY154,IF(D154="UU","UU",IF(E154=Param2,AY154/24,IF(E154=Param9,AY154/48,""))))))</f>
        <v>0</v>
      </c>
      <c r="K154" s="105"/>
      <c r="L154" s="105"/>
      <c r="M154" s="105"/>
      <c r="N154" s="105"/>
      <c r="O154" s="105"/>
      <c r="P154" s="105"/>
      <c r="Q154" s="105"/>
      <c r="R154" s="105"/>
      <c r="S154" s="105"/>
      <c r="T154" s="105"/>
      <c r="U154" s="105"/>
      <c r="V154" s="105"/>
      <c r="W154" s="105"/>
      <c r="X154" s="105"/>
      <c r="Y154" s="105"/>
      <c r="Z154" s="105"/>
      <c r="AA154" s="105"/>
      <c r="AB154" s="105"/>
      <c r="AC154" s="105"/>
      <c r="AD154" s="105"/>
      <c r="AE154" s="105"/>
      <c r="AF154" s="105"/>
      <c r="AG154" s="105"/>
      <c r="AH154" s="105"/>
      <c r="AI154" s="105"/>
      <c r="AJ154" s="107">
        <f t="shared" si="37"/>
        <v>0</v>
      </c>
      <c r="AK154" s="105"/>
      <c r="AL154" s="105"/>
      <c r="AM154" s="105"/>
      <c r="AN154" s="105"/>
      <c r="AO154" s="105"/>
      <c r="AP154" s="105"/>
      <c r="AQ154" s="108">
        <f t="shared" si="38"/>
        <v>0</v>
      </c>
      <c r="AR154" s="108">
        <f t="shared" si="39"/>
        <v>0</v>
      </c>
      <c r="AS154" s="109">
        <f t="shared" si="40"/>
        <v>0</v>
      </c>
      <c r="AU154" s="110">
        <f t="shared" si="31"/>
        <v>0</v>
      </c>
      <c r="AV154" s="111" t="str">
        <f>IF(D154="NR",
IF('ZD Vorerfassung'!$E$22="",0,IF(AND(B154&gt;='ZD Vorerfassung'!$C$22,B154&lt;='ZD Vorerfassung'!$D$22),HLOOKUP(TEXT(C154,"ttt"),'ZD Vorerfassung'!$H$21:$L$36,2,0),0))+
IF('ZD Vorerfassung'!$E$23="",0,IF(AND(B154&gt;='ZD Vorerfassung'!$C$23,B154&lt;='ZD Vorerfassung'!$D$23),HLOOKUP(TEXT(C154,"ttt"),'ZD Vorerfassung'!$H$21:$L$36,3,0),0))+
IF('ZD Vorerfassung'!$E$24="",0,IF(AND(B154&gt;='ZD Vorerfassung'!$C$24,B154&lt;='ZD Vorerfassung'!$D$24),HLOOKUP(TEXT(C154,"ttt"),'ZD Vorerfassung'!$H$21:$L$36,4,0),0))+
IF('ZD Vorerfassung'!$E$25="",0,IF(AND(B154&gt;='ZD Vorerfassung'!$C$25,B154&lt;='ZD Vorerfassung'!$D$25),HLOOKUP(TEXT(C154,"ttt"),'ZD Vorerfassung'!$H$21:$L$36,5,0),0))+
IF('ZD Vorerfassung'!$E$26="",0,IF(AND(B154&gt;='ZD Vorerfassung'!$C$26,B154&lt;='ZD Vorerfassung'!$D$26),HLOOKUP(TEXT(C154,"ttt"),'ZD Vorerfassung'!$H$21:$L$36,6,0),0))+
IF('ZD Vorerfassung'!$E$27="",0,IF(AND(B154&gt;='ZD Vorerfassung'!$C$27,B154&lt;='ZD Vorerfassung'!$D$27),HLOOKUP(TEXT(C154,"ttt"),'ZD Vorerfassung'!$H$21:$L$36,7,0),0))+
IF('ZD Vorerfassung'!$E$28="",0,IF(AND(B154&gt;='ZD Vorerfassung'!$C$28,B154&lt;='ZD Vorerfassung'!$D$28),HLOOKUP(TEXT(C154,"ttt"),'ZD Vorerfassung'!$H$21:$L$36,8,0),0))+
IF('ZD Vorerfassung'!$E$29="",0,IF(AND(B154&gt;='ZD Vorerfassung'!$C$29,B154&lt;='ZD Vorerfassung'!$D$29),HLOOKUP(TEXT(C154,"ttt"),'ZD Vorerfassung'!$H$21:$L$36,9,0),0))+
IF('ZD Vorerfassung'!$E$30="",0,IF(AND(B154&gt;='ZD Vorerfassung'!$C$30,B154&lt;='ZD Vorerfassung'!$D$30),HLOOKUP(TEXT(C154,"ttt"),'ZD Vorerfassung'!$H$21:$L$36,10,0),0))+
IF('ZD Vorerfassung'!$E$31="",0,IF(AND(B154&gt;='ZD Vorerfassung'!$C$31,B154&lt;='ZD Vorerfassung'!$D$31),HLOOKUP(TEXT(C154,"ttt"),'ZD Vorerfassung'!$H$21:$L$36,11,0),0))+
IF('ZD Vorerfassung'!$E$32="",0,IF(AND(B154&gt;='ZD Vorerfassung'!$C$32,B154&lt;='ZD Vorerfassung'!$D$32),HLOOKUP(TEXT(C154,"ttt"),'ZD Vorerfassung'!$H$21:$L$36,12,0),0))+
IF('ZD Vorerfassung'!$E$33="",0,IF(AND(B154&gt;='ZD Vorerfassung'!$C$33,B154&lt;='ZD Vorerfassung'!$D$33),HLOOKUP(TEXT(C154,"ttt"),'ZD Vorerfassung'!$H$21:$L$36,13,0),0))+
IF('ZD Vorerfassung'!$E$34="",0,IF(AND(B154&gt;='ZD Vorerfassung'!$C$34,B154&lt;='ZD Vorerfassung'!$D$34),HLOOKUP(TEXT(C154,"ttt"),'ZD Vorerfassung'!$H$21:$L$36,14,0),0))+
IF('ZD Vorerfassung'!$E$35="",0,IF(AND(B154&gt;='ZD Vorerfassung'!$C$35,B154&lt;='ZD Vorerfassung'!$D$35),HLOOKUP(TEXT(C154,"ttt"),'ZD Vorerfassung'!$H$21:$L$36,15,0),0))+
IF('ZD Vorerfassung'!$E$36="",0,IF(AND(B154&gt;='ZD Vorerfassung'!$C$36,B154&lt;='ZD Vorerfassung'!$D$36),HLOOKUP(TEXT(C154,"ttt"),'ZD Vorerfassung'!$H$21:$L$36,16,0),0)),"")</f>
        <v/>
      </c>
      <c r="AW154" s="110">
        <f t="array" ref="AW154">IF(OR(D154="UU",D154="FT",D154="WE"),0,
IF(D154="NR",SUM(IF(B154&gt;=_xlfn.NUMBERVALUE('ZD Vorerfassung'!$C$22:$C$36),1,0)*IF(B154&lt;=_xlfn.NUMBERVALUE('ZD Vorerfassung'!$D$22:$D$36),1,0)*'ZD Vorerfassung'!$Q$22:$Q$36),
IF(OR(D154="SF",D154="FH"),SUM(IF(B154&gt;=_xlfn.NUMBERVALUE('ZD Vorerfassung'!$C$22:$C$36),1,0)*IF(B154&lt;=_xlfn.NUMBERVALUE('ZD Vorerfassung'!$D$22:$D$36),1,0)*'ZD Vorerfassung'!$R$22:$R$36*IF(D154="FH",0.5,1)),
"prüfen")))</f>
        <v>0</v>
      </c>
      <c r="AX154" s="110">
        <f t="array" ref="AX154">IF(OR(D154="UU",D154="FT",D154="WE",E154="Ferien"),0,
IF(D154="NR",SUM(IF(B154&gt;=_xlfn.NUMBERVALUE('ZD Vorerfassung'!$C$22:$C$36),1,0)*IF(B154&lt;=_xlfn.NUMBERVALUE('ZD Vorerfassung'!$D$22:$D$36),1,0)*'ZD Vorerfassung'!$W$22:$W$36),
IF(OR(D154="SF",D154="FH"),SUM(IF(B154&gt;=_xlfn.NUMBERVALUE('ZD Vorerfassung'!$C$22:$C$36),1,0)*IF(B154&lt;=_xlfn.NUMBERVALUE('ZD Vorerfassung'!$D$22:$D$36),1,0)*'ZD Vorerfassung'!$X$22:$X$36*IF(D154="FH",0.5,1)),
"prüfen")))</f>
        <v>0</v>
      </c>
      <c r="AY154" s="110">
        <f t="array" ref="AY154">IF(OR(D154="UU",D154="FT",D154="WE",E154="Ferien"),0,
IF(D154="NR",SUM(IF(B154&gt;=_xlfn.NUMBERVALUE('ZD Vorerfassung'!$C$22:$C$36),1,0)*IF(B154&lt;=_xlfn.NUMBERVALUE('ZD Vorerfassung'!$D$22:$D$36),1,0)*'ZD Vorerfassung'!$U$22:$U$36),
IF(OR(D154="SF",D154="FH"),SUM(IF(B154&gt;=_xlfn.NUMBERVALUE('ZD Vorerfassung'!$C$22:$C$36),1,0)*IF(B154&lt;=_xlfn.NUMBERVALUE('ZD Vorerfassung'!$D$22:$D$36),1,0)*'ZD Vorerfassung'!$V$22:$V$36*IF(D154="FH",0.5,1)),
"prüfen")))</f>
        <v>0</v>
      </c>
      <c r="AZ154" s="110">
        <f t="array" ref="AZ154">IF(OR(D154="UU",D154="FT",D154="WE",E154="Ferien"),0,
IF(D154="NR",SUM(IF(B154&gt;=_xlfn.NUMBERVALUE('ZD Vorerfassung'!$C$22:$C$36),1,0)*IF(B154&lt;=_xlfn.NUMBERVALUE('ZD Vorerfassung'!$D$22:$D$36),1,0)*'ZD Vorerfassung'!$S$22:$S$36),
IF(OR(D154="SF",D154="FH"),SUM(IF(B154&gt;=_xlfn.NUMBERVALUE('ZD Vorerfassung'!$C$22:$C$36),1,0)*IF(B154&lt;=_xlfn.NUMBERVALUE('ZD Vorerfassung'!$D$22:$D$36),1,0)*'ZD Vorerfassung'!$T$22:$T$36*IF(D154="FH",0.5,1)),
"prüfen")))</f>
        <v>0</v>
      </c>
      <c r="BA154" s="112">
        <f t="shared" si="32"/>
        <v>12</v>
      </c>
    </row>
    <row r="155" spans="2:53" ht="19.5" thickTop="1" thickBot="1" x14ac:dyDescent="0.3">
      <c r="B155" s="99">
        <f t="shared" si="29"/>
        <v>44920</v>
      </c>
      <c r="C155" s="100">
        <f t="shared" si="33"/>
        <v>44920</v>
      </c>
      <c r="D155" s="101" t="str">
        <f t="shared" si="34"/>
        <v>WE</v>
      </c>
      <c r="E155" s="102" t="str">
        <f t="shared" si="30"/>
        <v>Wochenende</v>
      </c>
      <c r="F155" s="103" t="str">
        <f t="shared" si="35"/>
        <v/>
      </c>
      <c r="G155" s="104" t="str">
        <f t="shared" si="36"/>
        <v/>
      </c>
      <c r="H155" s="104">
        <f>IFERROR(IF('ZD Vorerfassung'!$E$11="manuell",SUM(I155),IF(OR(E155="Feiertag",E155="Wochenende"),0,IF('ZD Vorerfassung'!$E$11="automatisch",AX155,IF(D155="UU","UU",IF(E155=Param2,AX155/24,IF(E155=Param9,AX155/48,"")))))),0)</f>
        <v>0</v>
      </c>
      <c r="I155" s="105"/>
      <c r="J155" s="106">
        <f>IF('ZD Vorerfassung'!$E$12="manuell",SUM(K155:AI155),IF(OR(E155="Feiertag",E155="Wochenende"),0,IF('ZD Vorerfassung'!$E$12="automatisch",AY155,IF(D155="UU","UU",IF(E155=Param2,AY155/24,IF(E155=Param9,AY155/48,""))))))</f>
        <v>0</v>
      </c>
      <c r="K155" s="105"/>
      <c r="L155" s="105"/>
      <c r="M155" s="105"/>
      <c r="N155" s="105"/>
      <c r="O155" s="105"/>
      <c r="P155" s="105"/>
      <c r="Q155" s="105"/>
      <c r="R155" s="105"/>
      <c r="S155" s="105"/>
      <c r="T155" s="105"/>
      <c r="U155" s="105"/>
      <c r="V155" s="105"/>
      <c r="W155" s="105"/>
      <c r="X155" s="105"/>
      <c r="Y155" s="105"/>
      <c r="Z155" s="105"/>
      <c r="AA155" s="105"/>
      <c r="AB155" s="105"/>
      <c r="AC155" s="105"/>
      <c r="AD155" s="105"/>
      <c r="AE155" s="105"/>
      <c r="AF155" s="105"/>
      <c r="AG155" s="105"/>
      <c r="AH155" s="105"/>
      <c r="AI155" s="105"/>
      <c r="AJ155" s="107">
        <f t="shared" si="37"/>
        <v>0</v>
      </c>
      <c r="AK155" s="105"/>
      <c r="AL155" s="105"/>
      <c r="AM155" s="105"/>
      <c r="AN155" s="105"/>
      <c r="AO155" s="105"/>
      <c r="AP155" s="105"/>
      <c r="AQ155" s="108">
        <f t="shared" si="38"/>
        <v>0</v>
      </c>
      <c r="AR155" s="108">
        <f t="shared" si="39"/>
        <v>0</v>
      </c>
      <c r="AS155" s="109">
        <f t="shared" si="40"/>
        <v>0</v>
      </c>
      <c r="AU155" s="110">
        <f t="shared" si="31"/>
        <v>0</v>
      </c>
      <c r="AV155" s="111" t="str">
        <f>IF(D155="NR",
IF('ZD Vorerfassung'!$E$22="",0,IF(AND(B155&gt;='ZD Vorerfassung'!$C$22,B155&lt;='ZD Vorerfassung'!$D$22),HLOOKUP(TEXT(C155,"ttt"),'ZD Vorerfassung'!$H$21:$L$36,2,0),0))+
IF('ZD Vorerfassung'!$E$23="",0,IF(AND(B155&gt;='ZD Vorerfassung'!$C$23,B155&lt;='ZD Vorerfassung'!$D$23),HLOOKUP(TEXT(C155,"ttt"),'ZD Vorerfassung'!$H$21:$L$36,3,0),0))+
IF('ZD Vorerfassung'!$E$24="",0,IF(AND(B155&gt;='ZD Vorerfassung'!$C$24,B155&lt;='ZD Vorerfassung'!$D$24),HLOOKUP(TEXT(C155,"ttt"),'ZD Vorerfassung'!$H$21:$L$36,4,0),0))+
IF('ZD Vorerfassung'!$E$25="",0,IF(AND(B155&gt;='ZD Vorerfassung'!$C$25,B155&lt;='ZD Vorerfassung'!$D$25),HLOOKUP(TEXT(C155,"ttt"),'ZD Vorerfassung'!$H$21:$L$36,5,0),0))+
IF('ZD Vorerfassung'!$E$26="",0,IF(AND(B155&gt;='ZD Vorerfassung'!$C$26,B155&lt;='ZD Vorerfassung'!$D$26),HLOOKUP(TEXT(C155,"ttt"),'ZD Vorerfassung'!$H$21:$L$36,6,0),0))+
IF('ZD Vorerfassung'!$E$27="",0,IF(AND(B155&gt;='ZD Vorerfassung'!$C$27,B155&lt;='ZD Vorerfassung'!$D$27),HLOOKUP(TEXT(C155,"ttt"),'ZD Vorerfassung'!$H$21:$L$36,7,0),0))+
IF('ZD Vorerfassung'!$E$28="",0,IF(AND(B155&gt;='ZD Vorerfassung'!$C$28,B155&lt;='ZD Vorerfassung'!$D$28),HLOOKUP(TEXT(C155,"ttt"),'ZD Vorerfassung'!$H$21:$L$36,8,0),0))+
IF('ZD Vorerfassung'!$E$29="",0,IF(AND(B155&gt;='ZD Vorerfassung'!$C$29,B155&lt;='ZD Vorerfassung'!$D$29),HLOOKUP(TEXT(C155,"ttt"),'ZD Vorerfassung'!$H$21:$L$36,9,0),0))+
IF('ZD Vorerfassung'!$E$30="",0,IF(AND(B155&gt;='ZD Vorerfassung'!$C$30,B155&lt;='ZD Vorerfassung'!$D$30),HLOOKUP(TEXT(C155,"ttt"),'ZD Vorerfassung'!$H$21:$L$36,10,0),0))+
IF('ZD Vorerfassung'!$E$31="",0,IF(AND(B155&gt;='ZD Vorerfassung'!$C$31,B155&lt;='ZD Vorerfassung'!$D$31),HLOOKUP(TEXT(C155,"ttt"),'ZD Vorerfassung'!$H$21:$L$36,11,0),0))+
IF('ZD Vorerfassung'!$E$32="",0,IF(AND(B155&gt;='ZD Vorerfassung'!$C$32,B155&lt;='ZD Vorerfassung'!$D$32),HLOOKUP(TEXT(C155,"ttt"),'ZD Vorerfassung'!$H$21:$L$36,12,0),0))+
IF('ZD Vorerfassung'!$E$33="",0,IF(AND(B155&gt;='ZD Vorerfassung'!$C$33,B155&lt;='ZD Vorerfassung'!$D$33),HLOOKUP(TEXT(C155,"ttt"),'ZD Vorerfassung'!$H$21:$L$36,13,0),0))+
IF('ZD Vorerfassung'!$E$34="",0,IF(AND(B155&gt;='ZD Vorerfassung'!$C$34,B155&lt;='ZD Vorerfassung'!$D$34),HLOOKUP(TEXT(C155,"ttt"),'ZD Vorerfassung'!$H$21:$L$36,14,0),0))+
IF('ZD Vorerfassung'!$E$35="",0,IF(AND(B155&gt;='ZD Vorerfassung'!$C$35,B155&lt;='ZD Vorerfassung'!$D$35),HLOOKUP(TEXT(C155,"ttt"),'ZD Vorerfassung'!$H$21:$L$36,15,0),0))+
IF('ZD Vorerfassung'!$E$36="",0,IF(AND(B155&gt;='ZD Vorerfassung'!$C$36,B155&lt;='ZD Vorerfassung'!$D$36),HLOOKUP(TEXT(C155,"ttt"),'ZD Vorerfassung'!$H$21:$L$36,16,0),0)),"")</f>
        <v/>
      </c>
      <c r="AW155" s="110">
        <f t="array" ref="AW155">IF(OR(D155="UU",D155="FT",D155="WE"),0,
IF(D155="NR",SUM(IF(B155&gt;=_xlfn.NUMBERVALUE('ZD Vorerfassung'!$C$22:$C$36),1,0)*IF(B155&lt;=_xlfn.NUMBERVALUE('ZD Vorerfassung'!$D$22:$D$36),1,0)*'ZD Vorerfassung'!$Q$22:$Q$36),
IF(OR(D155="SF",D155="FH"),SUM(IF(B155&gt;=_xlfn.NUMBERVALUE('ZD Vorerfassung'!$C$22:$C$36),1,0)*IF(B155&lt;=_xlfn.NUMBERVALUE('ZD Vorerfassung'!$D$22:$D$36),1,0)*'ZD Vorerfassung'!$R$22:$R$36*IF(D155="FH",0.5,1)),
"prüfen")))</f>
        <v>0</v>
      </c>
      <c r="AX155" s="110">
        <f t="array" ref="AX155">IF(OR(D155="UU",D155="FT",D155="WE",E155="Ferien"),0,
IF(D155="NR",SUM(IF(B155&gt;=_xlfn.NUMBERVALUE('ZD Vorerfassung'!$C$22:$C$36),1,0)*IF(B155&lt;=_xlfn.NUMBERVALUE('ZD Vorerfassung'!$D$22:$D$36),1,0)*'ZD Vorerfassung'!$W$22:$W$36),
IF(OR(D155="SF",D155="FH"),SUM(IF(B155&gt;=_xlfn.NUMBERVALUE('ZD Vorerfassung'!$C$22:$C$36),1,0)*IF(B155&lt;=_xlfn.NUMBERVALUE('ZD Vorerfassung'!$D$22:$D$36),1,0)*'ZD Vorerfassung'!$X$22:$X$36*IF(D155="FH",0.5,1)),
"prüfen")))</f>
        <v>0</v>
      </c>
      <c r="AY155" s="110">
        <f t="array" ref="AY155">IF(OR(D155="UU",D155="FT",D155="WE",E155="Ferien"),0,
IF(D155="NR",SUM(IF(B155&gt;=_xlfn.NUMBERVALUE('ZD Vorerfassung'!$C$22:$C$36),1,0)*IF(B155&lt;=_xlfn.NUMBERVALUE('ZD Vorerfassung'!$D$22:$D$36),1,0)*'ZD Vorerfassung'!$U$22:$U$36),
IF(OR(D155="SF",D155="FH"),SUM(IF(B155&gt;=_xlfn.NUMBERVALUE('ZD Vorerfassung'!$C$22:$C$36),1,0)*IF(B155&lt;=_xlfn.NUMBERVALUE('ZD Vorerfassung'!$D$22:$D$36),1,0)*'ZD Vorerfassung'!$V$22:$V$36*IF(D155="FH",0.5,1)),
"prüfen")))</f>
        <v>0</v>
      </c>
      <c r="AZ155" s="110">
        <f t="array" ref="AZ155">IF(OR(D155="UU",D155="FT",D155="WE",E155="Ferien"),0,
IF(D155="NR",SUM(IF(B155&gt;=_xlfn.NUMBERVALUE('ZD Vorerfassung'!$C$22:$C$36),1,0)*IF(B155&lt;=_xlfn.NUMBERVALUE('ZD Vorerfassung'!$D$22:$D$36),1,0)*'ZD Vorerfassung'!$S$22:$S$36),
IF(OR(D155="SF",D155="FH"),SUM(IF(B155&gt;=_xlfn.NUMBERVALUE('ZD Vorerfassung'!$C$22:$C$36),1,0)*IF(B155&lt;=_xlfn.NUMBERVALUE('ZD Vorerfassung'!$D$22:$D$36),1,0)*'ZD Vorerfassung'!$T$22:$T$36*IF(D155="FH",0.5,1)),
"prüfen")))</f>
        <v>0</v>
      </c>
      <c r="BA155" s="112">
        <f t="shared" si="32"/>
        <v>12</v>
      </c>
    </row>
    <row r="156" spans="2:53" ht="19.5" thickTop="1" thickBot="1" x14ac:dyDescent="0.3">
      <c r="B156" s="99">
        <f t="shared" si="29"/>
        <v>44921</v>
      </c>
      <c r="C156" s="100">
        <f t="shared" si="33"/>
        <v>44921</v>
      </c>
      <c r="D156" s="101" t="str">
        <f t="shared" si="34"/>
        <v>WE</v>
      </c>
      <c r="E156" s="102" t="str">
        <f t="shared" si="30"/>
        <v>Wochenende</v>
      </c>
      <c r="F156" s="103" t="str">
        <f t="shared" si="35"/>
        <v/>
      </c>
      <c r="G156" s="104" t="str">
        <f t="shared" si="36"/>
        <v/>
      </c>
      <c r="H156" s="104">
        <f>IFERROR(IF('ZD Vorerfassung'!$E$11="manuell",SUM(I156),IF(OR(E156="Feiertag",E156="Wochenende"),0,IF('ZD Vorerfassung'!$E$11="automatisch",AX156,IF(D156="UU","UU",IF(E156=Param2,AX156/24,IF(E156=Param9,AX156/48,"")))))),0)</f>
        <v>0</v>
      </c>
      <c r="I156" s="105"/>
      <c r="J156" s="106">
        <f>IF('ZD Vorerfassung'!$E$12="manuell",SUM(K156:AI156),IF(OR(E156="Feiertag",E156="Wochenende"),0,IF('ZD Vorerfassung'!$E$12="automatisch",AY156,IF(D156="UU","UU",IF(E156=Param2,AY156/24,IF(E156=Param9,AY156/48,""))))))</f>
        <v>0</v>
      </c>
      <c r="K156" s="105"/>
      <c r="L156" s="105"/>
      <c r="M156" s="105"/>
      <c r="N156" s="105"/>
      <c r="O156" s="105"/>
      <c r="P156" s="105"/>
      <c r="Q156" s="105"/>
      <c r="R156" s="105"/>
      <c r="S156" s="105"/>
      <c r="T156" s="105"/>
      <c r="U156" s="105"/>
      <c r="V156" s="105"/>
      <c r="W156" s="105"/>
      <c r="X156" s="105"/>
      <c r="Y156" s="105"/>
      <c r="Z156" s="105"/>
      <c r="AA156" s="105"/>
      <c r="AB156" s="105"/>
      <c r="AC156" s="105"/>
      <c r="AD156" s="105"/>
      <c r="AE156" s="105"/>
      <c r="AF156" s="105"/>
      <c r="AG156" s="105"/>
      <c r="AH156" s="105"/>
      <c r="AI156" s="105"/>
      <c r="AJ156" s="107">
        <f t="shared" si="37"/>
        <v>0</v>
      </c>
      <c r="AK156" s="105"/>
      <c r="AL156" s="105"/>
      <c r="AM156" s="105"/>
      <c r="AN156" s="105"/>
      <c r="AO156" s="105"/>
      <c r="AP156" s="105"/>
      <c r="AQ156" s="108">
        <f t="shared" si="38"/>
        <v>0</v>
      </c>
      <c r="AR156" s="108">
        <f t="shared" si="39"/>
        <v>0</v>
      </c>
      <c r="AS156" s="109">
        <f t="shared" si="40"/>
        <v>0</v>
      </c>
      <c r="AU156" s="110">
        <f t="shared" si="31"/>
        <v>0</v>
      </c>
      <c r="AV156" s="111" t="str">
        <f>IF(D156="NR",
IF('ZD Vorerfassung'!$E$22="",0,IF(AND(B156&gt;='ZD Vorerfassung'!$C$22,B156&lt;='ZD Vorerfassung'!$D$22),HLOOKUP(TEXT(C156,"ttt"),'ZD Vorerfassung'!$H$21:$L$36,2,0),0))+
IF('ZD Vorerfassung'!$E$23="",0,IF(AND(B156&gt;='ZD Vorerfassung'!$C$23,B156&lt;='ZD Vorerfassung'!$D$23),HLOOKUP(TEXT(C156,"ttt"),'ZD Vorerfassung'!$H$21:$L$36,3,0),0))+
IF('ZD Vorerfassung'!$E$24="",0,IF(AND(B156&gt;='ZD Vorerfassung'!$C$24,B156&lt;='ZD Vorerfassung'!$D$24),HLOOKUP(TEXT(C156,"ttt"),'ZD Vorerfassung'!$H$21:$L$36,4,0),0))+
IF('ZD Vorerfassung'!$E$25="",0,IF(AND(B156&gt;='ZD Vorerfassung'!$C$25,B156&lt;='ZD Vorerfassung'!$D$25),HLOOKUP(TEXT(C156,"ttt"),'ZD Vorerfassung'!$H$21:$L$36,5,0),0))+
IF('ZD Vorerfassung'!$E$26="",0,IF(AND(B156&gt;='ZD Vorerfassung'!$C$26,B156&lt;='ZD Vorerfassung'!$D$26),HLOOKUP(TEXT(C156,"ttt"),'ZD Vorerfassung'!$H$21:$L$36,6,0),0))+
IF('ZD Vorerfassung'!$E$27="",0,IF(AND(B156&gt;='ZD Vorerfassung'!$C$27,B156&lt;='ZD Vorerfassung'!$D$27),HLOOKUP(TEXT(C156,"ttt"),'ZD Vorerfassung'!$H$21:$L$36,7,0),0))+
IF('ZD Vorerfassung'!$E$28="",0,IF(AND(B156&gt;='ZD Vorerfassung'!$C$28,B156&lt;='ZD Vorerfassung'!$D$28),HLOOKUP(TEXT(C156,"ttt"),'ZD Vorerfassung'!$H$21:$L$36,8,0),0))+
IF('ZD Vorerfassung'!$E$29="",0,IF(AND(B156&gt;='ZD Vorerfassung'!$C$29,B156&lt;='ZD Vorerfassung'!$D$29),HLOOKUP(TEXT(C156,"ttt"),'ZD Vorerfassung'!$H$21:$L$36,9,0),0))+
IF('ZD Vorerfassung'!$E$30="",0,IF(AND(B156&gt;='ZD Vorerfassung'!$C$30,B156&lt;='ZD Vorerfassung'!$D$30),HLOOKUP(TEXT(C156,"ttt"),'ZD Vorerfassung'!$H$21:$L$36,10,0),0))+
IF('ZD Vorerfassung'!$E$31="",0,IF(AND(B156&gt;='ZD Vorerfassung'!$C$31,B156&lt;='ZD Vorerfassung'!$D$31),HLOOKUP(TEXT(C156,"ttt"),'ZD Vorerfassung'!$H$21:$L$36,11,0),0))+
IF('ZD Vorerfassung'!$E$32="",0,IF(AND(B156&gt;='ZD Vorerfassung'!$C$32,B156&lt;='ZD Vorerfassung'!$D$32),HLOOKUP(TEXT(C156,"ttt"),'ZD Vorerfassung'!$H$21:$L$36,12,0),0))+
IF('ZD Vorerfassung'!$E$33="",0,IF(AND(B156&gt;='ZD Vorerfassung'!$C$33,B156&lt;='ZD Vorerfassung'!$D$33),HLOOKUP(TEXT(C156,"ttt"),'ZD Vorerfassung'!$H$21:$L$36,13,0),0))+
IF('ZD Vorerfassung'!$E$34="",0,IF(AND(B156&gt;='ZD Vorerfassung'!$C$34,B156&lt;='ZD Vorerfassung'!$D$34),HLOOKUP(TEXT(C156,"ttt"),'ZD Vorerfassung'!$H$21:$L$36,14,0),0))+
IF('ZD Vorerfassung'!$E$35="",0,IF(AND(B156&gt;='ZD Vorerfassung'!$C$35,B156&lt;='ZD Vorerfassung'!$D$35),HLOOKUP(TEXT(C156,"ttt"),'ZD Vorerfassung'!$H$21:$L$36,15,0),0))+
IF('ZD Vorerfassung'!$E$36="",0,IF(AND(B156&gt;='ZD Vorerfassung'!$C$36,B156&lt;='ZD Vorerfassung'!$D$36),HLOOKUP(TEXT(C156,"ttt"),'ZD Vorerfassung'!$H$21:$L$36,16,0),0)),"")</f>
        <v/>
      </c>
      <c r="AW156" s="110">
        <f t="array" ref="AW156">IF(OR(D156="UU",D156="FT",D156="WE"),0,
IF(D156="NR",SUM(IF(B156&gt;=_xlfn.NUMBERVALUE('ZD Vorerfassung'!$C$22:$C$36),1,0)*IF(B156&lt;=_xlfn.NUMBERVALUE('ZD Vorerfassung'!$D$22:$D$36),1,0)*'ZD Vorerfassung'!$Q$22:$Q$36),
IF(OR(D156="SF",D156="FH"),SUM(IF(B156&gt;=_xlfn.NUMBERVALUE('ZD Vorerfassung'!$C$22:$C$36),1,0)*IF(B156&lt;=_xlfn.NUMBERVALUE('ZD Vorerfassung'!$D$22:$D$36),1,0)*'ZD Vorerfassung'!$R$22:$R$36*IF(D156="FH",0.5,1)),
"prüfen")))</f>
        <v>0</v>
      </c>
      <c r="AX156" s="110">
        <f t="array" ref="AX156">IF(OR(D156="UU",D156="FT",D156="WE",E156="Ferien"),0,
IF(D156="NR",SUM(IF(B156&gt;=_xlfn.NUMBERVALUE('ZD Vorerfassung'!$C$22:$C$36),1,0)*IF(B156&lt;=_xlfn.NUMBERVALUE('ZD Vorerfassung'!$D$22:$D$36),1,0)*'ZD Vorerfassung'!$W$22:$W$36),
IF(OR(D156="SF",D156="FH"),SUM(IF(B156&gt;=_xlfn.NUMBERVALUE('ZD Vorerfassung'!$C$22:$C$36),1,0)*IF(B156&lt;=_xlfn.NUMBERVALUE('ZD Vorerfassung'!$D$22:$D$36),1,0)*'ZD Vorerfassung'!$X$22:$X$36*IF(D156="FH",0.5,1)),
"prüfen")))</f>
        <v>0</v>
      </c>
      <c r="AY156" s="110">
        <f t="array" ref="AY156">IF(OR(D156="UU",D156="FT",D156="WE",E156="Ferien"),0,
IF(D156="NR",SUM(IF(B156&gt;=_xlfn.NUMBERVALUE('ZD Vorerfassung'!$C$22:$C$36),1,0)*IF(B156&lt;=_xlfn.NUMBERVALUE('ZD Vorerfassung'!$D$22:$D$36),1,0)*'ZD Vorerfassung'!$U$22:$U$36),
IF(OR(D156="SF",D156="FH"),SUM(IF(B156&gt;=_xlfn.NUMBERVALUE('ZD Vorerfassung'!$C$22:$C$36),1,0)*IF(B156&lt;=_xlfn.NUMBERVALUE('ZD Vorerfassung'!$D$22:$D$36),1,0)*'ZD Vorerfassung'!$V$22:$V$36*IF(D156="FH",0.5,1)),
"prüfen")))</f>
        <v>0</v>
      </c>
      <c r="AZ156" s="110">
        <f t="array" ref="AZ156">IF(OR(D156="UU",D156="FT",D156="WE",E156="Ferien"),0,
IF(D156="NR",SUM(IF(B156&gt;=_xlfn.NUMBERVALUE('ZD Vorerfassung'!$C$22:$C$36),1,0)*IF(B156&lt;=_xlfn.NUMBERVALUE('ZD Vorerfassung'!$D$22:$D$36),1,0)*'ZD Vorerfassung'!$S$22:$S$36),
IF(OR(D156="SF",D156="FH"),SUM(IF(B156&gt;=_xlfn.NUMBERVALUE('ZD Vorerfassung'!$C$22:$C$36),1,0)*IF(B156&lt;=_xlfn.NUMBERVALUE('ZD Vorerfassung'!$D$22:$D$36),1,0)*'ZD Vorerfassung'!$T$22:$T$36*IF(D156="FH",0.5,1)),
"prüfen")))</f>
        <v>0</v>
      </c>
      <c r="BA156" s="112">
        <f t="shared" si="32"/>
        <v>12</v>
      </c>
    </row>
    <row r="157" spans="2:53" ht="19.5" thickTop="1" thickBot="1" x14ac:dyDescent="0.3">
      <c r="B157" s="99">
        <f t="shared" si="29"/>
        <v>44922</v>
      </c>
      <c r="C157" s="100">
        <f t="shared" si="33"/>
        <v>44922</v>
      </c>
      <c r="D157" s="101" t="str">
        <f t="shared" si="34"/>
        <v>SF</v>
      </c>
      <c r="E157" s="102" t="str">
        <f t="shared" si="30"/>
        <v>unterrichtsfreie Arbeitszeit</v>
      </c>
      <c r="F157" s="103" t="str">
        <f t="shared" si="35"/>
        <v/>
      </c>
      <c r="G157" s="104" t="str">
        <f t="shared" si="36"/>
        <v/>
      </c>
      <c r="H157" s="104">
        <f>IFERROR(IF('ZD Vorerfassung'!$E$11="manuell",SUM(I157),IF(OR(E157="Feiertag",E157="Wochenende"),0,IF('ZD Vorerfassung'!$E$11="automatisch",AX157,IF(D157="UU","UU",IF(E157=Param2,AX157/24,IF(E157=Param9,AX157/48,"")))))),0)</f>
        <v>0</v>
      </c>
      <c r="I157" s="105"/>
      <c r="J157" s="106">
        <f>IF('ZD Vorerfassung'!$E$12="manuell",SUM(K157:AI157),IF(OR(E157="Feiertag",E157="Wochenende"),0,IF('ZD Vorerfassung'!$E$12="automatisch",AY157,IF(D157="UU","UU",IF(E157=Param2,AY157/24,IF(E157=Param9,AY157/48,""))))))</f>
        <v>0</v>
      </c>
      <c r="K157" s="105"/>
      <c r="L157" s="105"/>
      <c r="M157" s="105"/>
      <c r="N157" s="105"/>
      <c r="O157" s="105"/>
      <c r="P157" s="105"/>
      <c r="Q157" s="105"/>
      <c r="R157" s="105"/>
      <c r="S157" s="105"/>
      <c r="T157" s="105"/>
      <c r="U157" s="105"/>
      <c r="V157" s="105"/>
      <c r="W157" s="105"/>
      <c r="X157" s="105"/>
      <c r="Y157" s="105"/>
      <c r="Z157" s="105"/>
      <c r="AA157" s="105"/>
      <c r="AB157" s="105"/>
      <c r="AC157" s="105"/>
      <c r="AD157" s="105"/>
      <c r="AE157" s="105"/>
      <c r="AF157" s="105"/>
      <c r="AG157" s="105"/>
      <c r="AH157" s="105"/>
      <c r="AI157" s="105"/>
      <c r="AJ157" s="107">
        <f t="shared" si="37"/>
        <v>0</v>
      </c>
      <c r="AK157" s="105"/>
      <c r="AL157" s="105"/>
      <c r="AM157" s="105"/>
      <c r="AN157" s="105"/>
      <c r="AO157" s="105"/>
      <c r="AP157" s="105"/>
      <c r="AQ157" s="108">
        <f t="shared" si="38"/>
        <v>0</v>
      </c>
      <c r="AR157" s="108">
        <f t="shared" si="39"/>
        <v>0</v>
      </c>
      <c r="AS157" s="109">
        <f t="shared" si="40"/>
        <v>0</v>
      </c>
      <c r="AU157" s="110">
        <f t="shared" si="31"/>
        <v>0</v>
      </c>
      <c r="AV157" s="111" t="str">
        <f>IF(D157="NR",
IF('ZD Vorerfassung'!$E$22="",0,IF(AND(B157&gt;='ZD Vorerfassung'!$C$22,B157&lt;='ZD Vorerfassung'!$D$22),HLOOKUP(TEXT(C157,"ttt"),'ZD Vorerfassung'!$H$21:$L$36,2,0),0))+
IF('ZD Vorerfassung'!$E$23="",0,IF(AND(B157&gt;='ZD Vorerfassung'!$C$23,B157&lt;='ZD Vorerfassung'!$D$23),HLOOKUP(TEXT(C157,"ttt"),'ZD Vorerfassung'!$H$21:$L$36,3,0),0))+
IF('ZD Vorerfassung'!$E$24="",0,IF(AND(B157&gt;='ZD Vorerfassung'!$C$24,B157&lt;='ZD Vorerfassung'!$D$24),HLOOKUP(TEXT(C157,"ttt"),'ZD Vorerfassung'!$H$21:$L$36,4,0),0))+
IF('ZD Vorerfassung'!$E$25="",0,IF(AND(B157&gt;='ZD Vorerfassung'!$C$25,B157&lt;='ZD Vorerfassung'!$D$25),HLOOKUP(TEXT(C157,"ttt"),'ZD Vorerfassung'!$H$21:$L$36,5,0),0))+
IF('ZD Vorerfassung'!$E$26="",0,IF(AND(B157&gt;='ZD Vorerfassung'!$C$26,B157&lt;='ZD Vorerfassung'!$D$26),HLOOKUP(TEXT(C157,"ttt"),'ZD Vorerfassung'!$H$21:$L$36,6,0),0))+
IF('ZD Vorerfassung'!$E$27="",0,IF(AND(B157&gt;='ZD Vorerfassung'!$C$27,B157&lt;='ZD Vorerfassung'!$D$27),HLOOKUP(TEXT(C157,"ttt"),'ZD Vorerfassung'!$H$21:$L$36,7,0),0))+
IF('ZD Vorerfassung'!$E$28="",0,IF(AND(B157&gt;='ZD Vorerfassung'!$C$28,B157&lt;='ZD Vorerfassung'!$D$28),HLOOKUP(TEXT(C157,"ttt"),'ZD Vorerfassung'!$H$21:$L$36,8,0),0))+
IF('ZD Vorerfassung'!$E$29="",0,IF(AND(B157&gt;='ZD Vorerfassung'!$C$29,B157&lt;='ZD Vorerfassung'!$D$29),HLOOKUP(TEXT(C157,"ttt"),'ZD Vorerfassung'!$H$21:$L$36,9,0),0))+
IF('ZD Vorerfassung'!$E$30="",0,IF(AND(B157&gt;='ZD Vorerfassung'!$C$30,B157&lt;='ZD Vorerfassung'!$D$30),HLOOKUP(TEXT(C157,"ttt"),'ZD Vorerfassung'!$H$21:$L$36,10,0),0))+
IF('ZD Vorerfassung'!$E$31="",0,IF(AND(B157&gt;='ZD Vorerfassung'!$C$31,B157&lt;='ZD Vorerfassung'!$D$31),HLOOKUP(TEXT(C157,"ttt"),'ZD Vorerfassung'!$H$21:$L$36,11,0),0))+
IF('ZD Vorerfassung'!$E$32="",0,IF(AND(B157&gt;='ZD Vorerfassung'!$C$32,B157&lt;='ZD Vorerfassung'!$D$32),HLOOKUP(TEXT(C157,"ttt"),'ZD Vorerfassung'!$H$21:$L$36,12,0),0))+
IF('ZD Vorerfassung'!$E$33="",0,IF(AND(B157&gt;='ZD Vorerfassung'!$C$33,B157&lt;='ZD Vorerfassung'!$D$33),HLOOKUP(TEXT(C157,"ttt"),'ZD Vorerfassung'!$H$21:$L$36,13,0),0))+
IF('ZD Vorerfassung'!$E$34="",0,IF(AND(B157&gt;='ZD Vorerfassung'!$C$34,B157&lt;='ZD Vorerfassung'!$D$34),HLOOKUP(TEXT(C157,"ttt"),'ZD Vorerfassung'!$H$21:$L$36,14,0),0))+
IF('ZD Vorerfassung'!$E$35="",0,IF(AND(B157&gt;='ZD Vorerfassung'!$C$35,B157&lt;='ZD Vorerfassung'!$D$35),HLOOKUP(TEXT(C157,"ttt"),'ZD Vorerfassung'!$H$21:$L$36,15,0),0))+
IF('ZD Vorerfassung'!$E$36="",0,IF(AND(B157&gt;='ZD Vorerfassung'!$C$36,B157&lt;='ZD Vorerfassung'!$D$36),HLOOKUP(TEXT(C157,"ttt"),'ZD Vorerfassung'!$H$21:$L$36,16,0),0)),"")</f>
        <v/>
      </c>
      <c r="AW157" s="110">
        <f t="array" ref="AW157">IF(OR(D157="UU",D157="FT",D157="WE"),0,
IF(D157="NR",SUM(IF(B157&gt;=_xlfn.NUMBERVALUE('ZD Vorerfassung'!$C$22:$C$36),1,0)*IF(B157&lt;=_xlfn.NUMBERVALUE('ZD Vorerfassung'!$D$22:$D$36),1,0)*'ZD Vorerfassung'!$Q$22:$Q$36),
IF(OR(D157="SF",D157="FH"),SUM(IF(B157&gt;=_xlfn.NUMBERVALUE('ZD Vorerfassung'!$C$22:$C$36),1,0)*IF(B157&lt;=_xlfn.NUMBERVALUE('ZD Vorerfassung'!$D$22:$D$36),1,0)*'ZD Vorerfassung'!$R$22:$R$36*IF(D157="FH",0.5,1)),
"prüfen")))</f>
        <v>0</v>
      </c>
      <c r="AX157" s="110">
        <f t="array" ref="AX157">IF(OR(D157="UU",D157="FT",D157="WE",E157="Ferien"),0,
IF(D157="NR",SUM(IF(B157&gt;=_xlfn.NUMBERVALUE('ZD Vorerfassung'!$C$22:$C$36),1,0)*IF(B157&lt;=_xlfn.NUMBERVALUE('ZD Vorerfassung'!$D$22:$D$36),1,0)*'ZD Vorerfassung'!$W$22:$W$36),
IF(OR(D157="SF",D157="FH"),SUM(IF(B157&gt;=_xlfn.NUMBERVALUE('ZD Vorerfassung'!$C$22:$C$36),1,0)*IF(B157&lt;=_xlfn.NUMBERVALUE('ZD Vorerfassung'!$D$22:$D$36),1,0)*'ZD Vorerfassung'!$X$22:$X$36*IF(D157="FH",0.5,1)),
"prüfen")))</f>
        <v>0</v>
      </c>
      <c r="AY157" s="110">
        <f t="array" ref="AY157">IF(OR(D157="UU",D157="FT",D157="WE",E157="Ferien"),0,
IF(D157="NR",SUM(IF(B157&gt;=_xlfn.NUMBERVALUE('ZD Vorerfassung'!$C$22:$C$36),1,0)*IF(B157&lt;=_xlfn.NUMBERVALUE('ZD Vorerfassung'!$D$22:$D$36),1,0)*'ZD Vorerfassung'!$U$22:$U$36),
IF(OR(D157="SF",D157="FH"),SUM(IF(B157&gt;=_xlfn.NUMBERVALUE('ZD Vorerfassung'!$C$22:$C$36),1,0)*IF(B157&lt;=_xlfn.NUMBERVALUE('ZD Vorerfassung'!$D$22:$D$36),1,0)*'ZD Vorerfassung'!$V$22:$V$36*IF(D157="FH",0.5,1)),
"prüfen")))</f>
        <v>0</v>
      </c>
      <c r="AZ157" s="110">
        <f t="array" ref="AZ157">IF(OR(D157="UU",D157="FT",D157="WE",E157="Ferien"),0,
IF(D157="NR",SUM(IF(B157&gt;=_xlfn.NUMBERVALUE('ZD Vorerfassung'!$C$22:$C$36),1,0)*IF(B157&lt;=_xlfn.NUMBERVALUE('ZD Vorerfassung'!$D$22:$D$36),1,0)*'ZD Vorerfassung'!$S$22:$S$36),
IF(OR(D157="SF",D157="FH"),SUM(IF(B157&gt;=_xlfn.NUMBERVALUE('ZD Vorerfassung'!$C$22:$C$36),1,0)*IF(B157&lt;=_xlfn.NUMBERVALUE('ZD Vorerfassung'!$D$22:$D$36),1,0)*'ZD Vorerfassung'!$T$22:$T$36*IF(D157="FH",0.5,1)),
"prüfen")))</f>
        <v>0</v>
      </c>
      <c r="BA157" s="112">
        <f t="shared" si="32"/>
        <v>12</v>
      </c>
    </row>
    <row r="158" spans="2:53" ht="19.5" thickTop="1" thickBot="1" x14ac:dyDescent="0.3">
      <c r="B158" s="99">
        <f t="shared" si="29"/>
        <v>44923</v>
      </c>
      <c r="C158" s="100">
        <f t="shared" si="33"/>
        <v>44923</v>
      </c>
      <c r="D158" s="101" t="str">
        <f t="shared" si="34"/>
        <v>SF</v>
      </c>
      <c r="E158" s="102" t="str">
        <f t="shared" si="30"/>
        <v>unterrichtsfreie Arbeitszeit</v>
      </c>
      <c r="F158" s="103" t="str">
        <f t="shared" si="35"/>
        <v/>
      </c>
      <c r="G158" s="104" t="str">
        <f t="shared" si="36"/>
        <v/>
      </c>
      <c r="H158" s="104">
        <f>IFERROR(IF('ZD Vorerfassung'!$E$11="manuell",SUM(I158),IF(OR(E158="Feiertag",E158="Wochenende"),0,IF('ZD Vorerfassung'!$E$11="automatisch",AX158,IF(D158="UU","UU",IF(E158=Param2,AX158/24,IF(E158=Param9,AX158/48,"")))))),0)</f>
        <v>0</v>
      </c>
      <c r="I158" s="105"/>
      <c r="J158" s="106">
        <f>IF('ZD Vorerfassung'!$E$12="manuell",SUM(K158:AI158),IF(OR(E158="Feiertag",E158="Wochenende"),0,IF('ZD Vorerfassung'!$E$12="automatisch",AY158,IF(D158="UU","UU",IF(E158=Param2,AY158/24,IF(E158=Param9,AY158/48,""))))))</f>
        <v>0</v>
      </c>
      <c r="K158" s="105"/>
      <c r="L158" s="105"/>
      <c r="M158" s="105"/>
      <c r="N158" s="105"/>
      <c r="O158" s="105"/>
      <c r="P158" s="105"/>
      <c r="Q158" s="105"/>
      <c r="R158" s="105"/>
      <c r="S158" s="105"/>
      <c r="T158" s="105"/>
      <c r="U158" s="105"/>
      <c r="V158" s="105"/>
      <c r="W158" s="105"/>
      <c r="X158" s="105"/>
      <c r="Y158" s="105"/>
      <c r="Z158" s="105"/>
      <c r="AA158" s="105"/>
      <c r="AB158" s="105"/>
      <c r="AC158" s="105"/>
      <c r="AD158" s="105"/>
      <c r="AE158" s="105"/>
      <c r="AF158" s="105"/>
      <c r="AG158" s="105"/>
      <c r="AH158" s="105"/>
      <c r="AI158" s="105"/>
      <c r="AJ158" s="107">
        <f t="shared" si="37"/>
        <v>0</v>
      </c>
      <c r="AK158" s="105"/>
      <c r="AL158" s="105"/>
      <c r="AM158" s="105"/>
      <c r="AN158" s="105"/>
      <c r="AO158" s="105"/>
      <c r="AP158" s="105"/>
      <c r="AQ158" s="108">
        <f t="shared" si="38"/>
        <v>0</v>
      </c>
      <c r="AR158" s="108">
        <f t="shared" si="39"/>
        <v>0</v>
      </c>
      <c r="AS158" s="109">
        <f t="shared" si="40"/>
        <v>0</v>
      </c>
      <c r="AU158" s="110">
        <f t="shared" si="31"/>
        <v>0</v>
      </c>
      <c r="AV158" s="111" t="str">
        <f>IF(D158="NR",
IF('ZD Vorerfassung'!$E$22="",0,IF(AND(B158&gt;='ZD Vorerfassung'!$C$22,B158&lt;='ZD Vorerfassung'!$D$22),HLOOKUP(TEXT(C158,"ttt"),'ZD Vorerfassung'!$H$21:$L$36,2,0),0))+
IF('ZD Vorerfassung'!$E$23="",0,IF(AND(B158&gt;='ZD Vorerfassung'!$C$23,B158&lt;='ZD Vorerfassung'!$D$23),HLOOKUP(TEXT(C158,"ttt"),'ZD Vorerfassung'!$H$21:$L$36,3,0),0))+
IF('ZD Vorerfassung'!$E$24="",0,IF(AND(B158&gt;='ZD Vorerfassung'!$C$24,B158&lt;='ZD Vorerfassung'!$D$24),HLOOKUP(TEXT(C158,"ttt"),'ZD Vorerfassung'!$H$21:$L$36,4,0),0))+
IF('ZD Vorerfassung'!$E$25="",0,IF(AND(B158&gt;='ZD Vorerfassung'!$C$25,B158&lt;='ZD Vorerfassung'!$D$25),HLOOKUP(TEXT(C158,"ttt"),'ZD Vorerfassung'!$H$21:$L$36,5,0),0))+
IF('ZD Vorerfassung'!$E$26="",0,IF(AND(B158&gt;='ZD Vorerfassung'!$C$26,B158&lt;='ZD Vorerfassung'!$D$26),HLOOKUP(TEXT(C158,"ttt"),'ZD Vorerfassung'!$H$21:$L$36,6,0),0))+
IF('ZD Vorerfassung'!$E$27="",0,IF(AND(B158&gt;='ZD Vorerfassung'!$C$27,B158&lt;='ZD Vorerfassung'!$D$27),HLOOKUP(TEXT(C158,"ttt"),'ZD Vorerfassung'!$H$21:$L$36,7,0),0))+
IF('ZD Vorerfassung'!$E$28="",0,IF(AND(B158&gt;='ZD Vorerfassung'!$C$28,B158&lt;='ZD Vorerfassung'!$D$28),HLOOKUP(TEXT(C158,"ttt"),'ZD Vorerfassung'!$H$21:$L$36,8,0),0))+
IF('ZD Vorerfassung'!$E$29="",0,IF(AND(B158&gt;='ZD Vorerfassung'!$C$29,B158&lt;='ZD Vorerfassung'!$D$29),HLOOKUP(TEXT(C158,"ttt"),'ZD Vorerfassung'!$H$21:$L$36,9,0),0))+
IF('ZD Vorerfassung'!$E$30="",0,IF(AND(B158&gt;='ZD Vorerfassung'!$C$30,B158&lt;='ZD Vorerfassung'!$D$30),HLOOKUP(TEXT(C158,"ttt"),'ZD Vorerfassung'!$H$21:$L$36,10,0),0))+
IF('ZD Vorerfassung'!$E$31="",0,IF(AND(B158&gt;='ZD Vorerfassung'!$C$31,B158&lt;='ZD Vorerfassung'!$D$31),HLOOKUP(TEXT(C158,"ttt"),'ZD Vorerfassung'!$H$21:$L$36,11,0),0))+
IF('ZD Vorerfassung'!$E$32="",0,IF(AND(B158&gt;='ZD Vorerfassung'!$C$32,B158&lt;='ZD Vorerfassung'!$D$32),HLOOKUP(TEXT(C158,"ttt"),'ZD Vorerfassung'!$H$21:$L$36,12,0),0))+
IF('ZD Vorerfassung'!$E$33="",0,IF(AND(B158&gt;='ZD Vorerfassung'!$C$33,B158&lt;='ZD Vorerfassung'!$D$33),HLOOKUP(TEXT(C158,"ttt"),'ZD Vorerfassung'!$H$21:$L$36,13,0),0))+
IF('ZD Vorerfassung'!$E$34="",0,IF(AND(B158&gt;='ZD Vorerfassung'!$C$34,B158&lt;='ZD Vorerfassung'!$D$34),HLOOKUP(TEXT(C158,"ttt"),'ZD Vorerfassung'!$H$21:$L$36,14,0),0))+
IF('ZD Vorerfassung'!$E$35="",0,IF(AND(B158&gt;='ZD Vorerfassung'!$C$35,B158&lt;='ZD Vorerfassung'!$D$35),HLOOKUP(TEXT(C158,"ttt"),'ZD Vorerfassung'!$H$21:$L$36,15,0),0))+
IF('ZD Vorerfassung'!$E$36="",0,IF(AND(B158&gt;='ZD Vorerfassung'!$C$36,B158&lt;='ZD Vorerfassung'!$D$36),HLOOKUP(TEXT(C158,"ttt"),'ZD Vorerfassung'!$H$21:$L$36,16,0),0)),"")</f>
        <v/>
      </c>
      <c r="AW158" s="110">
        <f t="array" ref="AW158">IF(OR(D158="UU",D158="FT",D158="WE"),0,
IF(D158="NR",SUM(IF(B158&gt;=_xlfn.NUMBERVALUE('ZD Vorerfassung'!$C$22:$C$36),1,0)*IF(B158&lt;=_xlfn.NUMBERVALUE('ZD Vorerfassung'!$D$22:$D$36),1,0)*'ZD Vorerfassung'!$Q$22:$Q$36),
IF(OR(D158="SF",D158="FH"),SUM(IF(B158&gt;=_xlfn.NUMBERVALUE('ZD Vorerfassung'!$C$22:$C$36),1,0)*IF(B158&lt;=_xlfn.NUMBERVALUE('ZD Vorerfassung'!$D$22:$D$36),1,0)*'ZD Vorerfassung'!$R$22:$R$36*IF(D158="FH",0.5,1)),
"prüfen")))</f>
        <v>0</v>
      </c>
      <c r="AX158" s="110">
        <f t="array" ref="AX158">IF(OR(D158="UU",D158="FT",D158="WE",E158="Ferien"),0,
IF(D158="NR",SUM(IF(B158&gt;=_xlfn.NUMBERVALUE('ZD Vorerfassung'!$C$22:$C$36),1,0)*IF(B158&lt;=_xlfn.NUMBERVALUE('ZD Vorerfassung'!$D$22:$D$36),1,0)*'ZD Vorerfassung'!$W$22:$W$36),
IF(OR(D158="SF",D158="FH"),SUM(IF(B158&gt;=_xlfn.NUMBERVALUE('ZD Vorerfassung'!$C$22:$C$36),1,0)*IF(B158&lt;=_xlfn.NUMBERVALUE('ZD Vorerfassung'!$D$22:$D$36),1,0)*'ZD Vorerfassung'!$X$22:$X$36*IF(D158="FH",0.5,1)),
"prüfen")))</f>
        <v>0</v>
      </c>
      <c r="AY158" s="110">
        <f t="array" ref="AY158">IF(OR(D158="UU",D158="FT",D158="WE",E158="Ferien"),0,
IF(D158="NR",SUM(IF(B158&gt;=_xlfn.NUMBERVALUE('ZD Vorerfassung'!$C$22:$C$36),1,0)*IF(B158&lt;=_xlfn.NUMBERVALUE('ZD Vorerfassung'!$D$22:$D$36),1,0)*'ZD Vorerfassung'!$U$22:$U$36),
IF(OR(D158="SF",D158="FH"),SUM(IF(B158&gt;=_xlfn.NUMBERVALUE('ZD Vorerfassung'!$C$22:$C$36),1,0)*IF(B158&lt;=_xlfn.NUMBERVALUE('ZD Vorerfassung'!$D$22:$D$36),1,0)*'ZD Vorerfassung'!$V$22:$V$36*IF(D158="FH",0.5,1)),
"prüfen")))</f>
        <v>0</v>
      </c>
      <c r="AZ158" s="110">
        <f t="array" ref="AZ158">IF(OR(D158="UU",D158="FT",D158="WE",E158="Ferien"),0,
IF(D158="NR",SUM(IF(B158&gt;=_xlfn.NUMBERVALUE('ZD Vorerfassung'!$C$22:$C$36),1,0)*IF(B158&lt;=_xlfn.NUMBERVALUE('ZD Vorerfassung'!$D$22:$D$36),1,0)*'ZD Vorerfassung'!$S$22:$S$36),
IF(OR(D158="SF",D158="FH"),SUM(IF(B158&gt;=_xlfn.NUMBERVALUE('ZD Vorerfassung'!$C$22:$C$36),1,0)*IF(B158&lt;=_xlfn.NUMBERVALUE('ZD Vorerfassung'!$D$22:$D$36),1,0)*'ZD Vorerfassung'!$T$22:$T$36*IF(D158="FH",0.5,1)),
"prüfen")))</f>
        <v>0</v>
      </c>
      <c r="BA158" s="112">
        <f t="shared" si="32"/>
        <v>12</v>
      </c>
    </row>
    <row r="159" spans="2:53" ht="19.5" thickTop="1" thickBot="1" x14ac:dyDescent="0.3">
      <c r="B159" s="99">
        <f t="shared" si="29"/>
        <v>44924</v>
      </c>
      <c r="C159" s="100">
        <f t="shared" si="33"/>
        <v>44924</v>
      </c>
      <c r="D159" s="101" t="str">
        <f t="shared" si="34"/>
        <v>SF</v>
      </c>
      <c r="E159" s="102" t="str">
        <f t="shared" si="30"/>
        <v>unterrichtsfreie Arbeitszeit</v>
      </c>
      <c r="F159" s="103" t="str">
        <f t="shared" si="35"/>
        <v/>
      </c>
      <c r="G159" s="104" t="str">
        <f t="shared" si="36"/>
        <v/>
      </c>
      <c r="H159" s="104">
        <f>IFERROR(IF('ZD Vorerfassung'!$E$11="manuell",SUM(I159),IF(OR(E159="Feiertag",E159="Wochenende"),0,IF('ZD Vorerfassung'!$E$11="automatisch",AX159,IF(D159="UU","UU",IF(E159=Param2,AX159/24,IF(E159=Param9,AX159/48,"")))))),0)</f>
        <v>0</v>
      </c>
      <c r="I159" s="105"/>
      <c r="J159" s="106">
        <f>IF('ZD Vorerfassung'!$E$12="manuell",SUM(K159:AI159),IF(OR(E159="Feiertag",E159="Wochenende"),0,IF('ZD Vorerfassung'!$E$12="automatisch",AY159,IF(D159="UU","UU",IF(E159=Param2,AY159/24,IF(E159=Param9,AY159/48,""))))))</f>
        <v>0</v>
      </c>
      <c r="K159" s="105"/>
      <c r="L159" s="105"/>
      <c r="M159" s="105"/>
      <c r="N159" s="105"/>
      <c r="O159" s="105"/>
      <c r="P159" s="105"/>
      <c r="Q159" s="105"/>
      <c r="R159" s="105"/>
      <c r="S159" s="105"/>
      <c r="T159" s="105"/>
      <c r="U159" s="105"/>
      <c r="V159" s="105"/>
      <c r="W159" s="105"/>
      <c r="X159" s="105"/>
      <c r="Y159" s="105"/>
      <c r="Z159" s="105"/>
      <c r="AA159" s="105"/>
      <c r="AB159" s="105"/>
      <c r="AC159" s="105"/>
      <c r="AD159" s="105"/>
      <c r="AE159" s="105"/>
      <c r="AF159" s="105"/>
      <c r="AG159" s="105"/>
      <c r="AH159" s="105"/>
      <c r="AI159" s="105"/>
      <c r="AJ159" s="107">
        <f t="shared" si="37"/>
        <v>0</v>
      </c>
      <c r="AK159" s="105"/>
      <c r="AL159" s="105"/>
      <c r="AM159" s="105"/>
      <c r="AN159" s="105"/>
      <c r="AO159" s="105"/>
      <c r="AP159" s="105"/>
      <c r="AQ159" s="108">
        <f t="shared" si="38"/>
        <v>0</v>
      </c>
      <c r="AR159" s="108">
        <f t="shared" si="39"/>
        <v>0</v>
      </c>
      <c r="AS159" s="109">
        <f t="shared" si="40"/>
        <v>0</v>
      </c>
      <c r="AU159" s="110">
        <f t="shared" si="31"/>
        <v>0</v>
      </c>
      <c r="AV159" s="111" t="str">
        <f>IF(D159="NR",
IF('ZD Vorerfassung'!$E$22="",0,IF(AND(B159&gt;='ZD Vorerfassung'!$C$22,B159&lt;='ZD Vorerfassung'!$D$22),HLOOKUP(TEXT(C159,"ttt"),'ZD Vorerfassung'!$H$21:$L$36,2,0),0))+
IF('ZD Vorerfassung'!$E$23="",0,IF(AND(B159&gt;='ZD Vorerfassung'!$C$23,B159&lt;='ZD Vorerfassung'!$D$23),HLOOKUP(TEXT(C159,"ttt"),'ZD Vorerfassung'!$H$21:$L$36,3,0),0))+
IF('ZD Vorerfassung'!$E$24="",0,IF(AND(B159&gt;='ZD Vorerfassung'!$C$24,B159&lt;='ZD Vorerfassung'!$D$24),HLOOKUP(TEXT(C159,"ttt"),'ZD Vorerfassung'!$H$21:$L$36,4,0),0))+
IF('ZD Vorerfassung'!$E$25="",0,IF(AND(B159&gt;='ZD Vorerfassung'!$C$25,B159&lt;='ZD Vorerfassung'!$D$25),HLOOKUP(TEXT(C159,"ttt"),'ZD Vorerfassung'!$H$21:$L$36,5,0),0))+
IF('ZD Vorerfassung'!$E$26="",0,IF(AND(B159&gt;='ZD Vorerfassung'!$C$26,B159&lt;='ZD Vorerfassung'!$D$26),HLOOKUP(TEXT(C159,"ttt"),'ZD Vorerfassung'!$H$21:$L$36,6,0),0))+
IF('ZD Vorerfassung'!$E$27="",0,IF(AND(B159&gt;='ZD Vorerfassung'!$C$27,B159&lt;='ZD Vorerfassung'!$D$27),HLOOKUP(TEXT(C159,"ttt"),'ZD Vorerfassung'!$H$21:$L$36,7,0),0))+
IF('ZD Vorerfassung'!$E$28="",0,IF(AND(B159&gt;='ZD Vorerfassung'!$C$28,B159&lt;='ZD Vorerfassung'!$D$28),HLOOKUP(TEXT(C159,"ttt"),'ZD Vorerfassung'!$H$21:$L$36,8,0),0))+
IF('ZD Vorerfassung'!$E$29="",0,IF(AND(B159&gt;='ZD Vorerfassung'!$C$29,B159&lt;='ZD Vorerfassung'!$D$29),HLOOKUP(TEXT(C159,"ttt"),'ZD Vorerfassung'!$H$21:$L$36,9,0),0))+
IF('ZD Vorerfassung'!$E$30="",0,IF(AND(B159&gt;='ZD Vorerfassung'!$C$30,B159&lt;='ZD Vorerfassung'!$D$30),HLOOKUP(TEXT(C159,"ttt"),'ZD Vorerfassung'!$H$21:$L$36,10,0),0))+
IF('ZD Vorerfassung'!$E$31="",0,IF(AND(B159&gt;='ZD Vorerfassung'!$C$31,B159&lt;='ZD Vorerfassung'!$D$31),HLOOKUP(TEXT(C159,"ttt"),'ZD Vorerfassung'!$H$21:$L$36,11,0),0))+
IF('ZD Vorerfassung'!$E$32="",0,IF(AND(B159&gt;='ZD Vorerfassung'!$C$32,B159&lt;='ZD Vorerfassung'!$D$32),HLOOKUP(TEXT(C159,"ttt"),'ZD Vorerfassung'!$H$21:$L$36,12,0),0))+
IF('ZD Vorerfassung'!$E$33="",0,IF(AND(B159&gt;='ZD Vorerfassung'!$C$33,B159&lt;='ZD Vorerfassung'!$D$33),HLOOKUP(TEXT(C159,"ttt"),'ZD Vorerfassung'!$H$21:$L$36,13,0),0))+
IF('ZD Vorerfassung'!$E$34="",0,IF(AND(B159&gt;='ZD Vorerfassung'!$C$34,B159&lt;='ZD Vorerfassung'!$D$34),HLOOKUP(TEXT(C159,"ttt"),'ZD Vorerfassung'!$H$21:$L$36,14,0),0))+
IF('ZD Vorerfassung'!$E$35="",0,IF(AND(B159&gt;='ZD Vorerfassung'!$C$35,B159&lt;='ZD Vorerfassung'!$D$35),HLOOKUP(TEXT(C159,"ttt"),'ZD Vorerfassung'!$H$21:$L$36,15,0),0))+
IF('ZD Vorerfassung'!$E$36="",0,IF(AND(B159&gt;='ZD Vorerfassung'!$C$36,B159&lt;='ZD Vorerfassung'!$D$36),HLOOKUP(TEXT(C159,"ttt"),'ZD Vorerfassung'!$H$21:$L$36,16,0),0)),"")</f>
        <v/>
      </c>
      <c r="AW159" s="110">
        <f t="array" ref="AW159">IF(OR(D159="UU",D159="FT",D159="WE"),0,
IF(D159="NR",SUM(IF(B159&gt;=_xlfn.NUMBERVALUE('ZD Vorerfassung'!$C$22:$C$36),1,0)*IF(B159&lt;=_xlfn.NUMBERVALUE('ZD Vorerfassung'!$D$22:$D$36),1,0)*'ZD Vorerfassung'!$Q$22:$Q$36),
IF(OR(D159="SF",D159="FH"),SUM(IF(B159&gt;=_xlfn.NUMBERVALUE('ZD Vorerfassung'!$C$22:$C$36),1,0)*IF(B159&lt;=_xlfn.NUMBERVALUE('ZD Vorerfassung'!$D$22:$D$36),1,0)*'ZD Vorerfassung'!$R$22:$R$36*IF(D159="FH",0.5,1)),
"prüfen")))</f>
        <v>0</v>
      </c>
      <c r="AX159" s="110">
        <f t="array" ref="AX159">IF(OR(D159="UU",D159="FT",D159="WE",E159="Ferien"),0,
IF(D159="NR",SUM(IF(B159&gt;=_xlfn.NUMBERVALUE('ZD Vorerfassung'!$C$22:$C$36),1,0)*IF(B159&lt;=_xlfn.NUMBERVALUE('ZD Vorerfassung'!$D$22:$D$36),1,0)*'ZD Vorerfassung'!$W$22:$W$36),
IF(OR(D159="SF",D159="FH"),SUM(IF(B159&gt;=_xlfn.NUMBERVALUE('ZD Vorerfassung'!$C$22:$C$36),1,0)*IF(B159&lt;=_xlfn.NUMBERVALUE('ZD Vorerfassung'!$D$22:$D$36),1,0)*'ZD Vorerfassung'!$X$22:$X$36*IF(D159="FH",0.5,1)),
"prüfen")))</f>
        <v>0</v>
      </c>
      <c r="AY159" s="110">
        <f t="array" ref="AY159">IF(OR(D159="UU",D159="FT",D159="WE",E159="Ferien"),0,
IF(D159="NR",SUM(IF(B159&gt;=_xlfn.NUMBERVALUE('ZD Vorerfassung'!$C$22:$C$36),1,0)*IF(B159&lt;=_xlfn.NUMBERVALUE('ZD Vorerfassung'!$D$22:$D$36),1,0)*'ZD Vorerfassung'!$U$22:$U$36),
IF(OR(D159="SF",D159="FH"),SUM(IF(B159&gt;=_xlfn.NUMBERVALUE('ZD Vorerfassung'!$C$22:$C$36),1,0)*IF(B159&lt;=_xlfn.NUMBERVALUE('ZD Vorerfassung'!$D$22:$D$36),1,0)*'ZD Vorerfassung'!$V$22:$V$36*IF(D159="FH",0.5,1)),
"prüfen")))</f>
        <v>0</v>
      </c>
      <c r="AZ159" s="110">
        <f t="array" ref="AZ159">IF(OR(D159="UU",D159="FT",D159="WE",E159="Ferien"),0,
IF(D159="NR",SUM(IF(B159&gt;=_xlfn.NUMBERVALUE('ZD Vorerfassung'!$C$22:$C$36),1,0)*IF(B159&lt;=_xlfn.NUMBERVALUE('ZD Vorerfassung'!$D$22:$D$36),1,0)*'ZD Vorerfassung'!$S$22:$S$36),
IF(OR(D159="SF",D159="FH"),SUM(IF(B159&gt;=_xlfn.NUMBERVALUE('ZD Vorerfassung'!$C$22:$C$36),1,0)*IF(B159&lt;=_xlfn.NUMBERVALUE('ZD Vorerfassung'!$D$22:$D$36),1,0)*'ZD Vorerfassung'!$T$22:$T$36*IF(D159="FH",0.5,1)),
"prüfen")))</f>
        <v>0</v>
      </c>
      <c r="BA159" s="112">
        <f t="shared" si="32"/>
        <v>12</v>
      </c>
    </row>
    <row r="160" spans="2:53" ht="19.5" thickTop="1" thickBot="1" x14ac:dyDescent="0.3">
      <c r="B160" s="99">
        <f t="shared" si="29"/>
        <v>44925</v>
      </c>
      <c r="C160" s="100">
        <f t="shared" si="33"/>
        <v>44925</v>
      </c>
      <c r="D160" s="101" t="str">
        <f t="shared" si="34"/>
        <v>FH</v>
      </c>
      <c r="E160" s="102" t="str">
        <f t="shared" si="30"/>
        <v>Feiertag halb</v>
      </c>
      <c r="F160" s="103" t="str">
        <f t="shared" si="35"/>
        <v/>
      </c>
      <c r="G160" s="104" t="str">
        <f t="shared" si="36"/>
        <v/>
      </c>
      <c r="H160" s="104">
        <f>IFERROR(IF('ZD Vorerfassung'!$E$11="manuell",SUM(I160),IF(OR(E160="Feiertag",E160="Wochenende"),0,IF('ZD Vorerfassung'!$E$11="automatisch",AX160,IF(D160="UU","UU",IF(E160=Param2,AX160/24,IF(E160=Param9,AX160/48,"")))))),0)</f>
        <v>0</v>
      </c>
      <c r="I160" s="105"/>
      <c r="J160" s="106">
        <f>IF('ZD Vorerfassung'!$E$12="manuell",SUM(K160:AI160),IF(OR(E160="Feiertag",E160="Wochenende"),0,IF('ZD Vorerfassung'!$E$12="automatisch",AY160,IF(D160="UU","UU",IF(E160=Param2,AY160/24,IF(E160=Param9,AY160/48,""))))))</f>
        <v>0</v>
      </c>
      <c r="K160" s="105"/>
      <c r="L160" s="105"/>
      <c r="M160" s="105"/>
      <c r="N160" s="105"/>
      <c r="O160" s="105"/>
      <c r="P160" s="105"/>
      <c r="Q160" s="105"/>
      <c r="R160" s="105"/>
      <c r="S160" s="105"/>
      <c r="T160" s="105"/>
      <c r="U160" s="105"/>
      <c r="V160" s="105"/>
      <c r="W160" s="105"/>
      <c r="X160" s="105"/>
      <c r="Y160" s="105"/>
      <c r="Z160" s="105"/>
      <c r="AA160" s="105"/>
      <c r="AB160" s="105"/>
      <c r="AC160" s="105"/>
      <c r="AD160" s="105"/>
      <c r="AE160" s="105"/>
      <c r="AF160" s="105"/>
      <c r="AG160" s="105"/>
      <c r="AH160" s="105"/>
      <c r="AI160" s="105"/>
      <c r="AJ160" s="107">
        <f t="shared" si="37"/>
        <v>0</v>
      </c>
      <c r="AK160" s="105"/>
      <c r="AL160" s="105"/>
      <c r="AM160" s="105"/>
      <c r="AN160" s="105"/>
      <c r="AO160" s="105"/>
      <c r="AP160" s="105"/>
      <c r="AQ160" s="108">
        <f t="shared" si="38"/>
        <v>0</v>
      </c>
      <c r="AR160" s="108">
        <f t="shared" si="39"/>
        <v>0</v>
      </c>
      <c r="AS160" s="109">
        <f t="shared" si="40"/>
        <v>0</v>
      </c>
      <c r="AU160" s="110">
        <f t="shared" si="31"/>
        <v>0</v>
      </c>
      <c r="AV160" s="111" t="str">
        <f>IF(D160="NR",
IF('ZD Vorerfassung'!$E$22="",0,IF(AND(B160&gt;='ZD Vorerfassung'!$C$22,B160&lt;='ZD Vorerfassung'!$D$22),HLOOKUP(TEXT(C160,"ttt"),'ZD Vorerfassung'!$H$21:$L$36,2,0),0))+
IF('ZD Vorerfassung'!$E$23="",0,IF(AND(B160&gt;='ZD Vorerfassung'!$C$23,B160&lt;='ZD Vorerfassung'!$D$23),HLOOKUP(TEXT(C160,"ttt"),'ZD Vorerfassung'!$H$21:$L$36,3,0),0))+
IF('ZD Vorerfassung'!$E$24="",0,IF(AND(B160&gt;='ZD Vorerfassung'!$C$24,B160&lt;='ZD Vorerfassung'!$D$24),HLOOKUP(TEXT(C160,"ttt"),'ZD Vorerfassung'!$H$21:$L$36,4,0),0))+
IF('ZD Vorerfassung'!$E$25="",0,IF(AND(B160&gt;='ZD Vorerfassung'!$C$25,B160&lt;='ZD Vorerfassung'!$D$25),HLOOKUP(TEXT(C160,"ttt"),'ZD Vorerfassung'!$H$21:$L$36,5,0),0))+
IF('ZD Vorerfassung'!$E$26="",0,IF(AND(B160&gt;='ZD Vorerfassung'!$C$26,B160&lt;='ZD Vorerfassung'!$D$26),HLOOKUP(TEXT(C160,"ttt"),'ZD Vorerfassung'!$H$21:$L$36,6,0),0))+
IF('ZD Vorerfassung'!$E$27="",0,IF(AND(B160&gt;='ZD Vorerfassung'!$C$27,B160&lt;='ZD Vorerfassung'!$D$27),HLOOKUP(TEXT(C160,"ttt"),'ZD Vorerfassung'!$H$21:$L$36,7,0),0))+
IF('ZD Vorerfassung'!$E$28="",0,IF(AND(B160&gt;='ZD Vorerfassung'!$C$28,B160&lt;='ZD Vorerfassung'!$D$28),HLOOKUP(TEXT(C160,"ttt"),'ZD Vorerfassung'!$H$21:$L$36,8,0),0))+
IF('ZD Vorerfassung'!$E$29="",0,IF(AND(B160&gt;='ZD Vorerfassung'!$C$29,B160&lt;='ZD Vorerfassung'!$D$29),HLOOKUP(TEXT(C160,"ttt"),'ZD Vorerfassung'!$H$21:$L$36,9,0),0))+
IF('ZD Vorerfassung'!$E$30="",0,IF(AND(B160&gt;='ZD Vorerfassung'!$C$30,B160&lt;='ZD Vorerfassung'!$D$30),HLOOKUP(TEXT(C160,"ttt"),'ZD Vorerfassung'!$H$21:$L$36,10,0),0))+
IF('ZD Vorerfassung'!$E$31="",0,IF(AND(B160&gt;='ZD Vorerfassung'!$C$31,B160&lt;='ZD Vorerfassung'!$D$31),HLOOKUP(TEXT(C160,"ttt"),'ZD Vorerfassung'!$H$21:$L$36,11,0),0))+
IF('ZD Vorerfassung'!$E$32="",0,IF(AND(B160&gt;='ZD Vorerfassung'!$C$32,B160&lt;='ZD Vorerfassung'!$D$32),HLOOKUP(TEXT(C160,"ttt"),'ZD Vorerfassung'!$H$21:$L$36,12,0),0))+
IF('ZD Vorerfassung'!$E$33="",0,IF(AND(B160&gt;='ZD Vorerfassung'!$C$33,B160&lt;='ZD Vorerfassung'!$D$33),HLOOKUP(TEXT(C160,"ttt"),'ZD Vorerfassung'!$H$21:$L$36,13,0),0))+
IF('ZD Vorerfassung'!$E$34="",0,IF(AND(B160&gt;='ZD Vorerfassung'!$C$34,B160&lt;='ZD Vorerfassung'!$D$34),HLOOKUP(TEXT(C160,"ttt"),'ZD Vorerfassung'!$H$21:$L$36,14,0),0))+
IF('ZD Vorerfassung'!$E$35="",0,IF(AND(B160&gt;='ZD Vorerfassung'!$C$35,B160&lt;='ZD Vorerfassung'!$D$35),HLOOKUP(TEXT(C160,"ttt"),'ZD Vorerfassung'!$H$21:$L$36,15,0),0))+
IF('ZD Vorerfassung'!$E$36="",0,IF(AND(B160&gt;='ZD Vorerfassung'!$C$36,B160&lt;='ZD Vorerfassung'!$D$36),HLOOKUP(TEXT(C160,"ttt"),'ZD Vorerfassung'!$H$21:$L$36,16,0),0)),"")</f>
        <v/>
      </c>
      <c r="AW160" s="110">
        <f t="array" ref="AW160">IF(OR(D160="UU",D160="FT",D160="WE"),0,
IF(D160="NR",SUM(IF(B160&gt;=_xlfn.NUMBERVALUE('ZD Vorerfassung'!$C$22:$C$36),1,0)*IF(B160&lt;=_xlfn.NUMBERVALUE('ZD Vorerfassung'!$D$22:$D$36),1,0)*'ZD Vorerfassung'!$Q$22:$Q$36),
IF(OR(D160="SF",D160="FH"),SUM(IF(B160&gt;=_xlfn.NUMBERVALUE('ZD Vorerfassung'!$C$22:$C$36),1,0)*IF(B160&lt;=_xlfn.NUMBERVALUE('ZD Vorerfassung'!$D$22:$D$36),1,0)*'ZD Vorerfassung'!$R$22:$R$36*IF(D160="FH",0.5,1)),
"prüfen")))</f>
        <v>0</v>
      </c>
      <c r="AX160" s="110">
        <f t="array" ref="AX160">IF(OR(D160="UU",D160="FT",D160="WE",E160="Ferien"),0,
IF(D160="NR",SUM(IF(B160&gt;=_xlfn.NUMBERVALUE('ZD Vorerfassung'!$C$22:$C$36),1,0)*IF(B160&lt;=_xlfn.NUMBERVALUE('ZD Vorerfassung'!$D$22:$D$36),1,0)*'ZD Vorerfassung'!$W$22:$W$36),
IF(OR(D160="SF",D160="FH"),SUM(IF(B160&gt;=_xlfn.NUMBERVALUE('ZD Vorerfassung'!$C$22:$C$36),1,0)*IF(B160&lt;=_xlfn.NUMBERVALUE('ZD Vorerfassung'!$D$22:$D$36),1,0)*'ZD Vorerfassung'!$X$22:$X$36*IF(D160="FH",0.5,1)),
"prüfen")))</f>
        <v>0</v>
      </c>
      <c r="AY160" s="110">
        <f t="array" ref="AY160">IF(OR(D160="UU",D160="FT",D160="WE",E160="Ferien"),0,
IF(D160="NR",SUM(IF(B160&gt;=_xlfn.NUMBERVALUE('ZD Vorerfassung'!$C$22:$C$36),1,0)*IF(B160&lt;=_xlfn.NUMBERVALUE('ZD Vorerfassung'!$D$22:$D$36),1,0)*'ZD Vorerfassung'!$U$22:$U$36),
IF(OR(D160="SF",D160="FH"),SUM(IF(B160&gt;=_xlfn.NUMBERVALUE('ZD Vorerfassung'!$C$22:$C$36),1,0)*IF(B160&lt;=_xlfn.NUMBERVALUE('ZD Vorerfassung'!$D$22:$D$36),1,0)*'ZD Vorerfassung'!$V$22:$V$36*IF(D160="FH",0.5,1)),
"prüfen")))</f>
        <v>0</v>
      </c>
      <c r="AZ160" s="110">
        <f t="array" ref="AZ160">IF(OR(D160="UU",D160="FT",D160="WE",E160="Ferien"),0,
IF(D160="NR",SUM(IF(B160&gt;=_xlfn.NUMBERVALUE('ZD Vorerfassung'!$C$22:$C$36),1,0)*IF(B160&lt;=_xlfn.NUMBERVALUE('ZD Vorerfassung'!$D$22:$D$36),1,0)*'ZD Vorerfassung'!$S$22:$S$36),
IF(OR(D160="SF",D160="FH"),SUM(IF(B160&gt;=_xlfn.NUMBERVALUE('ZD Vorerfassung'!$C$22:$C$36),1,0)*IF(B160&lt;=_xlfn.NUMBERVALUE('ZD Vorerfassung'!$D$22:$D$36),1,0)*'ZD Vorerfassung'!$T$22:$T$36*IF(D160="FH",0.5,1)),
"prüfen")))</f>
        <v>0</v>
      </c>
      <c r="BA160" s="112">
        <f t="shared" si="32"/>
        <v>12</v>
      </c>
    </row>
    <row r="161" spans="2:53" ht="19.5" thickTop="1" thickBot="1" x14ac:dyDescent="0.3">
      <c r="B161" s="99">
        <f t="shared" si="29"/>
        <v>44926</v>
      </c>
      <c r="C161" s="100">
        <f t="shared" si="33"/>
        <v>44926</v>
      </c>
      <c r="D161" s="101" t="str">
        <f t="shared" si="34"/>
        <v>FT</v>
      </c>
      <c r="E161" s="102" t="str">
        <f t="shared" si="30"/>
        <v>Feiertag</v>
      </c>
      <c r="F161" s="103" t="str">
        <f t="shared" si="35"/>
        <v/>
      </c>
      <c r="G161" s="104" t="str">
        <f t="shared" si="36"/>
        <v/>
      </c>
      <c r="H161" s="104">
        <f>IFERROR(IF('ZD Vorerfassung'!$E$11="manuell",SUM(I161),IF(OR(E161="Feiertag",E161="Wochenende"),0,IF('ZD Vorerfassung'!$E$11="automatisch",AX161,IF(D161="UU","UU",IF(E161=Param2,AX161/24,IF(E161=Param9,AX161/48,"")))))),0)</f>
        <v>0</v>
      </c>
      <c r="I161" s="105"/>
      <c r="J161" s="106">
        <f>IF('ZD Vorerfassung'!$E$12="manuell",SUM(K161:AI161),IF(OR(E161="Feiertag",E161="Wochenende"),0,IF('ZD Vorerfassung'!$E$12="automatisch",AY161,IF(D161="UU","UU",IF(E161=Param2,AY161/24,IF(E161=Param9,AY161/48,""))))))</f>
        <v>0</v>
      </c>
      <c r="K161" s="105"/>
      <c r="L161" s="105"/>
      <c r="M161" s="105"/>
      <c r="N161" s="105"/>
      <c r="O161" s="105"/>
      <c r="P161" s="105"/>
      <c r="Q161" s="105"/>
      <c r="R161" s="105"/>
      <c r="S161" s="105"/>
      <c r="T161" s="105"/>
      <c r="U161" s="105"/>
      <c r="V161" s="105"/>
      <c r="W161" s="105"/>
      <c r="X161" s="105"/>
      <c r="Y161" s="105"/>
      <c r="Z161" s="105"/>
      <c r="AA161" s="105"/>
      <c r="AB161" s="105"/>
      <c r="AC161" s="105"/>
      <c r="AD161" s="105"/>
      <c r="AE161" s="105"/>
      <c r="AF161" s="105"/>
      <c r="AG161" s="105"/>
      <c r="AH161" s="105"/>
      <c r="AI161" s="105"/>
      <c r="AJ161" s="107">
        <f t="shared" si="37"/>
        <v>0</v>
      </c>
      <c r="AK161" s="105"/>
      <c r="AL161" s="105"/>
      <c r="AM161" s="105"/>
      <c r="AN161" s="105"/>
      <c r="AO161" s="105"/>
      <c r="AP161" s="105"/>
      <c r="AQ161" s="108">
        <f t="shared" si="38"/>
        <v>0</v>
      </c>
      <c r="AR161" s="108">
        <f t="shared" si="39"/>
        <v>0</v>
      </c>
      <c r="AS161" s="109">
        <f t="shared" si="40"/>
        <v>0</v>
      </c>
      <c r="AU161" s="110">
        <f t="shared" si="31"/>
        <v>0</v>
      </c>
      <c r="AV161" s="111" t="str">
        <f>IF(D161="NR",
IF('ZD Vorerfassung'!$E$22="",0,IF(AND(B161&gt;='ZD Vorerfassung'!$C$22,B161&lt;='ZD Vorerfassung'!$D$22),HLOOKUP(TEXT(C161,"ttt"),'ZD Vorerfassung'!$H$21:$L$36,2,0),0))+
IF('ZD Vorerfassung'!$E$23="",0,IF(AND(B161&gt;='ZD Vorerfassung'!$C$23,B161&lt;='ZD Vorerfassung'!$D$23),HLOOKUP(TEXT(C161,"ttt"),'ZD Vorerfassung'!$H$21:$L$36,3,0),0))+
IF('ZD Vorerfassung'!$E$24="",0,IF(AND(B161&gt;='ZD Vorerfassung'!$C$24,B161&lt;='ZD Vorerfassung'!$D$24),HLOOKUP(TEXT(C161,"ttt"),'ZD Vorerfassung'!$H$21:$L$36,4,0),0))+
IF('ZD Vorerfassung'!$E$25="",0,IF(AND(B161&gt;='ZD Vorerfassung'!$C$25,B161&lt;='ZD Vorerfassung'!$D$25),HLOOKUP(TEXT(C161,"ttt"),'ZD Vorerfassung'!$H$21:$L$36,5,0),0))+
IF('ZD Vorerfassung'!$E$26="",0,IF(AND(B161&gt;='ZD Vorerfassung'!$C$26,B161&lt;='ZD Vorerfassung'!$D$26),HLOOKUP(TEXT(C161,"ttt"),'ZD Vorerfassung'!$H$21:$L$36,6,0),0))+
IF('ZD Vorerfassung'!$E$27="",0,IF(AND(B161&gt;='ZD Vorerfassung'!$C$27,B161&lt;='ZD Vorerfassung'!$D$27),HLOOKUP(TEXT(C161,"ttt"),'ZD Vorerfassung'!$H$21:$L$36,7,0),0))+
IF('ZD Vorerfassung'!$E$28="",0,IF(AND(B161&gt;='ZD Vorerfassung'!$C$28,B161&lt;='ZD Vorerfassung'!$D$28),HLOOKUP(TEXT(C161,"ttt"),'ZD Vorerfassung'!$H$21:$L$36,8,0),0))+
IF('ZD Vorerfassung'!$E$29="",0,IF(AND(B161&gt;='ZD Vorerfassung'!$C$29,B161&lt;='ZD Vorerfassung'!$D$29),HLOOKUP(TEXT(C161,"ttt"),'ZD Vorerfassung'!$H$21:$L$36,9,0),0))+
IF('ZD Vorerfassung'!$E$30="",0,IF(AND(B161&gt;='ZD Vorerfassung'!$C$30,B161&lt;='ZD Vorerfassung'!$D$30),HLOOKUP(TEXT(C161,"ttt"),'ZD Vorerfassung'!$H$21:$L$36,10,0),0))+
IF('ZD Vorerfassung'!$E$31="",0,IF(AND(B161&gt;='ZD Vorerfassung'!$C$31,B161&lt;='ZD Vorerfassung'!$D$31),HLOOKUP(TEXT(C161,"ttt"),'ZD Vorerfassung'!$H$21:$L$36,11,0),0))+
IF('ZD Vorerfassung'!$E$32="",0,IF(AND(B161&gt;='ZD Vorerfassung'!$C$32,B161&lt;='ZD Vorerfassung'!$D$32),HLOOKUP(TEXT(C161,"ttt"),'ZD Vorerfassung'!$H$21:$L$36,12,0),0))+
IF('ZD Vorerfassung'!$E$33="",0,IF(AND(B161&gt;='ZD Vorerfassung'!$C$33,B161&lt;='ZD Vorerfassung'!$D$33),HLOOKUP(TEXT(C161,"ttt"),'ZD Vorerfassung'!$H$21:$L$36,13,0),0))+
IF('ZD Vorerfassung'!$E$34="",0,IF(AND(B161&gt;='ZD Vorerfassung'!$C$34,B161&lt;='ZD Vorerfassung'!$D$34),HLOOKUP(TEXT(C161,"ttt"),'ZD Vorerfassung'!$H$21:$L$36,14,0),0))+
IF('ZD Vorerfassung'!$E$35="",0,IF(AND(B161&gt;='ZD Vorerfassung'!$C$35,B161&lt;='ZD Vorerfassung'!$D$35),HLOOKUP(TEXT(C161,"ttt"),'ZD Vorerfassung'!$H$21:$L$36,15,0),0))+
IF('ZD Vorerfassung'!$E$36="",0,IF(AND(B161&gt;='ZD Vorerfassung'!$C$36,B161&lt;='ZD Vorerfassung'!$D$36),HLOOKUP(TEXT(C161,"ttt"),'ZD Vorerfassung'!$H$21:$L$36,16,0),0)),"")</f>
        <v/>
      </c>
      <c r="AW161" s="110">
        <f t="array" ref="AW161">IF(OR(D161="UU",D161="FT",D161="WE"),0,
IF(D161="NR",SUM(IF(B161&gt;=_xlfn.NUMBERVALUE('ZD Vorerfassung'!$C$22:$C$36),1,0)*IF(B161&lt;=_xlfn.NUMBERVALUE('ZD Vorerfassung'!$D$22:$D$36),1,0)*'ZD Vorerfassung'!$Q$22:$Q$36),
IF(OR(D161="SF",D161="FH"),SUM(IF(B161&gt;=_xlfn.NUMBERVALUE('ZD Vorerfassung'!$C$22:$C$36),1,0)*IF(B161&lt;=_xlfn.NUMBERVALUE('ZD Vorerfassung'!$D$22:$D$36),1,0)*'ZD Vorerfassung'!$R$22:$R$36*IF(D161="FH",0.5,1)),
"prüfen")))</f>
        <v>0</v>
      </c>
      <c r="AX161" s="110">
        <f t="array" ref="AX161">IF(OR(D161="UU",D161="FT",D161="WE",E161="Ferien"),0,
IF(D161="NR",SUM(IF(B161&gt;=_xlfn.NUMBERVALUE('ZD Vorerfassung'!$C$22:$C$36),1,0)*IF(B161&lt;=_xlfn.NUMBERVALUE('ZD Vorerfassung'!$D$22:$D$36),1,0)*'ZD Vorerfassung'!$W$22:$W$36),
IF(OR(D161="SF",D161="FH"),SUM(IF(B161&gt;=_xlfn.NUMBERVALUE('ZD Vorerfassung'!$C$22:$C$36),1,0)*IF(B161&lt;=_xlfn.NUMBERVALUE('ZD Vorerfassung'!$D$22:$D$36),1,0)*'ZD Vorerfassung'!$X$22:$X$36*IF(D161="FH",0.5,1)),
"prüfen")))</f>
        <v>0</v>
      </c>
      <c r="AY161" s="110">
        <f t="array" ref="AY161">IF(OR(D161="UU",D161="FT",D161="WE",E161="Ferien"),0,
IF(D161="NR",SUM(IF(B161&gt;=_xlfn.NUMBERVALUE('ZD Vorerfassung'!$C$22:$C$36),1,0)*IF(B161&lt;=_xlfn.NUMBERVALUE('ZD Vorerfassung'!$D$22:$D$36),1,0)*'ZD Vorerfassung'!$U$22:$U$36),
IF(OR(D161="SF",D161="FH"),SUM(IF(B161&gt;=_xlfn.NUMBERVALUE('ZD Vorerfassung'!$C$22:$C$36),1,0)*IF(B161&lt;=_xlfn.NUMBERVALUE('ZD Vorerfassung'!$D$22:$D$36),1,0)*'ZD Vorerfassung'!$V$22:$V$36*IF(D161="FH",0.5,1)),
"prüfen")))</f>
        <v>0</v>
      </c>
      <c r="AZ161" s="110">
        <f t="array" ref="AZ161">IF(OR(D161="UU",D161="FT",D161="WE",E161="Ferien"),0,
IF(D161="NR",SUM(IF(B161&gt;=_xlfn.NUMBERVALUE('ZD Vorerfassung'!$C$22:$C$36),1,0)*IF(B161&lt;=_xlfn.NUMBERVALUE('ZD Vorerfassung'!$D$22:$D$36),1,0)*'ZD Vorerfassung'!$S$22:$S$36),
IF(OR(D161="SF",D161="FH"),SUM(IF(B161&gt;=_xlfn.NUMBERVALUE('ZD Vorerfassung'!$C$22:$C$36),1,0)*IF(B161&lt;=_xlfn.NUMBERVALUE('ZD Vorerfassung'!$D$22:$D$36),1,0)*'ZD Vorerfassung'!$T$22:$T$36*IF(D161="FH",0.5,1)),
"prüfen")))</f>
        <v>0</v>
      </c>
      <c r="BA161" s="112">
        <f t="shared" si="32"/>
        <v>1</v>
      </c>
    </row>
    <row r="162" spans="2:53" ht="19.5" thickTop="1" thickBot="1" x14ac:dyDescent="0.3">
      <c r="B162" s="99">
        <f t="shared" si="29"/>
        <v>44927</v>
      </c>
      <c r="C162" s="100">
        <f t="shared" si="33"/>
        <v>44927</v>
      </c>
      <c r="D162" s="101" t="str">
        <f t="shared" si="34"/>
        <v>WE</v>
      </c>
      <c r="E162" s="102" t="str">
        <f t="shared" si="30"/>
        <v>Wochenende</v>
      </c>
      <c r="F162" s="103" t="str">
        <f t="shared" si="35"/>
        <v/>
      </c>
      <c r="G162" s="104" t="str">
        <f t="shared" si="36"/>
        <v/>
      </c>
      <c r="H162" s="104">
        <f>IFERROR(IF('ZD Vorerfassung'!$E$11="manuell",SUM(I162),IF(OR(E162="Feiertag",E162="Wochenende"),0,IF('ZD Vorerfassung'!$E$11="automatisch",AX162,IF(D162="UU","UU",IF(E162=Param2,AX162/24,IF(E162=Param9,AX162/48,"")))))),0)</f>
        <v>0</v>
      </c>
      <c r="I162" s="105"/>
      <c r="J162" s="106">
        <f>IF('ZD Vorerfassung'!$E$12="manuell",SUM(K162:AI162),IF(OR(E162="Feiertag",E162="Wochenende"),0,IF('ZD Vorerfassung'!$E$12="automatisch",AY162,IF(D162="UU","UU",IF(E162=Param2,AY162/24,IF(E162=Param9,AY162/48,""))))))</f>
        <v>0</v>
      </c>
      <c r="K162" s="105"/>
      <c r="L162" s="105"/>
      <c r="M162" s="105"/>
      <c r="N162" s="105"/>
      <c r="O162" s="105"/>
      <c r="P162" s="105"/>
      <c r="Q162" s="105"/>
      <c r="R162" s="105"/>
      <c r="S162" s="105"/>
      <c r="T162" s="105"/>
      <c r="U162" s="105"/>
      <c r="V162" s="105"/>
      <c r="W162" s="105"/>
      <c r="X162" s="105"/>
      <c r="Y162" s="105"/>
      <c r="Z162" s="105"/>
      <c r="AA162" s="105"/>
      <c r="AB162" s="105"/>
      <c r="AC162" s="105"/>
      <c r="AD162" s="105"/>
      <c r="AE162" s="105"/>
      <c r="AF162" s="105"/>
      <c r="AG162" s="105"/>
      <c r="AH162" s="105"/>
      <c r="AI162" s="105"/>
      <c r="AJ162" s="107">
        <f t="shared" si="37"/>
        <v>0</v>
      </c>
      <c r="AK162" s="105"/>
      <c r="AL162" s="105"/>
      <c r="AM162" s="105"/>
      <c r="AN162" s="105"/>
      <c r="AO162" s="105"/>
      <c r="AP162" s="105"/>
      <c r="AQ162" s="108">
        <f t="shared" si="38"/>
        <v>0</v>
      </c>
      <c r="AR162" s="108">
        <f t="shared" si="39"/>
        <v>0</v>
      </c>
      <c r="AS162" s="109">
        <f t="shared" si="40"/>
        <v>0</v>
      </c>
      <c r="AU162" s="110">
        <f t="shared" si="31"/>
        <v>0</v>
      </c>
      <c r="AV162" s="111" t="str">
        <f>IF(D162="NR",
IF('ZD Vorerfassung'!$E$22="",0,IF(AND(B162&gt;='ZD Vorerfassung'!$C$22,B162&lt;='ZD Vorerfassung'!$D$22),HLOOKUP(TEXT(C162,"ttt"),'ZD Vorerfassung'!$H$21:$L$36,2,0),0))+
IF('ZD Vorerfassung'!$E$23="",0,IF(AND(B162&gt;='ZD Vorerfassung'!$C$23,B162&lt;='ZD Vorerfassung'!$D$23),HLOOKUP(TEXT(C162,"ttt"),'ZD Vorerfassung'!$H$21:$L$36,3,0),0))+
IF('ZD Vorerfassung'!$E$24="",0,IF(AND(B162&gt;='ZD Vorerfassung'!$C$24,B162&lt;='ZD Vorerfassung'!$D$24),HLOOKUP(TEXT(C162,"ttt"),'ZD Vorerfassung'!$H$21:$L$36,4,0),0))+
IF('ZD Vorerfassung'!$E$25="",0,IF(AND(B162&gt;='ZD Vorerfassung'!$C$25,B162&lt;='ZD Vorerfassung'!$D$25),HLOOKUP(TEXT(C162,"ttt"),'ZD Vorerfassung'!$H$21:$L$36,5,0),0))+
IF('ZD Vorerfassung'!$E$26="",0,IF(AND(B162&gt;='ZD Vorerfassung'!$C$26,B162&lt;='ZD Vorerfassung'!$D$26),HLOOKUP(TEXT(C162,"ttt"),'ZD Vorerfassung'!$H$21:$L$36,6,0),0))+
IF('ZD Vorerfassung'!$E$27="",0,IF(AND(B162&gt;='ZD Vorerfassung'!$C$27,B162&lt;='ZD Vorerfassung'!$D$27),HLOOKUP(TEXT(C162,"ttt"),'ZD Vorerfassung'!$H$21:$L$36,7,0),0))+
IF('ZD Vorerfassung'!$E$28="",0,IF(AND(B162&gt;='ZD Vorerfassung'!$C$28,B162&lt;='ZD Vorerfassung'!$D$28),HLOOKUP(TEXT(C162,"ttt"),'ZD Vorerfassung'!$H$21:$L$36,8,0),0))+
IF('ZD Vorerfassung'!$E$29="",0,IF(AND(B162&gt;='ZD Vorerfassung'!$C$29,B162&lt;='ZD Vorerfassung'!$D$29),HLOOKUP(TEXT(C162,"ttt"),'ZD Vorerfassung'!$H$21:$L$36,9,0),0))+
IF('ZD Vorerfassung'!$E$30="",0,IF(AND(B162&gt;='ZD Vorerfassung'!$C$30,B162&lt;='ZD Vorerfassung'!$D$30),HLOOKUP(TEXT(C162,"ttt"),'ZD Vorerfassung'!$H$21:$L$36,10,0),0))+
IF('ZD Vorerfassung'!$E$31="",0,IF(AND(B162&gt;='ZD Vorerfassung'!$C$31,B162&lt;='ZD Vorerfassung'!$D$31),HLOOKUP(TEXT(C162,"ttt"),'ZD Vorerfassung'!$H$21:$L$36,11,0),0))+
IF('ZD Vorerfassung'!$E$32="",0,IF(AND(B162&gt;='ZD Vorerfassung'!$C$32,B162&lt;='ZD Vorerfassung'!$D$32),HLOOKUP(TEXT(C162,"ttt"),'ZD Vorerfassung'!$H$21:$L$36,12,0),0))+
IF('ZD Vorerfassung'!$E$33="",0,IF(AND(B162&gt;='ZD Vorerfassung'!$C$33,B162&lt;='ZD Vorerfassung'!$D$33),HLOOKUP(TEXT(C162,"ttt"),'ZD Vorerfassung'!$H$21:$L$36,13,0),0))+
IF('ZD Vorerfassung'!$E$34="",0,IF(AND(B162&gt;='ZD Vorerfassung'!$C$34,B162&lt;='ZD Vorerfassung'!$D$34),HLOOKUP(TEXT(C162,"ttt"),'ZD Vorerfassung'!$H$21:$L$36,14,0),0))+
IF('ZD Vorerfassung'!$E$35="",0,IF(AND(B162&gt;='ZD Vorerfassung'!$C$35,B162&lt;='ZD Vorerfassung'!$D$35),HLOOKUP(TEXT(C162,"ttt"),'ZD Vorerfassung'!$H$21:$L$36,15,0),0))+
IF('ZD Vorerfassung'!$E$36="",0,IF(AND(B162&gt;='ZD Vorerfassung'!$C$36,B162&lt;='ZD Vorerfassung'!$D$36),HLOOKUP(TEXT(C162,"ttt"),'ZD Vorerfassung'!$H$21:$L$36,16,0),0)),"")</f>
        <v/>
      </c>
      <c r="AW162" s="110">
        <f t="array" ref="AW162">IF(OR(D162="UU",D162="FT",D162="WE"),0,
IF(D162="NR",SUM(IF(B162&gt;=_xlfn.NUMBERVALUE('ZD Vorerfassung'!$C$22:$C$36),1,0)*IF(B162&lt;=_xlfn.NUMBERVALUE('ZD Vorerfassung'!$D$22:$D$36),1,0)*'ZD Vorerfassung'!$Q$22:$Q$36),
IF(OR(D162="SF",D162="FH"),SUM(IF(B162&gt;=_xlfn.NUMBERVALUE('ZD Vorerfassung'!$C$22:$C$36),1,0)*IF(B162&lt;=_xlfn.NUMBERVALUE('ZD Vorerfassung'!$D$22:$D$36),1,0)*'ZD Vorerfassung'!$R$22:$R$36*IF(D162="FH",0.5,1)),
"prüfen")))</f>
        <v>0</v>
      </c>
      <c r="AX162" s="110">
        <f t="array" ref="AX162">IF(OR(D162="UU",D162="FT",D162="WE",E162="Ferien"),0,
IF(D162="NR",SUM(IF(B162&gt;=_xlfn.NUMBERVALUE('ZD Vorerfassung'!$C$22:$C$36),1,0)*IF(B162&lt;=_xlfn.NUMBERVALUE('ZD Vorerfassung'!$D$22:$D$36),1,0)*'ZD Vorerfassung'!$W$22:$W$36),
IF(OR(D162="SF",D162="FH"),SUM(IF(B162&gt;=_xlfn.NUMBERVALUE('ZD Vorerfassung'!$C$22:$C$36),1,0)*IF(B162&lt;=_xlfn.NUMBERVALUE('ZD Vorerfassung'!$D$22:$D$36),1,0)*'ZD Vorerfassung'!$X$22:$X$36*IF(D162="FH",0.5,1)),
"prüfen")))</f>
        <v>0</v>
      </c>
      <c r="AY162" s="110">
        <f t="array" ref="AY162">IF(OR(D162="UU",D162="FT",D162="WE",E162="Ferien"),0,
IF(D162="NR",SUM(IF(B162&gt;=_xlfn.NUMBERVALUE('ZD Vorerfassung'!$C$22:$C$36),1,0)*IF(B162&lt;=_xlfn.NUMBERVALUE('ZD Vorerfassung'!$D$22:$D$36),1,0)*'ZD Vorerfassung'!$U$22:$U$36),
IF(OR(D162="SF",D162="FH"),SUM(IF(B162&gt;=_xlfn.NUMBERVALUE('ZD Vorerfassung'!$C$22:$C$36),1,0)*IF(B162&lt;=_xlfn.NUMBERVALUE('ZD Vorerfassung'!$D$22:$D$36),1,0)*'ZD Vorerfassung'!$V$22:$V$36*IF(D162="FH",0.5,1)),
"prüfen")))</f>
        <v>0</v>
      </c>
      <c r="AZ162" s="110">
        <f t="array" ref="AZ162">IF(OR(D162="UU",D162="FT",D162="WE",E162="Ferien"),0,
IF(D162="NR",SUM(IF(B162&gt;=_xlfn.NUMBERVALUE('ZD Vorerfassung'!$C$22:$C$36),1,0)*IF(B162&lt;=_xlfn.NUMBERVALUE('ZD Vorerfassung'!$D$22:$D$36),1,0)*'ZD Vorerfassung'!$S$22:$S$36),
IF(OR(D162="SF",D162="FH"),SUM(IF(B162&gt;=_xlfn.NUMBERVALUE('ZD Vorerfassung'!$C$22:$C$36),1,0)*IF(B162&lt;=_xlfn.NUMBERVALUE('ZD Vorerfassung'!$D$22:$D$36),1,0)*'ZD Vorerfassung'!$T$22:$T$36*IF(D162="FH",0.5,1)),
"prüfen")))</f>
        <v>0</v>
      </c>
      <c r="BA162" s="112">
        <f t="shared" si="32"/>
        <v>1</v>
      </c>
    </row>
    <row r="163" spans="2:53" ht="19.5" thickTop="1" thickBot="1" x14ac:dyDescent="0.3">
      <c r="B163" s="99">
        <f t="shared" si="29"/>
        <v>44928</v>
      </c>
      <c r="C163" s="100">
        <f t="shared" si="33"/>
        <v>44928</v>
      </c>
      <c r="D163" s="101" t="str">
        <f t="shared" si="34"/>
        <v>WE</v>
      </c>
      <c r="E163" s="102" t="str">
        <f t="shared" si="30"/>
        <v>Wochenende</v>
      </c>
      <c r="F163" s="103" t="str">
        <f t="shared" si="35"/>
        <v/>
      </c>
      <c r="G163" s="104" t="str">
        <f t="shared" si="36"/>
        <v/>
      </c>
      <c r="H163" s="104">
        <f>IFERROR(IF('ZD Vorerfassung'!$E$11="manuell",SUM(I163),IF(OR(E163="Feiertag",E163="Wochenende"),0,IF('ZD Vorerfassung'!$E$11="automatisch",AX163,IF(D163="UU","UU",IF(E163=Param2,AX163/24,IF(E163=Param9,AX163/48,"")))))),0)</f>
        <v>0</v>
      </c>
      <c r="I163" s="105"/>
      <c r="J163" s="106">
        <f>IF('ZD Vorerfassung'!$E$12="manuell",SUM(K163:AI163),IF(OR(E163="Feiertag",E163="Wochenende"),0,IF('ZD Vorerfassung'!$E$12="automatisch",AY163,IF(D163="UU","UU",IF(E163=Param2,AY163/24,IF(E163=Param9,AY163/48,""))))))</f>
        <v>0</v>
      </c>
      <c r="K163" s="105"/>
      <c r="L163" s="105"/>
      <c r="M163" s="105"/>
      <c r="N163" s="105"/>
      <c r="O163" s="105"/>
      <c r="P163" s="105"/>
      <c r="Q163" s="105"/>
      <c r="R163" s="105"/>
      <c r="S163" s="105"/>
      <c r="T163" s="105"/>
      <c r="U163" s="105"/>
      <c r="V163" s="105"/>
      <c r="W163" s="105"/>
      <c r="X163" s="105"/>
      <c r="Y163" s="105"/>
      <c r="Z163" s="105"/>
      <c r="AA163" s="105"/>
      <c r="AB163" s="105"/>
      <c r="AC163" s="105"/>
      <c r="AD163" s="105"/>
      <c r="AE163" s="105"/>
      <c r="AF163" s="105"/>
      <c r="AG163" s="105"/>
      <c r="AH163" s="105"/>
      <c r="AI163" s="105"/>
      <c r="AJ163" s="107">
        <f t="shared" si="37"/>
        <v>0</v>
      </c>
      <c r="AK163" s="105"/>
      <c r="AL163" s="105"/>
      <c r="AM163" s="105"/>
      <c r="AN163" s="105"/>
      <c r="AO163" s="105"/>
      <c r="AP163" s="105"/>
      <c r="AQ163" s="108">
        <f t="shared" si="38"/>
        <v>0</v>
      </c>
      <c r="AR163" s="108">
        <f t="shared" si="39"/>
        <v>0</v>
      </c>
      <c r="AS163" s="109">
        <f t="shared" si="40"/>
        <v>0</v>
      </c>
      <c r="AU163" s="110">
        <f t="shared" si="31"/>
        <v>0</v>
      </c>
      <c r="AV163" s="111" t="str">
        <f>IF(D163="NR",
IF('ZD Vorerfassung'!$E$22="",0,IF(AND(B163&gt;='ZD Vorerfassung'!$C$22,B163&lt;='ZD Vorerfassung'!$D$22),HLOOKUP(TEXT(C163,"ttt"),'ZD Vorerfassung'!$H$21:$L$36,2,0),0))+
IF('ZD Vorerfassung'!$E$23="",0,IF(AND(B163&gt;='ZD Vorerfassung'!$C$23,B163&lt;='ZD Vorerfassung'!$D$23),HLOOKUP(TEXT(C163,"ttt"),'ZD Vorerfassung'!$H$21:$L$36,3,0),0))+
IF('ZD Vorerfassung'!$E$24="",0,IF(AND(B163&gt;='ZD Vorerfassung'!$C$24,B163&lt;='ZD Vorerfassung'!$D$24),HLOOKUP(TEXT(C163,"ttt"),'ZD Vorerfassung'!$H$21:$L$36,4,0),0))+
IF('ZD Vorerfassung'!$E$25="",0,IF(AND(B163&gt;='ZD Vorerfassung'!$C$25,B163&lt;='ZD Vorerfassung'!$D$25),HLOOKUP(TEXT(C163,"ttt"),'ZD Vorerfassung'!$H$21:$L$36,5,0),0))+
IF('ZD Vorerfassung'!$E$26="",0,IF(AND(B163&gt;='ZD Vorerfassung'!$C$26,B163&lt;='ZD Vorerfassung'!$D$26),HLOOKUP(TEXT(C163,"ttt"),'ZD Vorerfassung'!$H$21:$L$36,6,0),0))+
IF('ZD Vorerfassung'!$E$27="",0,IF(AND(B163&gt;='ZD Vorerfassung'!$C$27,B163&lt;='ZD Vorerfassung'!$D$27),HLOOKUP(TEXT(C163,"ttt"),'ZD Vorerfassung'!$H$21:$L$36,7,0),0))+
IF('ZD Vorerfassung'!$E$28="",0,IF(AND(B163&gt;='ZD Vorerfassung'!$C$28,B163&lt;='ZD Vorerfassung'!$D$28),HLOOKUP(TEXT(C163,"ttt"),'ZD Vorerfassung'!$H$21:$L$36,8,0),0))+
IF('ZD Vorerfassung'!$E$29="",0,IF(AND(B163&gt;='ZD Vorerfassung'!$C$29,B163&lt;='ZD Vorerfassung'!$D$29),HLOOKUP(TEXT(C163,"ttt"),'ZD Vorerfassung'!$H$21:$L$36,9,0),0))+
IF('ZD Vorerfassung'!$E$30="",0,IF(AND(B163&gt;='ZD Vorerfassung'!$C$30,B163&lt;='ZD Vorerfassung'!$D$30),HLOOKUP(TEXT(C163,"ttt"),'ZD Vorerfassung'!$H$21:$L$36,10,0),0))+
IF('ZD Vorerfassung'!$E$31="",0,IF(AND(B163&gt;='ZD Vorerfassung'!$C$31,B163&lt;='ZD Vorerfassung'!$D$31),HLOOKUP(TEXT(C163,"ttt"),'ZD Vorerfassung'!$H$21:$L$36,11,0),0))+
IF('ZD Vorerfassung'!$E$32="",0,IF(AND(B163&gt;='ZD Vorerfassung'!$C$32,B163&lt;='ZD Vorerfassung'!$D$32),HLOOKUP(TEXT(C163,"ttt"),'ZD Vorerfassung'!$H$21:$L$36,12,0),0))+
IF('ZD Vorerfassung'!$E$33="",0,IF(AND(B163&gt;='ZD Vorerfassung'!$C$33,B163&lt;='ZD Vorerfassung'!$D$33),HLOOKUP(TEXT(C163,"ttt"),'ZD Vorerfassung'!$H$21:$L$36,13,0),0))+
IF('ZD Vorerfassung'!$E$34="",0,IF(AND(B163&gt;='ZD Vorerfassung'!$C$34,B163&lt;='ZD Vorerfassung'!$D$34),HLOOKUP(TEXT(C163,"ttt"),'ZD Vorerfassung'!$H$21:$L$36,14,0),0))+
IF('ZD Vorerfassung'!$E$35="",0,IF(AND(B163&gt;='ZD Vorerfassung'!$C$35,B163&lt;='ZD Vorerfassung'!$D$35),HLOOKUP(TEXT(C163,"ttt"),'ZD Vorerfassung'!$H$21:$L$36,15,0),0))+
IF('ZD Vorerfassung'!$E$36="",0,IF(AND(B163&gt;='ZD Vorerfassung'!$C$36,B163&lt;='ZD Vorerfassung'!$D$36),HLOOKUP(TEXT(C163,"ttt"),'ZD Vorerfassung'!$H$21:$L$36,16,0),0)),"")</f>
        <v/>
      </c>
      <c r="AW163" s="110">
        <f t="array" ref="AW163">IF(OR(D163="UU",D163="FT",D163="WE"),0,
IF(D163="NR",SUM(IF(B163&gt;=_xlfn.NUMBERVALUE('ZD Vorerfassung'!$C$22:$C$36),1,0)*IF(B163&lt;=_xlfn.NUMBERVALUE('ZD Vorerfassung'!$D$22:$D$36),1,0)*'ZD Vorerfassung'!$Q$22:$Q$36),
IF(OR(D163="SF",D163="FH"),SUM(IF(B163&gt;=_xlfn.NUMBERVALUE('ZD Vorerfassung'!$C$22:$C$36),1,0)*IF(B163&lt;=_xlfn.NUMBERVALUE('ZD Vorerfassung'!$D$22:$D$36),1,0)*'ZD Vorerfassung'!$R$22:$R$36*IF(D163="FH",0.5,1)),
"prüfen")))</f>
        <v>0</v>
      </c>
      <c r="AX163" s="110">
        <f t="array" ref="AX163">IF(OR(D163="UU",D163="FT",D163="WE",E163="Ferien"),0,
IF(D163="NR",SUM(IF(B163&gt;=_xlfn.NUMBERVALUE('ZD Vorerfassung'!$C$22:$C$36),1,0)*IF(B163&lt;=_xlfn.NUMBERVALUE('ZD Vorerfassung'!$D$22:$D$36),1,0)*'ZD Vorerfassung'!$W$22:$W$36),
IF(OR(D163="SF",D163="FH"),SUM(IF(B163&gt;=_xlfn.NUMBERVALUE('ZD Vorerfassung'!$C$22:$C$36),1,0)*IF(B163&lt;=_xlfn.NUMBERVALUE('ZD Vorerfassung'!$D$22:$D$36),1,0)*'ZD Vorerfassung'!$X$22:$X$36*IF(D163="FH",0.5,1)),
"prüfen")))</f>
        <v>0</v>
      </c>
      <c r="AY163" s="110">
        <f t="array" ref="AY163">IF(OR(D163="UU",D163="FT",D163="WE",E163="Ferien"),0,
IF(D163="NR",SUM(IF(B163&gt;=_xlfn.NUMBERVALUE('ZD Vorerfassung'!$C$22:$C$36),1,0)*IF(B163&lt;=_xlfn.NUMBERVALUE('ZD Vorerfassung'!$D$22:$D$36),1,0)*'ZD Vorerfassung'!$U$22:$U$36),
IF(OR(D163="SF",D163="FH"),SUM(IF(B163&gt;=_xlfn.NUMBERVALUE('ZD Vorerfassung'!$C$22:$C$36),1,0)*IF(B163&lt;=_xlfn.NUMBERVALUE('ZD Vorerfassung'!$D$22:$D$36),1,0)*'ZD Vorerfassung'!$V$22:$V$36*IF(D163="FH",0.5,1)),
"prüfen")))</f>
        <v>0</v>
      </c>
      <c r="AZ163" s="110">
        <f t="array" ref="AZ163">IF(OR(D163="UU",D163="FT",D163="WE",E163="Ferien"),0,
IF(D163="NR",SUM(IF(B163&gt;=_xlfn.NUMBERVALUE('ZD Vorerfassung'!$C$22:$C$36),1,0)*IF(B163&lt;=_xlfn.NUMBERVALUE('ZD Vorerfassung'!$D$22:$D$36),1,0)*'ZD Vorerfassung'!$S$22:$S$36),
IF(OR(D163="SF",D163="FH"),SUM(IF(B163&gt;=_xlfn.NUMBERVALUE('ZD Vorerfassung'!$C$22:$C$36),1,0)*IF(B163&lt;=_xlfn.NUMBERVALUE('ZD Vorerfassung'!$D$22:$D$36),1,0)*'ZD Vorerfassung'!$T$22:$T$36*IF(D163="FH",0.5,1)),
"prüfen")))</f>
        <v>0</v>
      </c>
      <c r="BA163" s="112">
        <f t="shared" si="32"/>
        <v>1</v>
      </c>
    </row>
    <row r="164" spans="2:53" ht="19.5" thickTop="1" thickBot="1" x14ac:dyDescent="0.3">
      <c r="B164" s="99">
        <f t="shared" si="29"/>
        <v>44929</v>
      </c>
      <c r="C164" s="100">
        <f t="shared" si="33"/>
        <v>44929</v>
      </c>
      <c r="D164" s="101" t="str">
        <f t="shared" si="34"/>
        <v>NR</v>
      </c>
      <c r="E164" s="102" t="str">
        <f t="shared" si="30"/>
        <v>Unterrichtstag</v>
      </c>
      <c r="F164" s="103">
        <f t="shared" si="35"/>
        <v>0</v>
      </c>
      <c r="G164" s="104">
        <f t="shared" si="36"/>
        <v>0</v>
      </c>
      <c r="H164" s="104">
        <f>IFERROR(IF('ZD Vorerfassung'!$E$11="manuell",SUM(I164),IF(OR(E164="Feiertag",E164="Wochenende"),0,IF('ZD Vorerfassung'!$E$11="automatisch",AX164,IF(D164="UU","UU",IF(E164=Param2,AX164/24,IF(E164=Param9,AX164/48,"")))))),0)</f>
        <v>0</v>
      </c>
      <c r="I164" s="105"/>
      <c r="J164" s="106">
        <f>IF('ZD Vorerfassung'!$E$12="manuell",SUM(K164:AI164),IF(OR(E164="Feiertag",E164="Wochenende"),0,IF('ZD Vorerfassung'!$E$12="automatisch",AY164,IF(D164="UU","UU",IF(E164=Param2,AY164/24,IF(E164=Param9,AY164/48,""))))))</f>
        <v>0</v>
      </c>
      <c r="K164" s="105"/>
      <c r="L164" s="105"/>
      <c r="M164" s="105"/>
      <c r="N164" s="105"/>
      <c r="O164" s="105"/>
      <c r="P164" s="105"/>
      <c r="Q164" s="105"/>
      <c r="R164" s="105"/>
      <c r="S164" s="105"/>
      <c r="T164" s="105"/>
      <c r="U164" s="105"/>
      <c r="V164" s="105"/>
      <c r="W164" s="105"/>
      <c r="X164" s="105"/>
      <c r="Y164" s="105"/>
      <c r="Z164" s="105"/>
      <c r="AA164" s="105"/>
      <c r="AB164" s="105"/>
      <c r="AC164" s="105"/>
      <c r="AD164" s="105"/>
      <c r="AE164" s="105"/>
      <c r="AF164" s="105"/>
      <c r="AG164" s="105"/>
      <c r="AH164" s="105"/>
      <c r="AI164" s="105"/>
      <c r="AJ164" s="107">
        <f t="shared" si="37"/>
        <v>0</v>
      </c>
      <c r="AK164" s="105"/>
      <c r="AL164" s="105"/>
      <c r="AM164" s="105"/>
      <c r="AN164" s="105"/>
      <c r="AO164" s="105"/>
      <c r="AP164" s="105"/>
      <c r="AQ164" s="108">
        <f t="shared" si="38"/>
        <v>0</v>
      </c>
      <c r="AR164" s="108">
        <f t="shared" si="39"/>
        <v>0</v>
      </c>
      <c r="AS164" s="109">
        <f t="shared" si="40"/>
        <v>0</v>
      </c>
      <c r="AU164" s="110">
        <f t="shared" si="31"/>
        <v>0</v>
      </c>
      <c r="AV164" s="111">
        <f>IF(D164="NR",
IF('ZD Vorerfassung'!$E$22="",0,IF(AND(B164&gt;='ZD Vorerfassung'!$C$22,B164&lt;='ZD Vorerfassung'!$D$22),HLOOKUP(TEXT(C164,"ttt"),'ZD Vorerfassung'!$H$21:$L$36,2,0),0))+
IF('ZD Vorerfassung'!$E$23="",0,IF(AND(B164&gt;='ZD Vorerfassung'!$C$23,B164&lt;='ZD Vorerfassung'!$D$23),HLOOKUP(TEXT(C164,"ttt"),'ZD Vorerfassung'!$H$21:$L$36,3,0),0))+
IF('ZD Vorerfassung'!$E$24="",0,IF(AND(B164&gt;='ZD Vorerfassung'!$C$24,B164&lt;='ZD Vorerfassung'!$D$24),HLOOKUP(TEXT(C164,"ttt"),'ZD Vorerfassung'!$H$21:$L$36,4,0),0))+
IF('ZD Vorerfassung'!$E$25="",0,IF(AND(B164&gt;='ZD Vorerfassung'!$C$25,B164&lt;='ZD Vorerfassung'!$D$25),HLOOKUP(TEXT(C164,"ttt"),'ZD Vorerfassung'!$H$21:$L$36,5,0),0))+
IF('ZD Vorerfassung'!$E$26="",0,IF(AND(B164&gt;='ZD Vorerfassung'!$C$26,B164&lt;='ZD Vorerfassung'!$D$26),HLOOKUP(TEXT(C164,"ttt"),'ZD Vorerfassung'!$H$21:$L$36,6,0),0))+
IF('ZD Vorerfassung'!$E$27="",0,IF(AND(B164&gt;='ZD Vorerfassung'!$C$27,B164&lt;='ZD Vorerfassung'!$D$27),HLOOKUP(TEXT(C164,"ttt"),'ZD Vorerfassung'!$H$21:$L$36,7,0),0))+
IF('ZD Vorerfassung'!$E$28="",0,IF(AND(B164&gt;='ZD Vorerfassung'!$C$28,B164&lt;='ZD Vorerfassung'!$D$28),HLOOKUP(TEXT(C164,"ttt"),'ZD Vorerfassung'!$H$21:$L$36,8,0),0))+
IF('ZD Vorerfassung'!$E$29="",0,IF(AND(B164&gt;='ZD Vorerfassung'!$C$29,B164&lt;='ZD Vorerfassung'!$D$29),HLOOKUP(TEXT(C164,"ttt"),'ZD Vorerfassung'!$H$21:$L$36,9,0),0))+
IF('ZD Vorerfassung'!$E$30="",0,IF(AND(B164&gt;='ZD Vorerfassung'!$C$30,B164&lt;='ZD Vorerfassung'!$D$30),HLOOKUP(TEXT(C164,"ttt"),'ZD Vorerfassung'!$H$21:$L$36,10,0),0))+
IF('ZD Vorerfassung'!$E$31="",0,IF(AND(B164&gt;='ZD Vorerfassung'!$C$31,B164&lt;='ZD Vorerfassung'!$D$31),HLOOKUP(TEXT(C164,"ttt"),'ZD Vorerfassung'!$H$21:$L$36,11,0),0))+
IF('ZD Vorerfassung'!$E$32="",0,IF(AND(B164&gt;='ZD Vorerfassung'!$C$32,B164&lt;='ZD Vorerfassung'!$D$32),HLOOKUP(TEXT(C164,"ttt"),'ZD Vorerfassung'!$H$21:$L$36,12,0),0))+
IF('ZD Vorerfassung'!$E$33="",0,IF(AND(B164&gt;='ZD Vorerfassung'!$C$33,B164&lt;='ZD Vorerfassung'!$D$33),HLOOKUP(TEXT(C164,"ttt"),'ZD Vorerfassung'!$H$21:$L$36,13,0),0))+
IF('ZD Vorerfassung'!$E$34="",0,IF(AND(B164&gt;='ZD Vorerfassung'!$C$34,B164&lt;='ZD Vorerfassung'!$D$34),HLOOKUP(TEXT(C164,"ttt"),'ZD Vorerfassung'!$H$21:$L$36,14,0),0))+
IF('ZD Vorerfassung'!$E$35="",0,IF(AND(B164&gt;='ZD Vorerfassung'!$C$35,B164&lt;='ZD Vorerfassung'!$D$35),HLOOKUP(TEXT(C164,"ttt"),'ZD Vorerfassung'!$H$21:$L$36,15,0),0))+
IF('ZD Vorerfassung'!$E$36="",0,IF(AND(B164&gt;='ZD Vorerfassung'!$C$36,B164&lt;='ZD Vorerfassung'!$D$36),HLOOKUP(TEXT(C164,"ttt"),'ZD Vorerfassung'!$H$21:$L$36,16,0),0)),"")</f>
        <v>0</v>
      </c>
      <c r="AW164" s="110">
        <f t="array" ref="AW164">IF(OR(D164="UU",D164="FT",D164="WE"),0,
IF(D164="NR",SUM(IF(B164&gt;=_xlfn.NUMBERVALUE('ZD Vorerfassung'!$C$22:$C$36),1,0)*IF(B164&lt;=_xlfn.NUMBERVALUE('ZD Vorerfassung'!$D$22:$D$36),1,0)*'ZD Vorerfassung'!$Q$22:$Q$36),
IF(OR(D164="SF",D164="FH"),SUM(IF(B164&gt;=_xlfn.NUMBERVALUE('ZD Vorerfassung'!$C$22:$C$36),1,0)*IF(B164&lt;=_xlfn.NUMBERVALUE('ZD Vorerfassung'!$D$22:$D$36),1,0)*'ZD Vorerfassung'!$R$22:$R$36*IF(D164="FH",0.5,1)),
"prüfen")))</f>
        <v>0</v>
      </c>
      <c r="AX164" s="110">
        <f t="array" ref="AX164">IF(OR(D164="UU",D164="FT",D164="WE",E164="Ferien"),0,
IF(D164="NR",SUM(IF(B164&gt;=_xlfn.NUMBERVALUE('ZD Vorerfassung'!$C$22:$C$36),1,0)*IF(B164&lt;=_xlfn.NUMBERVALUE('ZD Vorerfassung'!$D$22:$D$36),1,0)*'ZD Vorerfassung'!$W$22:$W$36),
IF(OR(D164="SF",D164="FH"),SUM(IF(B164&gt;=_xlfn.NUMBERVALUE('ZD Vorerfassung'!$C$22:$C$36),1,0)*IF(B164&lt;=_xlfn.NUMBERVALUE('ZD Vorerfassung'!$D$22:$D$36),1,0)*'ZD Vorerfassung'!$X$22:$X$36*IF(D164="FH",0.5,1)),
"prüfen")))</f>
        <v>0</v>
      </c>
      <c r="AY164" s="110">
        <f t="array" ref="AY164">IF(OR(D164="UU",D164="FT",D164="WE",E164="Ferien"),0,
IF(D164="NR",SUM(IF(B164&gt;=_xlfn.NUMBERVALUE('ZD Vorerfassung'!$C$22:$C$36),1,0)*IF(B164&lt;=_xlfn.NUMBERVALUE('ZD Vorerfassung'!$D$22:$D$36),1,0)*'ZD Vorerfassung'!$U$22:$U$36),
IF(OR(D164="SF",D164="FH"),SUM(IF(B164&gt;=_xlfn.NUMBERVALUE('ZD Vorerfassung'!$C$22:$C$36),1,0)*IF(B164&lt;=_xlfn.NUMBERVALUE('ZD Vorerfassung'!$D$22:$D$36),1,0)*'ZD Vorerfassung'!$V$22:$V$36*IF(D164="FH",0.5,1)),
"prüfen")))</f>
        <v>0</v>
      </c>
      <c r="AZ164" s="110">
        <f t="array" ref="AZ164">IF(OR(D164="UU",D164="FT",D164="WE",E164="Ferien"),0,
IF(D164="NR",SUM(IF(B164&gt;=_xlfn.NUMBERVALUE('ZD Vorerfassung'!$C$22:$C$36),1,0)*IF(B164&lt;=_xlfn.NUMBERVALUE('ZD Vorerfassung'!$D$22:$D$36),1,0)*'ZD Vorerfassung'!$S$22:$S$36),
IF(OR(D164="SF",D164="FH"),SUM(IF(B164&gt;=_xlfn.NUMBERVALUE('ZD Vorerfassung'!$C$22:$C$36),1,0)*IF(B164&lt;=_xlfn.NUMBERVALUE('ZD Vorerfassung'!$D$22:$D$36),1,0)*'ZD Vorerfassung'!$T$22:$T$36*IF(D164="FH",0.5,1)),
"prüfen")))</f>
        <v>0</v>
      </c>
      <c r="BA164" s="112">
        <f t="shared" si="32"/>
        <v>1</v>
      </c>
    </row>
    <row r="165" spans="2:53" ht="19.5" thickTop="1" thickBot="1" x14ac:dyDescent="0.3">
      <c r="B165" s="99">
        <f t="shared" si="29"/>
        <v>44930</v>
      </c>
      <c r="C165" s="100">
        <f t="shared" si="33"/>
        <v>44930</v>
      </c>
      <c r="D165" s="101" t="str">
        <f t="shared" si="34"/>
        <v>NR</v>
      </c>
      <c r="E165" s="102" t="str">
        <f t="shared" si="30"/>
        <v>Unterrichtstag</v>
      </c>
      <c r="F165" s="103">
        <f t="shared" si="35"/>
        <v>0</v>
      </c>
      <c r="G165" s="104">
        <f t="shared" si="36"/>
        <v>0</v>
      </c>
      <c r="H165" s="104">
        <f>IFERROR(IF('ZD Vorerfassung'!$E$11="manuell",SUM(I165),IF(OR(E165="Feiertag",E165="Wochenende"),0,IF('ZD Vorerfassung'!$E$11="automatisch",AX165,IF(D165="UU","UU",IF(E165=Param2,AX165/24,IF(E165=Param9,AX165/48,"")))))),0)</f>
        <v>0</v>
      </c>
      <c r="I165" s="105"/>
      <c r="J165" s="106">
        <f>IF('ZD Vorerfassung'!$E$12="manuell",SUM(K165:AI165),IF(OR(E165="Feiertag",E165="Wochenende"),0,IF('ZD Vorerfassung'!$E$12="automatisch",AY165,IF(D165="UU","UU",IF(E165=Param2,AY165/24,IF(E165=Param9,AY165/48,""))))))</f>
        <v>0</v>
      </c>
      <c r="K165" s="105"/>
      <c r="L165" s="105"/>
      <c r="M165" s="105"/>
      <c r="N165" s="105"/>
      <c r="O165" s="105"/>
      <c r="P165" s="105"/>
      <c r="Q165" s="105"/>
      <c r="R165" s="105"/>
      <c r="S165" s="105"/>
      <c r="T165" s="105"/>
      <c r="U165" s="105"/>
      <c r="V165" s="105"/>
      <c r="W165" s="105"/>
      <c r="X165" s="105"/>
      <c r="Y165" s="105"/>
      <c r="Z165" s="105"/>
      <c r="AA165" s="105"/>
      <c r="AB165" s="105"/>
      <c r="AC165" s="105"/>
      <c r="AD165" s="105"/>
      <c r="AE165" s="105"/>
      <c r="AF165" s="105"/>
      <c r="AG165" s="105"/>
      <c r="AH165" s="105"/>
      <c r="AI165" s="105"/>
      <c r="AJ165" s="107">
        <f t="shared" si="37"/>
        <v>0</v>
      </c>
      <c r="AK165" s="105"/>
      <c r="AL165" s="105"/>
      <c r="AM165" s="105"/>
      <c r="AN165" s="105"/>
      <c r="AO165" s="105"/>
      <c r="AP165" s="105"/>
      <c r="AQ165" s="108">
        <f t="shared" si="38"/>
        <v>0</v>
      </c>
      <c r="AR165" s="108">
        <f t="shared" si="39"/>
        <v>0</v>
      </c>
      <c r="AS165" s="109">
        <f t="shared" si="40"/>
        <v>0</v>
      </c>
      <c r="AU165" s="110">
        <f t="shared" si="31"/>
        <v>0</v>
      </c>
      <c r="AV165" s="111">
        <f>IF(D165="NR",
IF('ZD Vorerfassung'!$E$22="",0,IF(AND(B165&gt;='ZD Vorerfassung'!$C$22,B165&lt;='ZD Vorerfassung'!$D$22),HLOOKUP(TEXT(C165,"ttt"),'ZD Vorerfassung'!$H$21:$L$36,2,0),0))+
IF('ZD Vorerfassung'!$E$23="",0,IF(AND(B165&gt;='ZD Vorerfassung'!$C$23,B165&lt;='ZD Vorerfassung'!$D$23),HLOOKUP(TEXT(C165,"ttt"),'ZD Vorerfassung'!$H$21:$L$36,3,0),0))+
IF('ZD Vorerfassung'!$E$24="",0,IF(AND(B165&gt;='ZD Vorerfassung'!$C$24,B165&lt;='ZD Vorerfassung'!$D$24),HLOOKUP(TEXT(C165,"ttt"),'ZD Vorerfassung'!$H$21:$L$36,4,0),0))+
IF('ZD Vorerfassung'!$E$25="",0,IF(AND(B165&gt;='ZD Vorerfassung'!$C$25,B165&lt;='ZD Vorerfassung'!$D$25),HLOOKUP(TEXT(C165,"ttt"),'ZD Vorerfassung'!$H$21:$L$36,5,0),0))+
IF('ZD Vorerfassung'!$E$26="",0,IF(AND(B165&gt;='ZD Vorerfassung'!$C$26,B165&lt;='ZD Vorerfassung'!$D$26),HLOOKUP(TEXT(C165,"ttt"),'ZD Vorerfassung'!$H$21:$L$36,6,0),0))+
IF('ZD Vorerfassung'!$E$27="",0,IF(AND(B165&gt;='ZD Vorerfassung'!$C$27,B165&lt;='ZD Vorerfassung'!$D$27),HLOOKUP(TEXT(C165,"ttt"),'ZD Vorerfassung'!$H$21:$L$36,7,0),0))+
IF('ZD Vorerfassung'!$E$28="",0,IF(AND(B165&gt;='ZD Vorerfassung'!$C$28,B165&lt;='ZD Vorerfassung'!$D$28),HLOOKUP(TEXT(C165,"ttt"),'ZD Vorerfassung'!$H$21:$L$36,8,0),0))+
IF('ZD Vorerfassung'!$E$29="",0,IF(AND(B165&gt;='ZD Vorerfassung'!$C$29,B165&lt;='ZD Vorerfassung'!$D$29),HLOOKUP(TEXT(C165,"ttt"),'ZD Vorerfassung'!$H$21:$L$36,9,0),0))+
IF('ZD Vorerfassung'!$E$30="",0,IF(AND(B165&gt;='ZD Vorerfassung'!$C$30,B165&lt;='ZD Vorerfassung'!$D$30),HLOOKUP(TEXT(C165,"ttt"),'ZD Vorerfassung'!$H$21:$L$36,10,0),0))+
IF('ZD Vorerfassung'!$E$31="",0,IF(AND(B165&gt;='ZD Vorerfassung'!$C$31,B165&lt;='ZD Vorerfassung'!$D$31),HLOOKUP(TEXT(C165,"ttt"),'ZD Vorerfassung'!$H$21:$L$36,11,0),0))+
IF('ZD Vorerfassung'!$E$32="",0,IF(AND(B165&gt;='ZD Vorerfassung'!$C$32,B165&lt;='ZD Vorerfassung'!$D$32),HLOOKUP(TEXT(C165,"ttt"),'ZD Vorerfassung'!$H$21:$L$36,12,0),0))+
IF('ZD Vorerfassung'!$E$33="",0,IF(AND(B165&gt;='ZD Vorerfassung'!$C$33,B165&lt;='ZD Vorerfassung'!$D$33),HLOOKUP(TEXT(C165,"ttt"),'ZD Vorerfassung'!$H$21:$L$36,13,0),0))+
IF('ZD Vorerfassung'!$E$34="",0,IF(AND(B165&gt;='ZD Vorerfassung'!$C$34,B165&lt;='ZD Vorerfassung'!$D$34),HLOOKUP(TEXT(C165,"ttt"),'ZD Vorerfassung'!$H$21:$L$36,14,0),0))+
IF('ZD Vorerfassung'!$E$35="",0,IF(AND(B165&gt;='ZD Vorerfassung'!$C$35,B165&lt;='ZD Vorerfassung'!$D$35),HLOOKUP(TEXT(C165,"ttt"),'ZD Vorerfassung'!$H$21:$L$36,15,0),0))+
IF('ZD Vorerfassung'!$E$36="",0,IF(AND(B165&gt;='ZD Vorerfassung'!$C$36,B165&lt;='ZD Vorerfassung'!$D$36),HLOOKUP(TEXT(C165,"ttt"),'ZD Vorerfassung'!$H$21:$L$36,16,0),0)),"")</f>
        <v>0</v>
      </c>
      <c r="AW165" s="110">
        <f t="array" ref="AW165">IF(OR(D165="UU",D165="FT",D165="WE"),0,
IF(D165="NR",SUM(IF(B165&gt;=_xlfn.NUMBERVALUE('ZD Vorerfassung'!$C$22:$C$36),1,0)*IF(B165&lt;=_xlfn.NUMBERVALUE('ZD Vorerfassung'!$D$22:$D$36),1,0)*'ZD Vorerfassung'!$Q$22:$Q$36),
IF(OR(D165="SF",D165="FH"),SUM(IF(B165&gt;=_xlfn.NUMBERVALUE('ZD Vorerfassung'!$C$22:$C$36),1,0)*IF(B165&lt;=_xlfn.NUMBERVALUE('ZD Vorerfassung'!$D$22:$D$36),1,0)*'ZD Vorerfassung'!$R$22:$R$36*IF(D165="FH",0.5,1)),
"prüfen")))</f>
        <v>0</v>
      </c>
      <c r="AX165" s="110">
        <f t="array" ref="AX165">IF(OR(D165="UU",D165="FT",D165="WE",E165="Ferien"),0,
IF(D165="NR",SUM(IF(B165&gt;=_xlfn.NUMBERVALUE('ZD Vorerfassung'!$C$22:$C$36),1,0)*IF(B165&lt;=_xlfn.NUMBERVALUE('ZD Vorerfassung'!$D$22:$D$36),1,0)*'ZD Vorerfassung'!$W$22:$W$36),
IF(OR(D165="SF",D165="FH"),SUM(IF(B165&gt;=_xlfn.NUMBERVALUE('ZD Vorerfassung'!$C$22:$C$36),1,0)*IF(B165&lt;=_xlfn.NUMBERVALUE('ZD Vorerfassung'!$D$22:$D$36),1,0)*'ZD Vorerfassung'!$X$22:$X$36*IF(D165="FH",0.5,1)),
"prüfen")))</f>
        <v>0</v>
      </c>
      <c r="AY165" s="110">
        <f t="array" ref="AY165">IF(OR(D165="UU",D165="FT",D165="WE",E165="Ferien"),0,
IF(D165="NR",SUM(IF(B165&gt;=_xlfn.NUMBERVALUE('ZD Vorerfassung'!$C$22:$C$36),1,0)*IF(B165&lt;=_xlfn.NUMBERVALUE('ZD Vorerfassung'!$D$22:$D$36),1,0)*'ZD Vorerfassung'!$U$22:$U$36),
IF(OR(D165="SF",D165="FH"),SUM(IF(B165&gt;=_xlfn.NUMBERVALUE('ZD Vorerfassung'!$C$22:$C$36),1,0)*IF(B165&lt;=_xlfn.NUMBERVALUE('ZD Vorerfassung'!$D$22:$D$36),1,0)*'ZD Vorerfassung'!$V$22:$V$36*IF(D165="FH",0.5,1)),
"prüfen")))</f>
        <v>0</v>
      </c>
      <c r="AZ165" s="110">
        <f t="array" ref="AZ165">IF(OR(D165="UU",D165="FT",D165="WE",E165="Ferien"),0,
IF(D165="NR",SUM(IF(B165&gt;=_xlfn.NUMBERVALUE('ZD Vorerfassung'!$C$22:$C$36),1,0)*IF(B165&lt;=_xlfn.NUMBERVALUE('ZD Vorerfassung'!$D$22:$D$36),1,0)*'ZD Vorerfassung'!$S$22:$S$36),
IF(OR(D165="SF",D165="FH"),SUM(IF(B165&gt;=_xlfn.NUMBERVALUE('ZD Vorerfassung'!$C$22:$C$36),1,0)*IF(B165&lt;=_xlfn.NUMBERVALUE('ZD Vorerfassung'!$D$22:$D$36),1,0)*'ZD Vorerfassung'!$T$22:$T$36*IF(D165="FH",0.5,1)),
"prüfen")))</f>
        <v>0</v>
      </c>
      <c r="BA165" s="112">
        <f t="shared" si="32"/>
        <v>1</v>
      </c>
    </row>
    <row r="166" spans="2:53" ht="19.5" thickTop="1" thickBot="1" x14ac:dyDescent="0.3">
      <c r="B166" s="99">
        <f t="shared" si="29"/>
        <v>44931</v>
      </c>
      <c r="C166" s="100">
        <f t="shared" si="33"/>
        <v>44931</v>
      </c>
      <c r="D166" s="101" t="str">
        <f t="shared" si="34"/>
        <v>NR</v>
      </c>
      <c r="E166" s="102" t="str">
        <f t="shared" si="30"/>
        <v>Unterrichtstag</v>
      </c>
      <c r="F166" s="103">
        <f t="shared" si="35"/>
        <v>0</v>
      </c>
      <c r="G166" s="104">
        <f t="shared" si="36"/>
        <v>0</v>
      </c>
      <c r="H166" s="104">
        <f>IFERROR(IF('ZD Vorerfassung'!$E$11="manuell",SUM(I166),IF(OR(E166="Feiertag",E166="Wochenende"),0,IF('ZD Vorerfassung'!$E$11="automatisch",AX166,IF(D166="UU","UU",IF(E166=Param2,AX166/24,IF(E166=Param9,AX166/48,"")))))),0)</f>
        <v>0</v>
      </c>
      <c r="I166" s="105"/>
      <c r="J166" s="106">
        <f>IF('ZD Vorerfassung'!$E$12="manuell",SUM(K166:AI166),IF(OR(E166="Feiertag",E166="Wochenende"),0,IF('ZD Vorerfassung'!$E$12="automatisch",AY166,IF(D166="UU","UU",IF(E166=Param2,AY166/24,IF(E166=Param9,AY166/48,""))))))</f>
        <v>0</v>
      </c>
      <c r="K166" s="105"/>
      <c r="L166" s="105"/>
      <c r="M166" s="105"/>
      <c r="N166" s="105"/>
      <c r="O166" s="105"/>
      <c r="P166" s="105"/>
      <c r="Q166" s="105"/>
      <c r="R166" s="105"/>
      <c r="S166" s="105"/>
      <c r="T166" s="105"/>
      <c r="U166" s="105"/>
      <c r="V166" s="105"/>
      <c r="W166" s="105"/>
      <c r="X166" s="105"/>
      <c r="Y166" s="105"/>
      <c r="Z166" s="105"/>
      <c r="AA166" s="105"/>
      <c r="AB166" s="105"/>
      <c r="AC166" s="105"/>
      <c r="AD166" s="105"/>
      <c r="AE166" s="105"/>
      <c r="AF166" s="105"/>
      <c r="AG166" s="105"/>
      <c r="AH166" s="105"/>
      <c r="AI166" s="105"/>
      <c r="AJ166" s="107">
        <f t="shared" si="37"/>
        <v>0</v>
      </c>
      <c r="AK166" s="105"/>
      <c r="AL166" s="105"/>
      <c r="AM166" s="105"/>
      <c r="AN166" s="105"/>
      <c r="AO166" s="105"/>
      <c r="AP166" s="105"/>
      <c r="AQ166" s="108">
        <f t="shared" si="38"/>
        <v>0</v>
      </c>
      <c r="AR166" s="108">
        <f t="shared" si="39"/>
        <v>0</v>
      </c>
      <c r="AS166" s="109">
        <f t="shared" si="40"/>
        <v>0</v>
      </c>
      <c r="AU166" s="110">
        <f t="shared" si="31"/>
        <v>0</v>
      </c>
      <c r="AV166" s="111">
        <f>IF(D166="NR",
IF('ZD Vorerfassung'!$E$22="",0,IF(AND(B166&gt;='ZD Vorerfassung'!$C$22,B166&lt;='ZD Vorerfassung'!$D$22),HLOOKUP(TEXT(C166,"ttt"),'ZD Vorerfassung'!$H$21:$L$36,2,0),0))+
IF('ZD Vorerfassung'!$E$23="",0,IF(AND(B166&gt;='ZD Vorerfassung'!$C$23,B166&lt;='ZD Vorerfassung'!$D$23),HLOOKUP(TEXT(C166,"ttt"),'ZD Vorerfassung'!$H$21:$L$36,3,0),0))+
IF('ZD Vorerfassung'!$E$24="",0,IF(AND(B166&gt;='ZD Vorerfassung'!$C$24,B166&lt;='ZD Vorerfassung'!$D$24),HLOOKUP(TEXT(C166,"ttt"),'ZD Vorerfassung'!$H$21:$L$36,4,0),0))+
IF('ZD Vorerfassung'!$E$25="",0,IF(AND(B166&gt;='ZD Vorerfassung'!$C$25,B166&lt;='ZD Vorerfassung'!$D$25),HLOOKUP(TEXT(C166,"ttt"),'ZD Vorerfassung'!$H$21:$L$36,5,0),0))+
IF('ZD Vorerfassung'!$E$26="",0,IF(AND(B166&gt;='ZD Vorerfassung'!$C$26,B166&lt;='ZD Vorerfassung'!$D$26),HLOOKUP(TEXT(C166,"ttt"),'ZD Vorerfassung'!$H$21:$L$36,6,0),0))+
IF('ZD Vorerfassung'!$E$27="",0,IF(AND(B166&gt;='ZD Vorerfassung'!$C$27,B166&lt;='ZD Vorerfassung'!$D$27),HLOOKUP(TEXT(C166,"ttt"),'ZD Vorerfassung'!$H$21:$L$36,7,0),0))+
IF('ZD Vorerfassung'!$E$28="",0,IF(AND(B166&gt;='ZD Vorerfassung'!$C$28,B166&lt;='ZD Vorerfassung'!$D$28),HLOOKUP(TEXT(C166,"ttt"),'ZD Vorerfassung'!$H$21:$L$36,8,0),0))+
IF('ZD Vorerfassung'!$E$29="",0,IF(AND(B166&gt;='ZD Vorerfassung'!$C$29,B166&lt;='ZD Vorerfassung'!$D$29),HLOOKUP(TEXT(C166,"ttt"),'ZD Vorerfassung'!$H$21:$L$36,9,0),0))+
IF('ZD Vorerfassung'!$E$30="",0,IF(AND(B166&gt;='ZD Vorerfassung'!$C$30,B166&lt;='ZD Vorerfassung'!$D$30),HLOOKUP(TEXT(C166,"ttt"),'ZD Vorerfassung'!$H$21:$L$36,10,0),0))+
IF('ZD Vorerfassung'!$E$31="",0,IF(AND(B166&gt;='ZD Vorerfassung'!$C$31,B166&lt;='ZD Vorerfassung'!$D$31),HLOOKUP(TEXT(C166,"ttt"),'ZD Vorerfassung'!$H$21:$L$36,11,0),0))+
IF('ZD Vorerfassung'!$E$32="",0,IF(AND(B166&gt;='ZD Vorerfassung'!$C$32,B166&lt;='ZD Vorerfassung'!$D$32),HLOOKUP(TEXT(C166,"ttt"),'ZD Vorerfassung'!$H$21:$L$36,12,0),0))+
IF('ZD Vorerfassung'!$E$33="",0,IF(AND(B166&gt;='ZD Vorerfassung'!$C$33,B166&lt;='ZD Vorerfassung'!$D$33),HLOOKUP(TEXT(C166,"ttt"),'ZD Vorerfassung'!$H$21:$L$36,13,0),0))+
IF('ZD Vorerfassung'!$E$34="",0,IF(AND(B166&gt;='ZD Vorerfassung'!$C$34,B166&lt;='ZD Vorerfassung'!$D$34),HLOOKUP(TEXT(C166,"ttt"),'ZD Vorerfassung'!$H$21:$L$36,14,0),0))+
IF('ZD Vorerfassung'!$E$35="",0,IF(AND(B166&gt;='ZD Vorerfassung'!$C$35,B166&lt;='ZD Vorerfassung'!$D$35),HLOOKUP(TEXT(C166,"ttt"),'ZD Vorerfassung'!$H$21:$L$36,15,0),0))+
IF('ZD Vorerfassung'!$E$36="",0,IF(AND(B166&gt;='ZD Vorerfassung'!$C$36,B166&lt;='ZD Vorerfassung'!$D$36),HLOOKUP(TEXT(C166,"ttt"),'ZD Vorerfassung'!$H$21:$L$36,16,0),0)),"")</f>
        <v>0</v>
      </c>
      <c r="AW166" s="110">
        <f t="array" ref="AW166">IF(OR(D166="UU",D166="FT",D166="WE"),0,
IF(D166="NR",SUM(IF(B166&gt;=_xlfn.NUMBERVALUE('ZD Vorerfassung'!$C$22:$C$36),1,0)*IF(B166&lt;=_xlfn.NUMBERVALUE('ZD Vorerfassung'!$D$22:$D$36),1,0)*'ZD Vorerfassung'!$Q$22:$Q$36),
IF(OR(D166="SF",D166="FH"),SUM(IF(B166&gt;=_xlfn.NUMBERVALUE('ZD Vorerfassung'!$C$22:$C$36),1,0)*IF(B166&lt;=_xlfn.NUMBERVALUE('ZD Vorerfassung'!$D$22:$D$36),1,0)*'ZD Vorerfassung'!$R$22:$R$36*IF(D166="FH",0.5,1)),
"prüfen")))</f>
        <v>0</v>
      </c>
      <c r="AX166" s="110">
        <f t="array" ref="AX166">IF(OR(D166="UU",D166="FT",D166="WE",E166="Ferien"),0,
IF(D166="NR",SUM(IF(B166&gt;=_xlfn.NUMBERVALUE('ZD Vorerfassung'!$C$22:$C$36),1,0)*IF(B166&lt;=_xlfn.NUMBERVALUE('ZD Vorerfassung'!$D$22:$D$36),1,0)*'ZD Vorerfassung'!$W$22:$W$36),
IF(OR(D166="SF",D166="FH"),SUM(IF(B166&gt;=_xlfn.NUMBERVALUE('ZD Vorerfassung'!$C$22:$C$36),1,0)*IF(B166&lt;=_xlfn.NUMBERVALUE('ZD Vorerfassung'!$D$22:$D$36),1,0)*'ZD Vorerfassung'!$X$22:$X$36*IF(D166="FH",0.5,1)),
"prüfen")))</f>
        <v>0</v>
      </c>
      <c r="AY166" s="110">
        <f t="array" ref="AY166">IF(OR(D166="UU",D166="FT",D166="WE",E166="Ferien"),0,
IF(D166="NR",SUM(IF(B166&gt;=_xlfn.NUMBERVALUE('ZD Vorerfassung'!$C$22:$C$36),1,0)*IF(B166&lt;=_xlfn.NUMBERVALUE('ZD Vorerfassung'!$D$22:$D$36),1,0)*'ZD Vorerfassung'!$U$22:$U$36),
IF(OR(D166="SF",D166="FH"),SUM(IF(B166&gt;=_xlfn.NUMBERVALUE('ZD Vorerfassung'!$C$22:$C$36),1,0)*IF(B166&lt;=_xlfn.NUMBERVALUE('ZD Vorerfassung'!$D$22:$D$36),1,0)*'ZD Vorerfassung'!$V$22:$V$36*IF(D166="FH",0.5,1)),
"prüfen")))</f>
        <v>0</v>
      </c>
      <c r="AZ166" s="110">
        <f t="array" ref="AZ166">IF(OR(D166="UU",D166="FT",D166="WE",E166="Ferien"),0,
IF(D166="NR",SUM(IF(B166&gt;=_xlfn.NUMBERVALUE('ZD Vorerfassung'!$C$22:$C$36),1,0)*IF(B166&lt;=_xlfn.NUMBERVALUE('ZD Vorerfassung'!$D$22:$D$36),1,0)*'ZD Vorerfassung'!$S$22:$S$36),
IF(OR(D166="SF",D166="FH"),SUM(IF(B166&gt;=_xlfn.NUMBERVALUE('ZD Vorerfassung'!$C$22:$C$36),1,0)*IF(B166&lt;=_xlfn.NUMBERVALUE('ZD Vorerfassung'!$D$22:$D$36),1,0)*'ZD Vorerfassung'!$T$22:$T$36*IF(D166="FH",0.5,1)),
"prüfen")))</f>
        <v>0</v>
      </c>
      <c r="BA166" s="112">
        <f t="shared" si="32"/>
        <v>1</v>
      </c>
    </row>
    <row r="167" spans="2:53" ht="19.5" thickTop="1" thickBot="1" x14ac:dyDescent="0.3">
      <c r="B167" s="99">
        <f t="shared" si="29"/>
        <v>44932</v>
      </c>
      <c r="C167" s="100">
        <f t="shared" si="33"/>
        <v>44932</v>
      </c>
      <c r="D167" s="101" t="str">
        <f t="shared" si="34"/>
        <v>NR</v>
      </c>
      <c r="E167" s="102" t="str">
        <f t="shared" si="30"/>
        <v>Unterrichtstag</v>
      </c>
      <c r="F167" s="103">
        <f t="shared" si="35"/>
        <v>0</v>
      </c>
      <c r="G167" s="104">
        <f t="shared" si="36"/>
        <v>0</v>
      </c>
      <c r="H167" s="104">
        <f>IFERROR(IF('ZD Vorerfassung'!$E$11="manuell",SUM(I167),IF(OR(E167="Feiertag",E167="Wochenende"),0,IF('ZD Vorerfassung'!$E$11="automatisch",AX167,IF(D167="UU","UU",IF(E167=Param2,AX167/24,IF(E167=Param9,AX167/48,"")))))),0)</f>
        <v>0</v>
      </c>
      <c r="I167" s="105"/>
      <c r="J167" s="106">
        <f>IF('ZD Vorerfassung'!$E$12="manuell",SUM(K167:AI167),IF(OR(E167="Feiertag",E167="Wochenende"),0,IF('ZD Vorerfassung'!$E$12="automatisch",AY167,IF(D167="UU","UU",IF(E167=Param2,AY167/24,IF(E167=Param9,AY167/48,""))))))</f>
        <v>0</v>
      </c>
      <c r="K167" s="105"/>
      <c r="L167" s="105"/>
      <c r="M167" s="105"/>
      <c r="N167" s="105"/>
      <c r="O167" s="105"/>
      <c r="P167" s="105"/>
      <c r="Q167" s="105"/>
      <c r="R167" s="105"/>
      <c r="S167" s="105"/>
      <c r="T167" s="105"/>
      <c r="U167" s="105"/>
      <c r="V167" s="105"/>
      <c r="W167" s="105"/>
      <c r="X167" s="105"/>
      <c r="Y167" s="105"/>
      <c r="Z167" s="105"/>
      <c r="AA167" s="105"/>
      <c r="AB167" s="105"/>
      <c r="AC167" s="105"/>
      <c r="AD167" s="105"/>
      <c r="AE167" s="105"/>
      <c r="AF167" s="105"/>
      <c r="AG167" s="105"/>
      <c r="AH167" s="105"/>
      <c r="AI167" s="105"/>
      <c r="AJ167" s="107">
        <f t="shared" si="37"/>
        <v>0</v>
      </c>
      <c r="AK167" s="105"/>
      <c r="AL167" s="105"/>
      <c r="AM167" s="105"/>
      <c r="AN167" s="105"/>
      <c r="AO167" s="105"/>
      <c r="AP167" s="105"/>
      <c r="AQ167" s="108">
        <f t="shared" si="38"/>
        <v>0</v>
      </c>
      <c r="AR167" s="108">
        <f t="shared" si="39"/>
        <v>0</v>
      </c>
      <c r="AS167" s="109">
        <f t="shared" si="40"/>
        <v>0</v>
      </c>
      <c r="AU167" s="110">
        <f t="shared" si="31"/>
        <v>0</v>
      </c>
      <c r="AV167" s="111">
        <f>IF(D167="NR",
IF('ZD Vorerfassung'!$E$22="",0,IF(AND(B167&gt;='ZD Vorerfassung'!$C$22,B167&lt;='ZD Vorerfassung'!$D$22),HLOOKUP(TEXT(C167,"ttt"),'ZD Vorerfassung'!$H$21:$L$36,2,0),0))+
IF('ZD Vorerfassung'!$E$23="",0,IF(AND(B167&gt;='ZD Vorerfassung'!$C$23,B167&lt;='ZD Vorerfassung'!$D$23),HLOOKUP(TEXT(C167,"ttt"),'ZD Vorerfassung'!$H$21:$L$36,3,0),0))+
IF('ZD Vorerfassung'!$E$24="",0,IF(AND(B167&gt;='ZD Vorerfassung'!$C$24,B167&lt;='ZD Vorerfassung'!$D$24),HLOOKUP(TEXT(C167,"ttt"),'ZD Vorerfassung'!$H$21:$L$36,4,0),0))+
IF('ZD Vorerfassung'!$E$25="",0,IF(AND(B167&gt;='ZD Vorerfassung'!$C$25,B167&lt;='ZD Vorerfassung'!$D$25),HLOOKUP(TEXT(C167,"ttt"),'ZD Vorerfassung'!$H$21:$L$36,5,0),0))+
IF('ZD Vorerfassung'!$E$26="",0,IF(AND(B167&gt;='ZD Vorerfassung'!$C$26,B167&lt;='ZD Vorerfassung'!$D$26),HLOOKUP(TEXT(C167,"ttt"),'ZD Vorerfassung'!$H$21:$L$36,6,0),0))+
IF('ZD Vorerfassung'!$E$27="",0,IF(AND(B167&gt;='ZD Vorerfassung'!$C$27,B167&lt;='ZD Vorerfassung'!$D$27),HLOOKUP(TEXT(C167,"ttt"),'ZD Vorerfassung'!$H$21:$L$36,7,0),0))+
IF('ZD Vorerfassung'!$E$28="",0,IF(AND(B167&gt;='ZD Vorerfassung'!$C$28,B167&lt;='ZD Vorerfassung'!$D$28),HLOOKUP(TEXT(C167,"ttt"),'ZD Vorerfassung'!$H$21:$L$36,8,0),0))+
IF('ZD Vorerfassung'!$E$29="",0,IF(AND(B167&gt;='ZD Vorerfassung'!$C$29,B167&lt;='ZD Vorerfassung'!$D$29),HLOOKUP(TEXT(C167,"ttt"),'ZD Vorerfassung'!$H$21:$L$36,9,0),0))+
IF('ZD Vorerfassung'!$E$30="",0,IF(AND(B167&gt;='ZD Vorerfassung'!$C$30,B167&lt;='ZD Vorerfassung'!$D$30),HLOOKUP(TEXT(C167,"ttt"),'ZD Vorerfassung'!$H$21:$L$36,10,0),0))+
IF('ZD Vorerfassung'!$E$31="",0,IF(AND(B167&gt;='ZD Vorerfassung'!$C$31,B167&lt;='ZD Vorerfassung'!$D$31),HLOOKUP(TEXT(C167,"ttt"),'ZD Vorerfassung'!$H$21:$L$36,11,0),0))+
IF('ZD Vorerfassung'!$E$32="",0,IF(AND(B167&gt;='ZD Vorerfassung'!$C$32,B167&lt;='ZD Vorerfassung'!$D$32),HLOOKUP(TEXT(C167,"ttt"),'ZD Vorerfassung'!$H$21:$L$36,12,0),0))+
IF('ZD Vorerfassung'!$E$33="",0,IF(AND(B167&gt;='ZD Vorerfassung'!$C$33,B167&lt;='ZD Vorerfassung'!$D$33),HLOOKUP(TEXT(C167,"ttt"),'ZD Vorerfassung'!$H$21:$L$36,13,0),0))+
IF('ZD Vorerfassung'!$E$34="",0,IF(AND(B167&gt;='ZD Vorerfassung'!$C$34,B167&lt;='ZD Vorerfassung'!$D$34),HLOOKUP(TEXT(C167,"ttt"),'ZD Vorerfassung'!$H$21:$L$36,14,0),0))+
IF('ZD Vorerfassung'!$E$35="",0,IF(AND(B167&gt;='ZD Vorerfassung'!$C$35,B167&lt;='ZD Vorerfassung'!$D$35),HLOOKUP(TEXT(C167,"ttt"),'ZD Vorerfassung'!$H$21:$L$36,15,0),0))+
IF('ZD Vorerfassung'!$E$36="",0,IF(AND(B167&gt;='ZD Vorerfassung'!$C$36,B167&lt;='ZD Vorerfassung'!$D$36),HLOOKUP(TEXT(C167,"ttt"),'ZD Vorerfassung'!$H$21:$L$36,16,0),0)),"")</f>
        <v>0</v>
      </c>
      <c r="AW167" s="110">
        <f t="array" ref="AW167">IF(OR(D167="UU",D167="FT",D167="WE"),0,
IF(D167="NR",SUM(IF(B167&gt;=_xlfn.NUMBERVALUE('ZD Vorerfassung'!$C$22:$C$36),1,0)*IF(B167&lt;=_xlfn.NUMBERVALUE('ZD Vorerfassung'!$D$22:$D$36),1,0)*'ZD Vorerfassung'!$Q$22:$Q$36),
IF(OR(D167="SF",D167="FH"),SUM(IF(B167&gt;=_xlfn.NUMBERVALUE('ZD Vorerfassung'!$C$22:$C$36),1,0)*IF(B167&lt;=_xlfn.NUMBERVALUE('ZD Vorerfassung'!$D$22:$D$36),1,0)*'ZD Vorerfassung'!$R$22:$R$36*IF(D167="FH",0.5,1)),
"prüfen")))</f>
        <v>0</v>
      </c>
      <c r="AX167" s="110">
        <f t="array" ref="AX167">IF(OR(D167="UU",D167="FT",D167="WE",E167="Ferien"),0,
IF(D167="NR",SUM(IF(B167&gt;=_xlfn.NUMBERVALUE('ZD Vorerfassung'!$C$22:$C$36),1,0)*IF(B167&lt;=_xlfn.NUMBERVALUE('ZD Vorerfassung'!$D$22:$D$36),1,0)*'ZD Vorerfassung'!$W$22:$W$36),
IF(OR(D167="SF",D167="FH"),SUM(IF(B167&gt;=_xlfn.NUMBERVALUE('ZD Vorerfassung'!$C$22:$C$36),1,0)*IF(B167&lt;=_xlfn.NUMBERVALUE('ZD Vorerfassung'!$D$22:$D$36),1,0)*'ZD Vorerfassung'!$X$22:$X$36*IF(D167="FH",0.5,1)),
"prüfen")))</f>
        <v>0</v>
      </c>
      <c r="AY167" s="110">
        <f t="array" ref="AY167">IF(OR(D167="UU",D167="FT",D167="WE",E167="Ferien"),0,
IF(D167="NR",SUM(IF(B167&gt;=_xlfn.NUMBERVALUE('ZD Vorerfassung'!$C$22:$C$36),1,0)*IF(B167&lt;=_xlfn.NUMBERVALUE('ZD Vorerfassung'!$D$22:$D$36),1,0)*'ZD Vorerfassung'!$U$22:$U$36),
IF(OR(D167="SF",D167="FH"),SUM(IF(B167&gt;=_xlfn.NUMBERVALUE('ZD Vorerfassung'!$C$22:$C$36),1,0)*IF(B167&lt;=_xlfn.NUMBERVALUE('ZD Vorerfassung'!$D$22:$D$36),1,0)*'ZD Vorerfassung'!$V$22:$V$36*IF(D167="FH",0.5,1)),
"prüfen")))</f>
        <v>0</v>
      </c>
      <c r="AZ167" s="110">
        <f t="array" ref="AZ167">IF(OR(D167="UU",D167="FT",D167="WE",E167="Ferien"),0,
IF(D167="NR",SUM(IF(B167&gt;=_xlfn.NUMBERVALUE('ZD Vorerfassung'!$C$22:$C$36),1,0)*IF(B167&lt;=_xlfn.NUMBERVALUE('ZD Vorerfassung'!$D$22:$D$36),1,0)*'ZD Vorerfassung'!$S$22:$S$36),
IF(OR(D167="SF",D167="FH"),SUM(IF(B167&gt;=_xlfn.NUMBERVALUE('ZD Vorerfassung'!$C$22:$C$36),1,0)*IF(B167&lt;=_xlfn.NUMBERVALUE('ZD Vorerfassung'!$D$22:$D$36),1,0)*'ZD Vorerfassung'!$T$22:$T$36*IF(D167="FH",0.5,1)),
"prüfen")))</f>
        <v>0</v>
      </c>
      <c r="BA167" s="112">
        <f t="shared" si="32"/>
        <v>1</v>
      </c>
    </row>
    <row r="168" spans="2:53" ht="19.5" thickTop="1" thickBot="1" x14ac:dyDescent="0.3">
      <c r="B168" s="99">
        <f t="shared" si="29"/>
        <v>44933</v>
      </c>
      <c r="C168" s="100">
        <f t="shared" si="33"/>
        <v>44933</v>
      </c>
      <c r="D168" s="101" t="str">
        <f t="shared" si="34"/>
        <v>NR</v>
      </c>
      <c r="E168" s="102" t="str">
        <f t="shared" si="30"/>
        <v>Unterrichtstag</v>
      </c>
      <c r="F168" s="103">
        <f t="shared" si="35"/>
        <v>0</v>
      </c>
      <c r="G168" s="104">
        <f t="shared" si="36"/>
        <v>0</v>
      </c>
      <c r="H168" s="104">
        <f>IFERROR(IF('ZD Vorerfassung'!$E$11="manuell",SUM(I168),IF(OR(E168="Feiertag",E168="Wochenende"),0,IF('ZD Vorerfassung'!$E$11="automatisch",AX168,IF(D168="UU","UU",IF(E168=Param2,AX168/24,IF(E168=Param9,AX168/48,"")))))),0)</f>
        <v>0</v>
      </c>
      <c r="I168" s="105"/>
      <c r="J168" s="106">
        <f>IF('ZD Vorerfassung'!$E$12="manuell",SUM(K168:AI168),IF(OR(E168="Feiertag",E168="Wochenende"),0,IF('ZD Vorerfassung'!$E$12="automatisch",AY168,IF(D168="UU","UU",IF(E168=Param2,AY168/24,IF(E168=Param9,AY168/48,""))))))</f>
        <v>0</v>
      </c>
      <c r="K168" s="105"/>
      <c r="L168" s="105"/>
      <c r="M168" s="105"/>
      <c r="N168" s="105"/>
      <c r="O168" s="105"/>
      <c r="P168" s="105"/>
      <c r="Q168" s="105"/>
      <c r="R168" s="105"/>
      <c r="S168" s="105"/>
      <c r="T168" s="105"/>
      <c r="U168" s="105"/>
      <c r="V168" s="105"/>
      <c r="W168" s="105"/>
      <c r="X168" s="105"/>
      <c r="Y168" s="105"/>
      <c r="Z168" s="105"/>
      <c r="AA168" s="105"/>
      <c r="AB168" s="105"/>
      <c r="AC168" s="105"/>
      <c r="AD168" s="105"/>
      <c r="AE168" s="105"/>
      <c r="AF168" s="105"/>
      <c r="AG168" s="105"/>
      <c r="AH168" s="105"/>
      <c r="AI168" s="105"/>
      <c r="AJ168" s="107">
        <f t="shared" si="37"/>
        <v>0</v>
      </c>
      <c r="AK168" s="105"/>
      <c r="AL168" s="105"/>
      <c r="AM168" s="105"/>
      <c r="AN168" s="105"/>
      <c r="AO168" s="105"/>
      <c r="AP168" s="105"/>
      <c r="AQ168" s="108">
        <f t="shared" si="38"/>
        <v>0</v>
      </c>
      <c r="AR168" s="108">
        <f t="shared" si="39"/>
        <v>0</v>
      </c>
      <c r="AS168" s="109">
        <f t="shared" si="40"/>
        <v>0</v>
      </c>
      <c r="AU168" s="110">
        <f t="shared" si="31"/>
        <v>0</v>
      </c>
      <c r="AV168" s="111">
        <f>IF(D168="NR",
IF('ZD Vorerfassung'!$E$22="",0,IF(AND(B168&gt;='ZD Vorerfassung'!$C$22,B168&lt;='ZD Vorerfassung'!$D$22),HLOOKUP(TEXT(C168,"ttt"),'ZD Vorerfassung'!$H$21:$L$36,2,0),0))+
IF('ZD Vorerfassung'!$E$23="",0,IF(AND(B168&gt;='ZD Vorerfassung'!$C$23,B168&lt;='ZD Vorerfassung'!$D$23),HLOOKUP(TEXT(C168,"ttt"),'ZD Vorerfassung'!$H$21:$L$36,3,0),0))+
IF('ZD Vorerfassung'!$E$24="",0,IF(AND(B168&gt;='ZD Vorerfassung'!$C$24,B168&lt;='ZD Vorerfassung'!$D$24),HLOOKUP(TEXT(C168,"ttt"),'ZD Vorerfassung'!$H$21:$L$36,4,0),0))+
IF('ZD Vorerfassung'!$E$25="",0,IF(AND(B168&gt;='ZD Vorerfassung'!$C$25,B168&lt;='ZD Vorerfassung'!$D$25),HLOOKUP(TEXT(C168,"ttt"),'ZD Vorerfassung'!$H$21:$L$36,5,0),0))+
IF('ZD Vorerfassung'!$E$26="",0,IF(AND(B168&gt;='ZD Vorerfassung'!$C$26,B168&lt;='ZD Vorerfassung'!$D$26),HLOOKUP(TEXT(C168,"ttt"),'ZD Vorerfassung'!$H$21:$L$36,6,0),0))+
IF('ZD Vorerfassung'!$E$27="",0,IF(AND(B168&gt;='ZD Vorerfassung'!$C$27,B168&lt;='ZD Vorerfassung'!$D$27),HLOOKUP(TEXT(C168,"ttt"),'ZD Vorerfassung'!$H$21:$L$36,7,0),0))+
IF('ZD Vorerfassung'!$E$28="",0,IF(AND(B168&gt;='ZD Vorerfassung'!$C$28,B168&lt;='ZD Vorerfassung'!$D$28),HLOOKUP(TEXT(C168,"ttt"),'ZD Vorerfassung'!$H$21:$L$36,8,0),0))+
IF('ZD Vorerfassung'!$E$29="",0,IF(AND(B168&gt;='ZD Vorerfassung'!$C$29,B168&lt;='ZD Vorerfassung'!$D$29),HLOOKUP(TEXT(C168,"ttt"),'ZD Vorerfassung'!$H$21:$L$36,9,0),0))+
IF('ZD Vorerfassung'!$E$30="",0,IF(AND(B168&gt;='ZD Vorerfassung'!$C$30,B168&lt;='ZD Vorerfassung'!$D$30),HLOOKUP(TEXT(C168,"ttt"),'ZD Vorerfassung'!$H$21:$L$36,10,0),0))+
IF('ZD Vorerfassung'!$E$31="",0,IF(AND(B168&gt;='ZD Vorerfassung'!$C$31,B168&lt;='ZD Vorerfassung'!$D$31),HLOOKUP(TEXT(C168,"ttt"),'ZD Vorerfassung'!$H$21:$L$36,11,0),0))+
IF('ZD Vorerfassung'!$E$32="",0,IF(AND(B168&gt;='ZD Vorerfassung'!$C$32,B168&lt;='ZD Vorerfassung'!$D$32),HLOOKUP(TEXT(C168,"ttt"),'ZD Vorerfassung'!$H$21:$L$36,12,0),0))+
IF('ZD Vorerfassung'!$E$33="",0,IF(AND(B168&gt;='ZD Vorerfassung'!$C$33,B168&lt;='ZD Vorerfassung'!$D$33),HLOOKUP(TEXT(C168,"ttt"),'ZD Vorerfassung'!$H$21:$L$36,13,0),0))+
IF('ZD Vorerfassung'!$E$34="",0,IF(AND(B168&gt;='ZD Vorerfassung'!$C$34,B168&lt;='ZD Vorerfassung'!$D$34),HLOOKUP(TEXT(C168,"ttt"),'ZD Vorerfassung'!$H$21:$L$36,14,0),0))+
IF('ZD Vorerfassung'!$E$35="",0,IF(AND(B168&gt;='ZD Vorerfassung'!$C$35,B168&lt;='ZD Vorerfassung'!$D$35),HLOOKUP(TEXT(C168,"ttt"),'ZD Vorerfassung'!$H$21:$L$36,15,0),0))+
IF('ZD Vorerfassung'!$E$36="",0,IF(AND(B168&gt;='ZD Vorerfassung'!$C$36,B168&lt;='ZD Vorerfassung'!$D$36),HLOOKUP(TEXT(C168,"ttt"),'ZD Vorerfassung'!$H$21:$L$36,16,0),0)),"")</f>
        <v>0</v>
      </c>
      <c r="AW168" s="110">
        <f t="array" ref="AW168">IF(OR(D168="UU",D168="FT",D168="WE"),0,
IF(D168="NR",SUM(IF(B168&gt;=_xlfn.NUMBERVALUE('ZD Vorerfassung'!$C$22:$C$36),1,0)*IF(B168&lt;=_xlfn.NUMBERVALUE('ZD Vorerfassung'!$D$22:$D$36),1,0)*'ZD Vorerfassung'!$Q$22:$Q$36),
IF(OR(D168="SF",D168="FH"),SUM(IF(B168&gt;=_xlfn.NUMBERVALUE('ZD Vorerfassung'!$C$22:$C$36),1,0)*IF(B168&lt;=_xlfn.NUMBERVALUE('ZD Vorerfassung'!$D$22:$D$36),1,0)*'ZD Vorerfassung'!$R$22:$R$36*IF(D168="FH",0.5,1)),
"prüfen")))</f>
        <v>0</v>
      </c>
      <c r="AX168" s="110">
        <f t="array" ref="AX168">IF(OR(D168="UU",D168="FT",D168="WE",E168="Ferien"),0,
IF(D168="NR",SUM(IF(B168&gt;=_xlfn.NUMBERVALUE('ZD Vorerfassung'!$C$22:$C$36),1,0)*IF(B168&lt;=_xlfn.NUMBERVALUE('ZD Vorerfassung'!$D$22:$D$36),1,0)*'ZD Vorerfassung'!$W$22:$W$36),
IF(OR(D168="SF",D168="FH"),SUM(IF(B168&gt;=_xlfn.NUMBERVALUE('ZD Vorerfassung'!$C$22:$C$36),1,0)*IF(B168&lt;=_xlfn.NUMBERVALUE('ZD Vorerfassung'!$D$22:$D$36),1,0)*'ZD Vorerfassung'!$X$22:$X$36*IF(D168="FH",0.5,1)),
"prüfen")))</f>
        <v>0</v>
      </c>
      <c r="AY168" s="110">
        <f t="array" ref="AY168">IF(OR(D168="UU",D168="FT",D168="WE",E168="Ferien"),0,
IF(D168="NR",SUM(IF(B168&gt;=_xlfn.NUMBERVALUE('ZD Vorerfassung'!$C$22:$C$36),1,0)*IF(B168&lt;=_xlfn.NUMBERVALUE('ZD Vorerfassung'!$D$22:$D$36),1,0)*'ZD Vorerfassung'!$U$22:$U$36),
IF(OR(D168="SF",D168="FH"),SUM(IF(B168&gt;=_xlfn.NUMBERVALUE('ZD Vorerfassung'!$C$22:$C$36),1,0)*IF(B168&lt;=_xlfn.NUMBERVALUE('ZD Vorerfassung'!$D$22:$D$36),1,0)*'ZD Vorerfassung'!$V$22:$V$36*IF(D168="FH",0.5,1)),
"prüfen")))</f>
        <v>0</v>
      </c>
      <c r="AZ168" s="110">
        <f t="array" ref="AZ168">IF(OR(D168="UU",D168="FT",D168="WE",E168="Ferien"),0,
IF(D168="NR",SUM(IF(B168&gt;=_xlfn.NUMBERVALUE('ZD Vorerfassung'!$C$22:$C$36),1,0)*IF(B168&lt;=_xlfn.NUMBERVALUE('ZD Vorerfassung'!$D$22:$D$36),1,0)*'ZD Vorerfassung'!$S$22:$S$36),
IF(OR(D168="SF",D168="FH"),SUM(IF(B168&gt;=_xlfn.NUMBERVALUE('ZD Vorerfassung'!$C$22:$C$36),1,0)*IF(B168&lt;=_xlfn.NUMBERVALUE('ZD Vorerfassung'!$D$22:$D$36),1,0)*'ZD Vorerfassung'!$T$22:$T$36*IF(D168="FH",0.5,1)),
"prüfen")))</f>
        <v>0</v>
      </c>
      <c r="BA168" s="112">
        <f t="shared" si="32"/>
        <v>1</v>
      </c>
    </row>
    <row r="169" spans="2:53" ht="19.5" thickTop="1" thickBot="1" x14ac:dyDescent="0.3">
      <c r="B169" s="99">
        <f t="shared" si="29"/>
        <v>44934</v>
      </c>
      <c r="C169" s="100">
        <f t="shared" si="33"/>
        <v>44934</v>
      </c>
      <c r="D169" s="101" t="str">
        <f t="shared" si="34"/>
        <v>WE</v>
      </c>
      <c r="E169" s="102" t="str">
        <f t="shared" si="30"/>
        <v>Wochenende</v>
      </c>
      <c r="F169" s="103" t="str">
        <f t="shared" si="35"/>
        <v/>
      </c>
      <c r="G169" s="104" t="str">
        <f t="shared" si="36"/>
        <v/>
      </c>
      <c r="H169" s="104">
        <f>IFERROR(IF('ZD Vorerfassung'!$E$11="manuell",SUM(I169),IF(OR(E169="Feiertag",E169="Wochenende"),0,IF('ZD Vorerfassung'!$E$11="automatisch",AX169,IF(D169="UU","UU",IF(E169=Param2,AX169/24,IF(E169=Param9,AX169/48,"")))))),0)</f>
        <v>0</v>
      </c>
      <c r="I169" s="105"/>
      <c r="J169" s="106">
        <f>IF('ZD Vorerfassung'!$E$12="manuell",SUM(K169:AI169),IF(OR(E169="Feiertag",E169="Wochenende"),0,IF('ZD Vorerfassung'!$E$12="automatisch",AY169,IF(D169="UU","UU",IF(E169=Param2,AY169/24,IF(E169=Param9,AY169/48,""))))))</f>
        <v>0</v>
      </c>
      <c r="K169" s="105"/>
      <c r="L169" s="105"/>
      <c r="M169" s="105"/>
      <c r="N169" s="105"/>
      <c r="O169" s="105"/>
      <c r="P169" s="105"/>
      <c r="Q169" s="105"/>
      <c r="R169" s="105"/>
      <c r="S169" s="105"/>
      <c r="T169" s="105"/>
      <c r="U169" s="105"/>
      <c r="V169" s="105"/>
      <c r="W169" s="105"/>
      <c r="X169" s="105"/>
      <c r="Y169" s="105"/>
      <c r="Z169" s="105"/>
      <c r="AA169" s="105"/>
      <c r="AB169" s="105"/>
      <c r="AC169" s="105"/>
      <c r="AD169" s="105"/>
      <c r="AE169" s="105"/>
      <c r="AF169" s="105"/>
      <c r="AG169" s="105"/>
      <c r="AH169" s="105"/>
      <c r="AI169" s="105"/>
      <c r="AJ169" s="107">
        <f t="shared" si="37"/>
        <v>0</v>
      </c>
      <c r="AK169" s="105"/>
      <c r="AL169" s="105"/>
      <c r="AM169" s="105"/>
      <c r="AN169" s="105"/>
      <c r="AO169" s="105"/>
      <c r="AP169" s="105"/>
      <c r="AQ169" s="108">
        <f t="shared" si="38"/>
        <v>0</v>
      </c>
      <c r="AR169" s="108">
        <f t="shared" si="39"/>
        <v>0</v>
      </c>
      <c r="AS169" s="109">
        <f t="shared" si="40"/>
        <v>0</v>
      </c>
      <c r="AU169" s="110">
        <f t="shared" si="31"/>
        <v>0</v>
      </c>
      <c r="AV169" s="111" t="str">
        <f>IF(D169="NR",
IF('ZD Vorerfassung'!$E$22="",0,IF(AND(B169&gt;='ZD Vorerfassung'!$C$22,B169&lt;='ZD Vorerfassung'!$D$22),HLOOKUP(TEXT(C169,"ttt"),'ZD Vorerfassung'!$H$21:$L$36,2,0),0))+
IF('ZD Vorerfassung'!$E$23="",0,IF(AND(B169&gt;='ZD Vorerfassung'!$C$23,B169&lt;='ZD Vorerfassung'!$D$23),HLOOKUP(TEXT(C169,"ttt"),'ZD Vorerfassung'!$H$21:$L$36,3,0),0))+
IF('ZD Vorerfassung'!$E$24="",0,IF(AND(B169&gt;='ZD Vorerfassung'!$C$24,B169&lt;='ZD Vorerfassung'!$D$24),HLOOKUP(TEXT(C169,"ttt"),'ZD Vorerfassung'!$H$21:$L$36,4,0),0))+
IF('ZD Vorerfassung'!$E$25="",0,IF(AND(B169&gt;='ZD Vorerfassung'!$C$25,B169&lt;='ZD Vorerfassung'!$D$25),HLOOKUP(TEXT(C169,"ttt"),'ZD Vorerfassung'!$H$21:$L$36,5,0),0))+
IF('ZD Vorerfassung'!$E$26="",0,IF(AND(B169&gt;='ZD Vorerfassung'!$C$26,B169&lt;='ZD Vorerfassung'!$D$26),HLOOKUP(TEXT(C169,"ttt"),'ZD Vorerfassung'!$H$21:$L$36,6,0),0))+
IF('ZD Vorerfassung'!$E$27="",0,IF(AND(B169&gt;='ZD Vorerfassung'!$C$27,B169&lt;='ZD Vorerfassung'!$D$27),HLOOKUP(TEXT(C169,"ttt"),'ZD Vorerfassung'!$H$21:$L$36,7,0),0))+
IF('ZD Vorerfassung'!$E$28="",0,IF(AND(B169&gt;='ZD Vorerfassung'!$C$28,B169&lt;='ZD Vorerfassung'!$D$28),HLOOKUP(TEXT(C169,"ttt"),'ZD Vorerfassung'!$H$21:$L$36,8,0),0))+
IF('ZD Vorerfassung'!$E$29="",0,IF(AND(B169&gt;='ZD Vorerfassung'!$C$29,B169&lt;='ZD Vorerfassung'!$D$29),HLOOKUP(TEXT(C169,"ttt"),'ZD Vorerfassung'!$H$21:$L$36,9,0),0))+
IF('ZD Vorerfassung'!$E$30="",0,IF(AND(B169&gt;='ZD Vorerfassung'!$C$30,B169&lt;='ZD Vorerfassung'!$D$30),HLOOKUP(TEXT(C169,"ttt"),'ZD Vorerfassung'!$H$21:$L$36,10,0),0))+
IF('ZD Vorerfassung'!$E$31="",0,IF(AND(B169&gt;='ZD Vorerfassung'!$C$31,B169&lt;='ZD Vorerfassung'!$D$31),HLOOKUP(TEXT(C169,"ttt"),'ZD Vorerfassung'!$H$21:$L$36,11,0),0))+
IF('ZD Vorerfassung'!$E$32="",0,IF(AND(B169&gt;='ZD Vorerfassung'!$C$32,B169&lt;='ZD Vorerfassung'!$D$32),HLOOKUP(TEXT(C169,"ttt"),'ZD Vorerfassung'!$H$21:$L$36,12,0),0))+
IF('ZD Vorerfassung'!$E$33="",0,IF(AND(B169&gt;='ZD Vorerfassung'!$C$33,B169&lt;='ZD Vorerfassung'!$D$33),HLOOKUP(TEXT(C169,"ttt"),'ZD Vorerfassung'!$H$21:$L$36,13,0),0))+
IF('ZD Vorerfassung'!$E$34="",0,IF(AND(B169&gt;='ZD Vorerfassung'!$C$34,B169&lt;='ZD Vorerfassung'!$D$34),HLOOKUP(TEXT(C169,"ttt"),'ZD Vorerfassung'!$H$21:$L$36,14,0),0))+
IF('ZD Vorerfassung'!$E$35="",0,IF(AND(B169&gt;='ZD Vorerfassung'!$C$35,B169&lt;='ZD Vorerfassung'!$D$35),HLOOKUP(TEXT(C169,"ttt"),'ZD Vorerfassung'!$H$21:$L$36,15,0),0))+
IF('ZD Vorerfassung'!$E$36="",0,IF(AND(B169&gt;='ZD Vorerfassung'!$C$36,B169&lt;='ZD Vorerfassung'!$D$36),HLOOKUP(TEXT(C169,"ttt"),'ZD Vorerfassung'!$H$21:$L$36,16,0),0)),"")</f>
        <v/>
      </c>
      <c r="AW169" s="110">
        <f t="array" ref="AW169">IF(OR(D169="UU",D169="FT",D169="WE"),0,
IF(D169="NR",SUM(IF(B169&gt;=_xlfn.NUMBERVALUE('ZD Vorerfassung'!$C$22:$C$36),1,0)*IF(B169&lt;=_xlfn.NUMBERVALUE('ZD Vorerfassung'!$D$22:$D$36),1,0)*'ZD Vorerfassung'!$Q$22:$Q$36),
IF(OR(D169="SF",D169="FH"),SUM(IF(B169&gt;=_xlfn.NUMBERVALUE('ZD Vorerfassung'!$C$22:$C$36),1,0)*IF(B169&lt;=_xlfn.NUMBERVALUE('ZD Vorerfassung'!$D$22:$D$36),1,0)*'ZD Vorerfassung'!$R$22:$R$36*IF(D169="FH",0.5,1)),
"prüfen")))</f>
        <v>0</v>
      </c>
      <c r="AX169" s="110">
        <f t="array" ref="AX169">IF(OR(D169="UU",D169="FT",D169="WE",E169="Ferien"),0,
IF(D169="NR",SUM(IF(B169&gt;=_xlfn.NUMBERVALUE('ZD Vorerfassung'!$C$22:$C$36),1,0)*IF(B169&lt;=_xlfn.NUMBERVALUE('ZD Vorerfassung'!$D$22:$D$36),1,0)*'ZD Vorerfassung'!$W$22:$W$36),
IF(OR(D169="SF",D169="FH"),SUM(IF(B169&gt;=_xlfn.NUMBERVALUE('ZD Vorerfassung'!$C$22:$C$36),1,0)*IF(B169&lt;=_xlfn.NUMBERVALUE('ZD Vorerfassung'!$D$22:$D$36),1,0)*'ZD Vorerfassung'!$X$22:$X$36*IF(D169="FH",0.5,1)),
"prüfen")))</f>
        <v>0</v>
      </c>
      <c r="AY169" s="110">
        <f t="array" ref="AY169">IF(OR(D169="UU",D169="FT",D169="WE",E169="Ferien"),0,
IF(D169="NR",SUM(IF(B169&gt;=_xlfn.NUMBERVALUE('ZD Vorerfassung'!$C$22:$C$36),1,0)*IF(B169&lt;=_xlfn.NUMBERVALUE('ZD Vorerfassung'!$D$22:$D$36),1,0)*'ZD Vorerfassung'!$U$22:$U$36),
IF(OR(D169="SF",D169="FH"),SUM(IF(B169&gt;=_xlfn.NUMBERVALUE('ZD Vorerfassung'!$C$22:$C$36),1,0)*IF(B169&lt;=_xlfn.NUMBERVALUE('ZD Vorerfassung'!$D$22:$D$36),1,0)*'ZD Vorerfassung'!$V$22:$V$36*IF(D169="FH",0.5,1)),
"prüfen")))</f>
        <v>0</v>
      </c>
      <c r="AZ169" s="110">
        <f t="array" ref="AZ169">IF(OR(D169="UU",D169="FT",D169="WE",E169="Ferien"),0,
IF(D169="NR",SUM(IF(B169&gt;=_xlfn.NUMBERVALUE('ZD Vorerfassung'!$C$22:$C$36),1,0)*IF(B169&lt;=_xlfn.NUMBERVALUE('ZD Vorerfassung'!$D$22:$D$36),1,0)*'ZD Vorerfassung'!$S$22:$S$36),
IF(OR(D169="SF",D169="FH"),SUM(IF(B169&gt;=_xlfn.NUMBERVALUE('ZD Vorerfassung'!$C$22:$C$36),1,0)*IF(B169&lt;=_xlfn.NUMBERVALUE('ZD Vorerfassung'!$D$22:$D$36),1,0)*'ZD Vorerfassung'!$T$22:$T$36*IF(D169="FH",0.5,1)),
"prüfen")))</f>
        <v>0</v>
      </c>
      <c r="BA169" s="112">
        <f t="shared" si="32"/>
        <v>1</v>
      </c>
    </row>
    <row r="170" spans="2:53" ht="19.5" thickTop="1" thickBot="1" x14ac:dyDescent="0.3">
      <c r="B170" s="99">
        <f t="shared" si="29"/>
        <v>44935</v>
      </c>
      <c r="C170" s="100">
        <f t="shared" si="33"/>
        <v>44935</v>
      </c>
      <c r="D170" s="101" t="str">
        <f t="shared" si="34"/>
        <v>WE</v>
      </c>
      <c r="E170" s="102" t="str">
        <f t="shared" si="30"/>
        <v>Wochenende</v>
      </c>
      <c r="F170" s="103" t="str">
        <f t="shared" si="35"/>
        <v/>
      </c>
      <c r="G170" s="104" t="str">
        <f t="shared" si="36"/>
        <v/>
      </c>
      <c r="H170" s="104">
        <f>IFERROR(IF('ZD Vorerfassung'!$E$11="manuell",SUM(I170),IF(OR(E170="Feiertag",E170="Wochenende"),0,IF('ZD Vorerfassung'!$E$11="automatisch",AX170,IF(D170="UU","UU",IF(E170=Param2,AX170/24,IF(E170=Param9,AX170/48,"")))))),0)</f>
        <v>0</v>
      </c>
      <c r="I170" s="105"/>
      <c r="J170" s="106">
        <f>IF('ZD Vorerfassung'!$E$12="manuell",SUM(K170:AI170),IF(OR(E170="Feiertag",E170="Wochenende"),0,IF('ZD Vorerfassung'!$E$12="automatisch",AY170,IF(D170="UU","UU",IF(E170=Param2,AY170/24,IF(E170=Param9,AY170/48,""))))))</f>
        <v>0</v>
      </c>
      <c r="K170" s="105"/>
      <c r="L170" s="105"/>
      <c r="M170" s="105"/>
      <c r="N170" s="105"/>
      <c r="O170" s="105"/>
      <c r="P170" s="105"/>
      <c r="Q170" s="105"/>
      <c r="R170" s="105"/>
      <c r="S170" s="105"/>
      <c r="T170" s="105"/>
      <c r="U170" s="105"/>
      <c r="V170" s="105"/>
      <c r="W170" s="105"/>
      <c r="X170" s="105"/>
      <c r="Y170" s="105"/>
      <c r="Z170" s="105"/>
      <c r="AA170" s="105"/>
      <c r="AB170" s="105"/>
      <c r="AC170" s="105"/>
      <c r="AD170" s="105"/>
      <c r="AE170" s="105"/>
      <c r="AF170" s="105"/>
      <c r="AG170" s="105"/>
      <c r="AH170" s="105"/>
      <c r="AI170" s="105"/>
      <c r="AJ170" s="107">
        <f t="shared" si="37"/>
        <v>0</v>
      </c>
      <c r="AK170" s="105"/>
      <c r="AL170" s="105"/>
      <c r="AM170" s="105"/>
      <c r="AN170" s="105"/>
      <c r="AO170" s="105"/>
      <c r="AP170" s="105"/>
      <c r="AQ170" s="108">
        <f t="shared" si="38"/>
        <v>0</v>
      </c>
      <c r="AR170" s="108">
        <f t="shared" si="39"/>
        <v>0</v>
      </c>
      <c r="AS170" s="109">
        <f t="shared" si="40"/>
        <v>0</v>
      </c>
      <c r="AU170" s="110">
        <f t="shared" si="31"/>
        <v>0</v>
      </c>
      <c r="AV170" s="111" t="str">
        <f>IF(D170="NR",
IF('ZD Vorerfassung'!$E$22="",0,IF(AND(B170&gt;='ZD Vorerfassung'!$C$22,B170&lt;='ZD Vorerfassung'!$D$22),HLOOKUP(TEXT(C170,"ttt"),'ZD Vorerfassung'!$H$21:$L$36,2,0),0))+
IF('ZD Vorerfassung'!$E$23="",0,IF(AND(B170&gt;='ZD Vorerfassung'!$C$23,B170&lt;='ZD Vorerfassung'!$D$23),HLOOKUP(TEXT(C170,"ttt"),'ZD Vorerfassung'!$H$21:$L$36,3,0),0))+
IF('ZD Vorerfassung'!$E$24="",0,IF(AND(B170&gt;='ZD Vorerfassung'!$C$24,B170&lt;='ZD Vorerfassung'!$D$24),HLOOKUP(TEXT(C170,"ttt"),'ZD Vorerfassung'!$H$21:$L$36,4,0),0))+
IF('ZD Vorerfassung'!$E$25="",0,IF(AND(B170&gt;='ZD Vorerfassung'!$C$25,B170&lt;='ZD Vorerfassung'!$D$25),HLOOKUP(TEXT(C170,"ttt"),'ZD Vorerfassung'!$H$21:$L$36,5,0),0))+
IF('ZD Vorerfassung'!$E$26="",0,IF(AND(B170&gt;='ZD Vorerfassung'!$C$26,B170&lt;='ZD Vorerfassung'!$D$26),HLOOKUP(TEXT(C170,"ttt"),'ZD Vorerfassung'!$H$21:$L$36,6,0),0))+
IF('ZD Vorerfassung'!$E$27="",0,IF(AND(B170&gt;='ZD Vorerfassung'!$C$27,B170&lt;='ZD Vorerfassung'!$D$27),HLOOKUP(TEXT(C170,"ttt"),'ZD Vorerfassung'!$H$21:$L$36,7,0),0))+
IF('ZD Vorerfassung'!$E$28="",0,IF(AND(B170&gt;='ZD Vorerfassung'!$C$28,B170&lt;='ZD Vorerfassung'!$D$28),HLOOKUP(TEXT(C170,"ttt"),'ZD Vorerfassung'!$H$21:$L$36,8,0),0))+
IF('ZD Vorerfassung'!$E$29="",0,IF(AND(B170&gt;='ZD Vorerfassung'!$C$29,B170&lt;='ZD Vorerfassung'!$D$29),HLOOKUP(TEXT(C170,"ttt"),'ZD Vorerfassung'!$H$21:$L$36,9,0),0))+
IF('ZD Vorerfassung'!$E$30="",0,IF(AND(B170&gt;='ZD Vorerfassung'!$C$30,B170&lt;='ZD Vorerfassung'!$D$30),HLOOKUP(TEXT(C170,"ttt"),'ZD Vorerfassung'!$H$21:$L$36,10,0),0))+
IF('ZD Vorerfassung'!$E$31="",0,IF(AND(B170&gt;='ZD Vorerfassung'!$C$31,B170&lt;='ZD Vorerfassung'!$D$31),HLOOKUP(TEXT(C170,"ttt"),'ZD Vorerfassung'!$H$21:$L$36,11,0),0))+
IF('ZD Vorerfassung'!$E$32="",0,IF(AND(B170&gt;='ZD Vorerfassung'!$C$32,B170&lt;='ZD Vorerfassung'!$D$32),HLOOKUP(TEXT(C170,"ttt"),'ZD Vorerfassung'!$H$21:$L$36,12,0),0))+
IF('ZD Vorerfassung'!$E$33="",0,IF(AND(B170&gt;='ZD Vorerfassung'!$C$33,B170&lt;='ZD Vorerfassung'!$D$33),HLOOKUP(TEXT(C170,"ttt"),'ZD Vorerfassung'!$H$21:$L$36,13,0),0))+
IF('ZD Vorerfassung'!$E$34="",0,IF(AND(B170&gt;='ZD Vorerfassung'!$C$34,B170&lt;='ZD Vorerfassung'!$D$34),HLOOKUP(TEXT(C170,"ttt"),'ZD Vorerfassung'!$H$21:$L$36,14,0),0))+
IF('ZD Vorerfassung'!$E$35="",0,IF(AND(B170&gt;='ZD Vorerfassung'!$C$35,B170&lt;='ZD Vorerfassung'!$D$35),HLOOKUP(TEXT(C170,"ttt"),'ZD Vorerfassung'!$H$21:$L$36,15,0),0))+
IF('ZD Vorerfassung'!$E$36="",0,IF(AND(B170&gt;='ZD Vorerfassung'!$C$36,B170&lt;='ZD Vorerfassung'!$D$36),HLOOKUP(TEXT(C170,"ttt"),'ZD Vorerfassung'!$H$21:$L$36,16,0),0)),"")</f>
        <v/>
      </c>
      <c r="AW170" s="110">
        <f t="array" ref="AW170">IF(OR(D170="UU",D170="FT",D170="WE"),0,
IF(D170="NR",SUM(IF(B170&gt;=_xlfn.NUMBERVALUE('ZD Vorerfassung'!$C$22:$C$36),1,0)*IF(B170&lt;=_xlfn.NUMBERVALUE('ZD Vorerfassung'!$D$22:$D$36),1,0)*'ZD Vorerfassung'!$Q$22:$Q$36),
IF(OR(D170="SF",D170="FH"),SUM(IF(B170&gt;=_xlfn.NUMBERVALUE('ZD Vorerfassung'!$C$22:$C$36),1,0)*IF(B170&lt;=_xlfn.NUMBERVALUE('ZD Vorerfassung'!$D$22:$D$36),1,0)*'ZD Vorerfassung'!$R$22:$R$36*IF(D170="FH",0.5,1)),
"prüfen")))</f>
        <v>0</v>
      </c>
      <c r="AX170" s="110">
        <f t="array" ref="AX170">IF(OR(D170="UU",D170="FT",D170="WE",E170="Ferien"),0,
IF(D170="NR",SUM(IF(B170&gt;=_xlfn.NUMBERVALUE('ZD Vorerfassung'!$C$22:$C$36),1,0)*IF(B170&lt;=_xlfn.NUMBERVALUE('ZD Vorerfassung'!$D$22:$D$36),1,0)*'ZD Vorerfassung'!$W$22:$W$36),
IF(OR(D170="SF",D170="FH"),SUM(IF(B170&gt;=_xlfn.NUMBERVALUE('ZD Vorerfassung'!$C$22:$C$36),1,0)*IF(B170&lt;=_xlfn.NUMBERVALUE('ZD Vorerfassung'!$D$22:$D$36),1,0)*'ZD Vorerfassung'!$X$22:$X$36*IF(D170="FH",0.5,1)),
"prüfen")))</f>
        <v>0</v>
      </c>
      <c r="AY170" s="110">
        <f t="array" ref="AY170">IF(OR(D170="UU",D170="FT",D170="WE",E170="Ferien"),0,
IF(D170="NR",SUM(IF(B170&gt;=_xlfn.NUMBERVALUE('ZD Vorerfassung'!$C$22:$C$36),1,0)*IF(B170&lt;=_xlfn.NUMBERVALUE('ZD Vorerfassung'!$D$22:$D$36),1,0)*'ZD Vorerfassung'!$U$22:$U$36),
IF(OR(D170="SF",D170="FH"),SUM(IF(B170&gt;=_xlfn.NUMBERVALUE('ZD Vorerfassung'!$C$22:$C$36),1,0)*IF(B170&lt;=_xlfn.NUMBERVALUE('ZD Vorerfassung'!$D$22:$D$36),1,0)*'ZD Vorerfassung'!$V$22:$V$36*IF(D170="FH",0.5,1)),
"prüfen")))</f>
        <v>0</v>
      </c>
      <c r="AZ170" s="110">
        <f t="array" ref="AZ170">IF(OR(D170="UU",D170="FT",D170="WE",E170="Ferien"),0,
IF(D170="NR",SUM(IF(B170&gt;=_xlfn.NUMBERVALUE('ZD Vorerfassung'!$C$22:$C$36),1,0)*IF(B170&lt;=_xlfn.NUMBERVALUE('ZD Vorerfassung'!$D$22:$D$36),1,0)*'ZD Vorerfassung'!$S$22:$S$36),
IF(OR(D170="SF",D170="FH"),SUM(IF(B170&gt;=_xlfn.NUMBERVALUE('ZD Vorerfassung'!$C$22:$C$36),1,0)*IF(B170&lt;=_xlfn.NUMBERVALUE('ZD Vorerfassung'!$D$22:$D$36),1,0)*'ZD Vorerfassung'!$T$22:$T$36*IF(D170="FH",0.5,1)),
"prüfen")))</f>
        <v>0</v>
      </c>
      <c r="BA170" s="112">
        <f t="shared" si="32"/>
        <v>1</v>
      </c>
    </row>
    <row r="171" spans="2:53" ht="19.5" thickTop="1" thickBot="1" x14ac:dyDescent="0.3">
      <c r="B171" s="99">
        <f t="shared" si="29"/>
        <v>44936</v>
      </c>
      <c r="C171" s="100">
        <f t="shared" si="33"/>
        <v>44936</v>
      </c>
      <c r="D171" s="101" t="str">
        <f t="shared" si="34"/>
        <v>NR</v>
      </c>
      <c r="E171" s="102" t="str">
        <f t="shared" si="30"/>
        <v>Unterrichtstag</v>
      </c>
      <c r="F171" s="103">
        <f t="shared" si="35"/>
        <v>0</v>
      </c>
      <c r="G171" s="104">
        <f t="shared" si="36"/>
        <v>0</v>
      </c>
      <c r="H171" s="104">
        <f>IFERROR(IF('ZD Vorerfassung'!$E$11="manuell",SUM(I171),IF(OR(E171="Feiertag",E171="Wochenende"),0,IF('ZD Vorerfassung'!$E$11="automatisch",AX171,IF(D171="UU","UU",IF(E171=Param2,AX171/24,IF(E171=Param9,AX171/48,"")))))),0)</f>
        <v>0</v>
      </c>
      <c r="I171" s="105"/>
      <c r="J171" s="106">
        <f>IF('ZD Vorerfassung'!$E$12="manuell",SUM(K171:AI171),IF(OR(E171="Feiertag",E171="Wochenende"),0,IF('ZD Vorerfassung'!$E$12="automatisch",AY171,IF(D171="UU","UU",IF(E171=Param2,AY171/24,IF(E171=Param9,AY171/48,""))))))</f>
        <v>0</v>
      </c>
      <c r="K171" s="105"/>
      <c r="L171" s="105"/>
      <c r="M171" s="105"/>
      <c r="N171" s="105"/>
      <c r="O171" s="105"/>
      <c r="P171" s="105"/>
      <c r="Q171" s="105"/>
      <c r="R171" s="105"/>
      <c r="S171" s="105"/>
      <c r="T171" s="105"/>
      <c r="U171" s="105"/>
      <c r="V171" s="105"/>
      <c r="W171" s="105"/>
      <c r="X171" s="105"/>
      <c r="Y171" s="105"/>
      <c r="Z171" s="105"/>
      <c r="AA171" s="105"/>
      <c r="AB171" s="105"/>
      <c r="AC171" s="105"/>
      <c r="AD171" s="105"/>
      <c r="AE171" s="105"/>
      <c r="AF171" s="105"/>
      <c r="AG171" s="105"/>
      <c r="AH171" s="105"/>
      <c r="AI171" s="105"/>
      <c r="AJ171" s="107">
        <f t="shared" si="37"/>
        <v>0</v>
      </c>
      <c r="AK171" s="105"/>
      <c r="AL171" s="105"/>
      <c r="AM171" s="105"/>
      <c r="AN171" s="105"/>
      <c r="AO171" s="105"/>
      <c r="AP171" s="105"/>
      <c r="AQ171" s="108">
        <f t="shared" si="38"/>
        <v>0</v>
      </c>
      <c r="AR171" s="108">
        <f t="shared" si="39"/>
        <v>0</v>
      </c>
      <c r="AS171" s="109">
        <f t="shared" si="40"/>
        <v>0</v>
      </c>
      <c r="AU171" s="110">
        <f t="shared" si="31"/>
        <v>0</v>
      </c>
      <c r="AV171" s="111">
        <f>IF(D171="NR",
IF('ZD Vorerfassung'!$E$22="",0,IF(AND(B171&gt;='ZD Vorerfassung'!$C$22,B171&lt;='ZD Vorerfassung'!$D$22),HLOOKUP(TEXT(C171,"ttt"),'ZD Vorerfassung'!$H$21:$L$36,2,0),0))+
IF('ZD Vorerfassung'!$E$23="",0,IF(AND(B171&gt;='ZD Vorerfassung'!$C$23,B171&lt;='ZD Vorerfassung'!$D$23),HLOOKUP(TEXT(C171,"ttt"),'ZD Vorerfassung'!$H$21:$L$36,3,0),0))+
IF('ZD Vorerfassung'!$E$24="",0,IF(AND(B171&gt;='ZD Vorerfassung'!$C$24,B171&lt;='ZD Vorerfassung'!$D$24),HLOOKUP(TEXT(C171,"ttt"),'ZD Vorerfassung'!$H$21:$L$36,4,0),0))+
IF('ZD Vorerfassung'!$E$25="",0,IF(AND(B171&gt;='ZD Vorerfassung'!$C$25,B171&lt;='ZD Vorerfassung'!$D$25),HLOOKUP(TEXT(C171,"ttt"),'ZD Vorerfassung'!$H$21:$L$36,5,0),0))+
IF('ZD Vorerfassung'!$E$26="",0,IF(AND(B171&gt;='ZD Vorerfassung'!$C$26,B171&lt;='ZD Vorerfassung'!$D$26),HLOOKUP(TEXT(C171,"ttt"),'ZD Vorerfassung'!$H$21:$L$36,6,0),0))+
IF('ZD Vorerfassung'!$E$27="",0,IF(AND(B171&gt;='ZD Vorerfassung'!$C$27,B171&lt;='ZD Vorerfassung'!$D$27),HLOOKUP(TEXT(C171,"ttt"),'ZD Vorerfassung'!$H$21:$L$36,7,0),0))+
IF('ZD Vorerfassung'!$E$28="",0,IF(AND(B171&gt;='ZD Vorerfassung'!$C$28,B171&lt;='ZD Vorerfassung'!$D$28),HLOOKUP(TEXT(C171,"ttt"),'ZD Vorerfassung'!$H$21:$L$36,8,0),0))+
IF('ZD Vorerfassung'!$E$29="",0,IF(AND(B171&gt;='ZD Vorerfassung'!$C$29,B171&lt;='ZD Vorerfassung'!$D$29),HLOOKUP(TEXT(C171,"ttt"),'ZD Vorerfassung'!$H$21:$L$36,9,0),0))+
IF('ZD Vorerfassung'!$E$30="",0,IF(AND(B171&gt;='ZD Vorerfassung'!$C$30,B171&lt;='ZD Vorerfassung'!$D$30),HLOOKUP(TEXT(C171,"ttt"),'ZD Vorerfassung'!$H$21:$L$36,10,0),0))+
IF('ZD Vorerfassung'!$E$31="",0,IF(AND(B171&gt;='ZD Vorerfassung'!$C$31,B171&lt;='ZD Vorerfassung'!$D$31),HLOOKUP(TEXT(C171,"ttt"),'ZD Vorerfassung'!$H$21:$L$36,11,0),0))+
IF('ZD Vorerfassung'!$E$32="",0,IF(AND(B171&gt;='ZD Vorerfassung'!$C$32,B171&lt;='ZD Vorerfassung'!$D$32),HLOOKUP(TEXT(C171,"ttt"),'ZD Vorerfassung'!$H$21:$L$36,12,0),0))+
IF('ZD Vorerfassung'!$E$33="",0,IF(AND(B171&gt;='ZD Vorerfassung'!$C$33,B171&lt;='ZD Vorerfassung'!$D$33),HLOOKUP(TEXT(C171,"ttt"),'ZD Vorerfassung'!$H$21:$L$36,13,0),0))+
IF('ZD Vorerfassung'!$E$34="",0,IF(AND(B171&gt;='ZD Vorerfassung'!$C$34,B171&lt;='ZD Vorerfassung'!$D$34),HLOOKUP(TEXT(C171,"ttt"),'ZD Vorerfassung'!$H$21:$L$36,14,0),0))+
IF('ZD Vorerfassung'!$E$35="",0,IF(AND(B171&gt;='ZD Vorerfassung'!$C$35,B171&lt;='ZD Vorerfassung'!$D$35),HLOOKUP(TEXT(C171,"ttt"),'ZD Vorerfassung'!$H$21:$L$36,15,0),0))+
IF('ZD Vorerfassung'!$E$36="",0,IF(AND(B171&gt;='ZD Vorerfassung'!$C$36,B171&lt;='ZD Vorerfassung'!$D$36),HLOOKUP(TEXT(C171,"ttt"),'ZD Vorerfassung'!$H$21:$L$36,16,0),0)),"")</f>
        <v>0</v>
      </c>
      <c r="AW171" s="110">
        <f t="array" ref="AW171">IF(OR(D171="UU",D171="FT",D171="WE"),0,
IF(D171="NR",SUM(IF(B171&gt;=_xlfn.NUMBERVALUE('ZD Vorerfassung'!$C$22:$C$36),1,0)*IF(B171&lt;=_xlfn.NUMBERVALUE('ZD Vorerfassung'!$D$22:$D$36),1,0)*'ZD Vorerfassung'!$Q$22:$Q$36),
IF(OR(D171="SF",D171="FH"),SUM(IF(B171&gt;=_xlfn.NUMBERVALUE('ZD Vorerfassung'!$C$22:$C$36),1,0)*IF(B171&lt;=_xlfn.NUMBERVALUE('ZD Vorerfassung'!$D$22:$D$36),1,0)*'ZD Vorerfassung'!$R$22:$R$36*IF(D171="FH",0.5,1)),
"prüfen")))</f>
        <v>0</v>
      </c>
      <c r="AX171" s="110">
        <f t="array" ref="AX171">IF(OR(D171="UU",D171="FT",D171="WE",E171="Ferien"),0,
IF(D171="NR",SUM(IF(B171&gt;=_xlfn.NUMBERVALUE('ZD Vorerfassung'!$C$22:$C$36),1,0)*IF(B171&lt;=_xlfn.NUMBERVALUE('ZD Vorerfassung'!$D$22:$D$36),1,0)*'ZD Vorerfassung'!$W$22:$W$36),
IF(OR(D171="SF",D171="FH"),SUM(IF(B171&gt;=_xlfn.NUMBERVALUE('ZD Vorerfassung'!$C$22:$C$36),1,0)*IF(B171&lt;=_xlfn.NUMBERVALUE('ZD Vorerfassung'!$D$22:$D$36),1,0)*'ZD Vorerfassung'!$X$22:$X$36*IF(D171="FH",0.5,1)),
"prüfen")))</f>
        <v>0</v>
      </c>
      <c r="AY171" s="110">
        <f t="array" ref="AY171">IF(OR(D171="UU",D171="FT",D171="WE",E171="Ferien"),0,
IF(D171="NR",SUM(IF(B171&gt;=_xlfn.NUMBERVALUE('ZD Vorerfassung'!$C$22:$C$36),1,0)*IF(B171&lt;=_xlfn.NUMBERVALUE('ZD Vorerfassung'!$D$22:$D$36),1,0)*'ZD Vorerfassung'!$U$22:$U$36),
IF(OR(D171="SF",D171="FH"),SUM(IF(B171&gt;=_xlfn.NUMBERVALUE('ZD Vorerfassung'!$C$22:$C$36),1,0)*IF(B171&lt;=_xlfn.NUMBERVALUE('ZD Vorerfassung'!$D$22:$D$36),1,0)*'ZD Vorerfassung'!$V$22:$V$36*IF(D171="FH",0.5,1)),
"prüfen")))</f>
        <v>0</v>
      </c>
      <c r="AZ171" s="110">
        <f t="array" ref="AZ171">IF(OR(D171="UU",D171="FT",D171="WE",E171="Ferien"),0,
IF(D171="NR",SUM(IF(B171&gt;=_xlfn.NUMBERVALUE('ZD Vorerfassung'!$C$22:$C$36),1,0)*IF(B171&lt;=_xlfn.NUMBERVALUE('ZD Vorerfassung'!$D$22:$D$36),1,0)*'ZD Vorerfassung'!$S$22:$S$36),
IF(OR(D171="SF",D171="FH"),SUM(IF(B171&gt;=_xlfn.NUMBERVALUE('ZD Vorerfassung'!$C$22:$C$36),1,0)*IF(B171&lt;=_xlfn.NUMBERVALUE('ZD Vorerfassung'!$D$22:$D$36),1,0)*'ZD Vorerfassung'!$T$22:$T$36*IF(D171="FH",0.5,1)),
"prüfen")))</f>
        <v>0</v>
      </c>
      <c r="BA171" s="112">
        <f t="shared" si="32"/>
        <v>1</v>
      </c>
    </row>
    <row r="172" spans="2:53" ht="19.5" thickTop="1" thickBot="1" x14ac:dyDescent="0.3">
      <c r="B172" s="99">
        <f t="shared" si="29"/>
        <v>44937</v>
      </c>
      <c r="C172" s="100">
        <f t="shared" si="33"/>
        <v>44937</v>
      </c>
      <c r="D172" s="101" t="str">
        <f t="shared" si="34"/>
        <v>NR</v>
      </c>
      <c r="E172" s="102" t="str">
        <f t="shared" si="30"/>
        <v>Unterrichtstag</v>
      </c>
      <c r="F172" s="103">
        <f t="shared" si="35"/>
        <v>0</v>
      </c>
      <c r="G172" s="104">
        <f t="shared" si="36"/>
        <v>0</v>
      </c>
      <c r="H172" s="104">
        <f>IFERROR(IF('ZD Vorerfassung'!$E$11="manuell",SUM(I172),IF(OR(E172="Feiertag",E172="Wochenende"),0,IF('ZD Vorerfassung'!$E$11="automatisch",AX172,IF(D172="UU","UU",IF(E172=Param2,AX172/24,IF(E172=Param9,AX172/48,"")))))),0)</f>
        <v>0</v>
      </c>
      <c r="I172" s="105"/>
      <c r="J172" s="106">
        <f>IF('ZD Vorerfassung'!$E$12="manuell",SUM(K172:AI172),IF(OR(E172="Feiertag",E172="Wochenende"),0,IF('ZD Vorerfassung'!$E$12="automatisch",AY172,IF(D172="UU","UU",IF(E172=Param2,AY172/24,IF(E172=Param9,AY172/48,""))))))</f>
        <v>0</v>
      </c>
      <c r="K172" s="105"/>
      <c r="L172" s="105"/>
      <c r="M172" s="105"/>
      <c r="N172" s="105"/>
      <c r="O172" s="105"/>
      <c r="P172" s="105"/>
      <c r="Q172" s="105"/>
      <c r="R172" s="105"/>
      <c r="S172" s="105"/>
      <c r="T172" s="105"/>
      <c r="U172" s="105"/>
      <c r="V172" s="105"/>
      <c r="W172" s="105"/>
      <c r="X172" s="105"/>
      <c r="Y172" s="105"/>
      <c r="Z172" s="105"/>
      <c r="AA172" s="105"/>
      <c r="AB172" s="105"/>
      <c r="AC172" s="105"/>
      <c r="AD172" s="105"/>
      <c r="AE172" s="105"/>
      <c r="AF172" s="105"/>
      <c r="AG172" s="105"/>
      <c r="AH172" s="105"/>
      <c r="AI172" s="105"/>
      <c r="AJ172" s="107">
        <f t="shared" si="37"/>
        <v>0</v>
      </c>
      <c r="AK172" s="105"/>
      <c r="AL172" s="105"/>
      <c r="AM172" s="105"/>
      <c r="AN172" s="105"/>
      <c r="AO172" s="105"/>
      <c r="AP172" s="105"/>
      <c r="AQ172" s="108">
        <f t="shared" si="38"/>
        <v>0</v>
      </c>
      <c r="AR172" s="108">
        <f t="shared" si="39"/>
        <v>0</v>
      </c>
      <c r="AS172" s="109">
        <f t="shared" si="40"/>
        <v>0</v>
      </c>
      <c r="AU172" s="110">
        <f t="shared" si="31"/>
        <v>0</v>
      </c>
      <c r="AV172" s="111">
        <f>IF(D172="NR",
IF('ZD Vorerfassung'!$E$22="",0,IF(AND(B172&gt;='ZD Vorerfassung'!$C$22,B172&lt;='ZD Vorerfassung'!$D$22),HLOOKUP(TEXT(C172,"ttt"),'ZD Vorerfassung'!$H$21:$L$36,2,0),0))+
IF('ZD Vorerfassung'!$E$23="",0,IF(AND(B172&gt;='ZD Vorerfassung'!$C$23,B172&lt;='ZD Vorerfassung'!$D$23),HLOOKUP(TEXT(C172,"ttt"),'ZD Vorerfassung'!$H$21:$L$36,3,0),0))+
IF('ZD Vorerfassung'!$E$24="",0,IF(AND(B172&gt;='ZD Vorerfassung'!$C$24,B172&lt;='ZD Vorerfassung'!$D$24),HLOOKUP(TEXT(C172,"ttt"),'ZD Vorerfassung'!$H$21:$L$36,4,0),0))+
IF('ZD Vorerfassung'!$E$25="",0,IF(AND(B172&gt;='ZD Vorerfassung'!$C$25,B172&lt;='ZD Vorerfassung'!$D$25),HLOOKUP(TEXT(C172,"ttt"),'ZD Vorerfassung'!$H$21:$L$36,5,0),0))+
IF('ZD Vorerfassung'!$E$26="",0,IF(AND(B172&gt;='ZD Vorerfassung'!$C$26,B172&lt;='ZD Vorerfassung'!$D$26),HLOOKUP(TEXT(C172,"ttt"),'ZD Vorerfassung'!$H$21:$L$36,6,0),0))+
IF('ZD Vorerfassung'!$E$27="",0,IF(AND(B172&gt;='ZD Vorerfassung'!$C$27,B172&lt;='ZD Vorerfassung'!$D$27),HLOOKUP(TEXT(C172,"ttt"),'ZD Vorerfassung'!$H$21:$L$36,7,0),0))+
IF('ZD Vorerfassung'!$E$28="",0,IF(AND(B172&gt;='ZD Vorerfassung'!$C$28,B172&lt;='ZD Vorerfassung'!$D$28),HLOOKUP(TEXT(C172,"ttt"),'ZD Vorerfassung'!$H$21:$L$36,8,0),0))+
IF('ZD Vorerfassung'!$E$29="",0,IF(AND(B172&gt;='ZD Vorerfassung'!$C$29,B172&lt;='ZD Vorerfassung'!$D$29),HLOOKUP(TEXT(C172,"ttt"),'ZD Vorerfassung'!$H$21:$L$36,9,0),0))+
IF('ZD Vorerfassung'!$E$30="",0,IF(AND(B172&gt;='ZD Vorerfassung'!$C$30,B172&lt;='ZD Vorerfassung'!$D$30),HLOOKUP(TEXT(C172,"ttt"),'ZD Vorerfassung'!$H$21:$L$36,10,0),0))+
IF('ZD Vorerfassung'!$E$31="",0,IF(AND(B172&gt;='ZD Vorerfassung'!$C$31,B172&lt;='ZD Vorerfassung'!$D$31),HLOOKUP(TEXT(C172,"ttt"),'ZD Vorerfassung'!$H$21:$L$36,11,0),0))+
IF('ZD Vorerfassung'!$E$32="",0,IF(AND(B172&gt;='ZD Vorerfassung'!$C$32,B172&lt;='ZD Vorerfassung'!$D$32),HLOOKUP(TEXT(C172,"ttt"),'ZD Vorerfassung'!$H$21:$L$36,12,0),0))+
IF('ZD Vorerfassung'!$E$33="",0,IF(AND(B172&gt;='ZD Vorerfassung'!$C$33,B172&lt;='ZD Vorerfassung'!$D$33),HLOOKUP(TEXT(C172,"ttt"),'ZD Vorerfassung'!$H$21:$L$36,13,0),0))+
IF('ZD Vorerfassung'!$E$34="",0,IF(AND(B172&gt;='ZD Vorerfassung'!$C$34,B172&lt;='ZD Vorerfassung'!$D$34),HLOOKUP(TEXT(C172,"ttt"),'ZD Vorerfassung'!$H$21:$L$36,14,0),0))+
IF('ZD Vorerfassung'!$E$35="",0,IF(AND(B172&gt;='ZD Vorerfassung'!$C$35,B172&lt;='ZD Vorerfassung'!$D$35),HLOOKUP(TEXT(C172,"ttt"),'ZD Vorerfassung'!$H$21:$L$36,15,0),0))+
IF('ZD Vorerfassung'!$E$36="",0,IF(AND(B172&gt;='ZD Vorerfassung'!$C$36,B172&lt;='ZD Vorerfassung'!$D$36),HLOOKUP(TEXT(C172,"ttt"),'ZD Vorerfassung'!$H$21:$L$36,16,0),0)),"")</f>
        <v>0</v>
      </c>
      <c r="AW172" s="110">
        <f t="array" ref="AW172">IF(OR(D172="UU",D172="FT",D172="WE"),0,
IF(D172="NR",SUM(IF(B172&gt;=_xlfn.NUMBERVALUE('ZD Vorerfassung'!$C$22:$C$36),1,0)*IF(B172&lt;=_xlfn.NUMBERVALUE('ZD Vorerfassung'!$D$22:$D$36),1,0)*'ZD Vorerfassung'!$Q$22:$Q$36),
IF(OR(D172="SF",D172="FH"),SUM(IF(B172&gt;=_xlfn.NUMBERVALUE('ZD Vorerfassung'!$C$22:$C$36),1,0)*IF(B172&lt;=_xlfn.NUMBERVALUE('ZD Vorerfassung'!$D$22:$D$36),1,0)*'ZD Vorerfassung'!$R$22:$R$36*IF(D172="FH",0.5,1)),
"prüfen")))</f>
        <v>0</v>
      </c>
      <c r="AX172" s="110">
        <f t="array" ref="AX172">IF(OR(D172="UU",D172="FT",D172="WE",E172="Ferien"),0,
IF(D172="NR",SUM(IF(B172&gt;=_xlfn.NUMBERVALUE('ZD Vorerfassung'!$C$22:$C$36),1,0)*IF(B172&lt;=_xlfn.NUMBERVALUE('ZD Vorerfassung'!$D$22:$D$36),1,0)*'ZD Vorerfassung'!$W$22:$W$36),
IF(OR(D172="SF",D172="FH"),SUM(IF(B172&gt;=_xlfn.NUMBERVALUE('ZD Vorerfassung'!$C$22:$C$36),1,0)*IF(B172&lt;=_xlfn.NUMBERVALUE('ZD Vorerfassung'!$D$22:$D$36),1,0)*'ZD Vorerfassung'!$X$22:$X$36*IF(D172="FH",0.5,1)),
"prüfen")))</f>
        <v>0</v>
      </c>
      <c r="AY172" s="110">
        <f t="array" ref="AY172">IF(OR(D172="UU",D172="FT",D172="WE",E172="Ferien"),0,
IF(D172="NR",SUM(IF(B172&gt;=_xlfn.NUMBERVALUE('ZD Vorerfassung'!$C$22:$C$36),1,0)*IF(B172&lt;=_xlfn.NUMBERVALUE('ZD Vorerfassung'!$D$22:$D$36),1,0)*'ZD Vorerfassung'!$U$22:$U$36),
IF(OR(D172="SF",D172="FH"),SUM(IF(B172&gt;=_xlfn.NUMBERVALUE('ZD Vorerfassung'!$C$22:$C$36),1,0)*IF(B172&lt;=_xlfn.NUMBERVALUE('ZD Vorerfassung'!$D$22:$D$36),1,0)*'ZD Vorerfassung'!$V$22:$V$36*IF(D172="FH",0.5,1)),
"prüfen")))</f>
        <v>0</v>
      </c>
      <c r="AZ172" s="110">
        <f t="array" ref="AZ172">IF(OR(D172="UU",D172="FT",D172="WE",E172="Ferien"),0,
IF(D172="NR",SUM(IF(B172&gt;=_xlfn.NUMBERVALUE('ZD Vorerfassung'!$C$22:$C$36),1,0)*IF(B172&lt;=_xlfn.NUMBERVALUE('ZD Vorerfassung'!$D$22:$D$36),1,0)*'ZD Vorerfassung'!$S$22:$S$36),
IF(OR(D172="SF",D172="FH"),SUM(IF(B172&gt;=_xlfn.NUMBERVALUE('ZD Vorerfassung'!$C$22:$C$36),1,0)*IF(B172&lt;=_xlfn.NUMBERVALUE('ZD Vorerfassung'!$D$22:$D$36),1,0)*'ZD Vorerfassung'!$T$22:$T$36*IF(D172="FH",0.5,1)),
"prüfen")))</f>
        <v>0</v>
      </c>
      <c r="BA172" s="112">
        <f t="shared" si="32"/>
        <v>1</v>
      </c>
    </row>
    <row r="173" spans="2:53" ht="19.5" thickTop="1" thickBot="1" x14ac:dyDescent="0.3">
      <c r="B173" s="99">
        <f t="shared" si="29"/>
        <v>44938</v>
      </c>
      <c r="C173" s="100">
        <f t="shared" si="33"/>
        <v>44938</v>
      </c>
      <c r="D173" s="101" t="str">
        <f t="shared" si="34"/>
        <v>NR</v>
      </c>
      <c r="E173" s="102" t="str">
        <f t="shared" si="30"/>
        <v>Unterrichtstag</v>
      </c>
      <c r="F173" s="103">
        <f t="shared" si="35"/>
        <v>0</v>
      </c>
      <c r="G173" s="104">
        <f t="shared" si="36"/>
        <v>0</v>
      </c>
      <c r="H173" s="104">
        <f>IFERROR(IF('ZD Vorerfassung'!$E$11="manuell",SUM(I173),IF(OR(E173="Feiertag",E173="Wochenende"),0,IF('ZD Vorerfassung'!$E$11="automatisch",AX173,IF(D173="UU","UU",IF(E173=Param2,AX173/24,IF(E173=Param9,AX173/48,"")))))),0)</f>
        <v>0</v>
      </c>
      <c r="I173" s="105"/>
      <c r="J173" s="106">
        <f>IF('ZD Vorerfassung'!$E$12="manuell",SUM(K173:AI173),IF(OR(E173="Feiertag",E173="Wochenende"),0,IF('ZD Vorerfassung'!$E$12="automatisch",AY173,IF(D173="UU","UU",IF(E173=Param2,AY173/24,IF(E173=Param9,AY173/48,""))))))</f>
        <v>0</v>
      </c>
      <c r="K173" s="105"/>
      <c r="L173" s="105"/>
      <c r="M173" s="105"/>
      <c r="N173" s="105"/>
      <c r="O173" s="105"/>
      <c r="P173" s="105"/>
      <c r="Q173" s="105"/>
      <c r="R173" s="105"/>
      <c r="S173" s="105"/>
      <c r="T173" s="105"/>
      <c r="U173" s="105"/>
      <c r="V173" s="105"/>
      <c r="W173" s="105"/>
      <c r="X173" s="105"/>
      <c r="Y173" s="105"/>
      <c r="Z173" s="105"/>
      <c r="AA173" s="105"/>
      <c r="AB173" s="105"/>
      <c r="AC173" s="105"/>
      <c r="AD173" s="105"/>
      <c r="AE173" s="105"/>
      <c r="AF173" s="105"/>
      <c r="AG173" s="105"/>
      <c r="AH173" s="105"/>
      <c r="AI173" s="105"/>
      <c r="AJ173" s="107">
        <f t="shared" si="37"/>
        <v>0</v>
      </c>
      <c r="AK173" s="105"/>
      <c r="AL173" s="105"/>
      <c r="AM173" s="105"/>
      <c r="AN173" s="105"/>
      <c r="AO173" s="105"/>
      <c r="AP173" s="105"/>
      <c r="AQ173" s="108">
        <f t="shared" si="38"/>
        <v>0</v>
      </c>
      <c r="AR173" s="108">
        <f t="shared" si="39"/>
        <v>0</v>
      </c>
      <c r="AS173" s="109">
        <f t="shared" si="40"/>
        <v>0</v>
      </c>
      <c r="AU173" s="110">
        <f t="shared" si="31"/>
        <v>0</v>
      </c>
      <c r="AV173" s="111">
        <f>IF(D173="NR",
IF('ZD Vorerfassung'!$E$22="",0,IF(AND(B173&gt;='ZD Vorerfassung'!$C$22,B173&lt;='ZD Vorerfassung'!$D$22),HLOOKUP(TEXT(C173,"ttt"),'ZD Vorerfassung'!$H$21:$L$36,2,0),0))+
IF('ZD Vorerfassung'!$E$23="",0,IF(AND(B173&gt;='ZD Vorerfassung'!$C$23,B173&lt;='ZD Vorerfassung'!$D$23),HLOOKUP(TEXT(C173,"ttt"),'ZD Vorerfassung'!$H$21:$L$36,3,0),0))+
IF('ZD Vorerfassung'!$E$24="",0,IF(AND(B173&gt;='ZD Vorerfassung'!$C$24,B173&lt;='ZD Vorerfassung'!$D$24),HLOOKUP(TEXT(C173,"ttt"),'ZD Vorerfassung'!$H$21:$L$36,4,0),0))+
IF('ZD Vorerfassung'!$E$25="",0,IF(AND(B173&gt;='ZD Vorerfassung'!$C$25,B173&lt;='ZD Vorerfassung'!$D$25),HLOOKUP(TEXT(C173,"ttt"),'ZD Vorerfassung'!$H$21:$L$36,5,0),0))+
IF('ZD Vorerfassung'!$E$26="",0,IF(AND(B173&gt;='ZD Vorerfassung'!$C$26,B173&lt;='ZD Vorerfassung'!$D$26),HLOOKUP(TEXT(C173,"ttt"),'ZD Vorerfassung'!$H$21:$L$36,6,0),0))+
IF('ZD Vorerfassung'!$E$27="",0,IF(AND(B173&gt;='ZD Vorerfassung'!$C$27,B173&lt;='ZD Vorerfassung'!$D$27),HLOOKUP(TEXT(C173,"ttt"),'ZD Vorerfassung'!$H$21:$L$36,7,0),0))+
IF('ZD Vorerfassung'!$E$28="",0,IF(AND(B173&gt;='ZD Vorerfassung'!$C$28,B173&lt;='ZD Vorerfassung'!$D$28),HLOOKUP(TEXT(C173,"ttt"),'ZD Vorerfassung'!$H$21:$L$36,8,0),0))+
IF('ZD Vorerfassung'!$E$29="",0,IF(AND(B173&gt;='ZD Vorerfassung'!$C$29,B173&lt;='ZD Vorerfassung'!$D$29),HLOOKUP(TEXT(C173,"ttt"),'ZD Vorerfassung'!$H$21:$L$36,9,0),0))+
IF('ZD Vorerfassung'!$E$30="",0,IF(AND(B173&gt;='ZD Vorerfassung'!$C$30,B173&lt;='ZD Vorerfassung'!$D$30),HLOOKUP(TEXT(C173,"ttt"),'ZD Vorerfassung'!$H$21:$L$36,10,0),0))+
IF('ZD Vorerfassung'!$E$31="",0,IF(AND(B173&gt;='ZD Vorerfassung'!$C$31,B173&lt;='ZD Vorerfassung'!$D$31),HLOOKUP(TEXT(C173,"ttt"),'ZD Vorerfassung'!$H$21:$L$36,11,0),0))+
IF('ZD Vorerfassung'!$E$32="",0,IF(AND(B173&gt;='ZD Vorerfassung'!$C$32,B173&lt;='ZD Vorerfassung'!$D$32),HLOOKUP(TEXT(C173,"ttt"),'ZD Vorerfassung'!$H$21:$L$36,12,0),0))+
IF('ZD Vorerfassung'!$E$33="",0,IF(AND(B173&gt;='ZD Vorerfassung'!$C$33,B173&lt;='ZD Vorerfassung'!$D$33),HLOOKUP(TEXT(C173,"ttt"),'ZD Vorerfassung'!$H$21:$L$36,13,0),0))+
IF('ZD Vorerfassung'!$E$34="",0,IF(AND(B173&gt;='ZD Vorerfassung'!$C$34,B173&lt;='ZD Vorerfassung'!$D$34),HLOOKUP(TEXT(C173,"ttt"),'ZD Vorerfassung'!$H$21:$L$36,14,0),0))+
IF('ZD Vorerfassung'!$E$35="",0,IF(AND(B173&gt;='ZD Vorerfassung'!$C$35,B173&lt;='ZD Vorerfassung'!$D$35),HLOOKUP(TEXT(C173,"ttt"),'ZD Vorerfassung'!$H$21:$L$36,15,0),0))+
IF('ZD Vorerfassung'!$E$36="",0,IF(AND(B173&gt;='ZD Vorerfassung'!$C$36,B173&lt;='ZD Vorerfassung'!$D$36),HLOOKUP(TEXT(C173,"ttt"),'ZD Vorerfassung'!$H$21:$L$36,16,0),0)),"")</f>
        <v>0</v>
      </c>
      <c r="AW173" s="110">
        <f t="array" ref="AW173">IF(OR(D173="UU",D173="FT",D173="WE"),0,
IF(D173="NR",SUM(IF(B173&gt;=_xlfn.NUMBERVALUE('ZD Vorerfassung'!$C$22:$C$36),1,0)*IF(B173&lt;=_xlfn.NUMBERVALUE('ZD Vorerfassung'!$D$22:$D$36),1,0)*'ZD Vorerfassung'!$Q$22:$Q$36),
IF(OR(D173="SF",D173="FH"),SUM(IF(B173&gt;=_xlfn.NUMBERVALUE('ZD Vorerfassung'!$C$22:$C$36),1,0)*IF(B173&lt;=_xlfn.NUMBERVALUE('ZD Vorerfassung'!$D$22:$D$36),1,0)*'ZD Vorerfassung'!$R$22:$R$36*IF(D173="FH",0.5,1)),
"prüfen")))</f>
        <v>0</v>
      </c>
      <c r="AX173" s="110">
        <f t="array" ref="AX173">IF(OR(D173="UU",D173="FT",D173="WE",E173="Ferien"),0,
IF(D173="NR",SUM(IF(B173&gt;=_xlfn.NUMBERVALUE('ZD Vorerfassung'!$C$22:$C$36),1,0)*IF(B173&lt;=_xlfn.NUMBERVALUE('ZD Vorerfassung'!$D$22:$D$36),1,0)*'ZD Vorerfassung'!$W$22:$W$36),
IF(OR(D173="SF",D173="FH"),SUM(IF(B173&gt;=_xlfn.NUMBERVALUE('ZD Vorerfassung'!$C$22:$C$36),1,0)*IF(B173&lt;=_xlfn.NUMBERVALUE('ZD Vorerfassung'!$D$22:$D$36),1,0)*'ZD Vorerfassung'!$X$22:$X$36*IF(D173="FH",0.5,1)),
"prüfen")))</f>
        <v>0</v>
      </c>
      <c r="AY173" s="110">
        <f t="array" ref="AY173">IF(OR(D173="UU",D173="FT",D173="WE",E173="Ferien"),0,
IF(D173="NR",SUM(IF(B173&gt;=_xlfn.NUMBERVALUE('ZD Vorerfassung'!$C$22:$C$36),1,0)*IF(B173&lt;=_xlfn.NUMBERVALUE('ZD Vorerfassung'!$D$22:$D$36),1,0)*'ZD Vorerfassung'!$U$22:$U$36),
IF(OR(D173="SF",D173="FH"),SUM(IF(B173&gt;=_xlfn.NUMBERVALUE('ZD Vorerfassung'!$C$22:$C$36),1,0)*IF(B173&lt;=_xlfn.NUMBERVALUE('ZD Vorerfassung'!$D$22:$D$36),1,0)*'ZD Vorerfassung'!$V$22:$V$36*IF(D173="FH",0.5,1)),
"prüfen")))</f>
        <v>0</v>
      </c>
      <c r="AZ173" s="110">
        <f t="array" ref="AZ173">IF(OR(D173="UU",D173="FT",D173="WE",E173="Ferien"),0,
IF(D173="NR",SUM(IF(B173&gt;=_xlfn.NUMBERVALUE('ZD Vorerfassung'!$C$22:$C$36),1,0)*IF(B173&lt;=_xlfn.NUMBERVALUE('ZD Vorerfassung'!$D$22:$D$36),1,0)*'ZD Vorerfassung'!$S$22:$S$36),
IF(OR(D173="SF",D173="FH"),SUM(IF(B173&gt;=_xlfn.NUMBERVALUE('ZD Vorerfassung'!$C$22:$C$36),1,0)*IF(B173&lt;=_xlfn.NUMBERVALUE('ZD Vorerfassung'!$D$22:$D$36),1,0)*'ZD Vorerfassung'!$T$22:$T$36*IF(D173="FH",0.5,1)),
"prüfen")))</f>
        <v>0</v>
      </c>
      <c r="BA173" s="112">
        <f t="shared" si="32"/>
        <v>1</v>
      </c>
    </row>
    <row r="174" spans="2:53" ht="19.5" thickTop="1" thickBot="1" x14ac:dyDescent="0.3">
      <c r="B174" s="99">
        <f t="shared" si="29"/>
        <v>44939</v>
      </c>
      <c r="C174" s="100">
        <f t="shared" si="33"/>
        <v>44939</v>
      </c>
      <c r="D174" s="101" t="str">
        <f t="shared" si="34"/>
        <v>NR</v>
      </c>
      <c r="E174" s="102" t="str">
        <f t="shared" si="30"/>
        <v>Unterrichtstag</v>
      </c>
      <c r="F174" s="103">
        <f t="shared" si="35"/>
        <v>0</v>
      </c>
      <c r="G174" s="104">
        <f t="shared" si="36"/>
        <v>0</v>
      </c>
      <c r="H174" s="104">
        <f>IFERROR(IF('ZD Vorerfassung'!$E$11="manuell",SUM(I174),IF(OR(E174="Feiertag",E174="Wochenende"),0,IF('ZD Vorerfassung'!$E$11="automatisch",AX174,IF(D174="UU","UU",IF(E174=Param2,AX174/24,IF(E174=Param9,AX174/48,"")))))),0)</f>
        <v>0</v>
      </c>
      <c r="I174" s="105"/>
      <c r="J174" s="106">
        <f>IF('ZD Vorerfassung'!$E$12="manuell",SUM(K174:AI174),IF(OR(E174="Feiertag",E174="Wochenende"),0,IF('ZD Vorerfassung'!$E$12="automatisch",AY174,IF(D174="UU","UU",IF(E174=Param2,AY174/24,IF(E174=Param9,AY174/48,""))))))</f>
        <v>0</v>
      </c>
      <c r="K174" s="105"/>
      <c r="L174" s="105"/>
      <c r="M174" s="105"/>
      <c r="N174" s="105"/>
      <c r="O174" s="105"/>
      <c r="P174" s="105"/>
      <c r="Q174" s="105"/>
      <c r="R174" s="105"/>
      <c r="S174" s="105"/>
      <c r="T174" s="105"/>
      <c r="U174" s="105"/>
      <c r="V174" s="105"/>
      <c r="W174" s="105"/>
      <c r="X174" s="105"/>
      <c r="Y174" s="105"/>
      <c r="Z174" s="105"/>
      <c r="AA174" s="105"/>
      <c r="AB174" s="105"/>
      <c r="AC174" s="105"/>
      <c r="AD174" s="105"/>
      <c r="AE174" s="105"/>
      <c r="AF174" s="105"/>
      <c r="AG174" s="105"/>
      <c r="AH174" s="105"/>
      <c r="AI174" s="105"/>
      <c r="AJ174" s="107">
        <f t="shared" si="37"/>
        <v>0</v>
      </c>
      <c r="AK174" s="105"/>
      <c r="AL174" s="105"/>
      <c r="AM174" s="105"/>
      <c r="AN174" s="105"/>
      <c r="AO174" s="105"/>
      <c r="AP174" s="105"/>
      <c r="AQ174" s="108">
        <f t="shared" si="38"/>
        <v>0</v>
      </c>
      <c r="AR174" s="108">
        <f t="shared" si="39"/>
        <v>0</v>
      </c>
      <c r="AS174" s="109">
        <f t="shared" si="40"/>
        <v>0</v>
      </c>
      <c r="AU174" s="110">
        <f t="shared" si="31"/>
        <v>0</v>
      </c>
      <c r="AV174" s="111">
        <f>IF(D174="NR",
IF('ZD Vorerfassung'!$E$22="",0,IF(AND(B174&gt;='ZD Vorerfassung'!$C$22,B174&lt;='ZD Vorerfassung'!$D$22),HLOOKUP(TEXT(C174,"ttt"),'ZD Vorerfassung'!$H$21:$L$36,2,0),0))+
IF('ZD Vorerfassung'!$E$23="",0,IF(AND(B174&gt;='ZD Vorerfassung'!$C$23,B174&lt;='ZD Vorerfassung'!$D$23),HLOOKUP(TEXT(C174,"ttt"),'ZD Vorerfassung'!$H$21:$L$36,3,0),0))+
IF('ZD Vorerfassung'!$E$24="",0,IF(AND(B174&gt;='ZD Vorerfassung'!$C$24,B174&lt;='ZD Vorerfassung'!$D$24),HLOOKUP(TEXT(C174,"ttt"),'ZD Vorerfassung'!$H$21:$L$36,4,0),0))+
IF('ZD Vorerfassung'!$E$25="",0,IF(AND(B174&gt;='ZD Vorerfassung'!$C$25,B174&lt;='ZD Vorerfassung'!$D$25),HLOOKUP(TEXT(C174,"ttt"),'ZD Vorerfassung'!$H$21:$L$36,5,0),0))+
IF('ZD Vorerfassung'!$E$26="",0,IF(AND(B174&gt;='ZD Vorerfassung'!$C$26,B174&lt;='ZD Vorerfassung'!$D$26),HLOOKUP(TEXT(C174,"ttt"),'ZD Vorerfassung'!$H$21:$L$36,6,0),0))+
IF('ZD Vorerfassung'!$E$27="",0,IF(AND(B174&gt;='ZD Vorerfassung'!$C$27,B174&lt;='ZD Vorerfassung'!$D$27),HLOOKUP(TEXT(C174,"ttt"),'ZD Vorerfassung'!$H$21:$L$36,7,0),0))+
IF('ZD Vorerfassung'!$E$28="",0,IF(AND(B174&gt;='ZD Vorerfassung'!$C$28,B174&lt;='ZD Vorerfassung'!$D$28),HLOOKUP(TEXT(C174,"ttt"),'ZD Vorerfassung'!$H$21:$L$36,8,0),0))+
IF('ZD Vorerfassung'!$E$29="",0,IF(AND(B174&gt;='ZD Vorerfassung'!$C$29,B174&lt;='ZD Vorerfassung'!$D$29),HLOOKUP(TEXT(C174,"ttt"),'ZD Vorerfassung'!$H$21:$L$36,9,0),0))+
IF('ZD Vorerfassung'!$E$30="",0,IF(AND(B174&gt;='ZD Vorerfassung'!$C$30,B174&lt;='ZD Vorerfassung'!$D$30),HLOOKUP(TEXT(C174,"ttt"),'ZD Vorerfassung'!$H$21:$L$36,10,0),0))+
IF('ZD Vorerfassung'!$E$31="",0,IF(AND(B174&gt;='ZD Vorerfassung'!$C$31,B174&lt;='ZD Vorerfassung'!$D$31),HLOOKUP(TEXT(C174,"ttt"),'ZD Vorerfassung'!$H$21:$L$36,11,0),0))+
IF('ZD Vorerfassung'!$E$32="",0,IF(AND(B174&gt;='ZD Vorerfassung'!$C$32,B174&lt;='ZD Vorerfassung'!$D$32),HLOOKUP(TEXT(C174,"ttt"),'ZD Vorerfassung'!$H$21:$L$36,12,0),0))+
IF('ZD Vorerfassung'!$E$33="",0,IF(AND(B174&gt;='ZD Vorerfassung'!$C$33,B174&lt;='ZD Vorerfassung'!$D$33),HLOOKUP(TEXT(C174,"ttt"),'ZD Vorerfassung'!$H$21:$L$36,13,0),0))+
IF('ZD Vorerfassung'!$E$34="",0,IF(AND(B174&gt;='ZD Vorerfassung'!$C$34,B174&lt;='ZD Vorerfassung'!$D$34),HLOOKUP(TEXT(C174,"ttt"),'ZD Vorerfassung'!$H$21:$L$36,14,0),0))+
IF('ZD Vorerfassung'!$E$35="",0,IF(AND(B174&gt;='ZD Vorerfassung'!$C$35,B174&lt;='ZD Vorerfassung'!$D$35),HLOOKUP(TEXT(C174,"ttt"),'ZD Vorerfassung'!$H$21:$L$36,15,0),0))+
IF('ZD Vorerfassung'!$E$36="",0,IF(AND(B174&gt;='ZD Vorerfassung'!$C$36,B174&lt;='ZD Vorerfassung'!$D$36),HLOOKUP(TEXT(C174,"ttt"),'ZD Vorerfassung'!$H$21:$L$36,16,0),0)),"")</f>
        <v>0</v>
      </c>
      <c r="AW174" s="110">
        <f t="array" ref="AW174">IF(OR(D174="UU",D174="FT",D174="WE"),0,
IF(D174="NR",SUM(IF(B174&gt;=_xlfn.NUMBERVALUE('ZD Vorerfassung'!$C$22:$C$36),1,0)*IF(B174&lt;=_xlfn.NUMBERVALUE('ZD Vorerfassung'!$D$22:$D$36),1,0)*'ZD Vorerfassung'!$Q$22:$Q$36),
IF(OR(D174="SF",D174="FH"),SUM(IF(B174&gt;=_xlfn.NUMBERVALUE('ZD Vorerfassung'!$C$22:$C$36),1,0)*IF(B174&lt;=_xlfn.NUMBERVALUE('ZD Vorerfassung'!$D$22:$D$36),1,0)*'ZD Vorerfassung'!$R$22:$R$36*IF(D174="FH",0.5,1)),
"prüfen")))</f>
        <v>0</v>
      </c>
      <c r="AX174" s="110">
        <f t="array" ref="AX174">IF(OR(D174="UU",D174="FT",D174="WE",E174="Ferien"),0,
IF(D174="NR",SUM(IF(B174&gt;=_xlfn.NUMBERVALUE('ZD Vorerfassung'!$C$22:$C$36),1,0)*IF(B174&lt;=_xlfn.NUMBERVALUE('ZD Vorerfassung'!$D$22:$D$36),1,0)*'ZD Vorerfassung'!$W$22:$W$36),
IF(OR(D174="SF",D174="FH"),SUM(IF(B174&gt;=_xlfn.NUMBERVALUE('ZD Vorerfassung'!$C$22:$C$36),1,0)*IF(B174&lt;=_xlfn.NUMBERVALUE('ZD Vorerfassung'!$D$22:$D$36),1,0)*'ZD Vorerfassung'!$X$22:$X$36*IF(D174="FH",0.5,1)),
"prüfen")))</f>
        <v>0</v>
      </c>
      <c r="AY174" s="110">
        <f t="array" ref="AY174">IF(OR(D174="UU",D174="FT",D174="WE",E174="Ferien"),0,
IF(D174="NR",SUM(IF(B174&gt;=_xlfn.NUMBERVALUE('ZD Vorerfassung'!$C$22:$C$36),1,0)*IF(B174&lt;=_xlfn.NUMBERVALUE('ZD Vorerfassung'!$D$22:$D$36),1,0)*'ZD Vorerfassung'!$U$22:$U$36),
IF(OR(D174="SF",D174="FH"),SUM(IF(B174&gt;=_xlfn.NUMBERVALUE('ZD Vorerfassung'!$C$22:$C$36),1,0)*IF(B174&lt;=_xlfn.NUMBERVALUE('ZD Vorerfassung'!$D$22:$D$36),1,0)*'ZD Vorerfassung'!$V$22:$V$36*IF(D174="FH",0.5,1)),
"prüfen")))</f>
        <v>0</v>
      </c>
      <c r="AZ174" s="110">
        <f t="array" ref="AZ174">IF(OR(D174="UU",D174="FT",D174="WE",E174="Ferien"),0,
IF(D174="NR",SUM(IF(B174&gt;=_xlfn.NUMBERVALUE('ZD Vorerfassung'!$C$22:$C$36),1,0)*IF(B174&lt;=_xlfn.NUMBERVALUE('ZD Vorerfassung'!$D$22:$D$36),1,0)*'ZD Vorerfassung'!$S$22:$S$36),
IF(OR(D174="SF",D174="FH"),SUM(IF(B174&gt;=_xlfn.NUMBERVALUE('ZD Vorerfassung'!$C$22:$C$36),1,0)*IF(B174&lt;=_xlfn.NUMBERVALUE('ZD Vorerfassung'!$D$22:$D$36),1,0)*'ZD Vorerfassung'!$T$22:$T$36*IF(D174="FH",0.5,1)),
"prüfen")))</f>
        <v>0</v>
      </c>
      <c r="BA174" s="112">
        <f t="shared" si="32"/>
        <v>1</v>
      </c>
    </row>
    <row r="175" spans="2:53" ht="19.5" thickTop="1" thickBot="1" x14ac:dyDescent="0.3">
      <c r="B175" s="99">
        <f t="shared" si="29"/>
        <v>44940</v>
      </c>
      <c r="C175" s="100">
        <f t="shared" si="33"/>
        <v>44940</v>
      </c>
      <c r="D175" s="101" t="str">
        <f t="shared" si="34"/>
        <v>NR</v>
      </c>
      <c r="E175" s="102" t="str">
        <f t="shared" si="30"/>
        <v>Unterrichtstag</v>
      </c>
      <c r="F175" s="103">
        <f t="shared" si="35"/>
        <v>0</v>
      </c>
      <c r="G175" s="104">
        <f t="shared" si="36"/>
        <v>0</v>
      </c>
      <c r="H175" s="104">
        <f>IFERROR(IF('ZD Vorerfassung'!$E$11="manuell",SUM(I175),IF(OR(E175="Feiertag",E175="Wochenende"),0,IF('ZD Vorerfassung'!$E$11="automatisch",AX175,IF(D175="UU","UU",IF(E175=Param2,AX175/24,IF(E175=Param9,AX175/48,"")))))),0)</f>
        <v>0</v>
      </c>
      <c r="I175" s="105"/>
      <c r="J175" s="106">
        <f>IF('ZD Vorerfassung'!$E$12="manuell",SUM(K175:AI175),IF(OR(E175="Feiertag",E175="Wochenende"),0,IF('ZD Vorerfassung'!$E$12="automatisch",AY175,IF(D175="UU","UU",IF(E175=Param2,AY175/24,IF(E175=Param9,AY175/48,""))))))</f>
        <v>0</v>
      </c>
      <c r="K175" s="105"/>
      <c r="L175" s="105"/>
      <c r="M175" s="105"/>
      <c r="N175" s="105"/>
      <c r="O175" s="105"/>
      <c r="P175" s="105"/>
      <c r="Q175" s="105"/>
      <c r="R175" s="105"/>
      <c r="S175" s="105"/>
      <c r="T175" s="105"/>
      <c r="U175" s="105"/>
      <c r="V175" s="105"/>
      <c r="W175" s="105"/>
      <c r="X175" s="105"/>
      <c r="Y175" s="105"/>
      <c r="Z175" s="105"/>
      <c r="AA175" s="105"/>
      <c r="AB175" s="105"/>
      <c r="AC175" s="105"/>
      <c r="AD175" s="105"/>
      <c r="AE175" s="105"/>
      <c r="AF175" s="105"/>
      <c r="AG175" s="105"/>
      <c r="AH175" s="105"/>
      <c r="AI175" s="105"/>
      <c r="AJ175" s="107">
        <f t="shared" si="37"/>
        <v>0</v>
      </c>
      <c r="AK175" s="105"/>
      <c r="AL175" s="105"/>
      <c r="AM175" s="105"/>
      <c r="AN175" s="105"/>
      <c r="AO175" s="105"/>
      <c r="AP175" s="105"/>
      <c r="AQ175" s="108">
        <f t="shared" si="38"/>
        <v>0</v>
      </c>
      <c r="AR175" s="108">
        <f t="shared" si="39"/>
        <v>0</v>
      </c>
      <c r="AS175" s="109">
        <f t="shared" si="40"/>
        <v>0</v>
      </c>
      <c r="AU175" s="110">
        <f t="shared" si="31"/>
        <v>0</v>
      </c>
      <c r="AV175" s="111">
        <f>IF(D175="NR",
IF('ZD Vorerfassung'!$E$22="",0,IF(AND(B175&gt;='ZD Vorerfassung'!$C$22,B175&lt;='ZD Vorerfassung'!$D$22),HLOOKUP(TEXT(C175,"ttt"),'ZD Vorerfassung'!$H$21:$L$36,2,0),0))+
IF('ZD Vorerfassung'!$E$23="",0,IF(AND(B175&gt;='ZD Vorerfassung'!$C$23,B175&lt;='ZD Vorerfassung'!$D$23),HLOOKUP(TEXT(C175,"ttt"),'ZD Vorerfassung'!$H$21:$L$36,3,0),0))+
IF('ZD Vorerfassung'!$E$24="",0,IF(AND(B175&gt;='ZD Vorerfassung'!$C$24,B175&lt;='ZD Vorerfassung'!$D$24),HLOOKUP(TEXT(C175,"ttt"),'ZD Vorerfassung'!$H$21:$L$36,4,0),0))+
IF('ZD Vorerfassung'!$E$25="",0,IF(AND(B175&gt;='ZD Vorerfassung'!$C$25,B175&lt;='ZD Vorerfassung'!$D$25),HLOOKUP(TEXT(C175,"ttt"),'ZD Vorerfassung'!$H$21:$L$36,5,0),0))+
IF('ZD Vorerfassung'!$E$26="",0,IF(AND(B175&gt;='ZD Vorerfassung'!$C$26,B175&lt;='ZD Vorerfassung'!$D$26),HLOOKUP(TEXT(C175,"ttt"),'ZD Vorerfassung'!$H$21:$L$36,6,0),0))+
IF('ZD Vorerfassung'!$E$27="",0,IF(AND(B175&gt;='ZD Vorerfassung'!$C$27,B175&lt;='ZD Vorerfassung'!$D$27),HLOOKUP(TEXT(C175,"ttt"),'ZD Vorerfassung'!$H$21:$L$36,7,0),0))+
IF('ZD Vorerfassung'!$E$28="",0,IF(AND(B175&gt;='ZD Vorerfassung'!$C$28,B175&lt;='ZD Vorerfassung'!$D$28),HLOOKUP(TEXT(C175,"ttt"),'ZD Vorerfassung'!$H$21:$L$36,8,0),0))+
IF('ZD Vorerfassung'!$E$29="",0,IF(AND(B175&gt;='ZD Vorerfassung'!$C$29,B175&lt;='ZD Vorerfassung'!$D$29),HLOOKUP(TEXT(C175,"ttt"),'ZD Vorerfassung'!$H$21:$L$36,9,0),0))+
IF('ZD Vorerfassung'!$E$30="",0,IF(AND(B175&gt;='ZD Vorerfassung'!$C$30,B175&lt;='ZD Vorerfassung'!$D$30),HLOOKUP(TEXT(C175,"ttt"),'ZD Vorerfassung'!$H$21:$L$36,10,0),0))+
IF('ZD Vorerfassung'!$E$31="",0,IF(AND(B175&gt;='ZD Vorerfassung'!$C$31,B175&lt;='ZD Vorerfassung'!$D$31),HLOOKUP(TEXT(C175,"ttt"),'ZD Vorerfassung'!$H$21:$L$36,11,0),0))+
IF('ZD Vorerfassung'!$E$32="",0,IF(AND(B175&gt;='ZD Vorerfassung'!$C$32,B175&lt;='ZD Vorerfassung'!$D$32),HLOOKUP(TEXT(C175,"ttt"),'ZD Vorerfassung'!$H$21:$L$36,12,0),0))+
IF('ZD Vorerfassung'!$E$33="",0,IF(AND(B175&gt;='ZD Vorerfassung'!$C$33,B175&lt;='ZD Vorerfassung'!$D$33),HLOOKUP(TEXT(C175,"ttt"),'ZD Vorerfassung'!$H$21:$L$36,13,0),0))+
IF('ZD Vorerfassung'!$E$34="",0,IF(AND(B175&gt;='ZD Vorerfassung'!$C$34,B175&lt;='ZD Vorerfassung'!$D$34),HLOOKUP(TEXT(C175,"ttt"),'ZD Vorerfassung'!$H$21:$L$36,14,0),0))+
IF('ZD Vorerfassung'!$E$35="",0,IF(AND(B175&gt;='ZD Vorerfassung'!$C$35,B175&lt;='ZD Vorerfassung'!$D$35),HLOOKUP(TEXT(C175,"ttt"),'ZD Vorerfassung'!$H$21:$L$36,15,0),0))+
IF('ZD Vorerfassung'!$E$36="",0,IF(AND(B175&gt;='ZD Vorerfassung'!$C$36,B175&lt;='ZD Vorerfassung'!$D$36),HLOOKUP(TEXT(C175,"ttt"),'ZD Vorerfassung'!$H$21:$L$36,16,0),0)),"")</f>
        <v>0</v>
      </c>
      <c r="AW175" s="110">
        <f t="array" ref="AW175">IF(OR(D175="UU",D175="FT",D175="WE"),0,
IF(D175="NR",SUM(IF(B175&gt;=_xlfn.NUMBERVALUE('ZD Vorerfassung'!$C$22:$C$36),1,0)*IF(B175&lt;=_xlfn.NUMBERVALUE('ZD Vorerfassung'!$D$22:$D$36),1,0)*'ZD Vorerfassung'!$Q$22:$Q$36),
IF(OR(D175="SF",D175="FH"),SUM(IF(B175&gt;=_xlfn.NUMBERVALUE('ZD Vorerfassung'!$C$22:$C$36),1,0)*IF(B175&lt;=_xlfn.NUMBERVALUE('ZD Vorerfassung'!$D$22:$D$36),1,0)*'ZD Vorerfassung'!$R$22:$R$36*IF(D175="FH",0.5,1)),
"prüfen")))</f>
        <v>0</v>
      </c>
      <c r="AX175" s="110">
        <f t="array" ref="AX175">IF(OR(D175="UU",D175="FT",D175="WE",E175="Ferien"),0,
IF(D175="NR",SUM(IF(B175&gt;=_xlfn.NUMBERVALUE('ZD Vorerfassung'!$C$22:$C$36),1,0)*IF(B175&lt;=_xlfn.NUMBERVALUE('ZD Vorerfassung'!$D$22:$D$36),1,0)*'ZD Vorerfassung'!$W$22:$W$36),
IF(OR(D175="SF",D175="FH"),SUM(IF(B175&gt;=_xlfn.NUMBERVALUE('ZD Vorerfassung'!$C$22:$C$36),1,0)*IF(B175&lt;=_xlfn.NUMBERVALUE('ZD Vorerfassung'!$D$22:$D$36),1,0)*'ZD Vorerfassung'!$X$22:$X$36*IF(D175="FH",0.5,1)),
"prüfen")))</f>
        <v>0</v>
      </c>
      <c r="AY175" s="110">
        <f t="array" ref="AY175">IF(OR(D175="UU",D175="FT",D175="WE",E175="Ferien"),0,
IF(D175="NR",SUM(IF(B175&gt;=_xlfn.NUMBERVALUE('ZD Vorerfassung'!$C$22:$C$36),1,0)*IF(B175&lt;=_xlfn.NUMBERVALUE('ZD Vorerfassung'!$D$22:$D$36),1,0)*'ZD Vorerfassung'!$U$22:$U$36),
IF(OR(D175="SF",D175="FH"),SUM(IF(B175&gt;=_xlfn.NUMBERVALUE('ZD Vorerfassung'!$C$22:$C$36),1,0)*IF(B175&lt;=_xlfn.NUMBERVALUE('ZD Vorerfassung'!$D$22:$D$36),1,0)*'ZD Vorerfassung'!$V$22:$V$36*IF(D175="FH",0.5,1)),
"prüfen")))</f>
        <v>0</v>
      </c>
      <c r="AZ175" s="110">
        <f t="array" ref="AZ175">IF(OR(D175="UU",D175="FT",D175="WE",E175="Ferien"),0,
IF(D175="NR",SUM(IF(B175&gt;=_xlfn.NUMBERVALUE('ZD Vorerfassung'!$C$22:$C$36),1,0)*IF(B175&lt;=_xlfn.NUMBERVALUE('ZD Vorerfassung'!$D$22:$D$36),1,0)*'ZD Vorerfassung'!$S$22:$S$36),
IF(OR(D175="SF",D175="FH"),SUM(IF(B175&gt;=_xlfn.NUMBERVALUE('ZD Vorerfassung'!$C$22:$C$36),1,0)*IF(B175&lt;=_xlfn.NUMBERVALUE('ZD Vorerfassung'!$D$22:$D$36),1,0)*'ZD Vorerfassung'!$T$22:$T$36*IF(D175="FH",0.5,1)),
"prüfen")))</f>
        <v>0</v>
      </c>
      <c r="BA175" s="112">
        <f t="shared" si="32"/>
        <v>1</v>
      </c>
    </row>
    <row r="176" spans="2:53" ht="19.5" thickTop="1" thickBot="1" x14ac:dyDescent="0.3">
      <c r="B176" s="99">
        <f t="shared" si="29"/>
        <v>44941</v>
      </c>
      <c r="C176" s="100">
        <f t="shared" si="33"/>
        <v>44941</v>
      </c>
      <c r="D176" s="101" t="str">
        <f t="shared" si="34"/>
        <v>WE</v>
      </c>
      <c r="E176" s="102" t="str">
        <f t="shared" si="30"/>
        <v>Wochenende</v>
      </c>
      <c r="F176" s="103" t="str">
        <f t="shared" si="35"/>
        <v/>
      </c>
      <c r="G176" s="104" t="str">
        <f t="shared" si="36"/>
        <v/>
      </c>
      <c r="H176" s="104">
        <f>IFERROR(IF('ZD Vorerfassung'!$E$11="manuell",SUM(I176),IF(OR(E176="Feiertag",E176="Wochenende"),0,IF('ZD Vorerfassung'!$E$11="automatisch",AX176,IF(D176="UU","UU",IF(E176=Param2,AX176/24,IF(E176=Param9,AX176/48,"")))))),0)</f>
        <v>0</v>
      </c>
      <c r="I176" s="105"/>
      <c r="J176" s="106">
        <f>IF('ZD Vorerfassung'!$E$12="manuell",SUM(K176:AI176),IF(OR(E176="Feiertag",E176="Wochenende"),0,IF('ZD Vorerfassung'!$E$12="automatisch",AY176,IF(D176="UU","UU",IF(E176=Param2,AY176/24,IF(E176=Param9,AY176/48,""))))))</f>
        <v>0</v>
      </c>
      <c r="K176" s="105"/>
      <c r="L176" s="105"/>
      <c r="M176" s="105"/>
      <c r="N176" s="105"/>
      <c r="O176" s="105"/>
      <c r="P176" s="105"/>
      <c r="Q176" s="105"/>
      <c r="R176" s="105"/>
      <c r="S176" s="105"/>
      <c r="T176" s="105"/>
      <c r="U176" s="105"/>
      <c r="V176" s="105"/>
      <c r="W176" s="105"/>
      <c r="X176" s="105"/>
      <c r="Y176" s="105"/>
      <c r="Z176" s="105"/>
      <c r="AA176" s="105"/>
      <c r="AB176" s="105"/>
      <c r="AC176" s="105"/>
      <c r="AD176" s="105"/>
      <c r="AE176" s="105"/>
      <c r="AF176" s="105"/>
      <c r="AG176" s="105"/>
      <c r="AH176" s="105"/>
      <c r="AI176" s="105"/>
      <c r="AJ176" s="107">
        <f t="shared" si="37"/>
        <v>0</v>
      </c>
      <c r="AK176" s="105"/>
      <c r="AL176" s="105"/>
      <c r="AM176" s="105"/>
      <c r="AN176" s="105"/>
      <c r="AO176" s="105"/>
      <c r="AP176" s="105"/>
      <c r="AQ176" s="108">
        <f t="shared" si="38"/>
        <v>0</v>
      </c>
      <c r="AR176" s="108">
        <f t="shared" si="39"/>
        <v>0</v>
      </c>
      <c r="AS176" s="109">
        <f t="shared" si="40"/>
        <v>0</v>
      </c>
      <c r="AU176" s="110">
        <f t="shared" si="31"/>
        <v>0</v>
      </c>
      <c r="AV176" s="111" t="str">
        <f>IF(D176="NR",
IF('ZD Vorerfassung'!$E$22="",0,IF(AND(B176&gt;='ZD Vorerfassung'!$C$22,B176&lt;='ZD Vorerfassung'!$D$22),HLOOKUP(TEXT(C176,"ttt"),'ZD Vorerfassung'!$H$21:$L$36,2,0),0))+
IF('ZD Vorerfassung'!$E$23="",0,IF(AND(B176&gt;='ZD Vorerfassung'!$C$23,B176&lt;='ZD Vorerfassung'!$D$23),HLOOKUP(TEXT(C176,"ttt"),'ZD Vorerfassung'!$H$21:$L$36,3,0),0))+
IF('ZD Vorerfassung'!$E$24="",0,IF(AND(B176&gt;='ZD Vorerfassung'!$C$24,B176&lt;='ZD Vorerfassung'!$D$24),HLOOKUP(TEXT(C176,"ttt"),'ZD Vorerfassung'!$H$21:$L$36,4,0),0))+
IF('ZD Vorerfassung'!$E$25="",0,IF(AND(B176&gt;='ZD Vorerfassung'!$C$25,B176&lt;='ZD Vorerfassung'!$D$25),HLOOKUP(TEXT(C176,"ttt"),'ZD Vorerfassung'!$H$21:$L$36,5,0),0))+
IF('ZD Vorerfassung'!$E$26="",0,IF(AND(B176&gt;='ZD Vorerfassung'!$C$26,B176&lt;='ZD Vorerfassung'!$D$26),HLOOKUP(TEXT(C176,"ttt"),'ZD Vorerfassung'!$H$21:$L$36,6,0),0))+
IF('ZD Vorerfassung'!$E$27="",0,IF(AND(B176&gt;='ZD Vorerfassung'!$C$27,B176&lt;='ZD Vorerfassung'!$D$27),HLOOKUP(TEXT(C176,"ttt"),'ZD Vorerfassung'!$H$21:$L$36,7,0),0))+
IF('ZD Vorerfassung'!$E$28="",0,IF(AND(B176&gt;='ZD Vorerfassung'!$C$28,B176&lt;='ZD Vorerfassung'!$D$28),HLOOKUP(TEXT(C176,"ttt"),'ZD Vorerfassung'!$H$21:$L$36,8,0),0))+
IF('ZD Vorerfassung'!$E$29="",0,IF(AND(B176&gt;='ZD Vorerfassung'!$C$29,B176&lt;='ZD Vorerfassung'!$D$29),HLOOKUP(TEXT(C176,"ttt"),'ZD Vorerfassung'!$H$21:$L$36,9,0),0))+
IF('ZD Vorerfassung'!$E$30="",0,IF(AND(B176&gt;='ZD Vorerfassung'!$C$30,B176&lt;='ZD Vorerfassung'!$D$30),HLOOKUP(TEXT(C176,"ttt"),'ZD Vorerfassung'!$H$21:$L$36,10,0),0))+
IF('ZD Vorerfassung'!$E$31="",0,IF(AND(B176&gt;='ZD Vorerfassung'!$C$31,B176&lt;='ZD Vorerfassung'!$D$31),HLOOKUP(TEXT(C176,"ttt"),'ZD Vorerfassung'!$H$21:$L$36,11,0),0))+
IF('ZD Vorerfassung'!$E$32="",0,IF(AND(B176&gt;='ZD Vorerfassung'!$C$32,B176&lt;='ZD Vorerfassung'!$D$32),HLOOKUP(TEXT(C176,"ttt"),'ZD Vorerfassung'!$H$21:$L$36,12,0),0))+
IF('ZD Vorerfassung'!$E$33="",0,IF(AND(B176&gt;='ZD Vorerfassung'!$C$33,B176&lt;='ZD Vorerfassung'!$D$33),HLOOKUP(TEXT(C176,"ttt"),'ZD Vorerfassung'!$H$21:$L$36,13,0),0))+
IF('ZD Vorerfassung'!$E$34="",0,IF(AND(B176&gt;='ZD Vorerfassung'!$C$34,B176&lt;='ZD Vorerfassung'!$D$34),HLOOKUP(TEXT(C176,"ttt"),'ZD Vorerfassung'!$H$21:$L$36,14,0),0))+
IF('ZD Vorerfassung'!$E$35="",0,IF(AND(B176&gt;='ZD Vorerfassung'!$C$35,B176&lt;='ZD Vorerfassung'!$D$35),HLOOKUP(TEXT(C176,"ttt"),'ZD Vorerfassung'!$H$21:$L$36,15,0),0))+
IF('ZD Vorerfassung'!$E$36="",0,IF(AND(B176&gt;='ZD Vorerfassung'!$C$36,B176&lt;='ZD Vorerfassung'!$D$36),HLOOKUP(TEXT(C176,"ttt"),'ZD Vorerfassung'!$H$21:$L$36,16,0),0)),"")</f>
        <v/>
      </c>
      <c r="AW176" s="110">
        <f t="array" ref="AW176">IF(OR(D176="UU",D176="FT",D176="WE"),0,
IF(D176="NR",SUM(IF(B176&gt;=_xlfn.NUMBERVALUE('ZD Vorerfassung'!$C$22:$C$36),1,0)*IF(B176&lt;=_xlfn.NUMBERVALUE('ZD Vorerfassung'!$D$22:$D$36),1,0)*'ZD Vorerfassung'!$Q$22:$Q$36),
IF(OR(D176="SF",D176="FH"),SUM(IF(B176&gt;=_xlfn.NUMBERVALUE('ZD Vorerfassung'!$C$22:$C$36),1,0)*IF(B176&lt;=_xlfn.NUMBERVALUE('ZD Vorerfassung'!$D$22:$D$36),1,0)*'ZD Vorerfassung'!$R$22:$R$36*IF(D176="FH",0.5,1)),
"prüfen")))</f>
        <v>0</v>
      </c>
      <c r="AX176" s="110">
        <f t="array" ref="AX176">IF(OR(D176="UU",D176="FT",D176="WE",E176="Ferien"),0,
IF(D176="NR",SUM(IF(B176&gt;=_xlfn.NUMBERVALUE('ZD Vorerfassung'!$C$22:$C$36),1,0)*IF(B176&lt;=_xlfn.NUMBERVALUE('ZD Vorerfassung'!$D$22:$D$36),1,0)*'ZD Vorerfassung'!$W$22:$W$36),
IF(OR(D176="SF",D176="FH"),SUM(IF(B176&gt;=_xlfn.NUMBERVALUE('ZD Vorerfassung'!$C$22:$C$36),1,0)*IF(B176&lt;=_xlfn.NUMBERVALUE('ZD Vorerfassung'!$D$22:$D$36),1,0)*'ZD Vorerfassung'!$X$22:$X$36*IF(D176="FH",0.5,1)),
"prüfen")))</f>
        <v>0</v>
      </c>
      <c r="AY176" s="110">
        <f t="array" ref="AY176">IF(OR(D176="UU",D176="FT",D176="WE",E176="Ferien"),0,
IF(D176="NR",SUM(IF(B176&gt;=_xlfn.NUMBERVALUE('ZD Vorerfassung'!$C$22:$C$36),1,0)*IF(B176&lt;=_xlfn.NUMBERVALUE('ZD Vorerfassung'!$D$22:$D$36),1,0)*'ZD Vorerfassung'!$U$22:$U$36),
IF(OR(D176="SF",D176="FH"),SUM(IF(B176&gt;=_xlfn.NUMBERVALUE('ZD Vorerfassung'!$C$22:$C$36),1,0)*IF(B176&lt;=_xlfn.NUMBERVALUE('ZD Vorerfassung'!$D$22:$D$36),1,0)*'ZD Vorerfassung'!$V$22:$V$36*IF(D176="FH",0.5,1)),
"prüfen")))</f>
        <v>0</v>
      </c>
      <c r="AZ176" s="110">
        <f t="array" ref="AZ176">IF(OR(D176="UU",D176="FT",D176="WE",E176="Ferien"),0,
IF(D176="NR",SUM(IF(B176&gt;=_xlfn.NUMBERVALUE('ZD Vorerfassung'!$C$22:$C$36),1,0)*IF(B176&lt;=_xlfn.NUMBERVALUE('ZD Vorerfassung'!$D$22:$D$36),1,0)*'ZD Vorerfassung'!$S$22:$S$36),
IF(OR(D176="SF",D176="FH"),SUM(IF(B176&gt;=_xlfn.NUMBERVALUE('ZD Vorerfassung'!$C$22:$C$36),1,0)*IF(B176&lt;=_xlfn.NUMBERVALUE('ZD Vorerfassung'!$D$22:$D$36),1,0)*'ZD Vorerfassung'!$T$22:$T$36*IF(D176="FH",0.5,1)),
"prüfen")))</f>
        <v>0</v>
      </c>
      <c r="BA176" s="112">
        <f t="shared" si="32"/>
        <v>1</v>
      </c>
    </row>
    <row r="177" spans="2:54" ht="19.5" thickTop="1" thickBot="1" x14ac:dyDescent="0.3">
      <c r="B177" s="99">
        <f t="shared" si="29"/>
        <v>44942</v>
      </c>
      <c r="C177" s="100">
        <f t="shared" si="33"/>
        <v>44942</v>
      </c>
      <c r="D177" s="101" t="str">
        <f t="shared" si="34"/>
        <v>WE</v>
      </c>
      <c r="E177" s="102" t="str">
        <f t="shared" si="30"/>
        <v>Wochenende</v>
      </c>
      <c r="F177" s="103" t="str">
        <f t="shared" si="35"/>
        <v/>
      </c>
      <c r="G177" s="104" t="str">
        <f t="shared" si="36"/>
        <v/>
      </c>
      <c r="H177" s="104">
        <f>IFERROR(IF('ZD Vorerfassung'!$E$11="manuell",SUM(I177),IF(OR(E177="Feiertag",E177="Wochenende"),0,IF('ZD Vorerfassung'!$E$11="automatisch",AX177,IF(D177="UU","UU",IF(E177=Param2,AX177/24,IF(E177=Param9,AX177/48,"")))))),0)</f>
        <v>0</v>
      </c>
      <c r="I177" s="105"/>
      <c r="J177" s="106">
        <f>IF('ZD Vorerfassung'!$E$12="manuell",SUM(K177:AI177),IF(OR(E177="Feiertag",E177="Wochenende"),0,IF('ZD Vorerfassung'!$E$12="automatisch",AY177,IF(D177="UU","UU",IF(E177=Param2,AY177/24,IF(E177=Param9,AY177/48,""))))))</f>
        <v>0</v>
      </c>
      <c r="K177" s="105"/>
      <c r="L177" s="105"/>
      <c r="M177" s="105"/>
      <c r="N177" s="105"/>
      <c r="O177" s="105"/>
      <c r="P177" s="105"/>
      <c r="Q177" s="105"/>
      <c r="R177" s="105"/>
      <c r="S177" s="105"/>
      <c r="T177" s="105"/>
      <c r="U177" s="105"/>
      <c r="V177" s="105"/>
      <c r="W177" s="105"/>
      <c r="X177" s="105"/>
      <c r="Y177" s="105"/>
      <c r="Z177" s="105"/>
      <c r="AA177" s="105"/>
      <c r="AB177" s="105"/>
      <c r="AC177" s="105"/>
      <c r="AD177" s="105"/>
      <c r="AE177" s="105"/>
      <c r="AF177" s="105"/>
      <c r="AG177" s="105"/>
      <c r="AH177" s="105"/>
      <c r="AI177" s="105"/>
      <c r="AJ177" s="107">
        <f t="shared" si="37"/>
        <v>0</v>
      </c>
      <c r="AK177" s="105"/>
      <c r="AL177" s="105"/>
      <c r="AM177" s="105"/>
      <c r="AN177" s="105"/>
      <c r="AO177" s="105"/>
      <c r="AP177" s="105"/>
      <c r="AQ177" s="108">
        <f t="shared" si="38"/>
        <v>0</v>
      </c>
      <c r="AR177" s="108">
        <f t="shared" si="39"/>
        <v>0</v>
      </c>
      <c r="AS177" s="109">
        <f t="shared" si="40"/>
        <v>0</v>
      </c>
      <c r="AU177" s="110">
        <f t="shared" si="31"/>
        <v>0</v>
      </c>
      <c r="AV177" s="111" t="str">
        <f>IF(D177="NR",
IF('ZD Vorerfassung'!$E$22="",0,IF(AND(B177&gt;='ZD Vorerfassung'!$C$22,B177&lt;='ZD Vorerfassung'!$D$22),HLOOKUP(TEXT(C177,"ttt"),'ZD Vorerfassung'!$H$21:$L$36,2,0),0))+
IF('ZD Vorerfassung'!$E$23="",0,IF(AND(B177&gt;='ZD Vorerfassung'!$C$23,B177&lt;='ZD Vorerfassung'!$D$23),HLOOKUP(TEXT(C177,"ttt"),'ZD Vorerfassung'!$H$21:$L$36,3,0),0))+
IF('ZD Vorerfassung'!$E$24="",0,IF(AND(B177&gt;='ZD Vorerfassung'!$C$24,B177&lt;='ZD Vorerfassung'!$D$24),HLOOKUP(TEXT(C177,"ttt"),'ZD Vorerfassung'!$H$21:$L$36,4,0),0))+
IF('ZD Vorerfassung'!$E$25="",0,IF(AND(B177&gt;='ZD Vorerfassung'!$C$25,B177&lt;='ZD Vorerfassung'!$D$25),HLOOKUP(TEXT(C177,"ttt"),'ZD Vorerfassung'!$H$21:$L$36,5,0),0))+
IF('ZD Vorerfassung'!$E$26="",0,IF(AND(B177&gt;='ZD Vorerfassung'!$C$26,B177&lt;='ZD Vorerfassung'!$D$26),HLOOKUP(TEXT(C177,"ttt"),'ZD Vorerfassung'!$H$21:$L$36,6,0),0))+
IF('ZD Vorerfassung'!$E$27="",0,IF(AND(B177&gt;='ZD Vorerfassung'!$C$27,B177&lt;='ZD Vorerfassung'!$D$27),HLOOKUP(TEXT(C177,"ttt"),'ZD Vorerfassung'!$H$21:$L$36,7,0),0))+
IF('ZD Vorerfassung'!$E$28="",0,IF(AND(B177&gt;='ZD Vorerfassung'!$C$28,B177&lt;='ZD Vorerfassung'!$D$28),HLOOKUP(TEXT(C177,"ttt"),'ZD Vorerfassung'!$H$21:$L$36,8,0),0))+
IF('ZD Vorerfassung'!$E$29="",0,IF(AND(B177&gt;='ZD Vorerfassung'!$C$29,B177&lt;='ZD Vorerfassung'!$D$29),HLOOKUP(TEXT(C177,"ttt"),'ZD Vorerfassung'!$H$21:$L$36,9,0),0))+
IF('ZD Vorerfassung'!$E$30="",0,IF(AND(B177&gt;='ZD Vorerfassung'!$C$30,B177&lt;='ZD Vorerfassung'!$D$30),HLOOKUP(TEXT(C177,"ttt"),'ZD Vorerfassung'!$H$21:$L$36,10,0),0))+
IF('ZD Vorerfassung'!$E$31="",0,IF(AND(B177&gt;='ZD Vorerfassung'!$C$31,B177&lt;='ZD Vorerfassung'!$D$31),HLOOKUP(TEXT(C177,"ttt"),'ZD Vorerfassung'!$H$21:$L$36,11,0),0))+
IF('ZD Vorerfassung'!$E$32="",0,IF(AND(B177&gt;='ZD Vorerfassung'!$C$32,B177&lt;='ZD Vorerfassung'!$D$32),HLOOKUP(TEXT(C177,"ttt"),'ZD Vorerfassung'!$H$21:$L$36,12,0),0))+
IF('ZD Vorerfassung'!$E$33="",0,IF(AND(B177&gt;='ZD Vorerfassung'!$C$33,B177&lt;='ZD Vorerfassung'!$D$33),HLOOKUP(TEXT(C177,"ttt"),'ZD Vorerfassung'!$H$21:$L$36,13,0),0))+
IF('ZD Vorerfassung'!$E$34="",0,IF(AND(B177&gt;='ZD Vorerfassung'!$C$34,B177&lt;='ZD Vorerfassung'!$D$34),HLOOKUP(TEXT(C177,"ttt"),'ZD Vorerfassung'!$H$21:$L$36,14,0),0))+
IF('ZD Vorerfassung'!$E$35="",0,IF(AND(B177&gt;='ZD Vorerfassung'!$C$35,B177&lt;='ZD Vorerfassung'!$D$35),HLOOKUP(TEXT(C177,"ttt"),'ZD Vorerfassung'!$H$21:$L$36,15,0),0))+
IF('ZD Vorerfassung'!$E$36="",0,IF(AND(B177&gt;='ZD Vorerfassung'!$C$36,B177&lt;='ZD Vorerfassung'!$D$36),HLOOKUP(TEXT(C177,"ttt"),'ZD Vorerfassung'!$H$21:$L$36,16,0),0)),"")</f>
        <v/>
      </c>
      <c r="AW177" s="110">
        <f t="array" ref="AW177">IF(OR(D177="UU",D177="FT",D177="WE"),0,
IF(D177="NR",SUM(IF(B177&gt;=_xlfn.NUMBERVALUE('ZD Vorerfassung'!$C$22:$C$36),1,0)*IF(B177&lt;=_xlfn.NUMBERVALUE('ZD Vorerfassung'!$D$22:$D$36),1,0)*'ZD Vorerfassung'!$Q$22:$Q$36),
IF(OR(D177="SF",D177="FH"),SUM(IF(B177&gt;=_xlfn.NUMBERVALUE('ZD Vorerfassung'!$C$22:$C$36),1,0)*IF(B177&lt;=_xlfn.NUMBERVALUE('ZD Vorerfassung'!$D$22:$D$36),1,0)*'ZD Vorerfassung'!$R$22:$R$36*IF(D177="FH",0.5,1)),
"prüfen")))</f>
        <v>0</v>
      </c>
      <c r="AX177" s="110">
        <f t="array" ref="AX177">IF(OR(D177="UU",D177="FT",D177="WE",E177="Ferien"),0,
IF(D177="NR",SUM(IF(B177&gt;=_xlfn.NUMBERVALUE('ZD Vorerfassung'!$C$22:$C$36),1,0)*IF(B177&lt;=_xlfn.NUMBERVALUE('ZD Vorerfassung'!$D$22:$D$36),1,0)*'ZD Vorerfassung'!$W$22:$W$36),
IF(OR(D177="SF",D177="FH"),SUM(IF(B177&gt;=_xlfn.NUMBERVALUE('ZD Vorerfassung'!$C$22:$C$36),1,0)*IF(B177&lt;=_xlfn.NUMBERVALUE('ZD Vorerfassung'!$D$22:$D$36),1,0)*'ZD Vorerfassung'!$X$22:$X$36*IF(D177="FH",0.5,1)),
"prüfen")))</f>
        <v>0</v>
      </c>
      <c r="AY177" s="110">
        <f t="array" ref="AY177">IF(OR(D177="UU",D177="FT",D177="WE",E177="Ferien"),0,
IF(D177="NR",SUM(IF(B177&gt;=_xlfn.NUMBERVALUE('ZD Vorerfassung'!$C$22:$C$36),1,0)*IF(B177&lt;=_xlfn.NUMBERVALUE('ZD Vorerfassung'!$D$22:$D$36),1,0)*'ZD Vorerfassung'!$U$22:$U$36),
IF(OR(D177="SF",D177="FH"),SUM(IF(B177&gt;=_xlfn.NUMBERVALUE('ZD Vorerfassung'!$C$22:$C$36),1,0)*IF(B177&lt;=_xlfn.NUMBERVALUE('ZD Vorerfassung'!$D$22:$D$36),1,0)*'ZD Vorerfassung'!$V$22:$V$36*IF(D177="FH",0.5,1)),
"prüfen")))</f>
        <v>0</v>
      </c>
      <c r="AZ177" s="110">
        <f t="array" ref="AZ177">IF(OR(D177="UU",D177="FT",D177="WE",E177="Ferien"),0,
IF(D177="NR",SUM(IF(B177&gt;=_xlfn.NUMBERVALUE('ZD Vorerfassung'!$C$22:$C$36),1,0)*IF(B177&lt;=_xlfn.NUMBERVALUE('ZD Vorerfassung'!$D$22:$D$36),1,0)*'ZD Vorerfassung'!$S$22:$S$36),
IF(OR(D177="SF",D177="FH"),SUM(IF(B177&gt;=_xlfn.NUMBERVALUE('ZD Vorerfassung'!$C$22:$C$36),1,0)*IF(B177&lt;=_xlfn.NUMBERVALUE('ZD Vorerfassung'!$D$22:$D$36),1,0)*'ZD Vorerfassung'!$T$22:$T$36*IF(D177="FH",0.5,1)),
"prüfen")))</f>
        <v>0</v>
      </c>
      <c r="BA177" s="112">
        <f t="shared" si="32"/>
        <v>1</v>
      </c>
    </row>
    <row r="178" spans="2:54" ht="19.5" thickTop="1" thickBot="1" x14ac:dyDescent="0.3">
      <c r="B178" s="99">
        <f t="shared" si="29"/>
        <v>44943</v>
      </c>
      <c r="C178" s="100">
        <f t="shared" si="33"/>
        <v>44943</v>
      </c>
      <c r="D178" s="101" t="str">
        <f t="shared" si="34"/>
        <v>NR</v>
      </c>
      <c r="E178" s="102" t="str">
        <f t="shared" si="30"/>
        <v>Unterrichtstag</v>
      </c>
      <c r="F178" s="103">
        <f t="shared" si="35"/>
        <v>0</v>
      </c>
      <c r="G178" s="104">
        <f t="shared" si="36"/>
        <v>0</v>
      </c>
      <c r="H178" s="104">
        <f>IFERROR(IF('ZD Vorerfassung'!$E$11="manuell",SUM(I178),IF(OR(E178="Feiertag",E178="Wochenende"),0,IF('ZD Vorerfassung'!$E$11="automatisch",AX178,IF(D178="UU","UU",IF(E178=Param2,AX178/24,IF(E178=Param9,AX178/48,"")))))),0)</f>
        <v>0</v>
      </c>
      <c r="I178" s="105"/>
      <c r="J178" s="106">
        <f>IF('ZD Vorerfassung'!$E$12="manuell",SUM(K178:AI178),IF(OR(E178="Feiertag",E178="Wochenende"),0,IF('ZD Vorerfassung'!$E$12="automatisch",AY178,IF(D178="UU","UU",IF(E178=Param2,AY178/24,IF(E178=Param9,AY178/48,""))))))</f>
        <v>0</v>
      </c>
      <c r="K178" s="105"/>
      <c r="L178" s="105"/>
      <c r="M178" s="105"/>
      <c r="N178" s="105"/>
      <c r="O178" s="105"/>
      <c r="P178" s="105"/>
      <c r="Q178" s="105"/>
      <c r="R178" s="105"/>
      <c r="S178" s="105"/>
      <c r="T178" s="105"/>
      <c r="U178" s="105"/>
      <c r="V178" s="105"/>
      <c r="W178" s="105"/>
      <c r="X178" s="105"/>
      <c r="Y178" s="105"/>
      <c r="Z178" s="105"/>
      <c r="AA178" s="105"/>
      <c r="AB178" s="105"/>
      <c r="AC178" s="105"/>
      <c r="AD178" s="105"/>
      <c r="AE178" s="105"/>
      <c r="AF178" s="105"/>
      <c r="AG178" s="105"/>
      <c r="AH178" s="105"/>
      <c r="AI178" s="105"/>
      <c r="AJ178" s="107">
        <f t="shared" si="37"/>
        <v>0</v>
      </c>
      <c r="AK178" s="105"/>
      <c r="AL178" s="105"/>
      <c r="AM178" s="105"/>
      <c r="AN178" s="105"/>
      <c r="AO178" s="105"/>
      <c r="AP178" s="105"/>
      <c r="AQ178" s="108">
        <f t="shared" si="38"/>
        <v>0</v>
      </c>
      <c r="AR178" s="108">
        <f t="shared" si="39"/>
        <v>0</v>
      </c>
      <c r="AS178" s="109">
        <f t="shared" si="40"/>
        <v>0</v>
      </c>
      <c r="AU178" s="110">
        <f t="shared" si="31"/>
        <v>0</v>
      </c>
      <c r="AV178" s="111">
        <f>IF(D178="NR",
IF('ZD Vorerfassung'!$E$22="",0,IF(AND(B178&gt;='ZD Vorerfassung'!$C$22,B178&lt;='ZD Vorerfassung'!$D$22),HLOOKUP(TEXT(C178,"ttt"),'ZD Vorerfassung'!$H$21:$L$36,2,0),0))+
IF('ZD Vorerfassung'!$E$23="",0,IF(AND(B178&gt;='ZD Vorerfassung'!$C$23,B178&lt;='ZD Vorerfassung'!$D$23),HLOOKUP(TEXT(C178,"ttt"),'ZD Vorerfassung'!$H$21:$L$36,3,0),0))+
IF('ZD Vorerfassung'!$E$24="",0,IF(AND(B178&gt;='ZD Vorerfassung'!$C$24,B178&lt;='ZD Vorerfassung'!$D$24),HLOOKUP(TEXT(C178,"ttt"),'ZD Vorerfassung'!$H$21:$L$36,4,0),0))+
IF('ZD Vorerfassung'!$E$25="",0,IF(AND(B178&gt;='ZD Vorerfassung'!$C$25,B178&lt;='ZD Vorerfassung'!$D$25),HLOOKUP(TEXT(C178,"ttt"),'ZD Vorerfassung'!$H$21:$L$36,5,0),0))+
IF('ZD Vorerfassung'!$E$26="",0,IF(AND(B178&gt;='ZD Vorerfassung'!$C$26,B178&lt;='ZD Vorerfassung'!$D$26),HLOOKUP(TEXT(C178,"ttt"),'ZD Vorerfassung'!$H$21:$L$36,6,0),0))+
IF('ZD Vorerfassung'!$E$27="",0,IF(AND(B178&gt;='ZD Vorerfassung'!$C$27,B178&lt;='ZD Vorerfassung'!$D$27),HLOOKUP(TEXT(C178,"ttt"),'ZD Vorerfassung'!$H$21:$L$36,7,0),0))+
IF('ZD Vorerfassung'!$E$28="",0,IF(AND(B178&gt;='ZD Vorerfassung'!$C$28,B178&lt;='ZD Vorerfassung'!$D$28),HLOOKUP(TEXT(C178,"ttt"),'ZD Vorerfassung'!$H$21:$L$36,8,0),0))+
IF('ZD Vorerfassung'!$E$29="",0,IF(AND(B178&gt;='ZD Vorerfassung'!$C$29,B178&lt;='ZD Vorerfassung'!$D$29),HLOOKUP(TEXT(C178,"ttt"),'ZD Vorerfassung'!$H$21:$L$36,9,0),0))+
IF('ZD Vorerfassung'!$E$30="",0,IF(AND(B178&gt;='ZD Vorerfassung'!$C$30,B178&lt;='ZD Vorerfassung'!$D$30),HLOOKUP(TEXT(C178,"ttt"),'ZD Vorerfassung'!$H$21:$L$36,10,0),0))+
IF('ZD Vorerfassung'!$E$31="",0,IF(AND(B178&gt;='ZD Vorerfassung'!$C$31,B178&lt;='ZD Vorerfassung'!$D$31),HLOOKUP(TEXT(C178,"ttt"),'ZD Vorerfassung'!$H$21:$L$36,11,0),0))+
IF('ZD Vorerfassung'!$E$32="",0,IF(AND(B178&gt;='ZD Vorerfassung'!$C$32,B178&lt;='ZD Vorerfassung'!$D$32),HLOOKUP(TEXT(C178,"ttt"),'ZD Vorerfassung'!$H$21:$L$36,12,0),0))+
IF('ZD Vorerfassung'!$E$33="",0,IF(AND(B178&gt;='ZD Vorerfassung'!$C$33,B178&lt;='ZD Vorerfassung'!$D$33),HLOOKUP(TEXT(C178,"ttt"),'ZD Vorerfassung'!$H$21:$L$36,13,0),0))+
IF('ZD Vorerfassung'!$E$34="",0,IF(AND(B178&gt;='ZD Vorerfassung'!$C$34,B178&lt;='ZD Vorerfassung'!$D$34),HLOOKUP(TEXT(C178,"ttt"),'ZD Vorerfassung'!$H$21:$L$36,14,0),0))+
IF('ZD Vorerfassung'!$E$35="",0,IF(AND(B178&gt;='ZD Vorerfassung'!$C$35,B178&lt;='ZD Vorerfassung'!$D$35),HLOOKUP(TEXT(C178,"ttt"),'ZD Vorerfassung'!$H$21:$L$36,15,0),0))+
IF('ZD Vorerfassung'!$E$36="",0,IF(AND(B178&gt;='ZD Vorerfassung'!$C$36,B178&lt;='ZD Vorerfassung'!$D$36),HLOOKUP(TEXT(C178,"ttt"),'ZD Vorerfassung'!$H$21:$L$36,16,0),0)),"")</f>
        <v>0</v>
      </c>
      <c r="AW178" s="110">
        <f t="array" ref="AW178">IF(OR(D178="UU",D178="FT",D178="WE"),0,
IF(D178="NR",SUM(IF(B178&gt;=_xlfn.NUMBERVALUE('ZD Vorerfassung'!$C$22:$C$36),1,0)*IF(B178&lt;=_xlfn.NUMBERVALUE('ZD Vorerfassung'!$D$22:$D$36),1,0)*'ZD Vorerfassung'!$Q$22:$Q$36),
IF(OR(D178="SF",D178="FH"),SUM(IF(B178&gt;=_xlfn.NUMBERVALUE('ZD Vorerfassung'!$C$22:$C$36),1,0)*IF(B178&lt;=_xlfn.NUMBERVALUE('ZD Vorerfassung'!$D$22:$D$36),1,0)*'ZD Vorerfassung'!$R$22:$R$36*IF(D178="FH",0.5,1)),
"prüfen")))</f>
        <v>0</v>
      </c>
      <c r="AX178" s="110">
        <f t="array" ref="AX178">IF(OR(D178="UU",D178="FT",D178="WE",E178="Ferien"),0,
IF(D178="NR",SUM(IF(B178&gt;=_xlfn.NUMBERVALUE('ZD Vorerfassung'!$C$22:$C$36),1,0)*IF(B178&lt;=_xlfn.NUMBERVALUE('ZD Vorerfassung'!$D$22:$D$36),1,0)*'ZD Vorerfassung'!$W$22:$W$36),
IF(OR(D178="SF",D178="FH"),SUM(IF(B178&gt;=_xlfn.NUMBERVALUE('ZD Vorerfassung'!$C$22:$C$36),1,0)*IF(B178&lt;=_xlfn.NUMBERVALUE('ZD Vorerfassung'!$D$22:$D$36),1,0)*'ZD Vorerfassung'!$X$22:$X$36*IF(D178="FH",0.5,1)),
"prüfen")))</f>
        <v>0</v>
      </c>
      <c r="AY178" s="110">
        <f t="array" ref="AY178">IF(OR(D178="UU",D178="FT",D178="WE",E178="Ferien"),0,
IF(D178="NR",SUM(IF(B178&gt;=_xlfn.NUMBERVALUE('ZD Vorerfassung'!$C$22:$C$36),1,0)*IF(B178&lt;=_xlfn.NUMBERVALUE('ZD Vorerfassung'!$D$22:$D$36),1,0)*'ZD Vorerfassung'!$U$22:$U$36),
IF(OR(D178="SF",D178="FH"),SUM(IF(B178&gt;=_xlfn.NUMBERVALUE('ZD Vorerfassung'!$C$22:$C$36),1,0)*IF(B178&lt;=_xlfn.NUMBERVALUE('ZD Vorerfassung'!$D$22:$D$36),1,0)*'ZD Vorerfassung'!$V$22:$V$36*IF(D178="FH",0.5,1)),
"prüfen")))</f>
        <v>0</v>
      </c>
      <c r="AZ178" s="110">
        <f t="array" ref="AZ178">IF(OR(D178="UU",D178="FT",D178="WE",E178="Ferien"),0,
IF(D178="NR",SUM(IF(B178&gt;=_xlfn.NUMBERVALUE('ZD Vorerfassung'!$C$22:$C$36),1,0)*IF(B178&lt;=_xlfn.NUMBERVALUE('ZD Vorerfassung'!$D$22:$D$36),1,0)*'ZD Vorerfassung'!$S$22:$S$36),
IF(OR(D178="SF",D178="FH"),SUM(IF(B178&gt;=_xlfn.NUMBERVALUE('ZD Vorerfassung'!$C$22:$C$36),1,0)*IF(B178&lt;=_xlfn.NUMBERVALUE('ZD Vorerfassung'!$D$22:$D$36),1,0)*'ZD Vorerfassung'!$T$22:$T$36*IF(D178="FH",0.5,1)),
"prüfen")))</f>
        <v>0</v>
      </c>
      <c r="BA178" s="112">
        <f t="shared" si="32"/>
        <v>1</v>
      </c>
    </row>
    <row r="179" spans="2:54" ht="19.5" thickTop="1" thickBot="1" x14ac:dyDescent="0.3">
      <c r="B179" s="99">
        <f t="shared" si="29"/>
        <v>44944</v>
      </c>
      <c r="C179" s="100">
        <f t="shared" si="33"/>
        <v>44944</v>
      </c>
      <c r="D179" s="101" t="str">
        <f t="shared" si="34"/>
        <v>NR</v>
      </c>
      <c r="E179" s="102" t="str">
        <f t="shared" si="30"/>
        <v>Unterrichtstag</v>
      </c>
      <c r="F179" s="103">
        <f t="shared" si="35"/>
        <v>0</v>
      </c>
      <c r="G179" s="104">
        <f t="shared" si="36"/>
        <v>0</v>
      </c>
      <c r="H179" s="104">
        <f>IFERROR(IF('ZD Vorerfassung'!$E$11="manuell",SUM(I179),IF(OR(E179="Feiertag",E179="Wochenende"),0,IF('ZD Vorerfassung'!$E$11="automatisch",AX179,IF(D179="UU","UU",IF(E179=Param2,AX179/24,IF(E179=Param9,AX179/48,"")))))),0)</f>
        <v>0</v>
      </c>
      <c r="I179" s="105"/>
      <c r="J179" s="106">
        <f>IF('ZD Vorerfassung'!$E$12="manuell",SUM(K179:AI179),IF(OR(E179="Feiertag",E179="Wochenende"),0,IF('ZD Vorerfassung'!$E$12="automatisch",AY179,IF(D179="UU","UU",IF(E179=Param2,AY179/24,IF(E179=Param9,AY179/48,""))))))</f>
        <v>0</v>
      </c>
      <c r="K179" s="105"/>
      <c r="L179" s="105"/>
      <c r="M179" s="105"/>
      <c r="N179" s="105"/>
      <c r="O179" s="105"/>
      <c r="P179" s="105"/>
      <c r="Q179" s="105"/>
      <c r="R179" s="105"/>
      <c r="S179" s="105"/>
      <c r="T179" s="105"/>
      <c r="U179" s="105"/>
      <c r="V179" s="105"/>
      <c r="W179" s="105"/>
      <c r="X179" s="105"/>
      <c r="Y179" s="105"/>
      <c r="Z179" s="105"/>
      <c r="AA179" s="105"/>
      <c r="AB179" s="105"/>
      <c r="AC179" s="105"/>
      <c r="AD179" s="105"/>
      <c r="AE179" s="105"/>
      <c r="AF179" s="105"/>
      <c r="AG179" s="105"/>
      <c r="AH179" s="105"/>
      <c r="AI179" s="105"/>
      <c r="AJ179" s="107">
        <f t="shared" si="37"/>
        <v>0</v>
      </c>
      <c r="AK179" s="105"/>
      <c r="AL179" s="105"/>
      <c r="AM179" s="105"/>
      <c r="AN179" s="105"/>
      <c r="AO179" s="105"/>
      <c r="AP179" s="105"/>
      <c r="AQ179" s="108">
        <f t="shared" si="38"/>
        <v>0</v>
      </c>
      <c r="AR179" s="108">
        <f t="shared" si="39"/>
        <v>0</v>
      </c>
      <c r="AS179" s="109">
        <f t="shared" si="40"/>
        <v>0</v>
      </c>
      <c r="AU179" s="110">
        <f t="shared" si="31"/>
        <v>0</v>
      </c>
      <c r="AV179" s="111">
        <f>IF(D179="NR",
IF('ZD Vorerfassung'!$E$22="",0,IF(AND(B179&gt;='ZD Vorerfassung'!$C$22,B179&lt;='ZD Vorerfassung'!$D$22),HLOOKUP(TEXT(C179,"ttt"),'ZD Vorerfassung'!$H$21:$L$36,2,0),0))+
IF('ZD Vorerfassung'!$E$23="",0,IF(AND(B179&gt;='ZD Vorerfassung'!$C$23,B179&lt;='ZD Vorerfassung'!$D$23),HLOOKUP(TEXT(C179,"ttt"),'ZD Vorerfassung'!$H$21:$L$36,3,0),0))+
IF('ZD Vorerfassung'!$E$24="",0,IF(AND(B179&gt;='ZD Vorerfassung'!$C$24,B179&lt;='ZD Vorerfassung'!$D$24),HLOOKUP(TEXT(C179,"ttt"),'ZD Vorerfassung'!$H$21:$L$36,4,0),0))+
IF('ZD Vorerfassung'!$E$25="",0,IF(AND(B179&gt;='ZD Vorerfassung'!$C$25,B179&lt;='ZD Vorerfassung'!$D$25),HLOOKUP(TEXT(C179,"ttt"),'ZD Vorerfassung'!$H$21:$L$36,5,0),0))+
IF('ZD Vorerfassung'!$E$26="",0,IF(AND(B179&gt;='ZD Vorerfassung'!$C$26,B179&lt;='ZD Vorerfassung'!$D$26),HLOOKUP(TEXT(C179,"ttt"),'ZD Vorerfassung'!$H$21:$L$36,6,0),0))+
IF('ZD Vorerfassung'!$E$27="",0,IF(AND(B179&gt;='ZD Vorerfassung'!$C$27,B179&lt;='ZD Vorerfassung'!$D$27),HLOOKUP(TEXT(C179,"ttt"),'ZD Vorerfassung'!$H$21:$L$36,7,0),0))+
IF('ZD Vorerfassung'!$E$28="",0,IF(AND(B179&gt;='ZD Vorerfassung'!$C$28,B179&lt;='ZD Vorerfassung'!$D$28),HLOOKUP(TEXT(C179,"ttt"),'ZD Vorerfassung'!$H$21:$L$36,8,0),0))+
IF('ZD Vorerfassung'!$E$29="",0,IF(AND(B179&gt;='ZD Vorerfassung'!$C$29,B179&lt;='ZD Vorerfassung'!$D$29),HLOOKUP(TEXT(C179,"ttt"),'ZD Vorerfassung'!$H$21:$L$36,9,0),0))+
IF('ZD Vorerfassung'!$E$30="",0,IF(AND(B179&gt;='ZD Vorerfassung'!$C$30,B179&lt;='ZD Vorerfassung'!$D$30),HLOOKUP(TEXT(C179,"ttt"),'ZD Vorerfassung'!$H$21:$L$36,10,0),0))+
IF('ZD Vorerfassung'!$E$31="",0,IF(AND(B179&gt;='ZD Vorerfassung'!$C$31,B179&lt;='ZD Vorerfassung'!$D$31),HLOOKUP(TEXT(C179,"ttt"),'ZD Vorerfassung'!$H$21:$L$36,11,0),0))+
IF('ZD Vorerfassung'!$E$32="",0,IF(AND(B179&gt;='ZD Vorerfassung'!$C$32,B179&lt;='ZD Vorerfassung'!$D$32),HLOOKUP(TEXT(C179,"ttt"),'ZD Vorerfassung'!$H$21:$L$36,12,0),0))+
IF('ZD Vorerfassung'!$E$33="",0,IF(AND(B179&gt;='ZD Vorerfassung'!$C$33,B179&lt;='ZD Vorerfassung'!$D$33),HLOOKUP(TEXT(C179,"ttt"),'ZD Vorerfassung'!$H$21:$L$36,13,0),0))+
IF('ZD Vorerfassung'!$E$34="",0,IF(AND(B179&gt;='ZD Vorerfassung'!$C$34,B179&lt;='ZD Vorerfassung'!$D$34),HLOOKUP(TEXT(C179,"ttt"),'ZD Vorerfassung'!$H$21:$L$36,14,0),0))+
IF('ZD Vorerfassung'!$E$35="",0,IF(AND(B179&gt;='ZD Vorerfassung'!$C$35,B179&lt;='ZD Vorerfassung'!$D$35),HLOOKUP(TEXT(C179,"ttt"),'ZD Vorerfassung'!$H$21:$L$36,15,0),0))+
IF('ZD Vorerfassung'!$E$36="",0,IF(AND(B179&gt;='ZD Vorerfassung'!$C$36,B179&lt;='ZD Vorerfassung'!$D$36),HLOOKUP(TEXT(C179,"ttt"),'ZD Vorerfassung'!$H$21:$L$36,16,0),0)),"")</f>
        <v>0</v>
      </c>
      <c r="AW179" s="110">
        <f t="array" ref="AW179">IF(OR(D179="UU",D179="FT",D179="WE"),0,
IF(D179="NR",SUM(IF(B179&gt;=_xlfn.NUMBERVALUE('ZD Vorerfassung'!$C$22:$C$36),1,0)*IF(B179&lt;=_xlfn.NUMBERVALUE('ZD Vorerfassung'!$D$22:$D$36),1,0)*'ZD Vorerfassung'!$Q$22:$Q$36),
IF(OR(D179="SF",D179="FH"),SUM(IF(B179&gt;=_xlfn.NUMBERVALUE('ZD Vorerfassung'!$C$22:$C$36),1,0)*IF(B179&lt;=_xlfn.NUMBERVALUE('ZD Vorerfassung'!$D$22:$D$36),1,0)*'ZD Vorerfassung'!$R$22:$R$36*IF(D179="FH",0.5,1)),
"prüfen")))</f>
        <v>0</v>
      </c>
      <c r="AX179" s="110">
        <f t="array" ref="AX179">IF(OR(D179="UU",D179="FT",D179="WE",E179="Ferien"),0,
IF(D179="NR",SUM(IF(B179&gt;=_xlfn.NUMBERVALUE('ZD Vorerfassung'!$C$22:$C$36),1,0)*IF(B179&lt;=_xlfn.NUMBERVALUE('ZD Vorerfassung'!$D$22:$D$36),1,0)*'ZD Vorerfassung'!$W$22:$W$36),
IF(OR(D179="SF",D179="FH"),SUM(IF(B179&gt;=_xlfn.NUMBERVALUE('ZD Vorerfassung'!$C$22:$C$36),1,0)*IF(B179&lt;=_xlfn.NUMBERVALUE('ZD Vorerfassung'!$D$22:$D$36),1,0)*'ZD Vorerfassung'!$X$22:$X$36*IF(D179="FH",0.5,1)),
"prüfen")))</f>
        <v>0</v>
      </c>
      <c r="AY179" s="110">
        <f t="array" ref="AY179">IF(OR(D179="UU",D179="FT",D179="WE",E179="Ferien"),0,
IF(D179="NR",SUM(IF(B179&gt;=_xlfn.NUMBERVALUE('ZD Vorerfassung'!$C$22:$C$36),1,0)*IF(B179&lt;=_xlfn.NUMBERVALUE('ZD Vorerfassung'!$D$22:$D$36),1,0)*'ZD Vorerfassung'!$U$22:$U$36),
IF(OR(D179="SF",D179="FH"),SUM(IF(B179&gt;=_xlfn.NUMBERVALUE('ZD Vorerfassung'!$C$22:$C$36),1,0)*IF(B179&lt;=_xlfn.NUMBERVALUE('ZD Vorerfassung'!$D$22:$D$36),1,0)*'ZD Vorerfassung'!$V$22:$V$36*IF(D179="FH",0.5,1)),
"prüfen")))</f>
        <v>0</v>
      </c>
      <c r="AZ179" s="110">
        <f t="array" ref="AZ179">IF(OR(D179="UU",D179="FT",D179="WE",E179="Ferien"),0,
IF(D179="NR",SUM(IF(B179&gt;=_xlfn.NUMBERVALUE('ZD Vorerfassung'!$C$22:$C$36),1,0)*IF(B179&lt;=_xlfn.NUMBERVALUE('ZD Vorerfassung'!$D$22:$D$36),1,0)*'ZD Vorerfassung'!$S$22:$S$36),
IF(OR(D179="SF",D179="FH"),SUM(IF(B179&gt;=_xlfn.NUMBERVALUE('ZD Vorerfassung'!$C$22:$C$36),1,0)*IF(B179&lt;=_xlfn.NUMBERVALUE('ZD Vorerfassung'!$D$22:$D$36),1,0)*'ZD Vorerfassung'!$T$22:$T$36*IF(D179="FH",0.5,1)),
"prüfen")))</f>
        <v>0</v>
      </c>
      <c r="BA179" s="112">
        <f t="shared" si="32"/>
        <v>1</v>
      </c>
      <c r="BB179" s="72">
        <f t="array" ref="BB179">+IF(B179&gt;=_xlfn.NUMBERVALUE('ZD Vorerfassung'!$C$22:$C$36),1,0)*IF(B179&lt;=_xlfn.NUMBERVALUE('ZD Vorerfassung'!$D$22:$D$36),1,0)*'ZD Vorerfassung'!$Q$22:$Q$36</f>
        <v>0</v>
      </c>
    </row>
    <row r="180" spans="2:54" ht="19.5" thickTop="1" thickBot="1" x14ac:dyDescent="0.3">
      <c r="B180" s="99">
        <f t="shared" si="29"/>
        <v>44945</v>
      </c>
      <c r="C180" s="100">
        <f t="shared" si="33"/>
        <v>44945</v>
      </c>
      <c r="D180" s="101" t="str">
        <f t="shared" si="34"/>
        <v>NR</v>
      </c>
      <c r="E180" s="102" t="str">
        <f t="shared" si="30"/>
        <v>Unterrichtstag</v>
      </c>
      <c r="F180" s="103">
        <f t="shared" si="35"/>
        <v>0</v>
      </c>
      <c r="G180" s="104">
        <f t="shared" si="36"/>
        <v>0</v>
      </c>
      <c r="H180" s="104">
        <f>IFERROR(IF('ZD Vorerfassung'!$E$11="manuell",SUM(I180),IF(OR(E180="Feiertag",E180="Wochenende"),0,IF('ZD Vorerfassung'!$E$11="automatisch",AX180,IF(D180="UU","UU",IF(E180=Param2,AX180/24,IF(E180=Param9,AX180/48,"")))))),0)</f>
        <v>0</v>
      </c>
      <c r="I180" s="105"/>
      <c r="J180" s="106">
        <f>IF('ZD Vorerfassung'!$E$12="manuell",SUM(K180:AI180),IF(OR(E180="Feiertag",E180="Wochenende"),0,IF('ZD Vorerfassung'!$E$12="automatisch",AY180,IF(D180="UU","UU",IF(E180=Param2,AY180/24,IF(E180=Param9,AY180/48,""))))))</f>
        <v>0</v>
      </c>
      <c r="K180" s="105"/>
      <c r="L180" s="105"/>
      <c r="M180" s="105"/>
      <c r="N180" s="105"/>
      <c r="O180" s="105"/>
      <c r="P180" s="105"/>
      <c r="Q180" s="105"/>
      <c r="R180" s="105"/>
      <c r="S180" s="105"/>
      <c r="T180" s="105"/>
      <c r="U180" s="105"/>
      <c r="V180" s="105"/>
      <c r="W180" s="105"/>
      <c r="X180" s="105"/>
      <c r="Y180" s="105"/>
      <c r="Z180" s="105"/>
      <c r="AA180" s="105"/>
      <c r="AB180" s="105"/>
      <c r="AC180" s="105"/>
      <c r="AD180" s="105"/>
      <c r="AE180" s="105"/>
      <c r="AF180" s="105"/>
      <c r="AG180" s="105"/>
      <c r="AH180" s="105"/>
      <c r="AI180" s="105"/>
      <c r="AJ180" s="107">
        <f t="shared" si="37"/>
        <v>0</v>
      </c>
      <c r="AK180" s="105"/>
      <c r="AL180" s="105"/>
      <c r="AM180" s="105"/>
      <c r="AN180" s="105"/>
      <c r="AO180" s="105"/>
      <c r="AP180" s="105"/>
      <c r="AQ180" s="108">
        <f t="shared" si="38"/>
        <v>0</v>
      </c>
      <c r="AR180" s="108">
        <f t="shared" si="39"/>
        <v>0</v>
      </c>
      <c r="AS180" s="109">
        <f t="shared" si="40"/>
        <v>0</v>
      </c>
      <c r="AU180" s="110">
        <f t="shared" si="31"/>
        <v>0</v>
      </c>
      <c r="AV180" s="111">
        <f>IF(D180="NR",
IF('ZD Vorerfassung'!$E$22="",0,IF(AND(B180&gt;='ZD Vorerfassung'!$C$22,B180&lt;='ZD Vorerfassung'!$D$22),HLOOKUP(TEXT(C180,"ttt"),'ZD Vorerfassung'!$H$21:$L$36,2,0),0))+
IF('ZD Vorerfassung'!$E$23="",0,IF(AND(B180&gt;='ZD Vorerfassung'!$C$23,B180&lt;='ZD Vorerfassung'!$D$23),HLOOKUP(TEXT(C180,"ttt"),'ZD Vorerfassung'!$H$21:$L$36,3,0),0))+
IF('ZD Vorerfassung'!$E$24="",0,IF(AND(B180&gt;='ZD Vorerfassung'!$C$24,B180&lt;='ZD Vorerfassung'!$D$24),HLOOKUP(TEXT(C180,"ttt"),'ZD Vorerfassung'!$H$21:$L$36,4,0),0))+
IF('ZD Vorerfassung'!$E$25="",0,IF(AND(B180&gt;='ZD Vorerfassung'!$C$25,B180&lt;='ZD Vorerfassung'!$D$25),HLOOKUP(TEXT(C180,"ttt"),'ZD Vorerfassung'!$H$21:$L$36,5,0),0))+
IF('ZD Vorerfassung'!$E$26="",0,IF(AND(B180&gt;='ZD Vorerfassung'!$C$26,B180&lt;='ZD Vorerfassung'!$D$26),HLOOKUP(TEXT(C180,"ttt"),'ZD Vorerfassung'!$H$21:$L$36,6,0),0))+
IF('ZD Vorerfassung'!$E$27="",0,IF(AND(B180&gt;='ZD Vorerfassung'!$C$27,B180&lt;='ZD Vorerfassung'!$D$27),HLOOKUP(TEXT(C180,"ttt"),'ZD Vorerfassung'!$H$21:$L$36,7,0),0))+
IF('ZD Vorerfassung'!$E$28="",0,IF(AND(B180&gt;='ZD Vorerfassung'!$C$28,B180&lt;='ZD Vorerfassung'!$D$28),HLOOKUP(TEXT(C180,"ttt"),'ZD Vorerfassung'!$H$21:$L$36,8,0),0))+
IF('ZD Vorerfassung'!$E$29="",0,IF(AND(B180&gt;='ZD Vorerfassung'!$C$29,B180&lt;='ZD Vorerfassung'!$D$29),HLOOKUP(TEXT(C180,"ttt"),'ZD Vorerfassung'!$H$21:$L$36,9,0),0))+
IF('ZD Vorerfassung'!$E$30="",0,IF(AND(B180&gt;='ZD Vorerfassung'!$C$30,B180&lt;='ZD Vorerfassung'!$D$30),HLOOKUP(TEXT(C180,"ttt"),'ZD Vorerfassung'!$H$21:$L$36,10,0),0))+
IF('ZD Vorerfassung'!$E$31="",0,IF(AND(B180&gt;='ZD Vorerfassung'!$C$31,B180&lt;='ZD Vorerfassung'!$D$31),HLOOKUP(TEXT(C180,"ttt"),'ZD Vorerfassung'!$H$21:$L$36,11,0),0))+
IF('ZD Vorerfassung'!$E$32="",0,IF(AND(B180&gt;='ZD Vorerfassung'!$C$32,B180&lt;='ZD Vorerfassung'!$D$32),HLOOKUP(TEXT(C180,"ttt"),'ZD Vorerfassung'!$H$21:$L$36,12,0),0))+
IF('ZD Vorerfassung'!$E$33="",0,IF(AND(B180&gt;='ZD Vorerfassung'!$C$33,B180&lt;='ZD Vorerfassung'!$D$33),HLOOKUP(TEXT(C180,"ttt"),'ZD Vorerfassung'!$H$21:$L$36,13,0),0))+
IF('ZD Vorerfassung'!$E$34="",0,IF(AND(B180&gt;='ZD Vorerfassung'!$C$34,B180&lt;='ZD Vorerfassung'!$D$34),HLOOKUP(TEXT(C180,"ttt"),'ZD Vorerfassung'!$H$21:$L$36,14,0),0))+
IF('ZD Vorerfassung'!$E$35="",0,IF(AND(B180&gt;='ZD Vorerfassung'!$C$35,B180&lt;='ZD Vorerfassung'!$D$35),HLOOKUP(TEXT(C180,"ttt"),'ZD Vorerfassung'!$H$21:$L$36,15,0),0))+
IF('ZD Vorerfassung'!$E$36="",0,IF(AND(B180&gt;='ZD Vorerfassung'!$C$36,B180&lt;='ZD Vorerfassung'!$D$36),HLOOKUP(TEXT(C180,"ttt"),'ZD Vorerfassung'!$H$21:$L$36,16,0),0)),"")</f>
        <v>0</v>
      </c>
      <c r="AW180" s="110">
        <f t="array" ref="AW180">IF(OR(D180="UU",D180="FT",D180="WE"),0,
IF(D180="NR",SUM(IF(B180&gt;=_xlfn.NUMBERVALUE('ZD Vorerfassung'!$C$22:$C$36),1,0)*IF(B180&lt;=_xlfn.NUMBERVALUE('ZD Vorerfassung'!$D$22:$D$36),1,0)*'ZD Vorerfassung'!$Q$22:$Q$36),
IF(OR(D180="SF",D180="FH"),SUM(IF(B180&gt;=_xlfn.NUMBERVALUE('ZD Vorerfassung'!$C$22:$C$36),1,0)*IF(B180&lt;=_xlfn.NUMBERVALUE('ZD Vorerfassung'!$D$22:$D$36),1,0)*'ZD Vorerfassung'!$R$22:$R$36*IF(D180="FH",0.5,1)),
"prüfen")))</f>
        <v>0</v>
      </c>
      <c r="AX180" s="110">
        <f t="array" ref="AX180">IF(OR(D180="UU",D180="FT",D180="WE",E180="Ferien"),0,
IF(D180="NR",SUM(IF(B180&gt;=_xlfn.NUMBERVALUE('ZD Vorerfassung'!$C$22:$C$36),1,0)*IF(B180&lt;=_xlfn.NUMBERVALUE('ZD Vorerfassung'!$D$22:$D$36),1,0)*'ZD Vorerfassung'!$W$22:$W$36),
IF(OR(D180="SF",D180="FH"),SUM(IF(B180&gt;=_xlfn.NUMBERVALUE('ZD Vorerfassung'!$C$22:$C$36),1,0)*IF(B180&lt;=_xlfn.NUMBERVALUE('ZD Vorerfassung'!$D$22:$D$36),1,0)*'ZD Vorerfassung'!$X$22:$X$36*IF(D180="FH",0.5,1)),
"prüfen")))</f>
        <v>0</v>
      </c>
      <c r="AY180" s="110">
        <f t="array" ref="AY180">IF(OR(D180="UU",D180="FT",D180="WE",E180="Ferien"),0,
IF(D180="NR",SUM(IF(B180&gt;=_xlfn.NUMBERVALUE('ZD Vorerfassung'!$C$22:$C$36),1,0)*IF(B180&lt;=_xlfn.NUMBERVALUE('ZD Vorerfassung'!$D$22:$D$36),1,0)*'ZD Vorerfassung'!$U$22:$U$36),
IF(OR(D180="SF",D180="FH"),SUM(IF(B180&gt;=_xlfn.NUMBERVALUE('ZD Vorerfassung'!$C$22:$C$36),1,0)*IF(B180&lt;=_xlfn.NUMBERVALUE('ZD Vorerfassung'!$D$22:$D$36),1,0)*'ZD Vorerfassung'!$V$22:$V$36*IF(D180="FH",0.5,1)),
"prüfen")))</f>
        <v>0</v>
      </c>
      <c r="AZ180" s="110">
        <f t="array" ref="AZ180">IF(OR(D180="UU",D180="FT",D180="WE",E180="Ferien"),0,
IF(D180="NR",SUM(IF(B180&gt;=_xlfn.NUMBERVALUE('ZD Vorerfassung'!$C$22:$C$36),1,0)*IF(B180&lt;=_xlfn.NUMBERVALUE('ZD Vorerfassung'!$D$22:$D$36),1,0)*'ZD Vorerfassung'!$S$22:$S$36),
IF(OR(D180="SF",D180="FH"),SUM(IF(B180&gt;=_xlfn.NUMBERVALUE('ZD Vorerfassung'!$C$22:$C$36),1,0)*IF(B180&lt;=_xlfn.NUMBERVALUE('ZD Vorerfassung'!$D$22:$D$36),1,0)*'ZD Vorerfassung'!$T$22:$T$36*IF(D180="FH",0.5,1)),
"prüfen")))</f>
        <v>0</v>
      </c>
      <c r="BA180" s="112">
        <f t="shared" si="32"/>
        <v>1</v>
      </c>
    </row>
    <row r="181" spans="2:54" ht="19.5" thickTop="1" thickBot="1" x14ac:dyDescent="0.3">
      <c r="B181" s="99">
        <f t="shared" si="29"/>
        <v>44946</v>
      </c>
      <c r="C181" s="100">
        <f t="shared" si="33"/>
        <v>44946</v>
      </c>
      <c r="D181" s="101" t="str">
        <f t="shared" si="34"/>
        <v>NR</v>
      </c>
      <c r="E181" s="102" t="str">
        <f t="shared" si="30"/>
        <v>Unterrichtstag</v>
      </c>
      <c r="F181" s="103">
        <f t="shared" si="35"/>
        <v>0</v>
      </c>
      <c r="G181" s="104">
        <f t="shared" si="36"/>
        <v>0</v>
      </c>
      <c r="H181" s="104">
        <f>IFERROR(IF('ZD Vorerfassung'!$E$11="manuell",SUM(I181),IF(OR(E181="Feiertag",E181="Wochenende"),0,IF('ZD Vorerfassung'!$E$11="automatisch",AX181,IF(D181="UU","UU",IF(E181=Param2,AX181/24,IF(E181=Param9,AX181/48,"")))))),0)</f>
        <v>0</v>
      </c>
      <c r="I181" s="105"/>
      <c r="J181" s="106">
        <f>IF('ZD Vorerfassung'!$E$12="manuell",SUM(K181:AI181),IF(OR(E181="Feiertag",E181="Wochenende"),0,IF('ZD Vorerfassung'!$E$12="automatisch",AY181,IF(D181="UU","UU",IF(E181=Param2,AY181/24,IF(E181=Param9,AY181/48,""))))))</f>
        <v>0</v>
      </c>
      <c r="K181" s="105"/>
      <c r="L181" s="105"/>
      <c r="M181" s="105"/>
      <c r="N181" s="105"/>
      <c r="O181" s="105"/>
      <c r="P181" s="105"/>
      <c r="Q181" s="105"/>
      <c r="R181" s="105"/>
      <c r="S181" s="105"/>
      <c r="T181" s="105"/>
      <c r="U181" s="105"/>
      <c r="V181" s="105"/>
      <c r="W181" s="105"/>
      <c r="X181" s="105"/>
      <c r="Y181" s="105"/>
      <c r="Z181" s="105"/>
      <c r="AA181" s="105"/>
      <c r="AB181" s="105"/>
      <c r="AC181" s="105"/>
      <c r="AD181" s="105"/>
      <c r="AE181" s="105"/>
      <c r="AF181" s="105"/>
      <c r="AG181" s="105"/>
      <c r="AH181" s="105"/>
      <c r="AI181" s="105"/>
      <c r="AJ181" s="107">
        <f t="shared" si="37"/>
        <v>0</v>
      </c>
      <c r="AK181" s="105"/>
      <c r="AL181" s="105"/>
      <c r="AM181" s="105"/>
      <c r="AN181" s="105"/>
      <c r="AO181" s="105"/>
      <c r="AP181" s="105"/>
      <c r="AQ181" s="108">
        <f t="shared" si="38"/>
        <v>0</v>
      </c>
      <c r="AR181" s="108">
        <f t="shared" si="39"/>
        <v>0</v>
      </c>
      <c r="AS181" s="109">
        <f t="shared" si="40"/>
        <v>0</v>
      </c>
      <c r="AU181" s="110">
        <f t="shared" si="31"/>
        <v>0</v>
      </c>
      <c r="AV181" s="111">
        <f>IF(D181="NR",
IF('ZD Vorerfassung'!$E$22="",0,IF(AND(B181&gt;='ZD Vorerfassung'!$C$22,B181&lt;='ZD Vorerfassung'!$D$22),HLOOKUP(TEXT(C181,"ttt"),'ZD Vorerfassung'!$H$21:$L$36,2,0),0))+
IF('ZD Vorerfassung'!$E$23="",0,IF(AND(B181&gt;='ZD Vorerfassung'!$C$23,B181&lt;='ZD Vorerfassung'!$D$23),HLOOKUP(TEXT(C181,"ttt"),'ZD Vorerfassung'!$H$21:$L$36,3,0),0))+
IF('ZD Vorerfassung'!$E$24="",0,IF(AND(B181&gt;='ZD Vorerfassung'!$C$24,B181&lt;='ZD Vorerfassung'!$D$24),HLOOKUP(TEXT(C181,"ttt"),'ZD Vorerfassung'!$H$21:$L$36,4,0),0))+
IF('ZD Vorerfassung'!$E$25="",0,IF(AND(B181&gt;='ZD Vorerfassung'!$C$25,B181&lt;='ZD Vorerfassung'!$D$25),HLOOKUP(TEXT(C181,"ttt"),'ZD Vorerfassung'!$H$21:$L$36,5,0),0))+
IF('ZD Vorerfassung'!$E$26="",0,IF(AND(B181&gt;='ZD Vorerfassung'!$C$26,B181&lt;='ZD Vorerfassung'!$D$26),HLOOKUP(TEXT(C181,"ttt"),'ZD Vorerfassung'!$H$21:$L$36,6,0),0))+
IF('ZD Vorerfassung'!$E$27="",0,IF(AND(B181&gt;='ZD Vorerfassung'!$C$27,B181&lt;='ZD Vorerfassung'!$D$27),HLOOKUP(TEXT(C181,"ttt"),'ZD Vorerfassung'!$H$21:$L$36,7,0),0))+
IF('ZD Vorerfassung'!$E$28="",0,IF(AND(B181&gt;='ZD Vorerfassung'!$C$28,B181&lt;='ZD Vorerfassung'!$D$28),HLOOKUP(TEXT(C181,"ttt"),'ZD Vorerfassung'!$H$21:$L$36,8,0),0))+
IF('ZD Vorerfassung'!$E$29="",0,IF(AND(B181&gt;='ZD Vorerfassung'!$C$29,B181&lt;='ZD Vorerfassung'!$D$29),HLOOKUP(TEXT(C181,"ttt"),'ZD Vorerfassung'!$H$21:$L$36,9,0),0))+
IF('ZD Vorerfassung'!$E$30="",0,IF(AND(B181&gt;='ZD Vorerfassung'!$C$30,B181&lt;='ZD Vorerfassung'!$D$30),HLOOKUP(TEXT(C181,"ttt"),'ZD Vorerfassung'!$H$21:$L$36,10,0),0))+
IF('ZD Vorerfassung'!$E$31="",0,IF(AND(B181&gt;='ZD Vorerfassung'!$C$31,B181&lt;='ZD Vorerfassung'!$D$31),HLOOKUP(TEXT(C181,"ttt"),'ZD Vorerfassung'!$H$21:$L$36,11,0),0))+
IF('ZD Vorerfassung'!$E$32="",0,IF(AND(B181&gt;='ZD Vorerfassung'!$C$32,B181&lt;='ZD Vorerfassung'!$D$32),HLOOKUP(TEXT(C181,"ttt"),'ZD Vorerfassung'!$H$21:$L$36,12,0),0))+
IF('ZD Vorerfassung'!$E$33="",0,IF(AND(B181&gt;='ZD Vorerfassung'!$C$33,B181&lt;='ZD Vorerfassung'!$D$33),HLOOKUP(TEXT(C181,"ttt"),'ZD Vorerfassung'!$H$21:$L$36,13,0),0))+
IF('ZD Vorerfassung'!$E$34="",0,IF(AND(B181&gt;='ZD Vorerfassung'!$C$34,B181&lt;='ZD Vorerfassung'!$D$34),HLOOKUP(TEXT(C181,"ttt"),'ZD Vorerfassung'!$H$21:$L$36,14,0),0))+
IF('ZD Vorerfassung'!$E$35="",0,IF(AND(B181&gt;='ZD Vorerfassung'!$C$35,B181&lt;='ZD Vorerfassung'!$D$35),HLOOKUP(TEXT(C181,"ttt"),'ZD Vorerfassung'!$H$21:$L$36,15,0),0))+
IF('ZD Vorerfassung'!$E$36="",0,IF(AND(B181&gt;='ZD Vorerfassung'!$C$36,B181&lt;='ZD Vorerfassung'!$D$36),HLOOKUP(TEXT(C181,"ttt"),'ZD Vorerfassung'!$H$21:$L$36,16,0),0)),"")</f>
        <v>0</v>
      </c>
      <c r="AW181" s="110">
        <f t="array" ref="AW181">IF(OR(D181="UU",D181="FT",D181="WE"),0,
IF(D181="NR",SUM(IF(B181&gt;=_xlfn.NUMBERVALUE('ZD Vorerfassung'!$C$22:$C$36),1,0)*IF(B181&lt;=_xlfn.NUMBERVALUE('ZD Vorerfassung'!$D$22:$D$36),1,0)*'ZD Vorerfassung'!$Q$22:$Q$36),
IF(OR(D181="SF",D181="FH"),SUM(IF(B181&gt;=_xlfn.NUMBERVALUE('ZD Vorerfassung'!$C$22:$C$36),1,0)*IF(B181&lt;=_xlfn.NUMBERVALUE('ZD Vorerfassung'!$D$22:$D$36),1,0)*'ZD Vorerfassung'!$R$22:$R$36*IF(D181="FH",0.5,1)),
"prüfen")))</f>
        <v>0</v>
      </c>
      <c r="AX181" s="110">
        <f t="array" ref="AX181">IF(OR(D181="UU",D181="FT",D181="WE",E181="Ferien"),0,
IF(D181="NR",SUM(IF(B181&gt;=_xlfn.NUMBERVALUE('ZD Vorerfassung'!$C$22:$C$36),1,0)*IF(B181&lt;=_xlfn.NUMBERVALUE('ZD Vorerfassung'!$D$22:$D$36),1,0)*'ZD Vorerfassung'!$W$22:$W$36),
IF(OR(D181="SF",D181="FH"),SUM(IF(B181&gt;=_xlfn.NUMBERVALUE('ZD Vorerfassung'!$C$22:$C$36),1,0)*IF(B181&lt;=_xlfn.NUMBERVALUE('ZD Vorerfassung'!$D$22:$D$36),1,0)*'ZD Vorerfassung'!$X$22:$X$36*IF(D181="FH",0.5,1)),
"prüfen")))</f>
        <v>0</v>
      </c>
      <c r="AY181" s="110">
        <f t="array" ref="AY181">IF(OR(D181="UU",D181="FT",D181="WE",E181="Ferien"),0,
IF(D181="NR",SUM(IF(B181&gt;=_xlfn.NUMBERVALUE('ZD Vorerfassung'!$C$22:$C$36),1,0)*IF(B181&lt;=_xlfn.NUMBERVALUE('ZD Vorerfassung'!$D$22:$D$36),1,0)*'ZD Vorerfassung'!$U$22:$U$36),
IF(OR(D181="SF",D181="FH"),SUM(IF(B181&gt;=_xlfn.NUMBERVALUE('ZD Vorerfassung'!$C$22:$C$36),1,0)*IF(B181&lt;=_xlfn.NUMBERVALUE('ZD Vorerfassung'!$D$22:$D$36),1,0)*'ZD Vorerfassung'!$V$22:$V$36*IF(D181="FH",0.5,1)),
"prüfen")))</f>
        <v>0</v>
      </c>
      <c r="AZ181" s="110">
        <f t="array" ref="AZ181">IF(OR(D181="UU",D181="FT",D181="WE",E181="Ferien"),0,
IF(D181="NR",SUM(IF(B181&gt;=_xlfn.NUMBERVALUE('ZD Vorerfassung'!$C$22:$C$36),1,0)*IF(B181&lt;=_xlfn.NUMBERVALUE('ZD Vorerfassung'!$D$22:$D$36),1,0)*'ZD Vorerfassung'!$S$22:$S$36),
IF(OR(D181="SF",D181="FH"),SUM(IF(B181&gt;=_xlfn.NUMBERVALUE('ZD Vorerfassung'!$C$22:$C$36),1,0)*IF(B181&lt;=_xlfn.NUMBERVALUE('ZD Vorerfassung'!$D$22:$D$36),1,0)*'ZD Vorerfassung'!$T$22:$T$36*IF(D181="FH",0.5,1)),
"prüfen")))</f>
        <v>0</v>
      </c>
      <c r="BA181" s="112">
        <f t="shared" si="32"/>
        <v>1</v>
      </c>
    </row>
    <row r="182" spans="2:54" ht="19.5" thickTop="1" thickBot="1" x14ac:dyDescent="0.3">
      <c r="B182" s="99">
        <f t="shared" si="29"/>
        <v>44947</v>
      </c>
      <c r="C182" s="100">
        <f t="shared" si="33"/>
        <v>44947</v>
      </c>
      <c r="D182" s="101" t="str">
        <f t="shared" si="34"/>
        <v>NR</v>
      </c>
      <c r="E182" s="102" t="str">
        <f t="shared" si="30"/>
        <v>Unterrichtstag</v>
      </c>
      <c r="F182" s="103">
        <f t="shared" si="35"/>
        <v>0</v>
      </c>
      <c r="G182" s="104">
        <f t="shared" si="36"/>
        <v>0</v>
      </c>
      <c r="H182" s="104">
        <f>IFERROR(IF('ZD Vorerfassung'!$E$11="manuell",SUM(I182),IF(OR(E182="Feiertag",E182="Wochenende"),0,IF('ZD Vorerfassung'!$E$11="automatisch",AX182,IF(D182="UU","UU",IF(E182=Param2,AX182/24,IF(E182=Param9,AX182/48,"")))))),0)</f>
        <v>0</v>
      </c>
      <c r="I182" s="105"/>
      <c r="J182" s="106">
        <f>IF('ZD Vorerfassung'!$E$12="manuell",SUM(K182:AI182),IF(OR(E182="Feiertag",E182="Wochenende"),0,IF('ZD Vorerfassung'!$E$12="automatisch",AY182,IF(D182="UU","UU",IF(E182=Param2,AY182/24,IF(E182=Param9,AY182/48,""))))))</f>
        <v>0</v>
      </c>
      <c r="K182" s="105"/>
      <c r="L182" s="105"/>
      <c r="M182" s="105"/>
      <c r="N182" s="105"/>
      <c r="O182" s="105"/>
      <c r="P182" s="105"/>
      <c r="Q182" s="105"/>
      <c r="R182" s="105"/>
      <c r="S182" s="105"/>
      <c r="T182" s="105"/>
      <c r="U182" s="105"/>
      <c r="V182" s="105"/>
      <c r="W182" s="105"/>
      <c r="X182" s="105"/>
      <c r="Y182" s="105"/>
      <c r="Z182" s="105"/>
      <c r="AA182" s="105"/>
      <c r="AB182" s="105"/>
      <c r="AC182" s="105"/>
      <c r="AD182" s="105"/>
      <c r="AE182" s="105"/>
      <c r="AF182" s="105"/>
      <c r="AG182" s="105"/>
      <c r="AH182" s="105"/>
      <c r="AI182" s="105"/>
      <c r="AJ182" s="107">
        <f t="shared" si="37"/>
        <v>0</v>
      </c>
      <c r="AK182" s="105"/>
      <c r="AL182" s="105"/>
      <c r="AM182" s="105"/>
      <c r="AN182" s="105"/>
      <c r="AO182" s="105"/>
      <c r="AP182" s="105"/>
      <c r="AQ182" s="108">
        <f t="shared" si="38"/>
        <v>0</v>
      </c>
      <c r="AR182" s="108">
        <f t="shared" si="39"/>
        <v>0</v>
      </c>
      <c r="AS182" s="109">
        <f t="shared" si="40"/>
        <v>0</v>
      </c>
      <c r="AU182" s="110">
        <f t="shared" si="31"/>
        <v>0</v>
      </c>
      <c r="AV182" s="111">
        <f>IF(D182="NR",
IF('ZD Vorerfassung'!$E$22="",0,IF(AND(B182&gt;='ZD Vorerfassung'!$C$22,B182&lt;='ZD Vorerfassung'!$D$22),HLOOKUP(TEXT(C182,"ttt"),'ZD Vorerfassung'!$H$21:$L$36,2,0),0))+
IF('ZD Vorerfassung'!$E$23="",0,IF(AND(B182&gt;='ZD Vorerfassung'!$C$23,B182&lt;='ZD Vorerfassung'!$D$23),HLOOKUP(TEXT(C182,"ttt"),'ZD Vorerfassung'!$H$21:$L$36,3,0),0))+
IF('ZD Vorerfassung'!$E$24="",0,IF(AND(B182&gt;='ZD Vorerfassung'!$C$24,B182&lt;='ZD Vorerfassung'!$D$24),HLOOKUP(TEXT(C182,"ttt"),'ZD Vorerfassung'!$H$21:$L$36,4,0),0))+
IF('ZD Vorerfassung'!$E$25="",0,IF(AND(B182&gt;='ZD Vorerfassung'!$C$25,B182&lt;='ZD Vorerfassung'!$D$25),HLOOKUP(TEXT(C182,"ttt"),'ZD Vorerfassung'!$H$21:$L$36,5,0),0))+
IF('ZD Vorerfassung'!$E$26="",0,IF(AND(B182&gt;='ZD Vorerfassung'!$C$26,B182&lt;='ZD Vorerfassung'!$D$26),HLOOKUP(TEXT(C182,"ttt"),'ZD Vorerfassung'!$H$21:$L$36,6,0),0))+
IF('ZD Vorerfassung'!$E$27="",0,IF(AND(B182&gt;='ZD Vorerfassung'!$C$27,B182&lt;='ZD Vorerfassung'!$D$27),HLOOKUP(TEXT(C182,"ttt"),'ZD Vorerfassung'!$H$21:$L$36,7,0),0))+
IF('ZD Vorerfassung'!$E$28="",0,IF(AND(B182&gt;='ZD Vorerfassung'!$C$28,B182&lt;='ZD Vorerfassung'!$D$28),HLOOKUP(TEXT(C182,"ttt"),'ZD Vorerfassung'!$H$21:$L$36,8,0),0))+
IF('ZD Vorerfassung'!$E$29="",0,IF(AND(B182&gt;='ZD Vorerfassung'!$C$29,B182&lt;='ZD Vorerfassung'!$D$29),HLOOKUP(TEXT(C182,"ttt"),'ZD Vorerfassung'!$H$21:$L$36,9,0),0))+
IF('ZD Vorerfassung'!$E$30="",0,IF(AND(B182&gt;='ZD Vorerfassung'!$C$30,B182&lt;='ZD Vorerfassung'!$D$30),HLOOKUP(TEXT(C182,"ttt"),'ZD Vorerfassung'!$H$21:$L$36,10,0),0))+
IF('ZD Vorerfassung'!$E$31="",0,IF(AND(B182&gt;='ZD Vorerfassung'!$C$31,B182&lt;='ZD Vorerfassung'!$D$31),HLOOKUP(TEXT(C182,"ttt"),'ZD Vorerfassung'!$H$21:$L$36,11,0),0))+
IF('ZD Vorerfassung'!$E$32="",0,IF(AND(B182&gt;='ZD Vorerfassung'!$C$32,B182&lt;='ZD Vorerfassung'!$D$32),HLOOKUP(TEXT(C182,"ttt"),'ZD Vorerfassung'!$H$21:$L$36,12,0),0))+
IF('ZD Vorerfassung'!$E$33="",0,IF(AND(B182&gt;='ZD Vorerfassung'!$C$33,B182&lt;='ZD Vorerfassung'!$D$33),HLOOKUP(TEXT(C182,"ttt"),'ZD Vorerfassung'!$H$21:$L$36,13,0),0))+
IF('ZD Vorerfassung'!$E$34="",0,IF(AND(B182&gt;='ZD Vorerfassung'!$C$34,B182&lt;='ZD Vorerfassung'!$D$34),HLOOKUP(TEXT(C182,"ttt"),'ZD Vorerfassung'!$H$21:$L$36,14,0),0))+
IF('ZD Vorerfassung'!$E$35="",0,IF(AND(B182&gt;='ZD Vorerfassung'!$C$35,B182&lt;='ZD Vorerfassung'!$D$35),HLOOKUP(TEXT(C182,"ttt"),'ZD Vorerfassung'!$H$21:$L$36,15,0),0))+
IF('ZD Vorerfassung'!$E$36="",0,IF(AND(B182&gt;='ZD Vorerfassung'!$C$36,B182&lt;='ZD Vorerfassung'!$D$36),HLOOKUP(TEXT(C182,"ttt"),'ZD Vorerfassung'!$H$21:$L$36,16,0),0)),"")</f>
        <v>0</v>
      </c>
      <c r="AW182" s="110">
        <f t="array" ref="AW182">IF(OR(D182="UU",D182="FT",D182="WE"),0,
IF(D182="NR",SUM(IF(B182&gt;=_xlfn.NUMBERVALUE('ZD Vorerfassung'!$C$22:$C$36),1,0)*IF(B182&lt;=_xlfn.NUMBERVALUE('ZD Vorerfassung'!$D$22:$D$36),1,0)*'ZD Vorerfassung'!$Q$22:$Q$36),
IF(OR(D182="SF",D182="FH"),SUM(IF(B182&gt;=_xlfn.NUMBERVALUE('ZD Vorerfassung'!$C$22:$C$36),1,0)*IF(B182&lt;=_xlfn.NUMBERVALUE('ZD Vorerfassung'!$D$22:$D$36),1,0)*'ZD Vorerfassung'!$R$22:$R$36*IF(D182="FH",0.5,1)),
"prüfen")))</f>
        <v>0</v>
      </c>
      <c r="AX182" s="110">
        <f t="array" ref="AX182">IF(OR(D182="UU",D182="FT",D182="WE",E182="Ferien"),0,
IF(D182="NR",SUM(IF(B182&gt;=_xlfn.NUMBERVALUE('ZD Vorerfassung'!$C$22:$C$36),1,0)*IF(B182&lt;=_xlfn.NUMBERVALUE('ZD Vorerfassung'!$D$22:$D$36),1,0)*'ZD Vorerfassung'!$W$22:$W$36),
IF(OR(D182="SF",D182="FH"),SUM(IF(B182&gt;=_xlfn.NUMBERVALUE('ZD Vorerfassung'!$C$22:$C$36),1,0)*IF(B182&lt;=_xlfn.NUMBERVALUE('ZD Vorerfassung'!$D$22:$D$36),1,0)*'ZD Vorerfassung'!$X$22:$X$36*IF(D182="FH",0.5,1)),
"prüfen")))</f>
        <v>0</v>
      </c>
      <c r="AY182" s="110">
        <f t="array" ref="AY182">IF(OR(D182="UU",D182="FT",D182="WE",E182="Ferien"),0,
IF(D182="NR",SUM(IF(B182&gt;=_xlfn.NUMBERVALUE('ZD Vorerfassung'!$C$22:$C$36),1,0)*IF(B182&lt;=_xlfn.NUMBERVALUE('ZD Vorerfassung'!$D$22:$D$36),1,0)*'ZD Vorerfassung'!$U$22:$U$36),
IF(OR(D182="SF",D182="FH"),SUM(IF(B182&gt;=_xlfn.NUMBERVALUE('ZD Vorerfassung'!$C$22:$C$36),1,0)*IF(B182&lt;=_xlfn.NUMBERVALUE('ZD Vorerfassung'!$D$22:$D$36),1,0)*'ZD Vorerfassung'!$V$22:$V$36*IF(D182="FH",0.5,1)),
"prüfen")))</f>
        <v>0</v>
      </c>
      <c r="AZ182" s="110">
        <f t="array" ref="AZ182">IF(OR(D182="UU",D182="FT",D182="WE",E182="Ferien"),0,
IF(D182="NR",SUM(IF(B182&gt;=_xlfn.NUMBERVALUE('ZD Vorerfassung'!$C$22:$C$36),1,0)*IF(B182&lt;=_xlfn.NUMBERVALUE('ZD Vorerfassung'!$D$22:$D$36),1,0)*'ZD Vorerfassung'!$S$22:$S$36),
IF(OR(D182="SF",D182="FH"),SUM(IF(B182&gt;=_xlfn.NUMBERVALUE('ZD Vorerfassung'!$C$22:$C$36),1,0)*IF(B182&lt;=_xlfn.NUMBERVALUE('ZD Vorerfassung'!$D$22:$D$36),1,0)*'ZD Vorerfassung'!$T$22:$T$36*IF(D182="FH",0.5,1)),
"prüfen")))</f>
        <v>0</v>
      </c>
      <c r="BA182" s="112">
        <f t="shared" si="32"/>
        <v>1</v>
      </c>
      <c r="BB182" s="72">
        <f t="array" ref="BB182:BB183">SUM(IF(B182&gt;=_xlfn.NUMBERVALUE('ZD Vorerfassung'!$C$22:$C$36),1,0)*IF(B182&lt;=_xlfn.NUMBERVALUE('ZD Vorerfassung'!$D$22:$D$36),1,0)*'ZD Vorerfassung'!$Q$22:$Q$36)</f>
        <v>0</v>
      </c>
    </row>
    <row r="183" spans="2:54" ht="19.5" thickTop="1" thickBot="1" x14ac:dyDescent="0.3">
      <c r="B183" s="99">
        <f t="shared" si="29"/>
        <v>44948</v>
      </c>
      <c r="C183" s="100">
        <f t="shared" si="33"/>
        <v>44948</v>
      </c>
      <c r="D183" s="101" t="str">
        <f t="shared" si="34"/>
        <v>WE</v>
      </c>
      <c r="E183" s="102" t="str">
        <f t="shared" si="30"/>
        <v>Wochenende</v>
      </c>
      <c r="F183" s="103" t="str">
        <f t="shared" si="35"/>
        <v/>
      </c>
      <c r="G183" s="104" t="str">
        <f t="shared" si="36"/>
        <v/>
      </c>
      <c r="H183" s="104">
        <f>IFERROR(IF('ZD Vorerfassung'!$E$11="manuell",SUM(I183),IF(OR(E183="Feiertag",E183="Wochenende"),0,IF('ZD Vorerfassung'!$E$11="automatisch",AX183,IF(D183="UU","UU",IF(E183=Param2,AX183/24,IF(E183=Param9,AX183/48,"")))))),0)</f>
        <v>0</v>
      </c>
      <c r="I183" s="105"/>
      <c r="J183" s="106">
        <f>IF('ZD Vorerfassung'!$E$12="manuell",SUM(K183:AI183),IF(OR(E183="Feiertag",E183="Wochenende"),0,IF('ZD Vorerfassung'!$E$12="automatisch",AY183,IF(D183="UU","UU",IF(E183=Param2,AY183/24,IF(E183=Param9,AY183/48,""))))))</f>
        <v>0</v>
      </c>
      <c r="K183" s="105"/>
      <c r="L183" s="105"/>
      <c r="M183" s="105"/>
      <c r="N183" s="105"/>
      <c r="O183" s="105"/>
      <c r="P183" s="105"/>
      <c r="Q183" s="105"/>
      <c r="R183" s="105"/>
      <c r="S183" s="105"/>
      <c r="T183" s="105"/>
      <c r="U183" s="105"/>
      <c r="V183" s="105"/>
      <c r="W183" s="105"/>
      <c r="X183" s="105"/>
      <c r="Y183" s="105"/>
      <c r="Z183" s="105"/>
      <c r="AA183" s="105"/>
      <c r="AB183" s="105"/>
      <c r="AC183" s="105"/>
      <c r="AD183" s="105"/>
      <c r="AE183" s="105"/>
      <c r="AF183" s="105"/>
      <c r="AG183" s="105"/>
      <c r="AH183" s="105"/>
      <c r="AI183" s="105"/>
      <c r="AJ183" s="107">
        <f t="shared" si="37"/>
        <v>0</v>
      </c>
      <c r="AK183" s="105"/>
      <c r="AL183" s="105"/>
      <c r="AM183" s="105"/>
      <c r="AN183" s="105"/>
      <c r="AO183" s="105"/>
      <c r="AP183" s="105"/>
      <c r="AQ183" s="108">
        <f t="shared" si="38"/>
        <v>0</v>
      </c>
      <c r="AR183" s="108">
        <f t="shared" si="39"/>
        <v>0</v>
      </c>
      <c r="AS183" s="109">
        <f t="shared" si="40"/>
        <v>0</v>
      </c>
      <c r="AU183" s="110">
        <f t="shared" si="31"/>
        <v>0</v>
      </c>
      <c r="AV183" s="111" t="str">
        <f>IF(D183="NR",
IF('ZD Vorerfassung'!$E$22="",0,IF(AND(B183&gt;='ZD Vorerfassung'!$C$22,B183&lt;='ZD Vorerfassung'!$D$22),HLOOKUP(TEXT(C183,"ttt"),'ZD Vorerfassung'!$H$21:$L$36,2,0),0))+
IF('ZD Vorerfassung'!$E$23="",0,IF(AND(B183&gt;='ZD Vorerfassung'!$C$23,B183&lt;='ZD Vorerfassung'!$D$23),HLOOKUP(TEXT(C183,"ttt"),'ZD Vorerfassung'!$H$21:$L$36,3,0),0))+
IF('ZD Vorerfassung'!$E$24="",0,IF(AND(B183&gt;='ZD Vorerfassung'!$C$24,B183&lt;='ZD Vorerfassung'!$D$24),HLOOKUP(TEXT(C183,"ttt"),'ZD Vorerfassung'!$H$21:$L$36,4,0),0))+
IF('ZD Vorerfassung'!$E$25="",0,IF(AND(B183&gt;='ZD Vorerfassung'!$C$25,B183&lt;='ZD Vorerfassung'!$D$25),HLOOKUP(TEXT(C183,"ttt"),'ZD Vorerfassung'!$H$21:$L$36,5,0),0))+
IF('ZD Vorerfassung'!$E$26="",0,IF(AND(B183&gt;='ZD Vorerfassung'!$C$26,B183&lt;='ZD Vorerfassung'!$D$26),HLOOKUP(TEXT(C183,"ttt"),'ZD Vorerfassung'!$H$21:$L$36,6,0),0))+
IF('ZD Vorerfassung'!$E$27="",0,IF(AND(B183&gt;='ZD Vorerfassung'!$C$27,B183&lt;='ZD Vorerfassung'!$D$27),HLOOKUP(TEXT(C183,"ttt"),'ZD Vorerfassung'!$H$21:$L$36,7,0),0))+
IF('ZD Vorerfassung'!$E$28="",0,IF(AND(B183&gt;='ZD Vorerfassung'!$C$28,B183&lt;='ZD Vorerfassung'!$D$28),HLOOKUP(TEXT(C183,"ttt"),'ZD Vorerfassung'!$H$21:$L$36,8,0),0))+
IF('ZD Vorerfassung'!$E$29="",0,IF(AND(B183&gt;='ZD Vorerfassung'!$C$29,B183&lt;='ZD Vorerfassung'!$D$29),HLOOKUP(TEXT(C183,"ttt"),'ZD Vorerfassung'!$H$21:$L$36,9,0),0))+
IF('ZD Vorerfassung'!$E$30="",0,IF(AND(B183&gt;='ZD Vorerfassung'!$C$30,B183&lt;='ZD Vorerfassung'!$D$30),HLOOKUP(TEXT(C183,"ttt"),'ZD Vorerfassung'!$H$21:$L$36,10,0),0))+
IF('ZD Vorerfassung'!$E$31="",0,IF(AND(B183&gt;='ZD Vorerfassung'!$C$31,B183&lt;='ZD Vorerfassung'!$D$31),HLOOKUP(TEXT(C183,"ttt"),'ZD Vorerfassung'!$H$21:$L$36,11,0),0))+
IF('ZD Vorerfassung'!$E$32="",0,IF(AND(B183&gt;='ZD Vorerfassung'!$C$32,B183&lt;='ZD Vorerfassung'!$D$32),HLOOKUP(TEXT(C183,"ttt"),'ZD Vorerfassung'!$H$21:$L$36,12,0),0))+
IF('ZD Vorerfassung'!$E$33="",0,IF(AND(B183&gt;='ZD Vorerfassung'!$C$33,B183&lt;='ZD Vorerfassung'!$D$33),HLOOKUP(TEXT(C183,"ttt"),'ZD Vorerfassung'!$H$21:$L$36,13,0),0))+
IF('ZD Vorerfassung'!$E$34="",0,IF(AND(B183&gt;='ZD Vorerfassung'!$C$34,B183&lt;='ZD Vorerfassung'!$D$34),HLOOKUP(TEXT(C183,"ttt"),'ZD Vorerfassung'!$H$21:$L$36,14,0),0))+
IF('ZD Vorerfassung'!$E$35="",0,IF(AND(B183&gt;='ZD Vorerfassung'!$C$35,B183&lt;='ZD Vorerfassung'!$D$35),HLOOKUP(TEXT(C183,"ttt"),'ZD Vorerfassung'!$H$21:$L$36,15,0),0))+
IF('ZD Vorerfassung'!$E$36="",0,IF(AND(B183&gt;='ZD Vorerfassung'!$C$36,B183&lt;='ZD Vorerfassung'!$D$36),HLOOKUP(TEXT(C183,"ttt"),'ZD Vorerfassung'!$H$21:$L$36,16,0),0)),"")</f>
        <v/>
      </c>
      <c r="AW183" s="110">
        <f t="array" ref="AW183">IF(OR(D183="UU",D183="FT",D183="WE"),0,
IF(D183="NR",SUM(IF(B183&gt;=_xlfn.NUMBERVALUE('ZD Vorerfassung'!$C$22:$C$36),1,0)*IF(B183&lt;=_xlfn.NUMBERVALUE('ZD Vorerfassung'!$D$22:$D$36),1,0)*'ZD Vorerfassung'!$Q$22:$Q$36),
IF(OR(D183="SF",D183="FH"),SUM(IF(B183&gt;=_xlfn.NUMBERVALUE('ZD Vorerfassung'!$C$22:$C$36),1,0)*IF(B183&lt;=_xlfn.NUMBERVALUE('ZD Vorerfassung'!$D$22:$D$36),1,0)*'ZD Vorerfassung'!$R$22:$R$36*IF(D183="FH",0.5,1)),
"prüfen")))</f>
        <v>0</v>
      </c>
      <c r="AX183" s="110">
        <f t="array" ref="AX183">IF(OR(D183="UU",D183="FT",D183="WE",E183="Ferien"),0,
IF(D183="NR",SUM(IF(B183&gt;=_xlfn.NUMBERVALUE('ZD Vorerfassung'!$C$22:$C$36),1,0)*IF(B183&lt;=_xlfn.NUMBERVALUE('ZD Vorerfassung'!$D$22:$D$36),1,0)*'ZD Vorerfassung'!$W$22:$W$36),
IF(OR(D183="SF",D183="FH"),SUM(IF(B183&gt;=_xlfn.NUMBERVALUE('ZD Vorerfassung'!$C$22:$C$36),1,0)*IF(B183&lt;=_xlfn.NUMBERVALUE('ZD Vorerfassung'!$D$22:$D$36),1,0)*'ZD Vorerfassung'!$X$22:$X$36*IF(D183="FH",0.5,1)),
"prüfen")))</f>
        <v>0</v>
      </c>
      <c r="AY183" s="110">
        <f t="array" ref="AY183">IF(OR(D183="UU",D183="FT",D183="WE",E183="Ferien"),0,
IF(D183="NR",SUM(IF(B183&gt;=_xlfn.NUMBERVALUE('ZD Vorerfassung'!$C$22:$C$36),1,0)*IF(B183&lt;=_xlfn.NUMBERVALUE('ZD Vorerfassung'!$D$22:$D$36),1,0)*'ZD Vorerfassung'!$U$22:$U$36),
IF(OR(D183="SF",D183="FH"),SUM(IF(B183&gt;=_xlfn.NUMBERVALUE('ZD Vorerfassung'!$C$22:$C$36),1,0)*IF(B183&lt;=_xlfn.NUMBERVALUE('ZD Vorerfassung'!$D$22:$D$36),1,0)*'ZD Vorerfassung'!$V$22:$V$36*IF(D183="FH",0.5,1)),
"prüfen")))</f>
        <v>0</v>
      </c>
      <c r="AZ183" s="110">
        <f t="array" ref="AZ183">IF(OR(D183="UU",D183="FT",D183="WE",E183="Ferien"),0,
IF(D183="NR",SUM(IF(B183&gt;=_xlfn.NUMBERVALUE('ZD Vorerfassung'!$C$22:$C$36),1,0)*IF(B183&lt;=_xlfn.NUMBERVALUE('ZD Vorerfassung'!$D$22:$D$36),1,0)*'ZD Vorerfassung'!$S$22:$S$36),
IF(OR(D183="SF",D183="FH"),SUM(IF(B183&gt;=_xlfn.NUMBERVALUE('ZD Vorerfassung'!$C$22:$C$36),1,0)*IF(B183&lt;=_xlfn.NUMBERVALUE('ZD Vorerfassung'!$D$22:$D$36),1,0)*'ZD Vorerfassung'!$T$22:$T$36*IF(D183="FH",0.5,1)),
"prüfen")))</f>
        <v>0</v>
      </c>
      <c r="BA183" s="112">
        <f t="shared" si="32"/>
        <v>1</v>
      </c>
      <c r="BB183" s="72">
        <v>0</v>
      </c>
    </row>
    <row r="184" spans="2:54" ht="19.5" thickTop="1" thickBot="1" x14ac:dyDescent="0.3">
      <c r="B184" s="99">
        <f t="shared" si="29"/>
        <v>44949</v>
      </c>
      <c r="C184" s="100">
        <f t="shared" si="33"/>
        <v>44949</v>
      </c>
      <c r="D184" s="101" t="str">
        <f t="shared" si="34"/>
        <v>WE</v>
      </c>
      <c r="E184" s="102" t="str">
        <f t="shared" si="30"/>
        <v>Wochenende</v>
      </c>
      <c r="F184" s="103" t="str">
        <f t="shared" si="35"/>
        <v/>
      </c>
      <c r="G184" s="104" t="str">
        <f t="shared" si="36"/>
        <v/>
      </c>
      <c r="H184" s="104">
        <f>IFERROR(IF('ZD Vorerfassung'!$E$11="manuell",SUM(I184),IF(OR(E184="Feiertag",E184="Wochenende"),0,IF('ZD Vorerfassung'!$E$11="automatisch",AX184,IF(D184="UU","UU",IF(E184=Param2,AX184/24,IF(E184=Param9,AX184/48,"")))))),0)</f>
        <v>0</v>
      </c>
      <c r="I184" s="105"/>
      <c r="J184" s="106">
        <f>IF('ZD Vorerfassung'!$E$12="manuell",SUM(K184:AI184),IF(OR(E184="Feiertag",E184="Wochenende"),0,IF('ZD Vorerfassung'!$E$12="automatisch",AY184,IF(D184="UU","UU",IF(E184=Param2,AY184/24,IF(E184=Param9,AY184/48,""))))))</f>
        <v>0</v>
      </c>
      <c r="K184" s="105"/>
      <c r="L184" s="105"/>
      <c r="M184" s="105"/>
      <c r="N184" s="105"/>
      <c r="O184" s="105"/>
      <c r="P184" s="105"/>
      <c r="Q184" s="105"/>
      <c r="R184" s="105"/>
      <c r="S184" s="105"/>
      <c r="T184" s="105"/>
      <c r="U184" s="105"/>
      <c r="V184" s="105"/>
      <c r="W184" s="105"/>
      <c r="X184" s="105"/>
      <c r="Y184" s="105"/>
      <c r="Z184" s="105"/>
      <c r="AA184" s="105"/>
      <c r="AB184" s="105"/>
      <c r="AC184" s="105"/>
      <c r="AD184" s="105"/>
      <c r="AE184" s="105"/>
      <c r="AF184" s="105"/>
      <c r="AG184" s="105"/>
      <c r="AH184" s="105"/>
      <c r="AI184" s="105"/>
      <c r="AJ184" s="107">
        <f t="shared" si="37"/>
        <v>0</v>
      </c>
      <c r="AK184" s="105"/>
      <c r="AL184" s="105"/>
      <c r="AM184" s="105"/>
      <c r="AN184" s="105"/>
      <c r="AO184" s="105"/>
      <c r="AP184" s="105"/>
      <c r="AQ184" s="108">
        <f t="shared" si="38"/>
        <v>0</v>
      </c>
      <c r="AR184" s="108">
        <f t="shared" si="39"/>
        <v>0</v>
      </c>
      <c r="AS184" s="109">
        <f t="shared" si="40"/>
        <v>0</v>
      </c>
      <c r="AU184" s="110">
        <f t="shared" si="31"/>
        <v>0</v>
      </c>
      <c r="AV184" s="111" t="str">
        <f>IF(D184="NR",
IF('ZD Vorerfassung'!$E$22="",0,IF(AND(B184&gt;='ZD Vorerfassung'!$C$22,B184&lt;='ZD Vorerfassung'!$D$22),HLOOKUP(TEXT(C184,"ttt"),'ZD Vorerfassung'!$H$21:$L$36,2,0),0))+
IF('ZD Vorerfassung'!$E$23="",0,IF(AND(B184&gt;='ZD Vorerfassung'!$C$23,B184&lt;='ZD Vorerfassung'!$D$23),HLOOKUP(TEXT(C184,"ttt"),'ZD Vorerfassung'!$H$21:$L$36,3,0),0))+
IF('ZD Vorerfassung'!$E$24="",0,IF(AND(B184&gt;='ZD Vorerfassung'!$C$24,B184&lt;='ZD Vorerfassung'!$D$24),HLOOKUP(TEXT(C184,"ttt"),'ZD Vorerfassung'!$H$21:$L$36,4,0),0))+
IF('ZD Vorerfassung'!$E$25="",0,IF(AND(B184&gt;='ZD Vorerfassung'!$C$25,B184&lt;='ZD Vorerfassung'!$D$25),HLOOKUP(TEXT(C184,"ttt"),'ZD Vorerfassung'!$H$21:$L$36,5,0),0))+
IF('ZD Vorerfassung'!$E$26="",0,IF(AND(B184&gt;='ZD Vorerfassung'!$C$26,B184&lt;='ZD Vorerfassung'!$D$26),HLOOKUP(TEXT(C184,"ttt"),'ZD Vorerfassung'!$H$21:$L$36,6,0),0))+
IF('ZD Vorerfassung'!$E$27="",0,IF(AND(B184&gt;='ZD Vorerfassung'!$C$27,B184&lt;='ZD Vorerfassung'!$D$27),HLOOKUP(TEXT(C184,"ttt"),'ZD Vorerfassung'!$H$21:$L$36,7,0),0))+
IF('ZD Vorerfassung'!$E$28="",0,IF(AND(B184&gt;='ZD Vorerfassung'!$C$28,B184&lt;='ZD Vorerfassung'!$D$28),HLOOKUP(TEXT(C184,"ttt"),'ZD Vorerfassung'!$H$21:$L$36,8,0),0))+
IF('ZD Vorerfassung'!$E$29="",0,IF(AND(B184&gt;='ZD Vorerfassung'!$C$29,B184&lt;='ZD Vorerfassung'!$D$29),HLOOKUP(TEXT(C184,"ttt"),'ZD Vorerfassung'!$H$21:$L$36,9,0),0))+
IF('ZD Vorerfassung'!$E$30="",0,IF(AND(B184&gt;='ZD Vorerfassung'!$C$30,B184&lt;='ZD Vorerfassung'!$D$30),HLOOKUP(TEXT(C184,"ttt"),'ZD Vorerfassung'!$H$21:$L$36,10,0),0))+
IF('ZD Vorerfassung'!$E$31="",0,IF(AND(B184&gt;='ZD Vorerfassung'!$C$31,B184&lt;='ZD Vorerfassung'!$D$31),HLOOKUP(TEXT(C184,"ttt"),'ZD Vorerfassung'!$H$21:$L$36,11,0),0))+
IF('ZD Vorerfassung'!$E$32="",0,IF(AND(B184&gt;='ZD Vorerfassung'!$C$32,B184&lt;='ZD Vorerfassung'!$D$32),HLOOKUP(TEXT(C184,"ttt"),'ZD Vorerfassung'!$H$21:$L$36,12,0),0))+
IF('ZD Vorerfassung'!$E$33="",0,IF(AND(B184&gt;='ZD Vorerfassung'!$C$33,B184&lt;='ZD Vorerfassung'!$D$33),HLOOKUP(TEXT(C184,"ttt"),'ZD Vorerfassung'!$H$21:$L$36,13,0),0))+
IF('ZD Vorerfassung'!$E$34="",0,IF(AND(B184&gt;='ZD Vorerfassung'!$C$34,B184&lt;='ZD Vorerfassung'!$D$34),HLOOKUP(TEXT(C184,"ttt"),'ZD Vorerfassung'!$H$21:$L$36,14,0),0))+
IF('ZD Vorerfassung'!$E$35="",0,IF(AND(B184&gt;='ZD Vorerfassung'!$C$35,B184&lt;='ZD Vorerfassung'!$D$35),HLOOKUP(TEXT(C184,"ttt"),'ZD Vorerfassung'!$H$21:$L$36,15,0),0))+
IF('ZD Vorerfassung'!$E$36="",0,IF(AND(B184&gt;='ZD Vorerfassung'!$C$36,B184&lt;='ZD Vorerfassung'!$D$36),HLOOKUP(TEXT(C184,"ttt"),'ZD Vorerfassung'!$H$21:$L$36,16,0),0)),"")</f>
        <v/>
      </c>
      <c r="AW184" s="110">
        <f t="array" ref="AW184">IF(OR(D184="UU",D184="FT",D184="WE"),0,
IF(D184="NR",SUM(IF(B184&gt;=_xlfn.NUMBERVALUE('ZD Vorerfassung'!$C$22:$C$36),1,0)*IF(B184&lt;=_xlfn.NUMBERVALUE('ZD Vorerfassung'!$D$22:$D$36),1,0)*'ZD Vorerfassung'!$Q$22:$Q$36),
IF(OR(D184="SF",D184="FH"),SUM(IF(B184&gt;=_xlfn.NUMBERVALUE('ZD Vorerfassung'!$C$22:$C$36),1,0)*IF(B184&lt;=_xlfn.NUMBERVALUE('ZD Vorerfassung'!$D$22:$D$36),1,0)*'ZD Vorerfassung'!$R$22:$R$36*IF(D184="FH",0.5,1)),
"prüfen")))</f>
        <v>0</v>
      </c>
      <c r="AX184" s="110">
        <f t="array" ref="AX184">IF(OR(D184="UU",D184="FT",D184="WE",E184="Ferien"),0,
IF(D184="NR",SUM(IF(B184&gt;=_xlfn.NUMBERVALUE('ZD Vorerfassung'!$C$22:$C$36),1,0)*IF(B184&lt;=_xlfn.NUMBERVALUE('ZD Vorerfassung'!$D$22:$D$36),1,0)*'ZD Vorerfassung'!$W$22:$W$36),
IF(OR(D184="SF",D184="FH"),SUM(IF(B184&gt;=_xlfn.NUMBERVALUE('ZD Vorerfassung'!$C$22:$C$36),1,0)*IF(B184&lt;=_xlfn.NUMBERVALUE('ZD Vorerfassung'!$D$22:$D$36),1,0)*'ZD Vorerfassung'!$X$22:$X$36*IF(D184="FH",0.5,1)),
"prüfen")))</f>
        <v>0</v>
      </c>
      <c r="AY184" s="110">
        <f t="array" ref="AY184">IF(OR(D184="UU",D184="FT",D184="WE",E184="Ferien"),0,
IF(D184="NR",SUM(IF(B184&gt;=_xlfn.NUMBERVALUE('ZD Vorerfassung'!$C$22:$C$36),1,0)*IF(B184&lt;=_xlfn.NUMBERVALUE('ZD Vorerfassung'!$D$22:$D$36),1,0)*'ZD Vorerfassung'!$U$22:$U$36),
IF(OR(D184="SF",D184="FH"),SUM(IF(B184&gt;=_xlfn.NUMBERVALUE('ZD Vorerfassung'!$C$22:$C$36),1,0)*IF(B184&lt;=_xlfn.NUMBERVALUE('ZD Vorerfassung'!$D$22:$D$36),1,0)*'ZD Vorerfassung'!$V$22:$V$36*IF(D184="FH",0.5,1)),
"prüfen")))</f>
        <v>0</v>
      </c>
      <c r="AZ184" s="110">
        <f t="array" ref="AZ184">IF(OR(D184="UU",D184="FT",D184="WE",E184="Ferien"),0,
IF(D184="NR",SUM(IF(B184&gt;=_xlfn.NUMBERVALUE('ZD Vorerfassung'!$C$22:$C$36),1,0)*IF(B184&lt;=_xlfn.NUMBERVALUE('ZD Vorerfassung'!$D$22:$D$36),1,0)*'ZD Vorerfassung'!$S$22:$S$36),
IF(OR(D184="SF",D184="FH"),SUM(IF(B184&gt;=_xlfn.NUMBERVALUE('ZD Vorerfassung'!$C$22:$C$36),1,0)*IF(B184&lt;=_xlfn.NUMBERVALUE('ZD Vorerfassung'!$D$22:$D$36),1,0)*'ZD Vorerfassung'!$T$22:$T$36*IF(D184="FH",0.5,1)),
"prüfen")))</f>
        <v>0</v>
      </c>
      <c r="BA184" s="112">
        <f t="shared" si="32"/>
        <v>1</v>
      </c>
    </row>
    <row r="185" spans="2:54" ht="19.5" thickTop="1" thickBot="1" x14ac:dyDescent="0.3">
      <c r="B185" s="99">
        <f t="shared" si="29"/>
        <v>44950</v>
      </c>
      <c r="C185" s="100">
        <f t="shared" si="33"/>
        <v>44950</v>
      </c>
      <c r="D185" s="101" t="str">
        <f t="shared" si="34"/>
        <v>NR</v>
      </c>
      <c r="E185" s="102" t="str">
        <f t="shared" si="30"/>
        <v>Unterrichtstag</v>
      </c>
      <c r="F185" s="103">
        <f t="shared" si="35"/>
        <v>0</v>
      </c>
      <c r="G185" s="104">
        <f t="shared" si="36"/>
        <v>0</v>
      </c>
      <c r="H185" s="104">
        <f>IFERROR(IF('ZD Vorerfassung'!$E$11="manuell",SUM(I185),IF(OR(E185="Feiertag",E185="Wochenende"),0,IF('ZD Vorerfassung'!$E$11="automatisch",AX185,IF(D185="UU","UU",IF(E185=Param2,AX185/24,IF(E185=Param9,AX185/48,"")))))),0)</f>
        <v>0</v>
      </c>
      <c r="I185" s="105"/>
      <c r="J185" s="106">
        <f>IF('ZD Vorerfassung'!$E$12="manuell",SUM(K185:AI185),IF(OR(E185="Feiertag",E185="Wochenende"),0,IF('ZD Vorerfassung'!$E$12="automatisch",AY185,IF(D185="UU","UU",IF(E185=Param2,AY185/24,IF(E185=Param9,AY185/48,""))))))</f>
        <v>0</v>
      </c>
      <c r="K185" s="105"/>
      <c r="L185" s="105"/>
      <c r="M185" s="105"/>
      <c r="N185" s="105"/>
      <c r="O185" s="105"/>
      <c r="P185" s="105"/>
      <c r="Q185" s="105"/>
      <c r="R185" s="105"/>
      <c r="S185" s="105"/>
      <c r="T185" s="105"/>
      <c r="U185" s="105"/>
      <c r="V185" s="105"/>
      <c r="W185" s="105"/>
      <c r="X185" s="105"/>
      <c r="Y185" s="105"/>
      <c r="Z185" s="105"/>
      <c r="AA185" s="105"/>
      <c r="AB185" s="105"/>
      <c r="AC185" s="105"/>
      <c r="AD185" s="105"/>
      <c r="AE185" s="105"/>
      <c r="AF185" s="105"/>
      <c r="AG185" s="105"/>
      <c r="AH185" s="105"/>
      <c r="AI185" s="105"/>
      <c r="AJ185" s="107">
        <f t="shared" si="37"/>
        <v>0</v>
      </c>
      <c r="AK185" s="105"/>
      <c r="AL185" s="105"/>
      <c r="AM185" s="105"/>
      <c r="AN185" s="105"/>
      <c r="AO185" s="105"/>
      <c r="AP185" s="105"/>
      <c r="AQ185" s="108">
        <f t="shared" si="38"/>
        <v>0</v>
      </c>
      <c r="AR185" s="108">
        <f t="shared" si="39"/>
        <v>0</v>
      </c>
      <c r="AS185" s="109">
        <f t="shared" si="40"/>
        <v>0</v>
      </c>
      <c r="AU185" s="110">
        <f t="shared" si="31"/>
        <v>0</v>
      </c>
      <c r="AV185" s="111">
        <f>IF(D185="NR",
IF('ZD Vorerfassung'!$E$22="",0,IF(AND(B185&gt;='ZD Vorerfassung'!$C$22,B185&lt;='ZD Vorerfassung'!$D$22),HLOOKUP(TEXT(C185,"ttt"),'ZD Vorerfassung'!$H$21:$L$36,2,0),0))+
IF('ZD Vorerfassung'!$E$23="",0,IF(AND(B185&gt;='ZD Vorerfassung'!$C$23,B185&lt;='ZD Vorerfassung'!$D$23),HLOOKUP(TEXT(C185,"ttt"),'ZD Vorerfassung'!$H$21:$L$36,3,0),0))+
IF('ZD Vorerfassung'!$E$24="",0,IF(AND(B185&gt;='ZD Vorerfassung'!$C$24,B185&lt;='ZD Vorerfassung'!$D$24),HLOOKUP(TEXT(C185,"ttt"),'ZD Vorerfassung'!$H$21:$L$36,4,0),0))+
IF('ZD Vorerfassung'!$E$25="",0,IF(AND(B185&gt;='ZD Vorerfassung'!$C$25,B185&lt;='ZD Vorerfassung'!$D$25),HLOOKUP(TEXT(C185,"ttt"),'ZD Vorerfassung'!$H$21:$L$36,5,0),0))+
IF('ZD Vorerfassung'!$E$26="",0,IF(AND(B185&gt;='ZD Vorerfassung'!$C$26,B185&lt;='ZD Vorerfassung'!$D$26),HLOOKUP(TEXT(C185,"ttt"),'ZD Vorerfassung'!$H$21:$L$36,6,0),0))+
IF('ZD Vorerfassung'!$E$27="",0,IF(AND(B185&gt;='ZD Vorerfassung'!$C$27,B185&lt;='ZD Vorerfassung'!$D$27),HLOOKUP(TEXT(C185,"ttt"),'ZD Vorerfassung'!$H$21:$L$36,7,0),0))+
IF('ZD Vorerfassung'!$E$28="",0,IF(AND(B185&gt;='ZD Vorerfassung'!$C$28,B185&lt;='ZD Vorerfassung'!$D$28),HLOOKUP(TEXT(C185,"ttt"),'ZD Vorerfassung'!$H$21:$L$36,8,0),0))+
IF('ZD Vorerfassung'!$E$29="",0,IF(AND(B185&gt;='ZD Vorerfassung'!$C$29,B185&lt;='ZD Vorerfassung'!$D$29),HLOOKUP(TEXT(C185,"ttt"),'ZD Vorerfassung'!$H$21:$L$36,9,0),0))+
IF('ZD Vorerfassung'!$E$30="",0,IF(AND(B185&gt;='ZD Vorerfassung'!$C$30,B185&lt;='ZD Vorerfassung'!$D$30),HLOOKUP(TEXT(C185,"ttt"),'ZD Vorerfassung'!$H$21:$L$36,10,0),0))+
IF('ZD Vorerfassung'!$E$31="",0,IF(AND(B185&gt;='ZD Vorerfassung'!$C$31,B185&lt;='ZD Vorerfassung'!$D$31),HLOOKUP(TEXT(C185,"ttt"),'ZD Vorerfassung'!$H$21:$L$36,11,0),0))+
IF('ZD Vorerfassung'!$E$32="",0,IF(AND(B185&gt;='ZD Vorerfassung'!$C$32,B185&lt;='ZD Vorerfassung'!$D$32),HLOOKUP(TEXT(C185,"ttt"),'ZD Vorerfassung'!$H$21:$L$36,12,0),0))+
IF('ZD Vorerfassung'!$E$33="",0,IF(AND(B185&gt;='ZD Vorerfassung'!$C$33,B185&lt;='ZD Vorerfassung'!$D$33),HLOOKUP(TEXT(C185,"ttt"),'ZD Vorerfassung'!$H$21:$L$36,13,0),0))+
IF('ZD Vorerfassung'!$E$34="",0,IF(AND(B185&gt;='ZD Vorerfassung'!$C$34,B185&lt;='ZD Vorerfassung'!$D$34),HLOOKUP(TEXT(C185,"ttt"),'ZD Vorerfassung'!$H$21:$L$36,14,0),0))+
IF('ZD Vorerfassung'!$E$35="",0,IF(AND(B185&gt;='ZD Vorerfassung'!$C$35,B185&lt;='ZD Vorerfassung'!$D$35),HLOOKUP(TEXT(C185,"ttt"),'ZD Vorerfassung'!$H$21:$L$36,15,0),0))+
IF('ZD Vorerfassung'!$E$36="",0,IF(AND(B185&gt;='ZD Vorerfassung'!$C$36,B185&lt;='ZD Vorerfassung'!$D$36),HLOOKUP(TEXT(C185,"ttt"),'ZD Vorerfassung'!$H$21:$L$36,16,0),0)),"")</f>
        <v>0</v>
      </c>
      <c r="AW185" s="110">
        <f t="array" ref="AW185">IF(OR(D185="UU",D185="FT",D185="WE"),0,
IF(D185="NR",SUM(IF(B185&gt;=_xlfn.NUMBERVALUE('ZD Vorerfassung'!$C$22:$C$36),1,0)*IF(B185&lt;=_xlfn.NUMBERVALUE('ZD Vorerfassung'!$D$22:$D$36),1,0)*'ZD Vorerfassung'!$Q$22:$Q$36),
IF(OR(D185="SF",D185="FH"),SUM(IF(B185&gt;=_xlfn.NUMBERVALUE('ZD Vorerfassung'!$C$22:$C$36),1,0)*IF(B185&lt;=_xlfn.NUMBERVALUE('ZD Vorerfassung'!$D$22:$D$36),1,0)*'ZD Vorerfassung'!$R$22:$R$36*IF(D185="FH",0.5,1)),
"prüfen")))</f>
        <v>0</v>
      </c>
      <c r="AX185" s="110">
        <f t="array" ref="AX185">IF(OR(D185="UU",D185="FT",D185="WE",E185="Ferien"),0,
IF(D185="NR",SUM(IF(B185&gt;=_xlfn.NUMBERVALUE('ZD Vorerfassung'!$C$22:$C$36),1,0)*IF(B185&lt;=_xlfn.NUMBERVALUE('ZD Vorerfassung'!$D$22:$D$36),1,0)*'ZD Vorerfassung'!$W$22:$W$36),
IF(OR(D185="SF",D185="FH"),SUM(IF(B185&gt;=_xlfn.NUMBERVALUE('ZD Vorerfassung'!$C$22:$C$36),1,0)*IF(B185&lt;=_xlfn.NUMBERVALUE('ZD Vorerfassung'!$D$22:$D$36),1,0)*'ZD Vorerfassung'!$X$22:$X$36*IF(D185="FH",0.5,1)),
"prüfen")))</f>
        <v>0</v>
      </c>
      <c r="AY185" s="110">
        <f t="array" ref="AY185">IF(OR(D185="UU",D185="FT",D185="WE",E185="Ferien"),0,
IF(D185="NR",SUM(IF(B185&gt;=_xlfn.NUMBERVALUE('ZD Vorerfassung'!$C$22:$C$36),1,0)*IF(B185&lt;=_xlfn.NUMBERVALUE('ZD Vorerfassung'!$D$22:$D$36),1,0)*'ZD Vorerfassung'!$U$22:$U$36),
IF(OR(D185="SF",D185="FH"),SUM(IF(B185&gt;=_xlfn.NUMBERVALUE('ZD Vorerfassung'!$C$22:$C$36),1,0)*IF(B185&lt;=_xlfn.NUMBERVALUE('ZD Vorerfassung'!$D$22:$D$36),1,0)*'ZD Vorerfassung'!$V$22:$V$36*IF(D185="FH",0.5,1)),
"prüfen")))</f>
        <v>0</v>
      </c>
      <c r="AZ185" s="110">
        <f t="array" ref="AZ185">IF(OR(D185="UU",D185="FT",D185="WE",E185="Ferien"),0,
IF(D185="NR",SUM(IF(B185&gt;=_xlfn.NUMBERVALUE('ZD Vorerfassung'!$C$22:$C$36),1,0)*IF(B185&lt;=_xlfn.NUMBERVALUE('ZD Vorerfassung'!$D$22:$D$36),1,0)*'ZD Vorerfassung'!$S$22:$S$36),
IF(OR(D185="SF",D185="FH"),SUM(IF(B185&gt;=_xlfn.NUMBERVALUE('ZD Vorerfassung'!$C$22:$C$36),1,0)*IF(B185&lt;=_xlfn.NUMBERVALUE('ZD Vorerfassung'!$D$22:$D$36),1,0)*'ZD Vorerfassung'!$T$22:$T$36*IF(D185="FH",0.5,1)),
"prüfen")))</f>
        <v>0</v>
      </c>
      <c r="BA185" s="112">
        <f t="shared" si="32"/>
        <v>1</v>
      </c>
    </row>
    <row r="186" spans="2:54" ht="19.5" thickTop="1" thickBot="1" x14ac:dyDescent="0.3">
      <c r="B186" s="99">
        <f t="shared" si="29"/>
        <v>44951</v>
      </c>
      <c r="C186" s="100">
        <f t="shared" si="33"/>
        <v>44951</v>
      </c>
      <c r="D186" s="101" t="str">
        <f t="shared" si="34"/>
        <v>NR</v>
      </c>
      <c r="E186" s="102" t="str">
        <f t="shared" si="30"/>
        <v>Unterrichtstag</v>
      </c>
      <c r="F186" s="103">
        <f t="shared" si="35"/>
        <v>0</v>
      </c>
      <c r="G186" s="104">
        <f t="shared" si="36"/>
        <v>0</v>
      </c>
      <c r="H186" s="104">
        <f>IFERROR(IF('ZD Vorerfassung'!$E$11="manuell",SUM(I186),IF(OR(E186="Feiertag",E186="Wochenende"),0,IF('ZD Vorerfassung'!$E$11="automatisch",AX186,IF(D186="UU","UU",IF(E186=Param2,AX186/24,IF(E186=Param9,AX186/48,"")))))),0)</f>
        <v>0</v>
      </c>
      <c r="I186" s="105"/>
      <c r="J186" s="106">
        <f>IF('ZD Vorerfassung'!$E$12="manuell",SUM(K186:AI186),IF(OR(E186="Feiertag",E186="Wochenende"),0,IF('ZD Vorerfassung'!$E$12="automatisch",AY186,IF(D186="UU","UU",IF(E186=Param2,AY186/24,IF(E186=Param9,AY186/48,""))))))</f>
        <v>0</v>
      </c>
      <c r="K186" s="105"/>
      <c r="L186" s="105"/>
      <c r="M186" s="105"/>
      <c r="N186" s="105"/>
      <c r="O186" s="105"/>
      <c r="P186" s="105"/>
      <c r="Q186" s="105"/>
      <c r="R186" s="105"/>
      <c r="S186" s="105"/>
      <c r="T186" s="105"/>
      <c r="U186" s="105"/>
      <c r="V186" s="105"/>
      <c r="W186" s="105"/>
      <c r="X186" s="105"/>
      <c r="Y186" s="105"/>
      <c r="Z186" s="105"/>
      <c r="AA186" s="105"/>
      <c r="AB186" s="105"/>
      <c r="AC186" s="105"/>
      <c r="AD186" s="105"/>
      <c r="AE186" s="105"/>
      <c r="AF186" s="105"/>
      <c r="AG186" s="105"/>
      <c r="AH186" s="105"/>
      <c r="AI186" s="105"/>
      <c r="AJ186" s="107">
        <f t="shared" si="37"/>
        <v>0</v>
      </c>
      <c r="AK186" s="105"/>
      <c r="AL186" s="105"/>
      <c r="AM186" s="105"/>
      <c r="AN186" s="105"/>
      <c r="AO186" s="105"/>
      <c r="AP186" s="105"/>
      <c r="AQ186" s="108">
        <f t="shared" si="38"/>
        <v>0</v>
      </c>
      <c r="AR186" s="108">
        <f t="shared" si="39"/>
        <v>0</v>
      </c>
      <c r="AS186" s="109">
        <f t="shared" si="40"/>
        <v>0</v>
      </c>
      <c r="AU186" s="110">
        <f t="shared" si="31"/>
        <v>0</v>
      </c>
      <c r="AV186" s="111">
        <f>IF(D186="NR",
IF('ZD Vorerfassung'!$E$22="",0,IF(AND(B186&gt;='ZD Vorerfassung'!$C$22,B186&lt;='ZD Vorerfassung'!$D$22),HLOOKUP(TEXT(C186,"ttt"),'ZD Vorerfassung'!$H$21:$L$36,2,0),0))+
IF('ZD Vorerfassung'!$E$23="",0,IF(AND(B186&gt;='ZD Vorerfassung'!$C$23,B186&lt;='ZD Vorerfassung'!$D$23),HLOOKUP(TEXT(C186,"ttt"),'ZD Vorerfassung'!$H$21:$L$36,3,0),0))+
IF('ZD Vorerfassung'!$E$24="",0,IF(AND(B186&gt;='ZD Vorerfassung'!$C$24,B186&lt;='ZD Vorerfassung'!$D$24),HLOOKUP(TEXT(C186,"ttt"),'ZD Vorerfassung'!$H$21:$L$36,4,0),0))+
IF('ZD Vorerfassung'!$E$25="",0,IF(AND(B186&gt;='ZD Vorerfassung'!$C$25,B186&lt;='ZD Vorerfassung'!$D$25),HLOOKUP(TEXT(C186,"ttt"),'ZD Vorerfassung'!$H$21:$L$36,5,0),0))+
IF('ZD Vorerfassung'!$E$26="",0,IF(AND(B186&gt;='ZD Vorerfassung'!$C$26,B186&lt;='ZD Vorerfassung'!$D$26),HLOOKUP(TEXT(C186,"ttt"),'ZD Vorerfassung'!$H$21:$L$36,6,0),0))+
IF('ZD Vorerfassung'!$E$27="",0,IF(AND(B186&gt;='ZD Vorerfassung'!$C$27,B186&lt;='ZD Vorerfassung'!$D$27),HLOOKUP(TEXT(C186,"ttt"),'ZD Vorerfassung'!$H$21:$L$36,7,0),0))+
IF('ZD Vorerfassung'!$E$28="",0,IF(AND(B186&gt;='ZD Vorerfassung'!$C$28,B186&lt;='ZD Vorerfassung'!$D$28),HLOOKUP(TEXT(C186,"ttt"),'ZD Vorerfassung'!$H$21:$L$36,8,0),0))+
IF('ZD Vorerfassung'!$E$29="",0,IF(AND(B186&gt;='ZD Vorerfassung'!$C$29,B186&lt;='ZD Vorerfassung'!$D$29),HLOOKUP(TEXT(C186,"ttt"),'ZD Vorerfassung'!$H$21:$L$36,9,0),0))+
IF('ZD Vorerfassung'!$E$30="",0,IF(AND(B186&gt;='ZD Vorerfassung'!$C$30,B186&lt;='ZD Vorerfassung'!$D$30),HLOOKUP(TEXT(C186,"ttt"),'ZD Vorerfassung'!$H$21:$L$36,10,0),0))+
IF('ZD Vorerfassung'!$E$31="",0,IF(AND(B186&gt;='ZD Vorerfassung'!$C$31,B186&lt;='ZD Vorerfassung'!$D$31),HLOOKUP(TEXT(C186,"ttt"),'ZD Vorerfassung'!$H$21:$L$36,11,0),0))+
IF('ZD Vorerfassung'!$E$32="",0,IF(AND(B186&gt;='ZD Vorerfassung'!$C$32,B186&lt;='ZD Vorerfassung'!$D$32),HLOOKUP(TEXT(C186,"ttt"),'ZD Vorerfassung'!$H$21:$L$36,12,0),0))+
IF('ZD Vorerfassung'!$E$33="",0,IF(AND(B186&gt;='ZD Vorerfassung'!$C$33,B186&lt;='ZD Vorerfassung'!$D$33),HLOOKUP(TEXT(C186,"ttt"),'ZD Vorerfassung'!$H$21:$L$36,13,0),0))+
IF('ZD Vorerfassung'!$E$34="",0,IF(AND(B186&gt;='ZD Vorerfassung'!$C$34,B186&lt;='ZD Vorerfassung'!$D$34),HLOOKUP(TEXT(C186,"ttt"),'ZD Vorerfassung'!$H$21:$L$36,14,0),0))+
IF('ZD Vorerfassung'!$E$35="",0,IF(AND(B186&gt;='ZD Vorerfassung'!$C$35,B186&lt;='ZD Vorerfassung'!$D$35),HLOOKUP(TEXT(C186,"ttt"),'ZD Vorerfassung'!$H$21:$L$36,15,0),0))+
IF('ZD Vorerfassung'!$E$36="",0,IF(AND(B186&gt;='ZD Vorerfassung'!$C$36,B186&lt;='ZD Vorerfassung'!$D$36),HLOOKUP(TEXT(C186,"ttt"),'ZD Vorerfassung'!$H$21:$L$36,16,0),0)),"")</f>
        <v>0</v>
      </c>
      <c r="AW186" s="110">
        <f t="array" ref="AW186">IF(OR(D186="UU",D186="FT",D186="WE"),0,
IF(D186="NR",SUM(IF(B186&gt;=_xlfn.NUMBERVALUE('ZD Vorerfassung'!$C$22:$C$36),1,0)*IF(B186&lt;=_xlfn.NUMBERVALUE('ZD Vorerfassung'!$D$22:$D$36),1,0)*'ZD Vorerfassung'!$Q$22:$Q$36),
IF(OR(D186="SF",D186="FH"),SUM(IF(B186&gt;=_xlfn.NUMBERVALUE('ZD Vorerfassung'!$C$22:$C$36),1,0)*IF(B186&lt;=_xlfn.NUMBERVALUE('ZD Vorerfassung'!$D$22:$D$36),1,0)*'ZD Vorerfassung'!$R$22:$R$36*IF(D186="FH",0.5,1)),
"prüfen")))</f>
        <v>0</v>
      </c>
      <c r="AX186" s="110">
        <f t="array" ref="AX186">IF(OR(D186="UU",D186="FT",D186="WE",E186="Ferien"),0,
IF(D186="NR",SUM(IF(B186&gt;=_xlfn.NUMBERVALUE('ZD Vorerfassung'!$C$22:$C$36),1,0)*IF(B186&lt;=_xlfn.NUMBERVALUE('ZD Vorerfassung'!$D$22:$D$36),1,0)*'ZD Vorerfassung'!$W$22:$W$36),
IF(OR(D186="SF",D186="FH"),SUM(IF(B186&gt;=_xlfn.NUMBERVALUE('ZD Vorerfassung'!$C$22:$C$36),1,0)*IF(B186&lt;=_xlfn.NUMBERVALUE('ZD Vorerfassung'!$D$22:$D$36),1,0)*'ZD Vorerfassung'!$X$22:$X$36*IF(D186="FH",0.5,1)),
"prüfen")))</f>
        <v>0</v>
      </c>
      <c r="AY186" s="110">
        <f t="array" ref="AY186">IF(OR(D186="UU",D186="FT",D186="WE",E186="Ferien"),0,
IF(D186="NR",SUM(IF(B186&gt;=_xlfn.NUMBERVALUE('ZD Vorerfassung'!$C$22:$C$36),1,0)*IF(B186&lt;=_xlfn.NUMBERVALUE('ZD Vorerfassung'!$D$22:$D$36),1,0)*'ZD Vorerfassung'!$U$22:$U$36),
IF(OR(D186="SF",D186="FH"),SUM(IF(B186&gt;=_xlfn.NUMBERVALUE('ZD Vorerfassung'!$C$22:$C$36),1,0)*IF(B186&lt;=_xlfn.NUMBERVALUE('ZD Vorerfassung'!$D$22:$D$36),1,0)*'ZD Vorerfassung'!$V$22:$V$36*IF(D186="FH",0.5,1)),
"prüfen")))</f>
        <v>0</v>
      </c>
      <c r="AZ186" s="110">
        <f t="array" ref="AZ186">IF(OR(D186="UU",D186="FT",D186="WE",E186="Ferien"),0,
IF(D186="NR",SUM(IF(B186&gt;=_xlfn.NUMBERVALUE('ZD Vorerfassung'!$C$22:$C$36),1,0)*IF(B186&lt;=_xlfn.NUMBERVALUE('ZD Vorerfassung'!$D$22:$D$36),1,0)*'ZD Vorerfassung'!$S$22:$S$36),
IF(OR(D186="SF",D186="FH"),SUM(IF(B186&gt;=_xlfn.NUMBERVALUE('ZD Vorerfassung'!$C$22:$C$36),1,0)*IF(B186&lt;=_xlfn.NUMBERVALUE('ZD Vorerfassung'!$D$22:$D$36),1,0)*'ZD Vorerfassung'!$T$22:$T$36*IF(D186="FH",0.5,1)),
"prüfen")))</f>
        <v>0</v>
      </c>
      <c r="BA186" s="112">
        <f t="shared" si="32"/>
        <v>1</v>
      </c>
    </row>
    <row r="187" spans="2:54" ht="19.5" thickTop="1" thickBot="1" x14ac:dyDescent="0.3">
      <c r="B187" s="99">
        <f t="shared" si="29"/>
        <v>44952</v>
      </c>
      <c r="C187" s="100">
        <f t="shared" si="33"/>
        <v>44952</v>
      </c>
      <c r="D187" s="101" t="str">
        <f t="shared" si="34"/>
        <v>NR</v>
      </c>
      <c r="E187" s="102" t="str">
        <f t="shared" si="30"/>
        <v>Unterrichtstag</v>
      </c>
      <c r="F187" s="103">
        <f t="shared" si="35"/>
        <v>0</v>
      </c>
      <c r="G187" s="104">
        <f t="shared" si="36"/>
        <v>0</v>
      </c>
      <c r="H187" s="104">
        <f>IFERROR(IF('ZD Vorerfassung'!$E$11="manuell",SUM(I187),IF(OR(E187="Feiertag",E187="Wochenende"),0,IF('ZD Vorerfassung'!$E$11="automatisch",AX187,IF(D187="UU","UU",IF(E187=Param2,AX187/24,IF(E187=Param9,AX187/48,"")))))),0)</f>
        <v>0</v>
      </c>
      <c r="I187" s="105"/>
      <c r="J187" s="106">
        <f>IF('ZD Vorerfassung'!$E$12="manuell",SUM(K187:AI187),IF(OR(E187="Feiertag",E187="Wochenende"),0,IF('ZD Vorerfassung'!$E$12="automatisch",AY187,IF(D187="UU","UU",IF(E187=Param2,AY187/24,IF(E187=Param9,AY187/48,""))))))</f>
        <v>0</v>
      </c>
      <c r="K187" s="105"/>
      <c r="L187" s="105"/>
      <c r="M187" s="105"/>
      <c r="N187" s="105"/>
      <c r="O187" s="105"/>
      <c r="P187" s="105"/>
      <c r="Q187" s="105"/>
      <c r="R187" s="105"/>
      <c r="S187" s="105"/>
      <c r="T187" s="105"/>
      <c r="U187" s="105"/>
      <c r="V187" s="105"/>
      <c r="W187" s="105"/>
      <c r="X187" s="105"/>
      <c r="Y187" s="105"/>
      <c r="Z187" s="105"/>
      <c r="AA187" s="105"/>
      <c r="AB187" s="105"/>
      <c r="AC187" s="105"/>
      <c r="AD187" s="105"/>
      <c r="AE187" s="105"/>
      <c r="AF187" s="105"/>
      <c r="AG187" s="105"/>
      <c r="AH187" s="105"/>
      <c r="AI187" s="105"/>
      <c r="AJ187" s="107">
        <f t="shared" si="37"/>
        <v>0</v>
      </c>
      <c r="AK187" s="105"/>
      <c r="AL187" s="105"/>
      <c r="AM187" s="105"/>
      <c r="AN187" s="105"/>
      <c r="AO187" s="105"/>
      <c r="AP187" s="105"/>
      <c r="AQ187" s="108">
        <f t="shared" si="38"/>
        <v>0</v>
      </c>
      <c r="AR187" s="108">
        <f t="shared" si="39"/>
        <v>0</v>
      </c>
      <c r="AS187" s="109">
        <f t="shared" si="40"/>
        <v>0</v>
      </c>
      <c r="AU187" s="110">
        <f t="shared" si="31"/>
        <v>0</v>
      </c>
      <c r="AV187" s="111">
        <f>IF(D187="NR",
IF('ZD Vorerfassung'!$E$22="",0,IF(AND(B187&gt;='ZD Vorerfassung'!$C$22,B187&lt;='ZD Vorerfassung'!$D$22),HLOOKUP(TEXT(C187,"ttt"),'ZD Vorerfassung'!$H$21:$L$36,2,0),0))+
IF('ZD Vorerfassung'!$E$23="",0,IF(AND(B187&gt;='ZD Vorerfassung'!$C$23,B187&lt;='ZD Vorerfassung'!$D$23),HLOOKUP(TEXT(C187,"ttt"),'ZD Vorerfassung'!$H$21:$L$36,3,0),0))+
IF('ZD Vorerfassung'!$E$24="",0,IF(AND(B187&gt;='ZD Vorerfassung'!$C$24,B187&lt;='ZD Vorerfassung'!$D$24),HLOOKUP(TEXT(C187,"ttt"),'ZD Vorerfassung'!$H$21:$L$36,4,0),0))+
IF('ZD Vorerfassung'!$E$25="",0,IF(AND(B187&gt;='ZD Vorerfassung'!$C$25,B187&lt;='ZD Vorerfassung'!$D$25),HLOOKUP(TEXT(C187,"ttt"),'ZD Vorerfassung'!$H$21:$L$36,5,0),0))+
IF('ZD Vorerfassung'!$E$26="",0,IF(AND(B187&gt;='ZD Vorerfassung'!$C$26,B187&lt;='ZD Vorerfassung'!$D$26),HLOOKUP(TEXT(C187,"ttt"),'ZD Vorerfassung'!$H$21:$L$36,6,0),0))+
IF('ZD Vorerfassung'!$E$27="",0,IF(AND(B187&gt;='ZD Vorerfassung'!$C$27,B187&lt;='ZD Vorerfassung'!$D$27),HLOOKUP(TEXT(C187,"ttt"),'ZD Vorerfassung'!$H$21:$L$36,7,0),0))+
IF('ZD Vorerfassung'!$E$28="",0,IF(AND(B187&gt;='ZD Vorerfassung'!$C$28,B187&lt;='ZD Vorerfassung'!$D$28),HLOOKUP(TEXT(C187,"ttt"),'ZD Vorerfassung'!$H$21:$L$36,8,0),0))+
IF('ZD Vorerfassung'!$E$29="",0,IF(AND(B187&gt;='ZD Vorerfassung'!$C$29,B187&lt;='ZD Vorerfassung'!$D$29),HLOOKUP(TEXT(C187,"ttt"),'ZD Vorerfassung'!$H$21:$L$36,9,0),0))+
IF('ZD Vorerfassung'!$E$30="",0,IF(AND(B187&gt;='ZD Vorerfassung'!$C$30,B187&lt;='ZD Vorerfassung'!$D$30),HLOOKUP(TEXT(C187,"ttt"),'ZD Vorerfassung'!$H$21:$L$36,10,0),0))+
IF('ZD Vorerfassung'!$E$31="",0,IF(AND(B187&gt;='ZD Vorerfassung'!$C$31,B187&lt;='ZD Vorerfassung'!$D$31),HLOOKUP(TEXT(C187,"ttt"),'ZD Vorerfassung'!$H$21:$L$36,11,0),0))+
IF('ZD Vorerfassung'!$E$32="",0,IF(AND(B187&gt;='ZD Vorerfassung'!$C$32,B187&lt;='ZD Vorerfassung'!$D$32),HLOOKUP(TEXT(C187,"ttt"),'ZD Vorerfassung'!$H$21:$L$36,12,0),0))+
IF('ZD Vorerfassung'!$E$33="",0,IF(AND(B187&gt;='ZD Vorerfassung'!$C$33,B187&lt;='ZD Vorerfassung'!$D$33),HLOOKUP(TEXT(C187,"ttt"),'ZD Vorerfassung'!$H$21:$L$36,13,0),0))+
IF('ZD Vorerfassung'!$E$34="",0,IF(AND(B187&gt;='ZD Vorerfassung'!$C$34,B187&lt;='ZD Vorerfassung'!$D$34),HLOOKUP(TEXT(C187,"ttt"),'ZD Vorerfassung'!$H$21:$L$36,14,0),0))+
IF('ZD Vorerfassung'!$E$35="",0,IF(AND(B187&gt;='ZD Vorerfassung'!$C$35,B187&lt;='ZD Vorerfassung'!$D$35),HLOOKUP(TEXT(C187,"ttt"),'ZD Vorerfassung'!$H$21:$L$36,15,0),0))+
IF('ZD Vorerfassung'!$E$36="",0,IF(AND(B187&gt;='ZD Vorerfassung'!$C$36,B187&lt;='ZD Vorerfassung'!$D$36),HLOOKUP(TEXT(C187,"ttt"),'ZD Vorerfassung'!$H$21:$L$36,16,0),0)),"")</f>
        <v>0</v>
      </c>
      <c r="AW187" s="110">
        <f t="array" ref="AW187">IF(OR(D187="UU",D187="FT",D187="WE"),0,
IF(D187="NR",SUM(IF(B187&gt;=_xlfn.NUMBERVALUE('ZD Vorerfassung'!$C$22:$C$36),1,0)*IF(B187&lt;=_xlfn.NUMBERVALUE('ZD Vorerfassung'!$D$22:$D$36),1,0)*'ZD Vorerfassung'!$Q$22:$Q$36),
IF(OR(D187="SF",D187="FH"),SUM(IF(B187&gt;=_xlfn.NUMBERVALUE('ZD Vorerfassung'!$C$22:$C$36),1,0)*IF(B187&lt;=_xlfn.NUMBERVALUE('ZD Vorerfassung'!$D$22:$D$36),1,0)*'ZD Vorerfassung'!$R$22:$R$36*IF(D187="FH",0.5,1)),
"prüfen")))</f>
        <v>0</v>
      </c>
      <c r="AX187" s="110">
        <f t="array" ref="AX187">IF(OR(D187="UU",D187="FT",D187="WE",E187="Ferien"),0,
IF(D187="NR",SUM(IF(B187&gt;=_xlfn.NUMBERVALUE('ZD Vorerfassung'!$C$22:$C$36),1,0)*IF(B187&lt;=_xlfn.NUMBERVALUE('ZD Vorerfassung'!$D$22:$D$36),1,0)*'ZD Vorerfassung'!$W$22:$W$36),
IF(OR(D187="SF",D187="FH"),SUM(IF(B187&gt;=_xlfn.NUMBERVALUE('ZD Vorerfassung'!$C$22:$C$36),1,0)*IF(B187&lt;=_xlfn.NUMBERVALUE('ZD Vorerfassung'!$D$22:$D$36),1,0)*'ZD Vorerfassung'!$X$22:$X$36*IF(D187="FH",0.5,1)),
"prüfen")))</f>
        <v>0</v>
      </c>
      <c r="AY187" s="110">
        <f t="array" ref="AY187">IF(OR(D187="UU",D187="FT",D187="WE",E187="Ferien"),0,
IF(D187="NR",SUM(IF(B187&gt;=_xlfn.NUMBERVALUE('ZD Vorerfassung'!$C$22:$C$36),1,0)*IF(B187&lt;=_xlfn.NUMBERVALUE('ZD Vorerfassung'!$D$22:$D$36),1,0)*'ZD Vorerfassung'!$U$22:$U$36),
IF(OR(D187="SF",D187="FH"),SUM(IF(B187&gt;=_xlfn.NUMBERVALUE('ZD Vorerfassung'!$C$22:$C$36),1,0)*IF(B187&lt;=_xlfn.NUMBERVALUE('ZD Vorerfassung'!$D$22:$D$36),1,0)*'ZD Vorerfassung'!$V$22:$V$36*IF(D187="FH",0.5,1)),
"prüfen")))</f>
        <v>0</v>
      </c>
      <c r="AZ187" s="110">
        <f t="array" ref="AZ187">IF(OR(D187="UU",D187="FT",D187="WE",E187="Ferien"),0,
IF(D187="NR",SUM(IF(B187&gt;=_xlfn.NUMBERVALUE('ZD Vorerfassung'!$C$22:$C$36),1,0)*IF(B187&lt;=_xlfn.NUMBERVALUE('ZD Vorerfassung'!$D$22:$D$36),1,0)*'ZD Vorerfassung'!$S$22:$S$36),
IF(OR(D187="SF",D187="FH"),SUM(IF(B187&gt;=_xlfn.NUMBERVALUE('ZD Vorerfassung'!$C$22:$C$36),1,0)*IF(B187&lt;=_xlfn.NUMBERVALUE('ZD Vorerfassung'!$D$22:$D$36),1,0)*'ZD Vorerfassung'!$T$22:$T$36*IF(D187="FH",0.5,1)),
"prüfen")))</f>
        <v>0</v>
      </c>
      <c r="BA187" s="112">
        <f t="shared" si="32"/>
        <v>1</v>
      </c>
    </row>
    <row r="188" spans="2:54" ht="19.5" thickTop="1" thickBot="1" x14ac:dyDescent="0.3">
      <c r="B188" s="99">
        <f t="shared" si="29"/>
        <v>44953</v>
      </c>
      <c r="C188" s="100">
        <f t="shared" si="33"/>
        <v>44953</v>
      </c>
      <c r="D188" s="101" t="str">
        <f t="shared" si="34"/>
        <v>NR</v>
      </c>
      <c r="E188" s="102" t="str">
        <f t="shared" si="30"/>
        <v>Unterrichtstag</v>
      </c>
      <c r="F188" s="103">
        <f t="shared" si="35"/>
        <v>0</v>
      </c>
      <c r="G188" s="104">
        <f t="shared" si="36"/>
        <v>0</v>
      </c>
      <c r="H188" s="104">
        <f>IFERROR(IF('ZD Vorerfassung'!$E$11="manuell",SUM(I188),IF(OR(E188="Feiertag",E188="Wochenende"),0,IF('ZD Vorerfassung'!$E$11="automatisch",AX188,IF(D188="UU","UU",IF(E188=Param2,AX188/24,IF(E188=Param9,AX188/48,"")))))),0)</f>
        <v>0</v>
      </c>
      <c r="I188" s="105"/>
      <c r="J188" s="106">
        <f>IF('ZD Vorerfassung'!$E$12="manuell",SUM(K188:AI188),IF(OR(E188="Feiertag",E188="Wochenende"),0,IF('ZD Vorerfassung'!$E$12="automatisch",AY188,IF(D188="UU","UU",IF(E188=Param2,AY188/24,IF(E188=Param9,AY188/48,""))))))</f>
        <v>0</v>
      </c>
      <c r="K188" s="105"/>
      <c r="L188" s="105"/>
      <c r="M188" s="105"/>
      <c r="N188" s="105"/>
      <c r="O188" s="105"/>
      <c r="P188" s="105"/>
      <c r="Q188" s="105"/>
      <c r="R188" s="105"/>
      <c r="S188" s="105"/>
      <c r="T188" s="105"/>
      <c r="U188" s="105"/>
      <c r="V188" s="105"/>
      <c r="W188" s="105"/>
      <c r="X188" s="105"/>
      <c r="Y188" s="105"/>
      <c r="Z188" s="105"/>
      <c r="AA188" s="105"/>
      <c r="AB188" s="105"/>
      <c r="AC188" s="105"/>
      <c r="AD188" s="105"/>
      <c r="AE188" s="105"/>
      <c r="AF188" s="105"/>
      <c r="AG188" s="105"/>
      <c r="AH188" s="105"/>
      <c r="AI188" s="105"/>
      <c r="AJ188" s="107">
        <f t="shared" si="37"/>
        <v>0</v>
      </c>
      <c r="AK188" s="105"/>
      <c r="AL188" s="105"/>
      <c r="AM188" s="105"/>
      <c r="AN188" s="105"/>
      <c r="AO188" s="105"/>
      <c r="AP188" s="105"/>
      <c r="AQ188" s="108">
        <f t="shared" si="38"/>
        <v>0</v>
      </c>
      <c r="AR188" s="108">
        <f t="shared" si="39"/>
        <v>0</v>
      </c>
      <c r="AS188" s="109">
        <f t="shared" si="40"/>
        <v>0</v>
      </c>
      <c r="AU188" s="110">
        <f t="shared" si="31"/>
        <v>0</v>
      </c>
      <c r="AV188" s="111">
        <f>IF(D188="NR",
IF('ZD Vorerfassung'!$E$22="",0,IF(AND(B188&gt;='ZD Vorerfassung'!$C$22,B188&lt;='ZD Vorerfassung'!$D$22),HLOOKUP(TEXT(C188,"ttt"),'ZD Vorerfassung'!$H$21:$L$36,2,0),0))+
IF('ZD Vorerfassung'!$E$23="",0,IF(AND(B188&gt;='ZD Vorerfassung'!$C$23,B188&lt;='ZD Vorerfassung'!$D$23),HLOOKUP(TEXT(C188,"ttt"),'ZD Vorerfassung'!$H$21:$L$36,3,0),0))+
IF('ZD Vorerfassung'!$E$24="",0,IF(AND(B188&gt;='ZD Vorerfassung'!$C$24,B188&lt;='ZD Vorerfassung'!$D$24),HLOOKUP(TEXT(C188,"ttt"),'ZD Vorerfassung'!$H$21:$L$36,4,0),0))+
IF('ZD Vorerfassung'!$E$25="",0,IF(AND(B188&gt;='ZD Vorerfassung'!$C$25,B188&lt;='ZD Vorerfassung'!$D$25),HLOOKUP(TEXT(C188,"ttt"),'ZD Vorerfassung'!$H$21:$L$36,5,0),0))+
IF('ZD Vorerfassung'!$E$26="",0,IF(AND(B188&gt;='ZD Vorerfassung'!$C$26,B188&lt;='ZD Vorerfassung'!$D$26),HLOOKUP(TEXT(C188,"ttt"),'ZD Vorerfassung'!$H$21:$L$36,6,0),0))+
IF('ZD Vorerfassung'!$E$27="",0,IF(AND(B188&gt;='ZD Vorerfassung'!$C$27,B188&lt;='ZD Vorerfassung'!$D$27),HLOOKUP(TEXT(C188,"ttt"),'ZD Vorerfassung'!$H$21:$L$36,7,0),0))+
IF('ZD Vorerfassung'!$E$28="",0,IF(AND(B188&gt;='ZD Vorerfassung'!$C$28,B188&lt;='ZD Vorerfassung'!$D$28),HLOOKUP(TEXT(C188,"ttt"),'ZD Vorerfassung'!$H$21:$L$36,8,0),0))+
IF('ZD Vorerfassung'!$E$29="",0,IF(AND(B188&gt;='ZD Vorerfassung'!$C$29,B188&lt;='ZD Vorerfassung'!$D$29),HLOOKUP(TEXT(C188,"ttt"),'ZD Vorerfassung'!$H$21:$L$36,9,0),0))+
IF('ZD Vorerfassung'!$E$30="",0,IF(AND(B188&gt;='ZD Vorerfassung'!$C$30,B188&lt;='ZD Vorerfassung'!$D$30),HLOOKUP(TEXT(C188,"ttt"),'ZD Vorerfassung'!$H$21:$L$36,10,0),0))+
IF('ZD Vorerfassung'!$E$31="",0,IF(AND(B188&gt;='ZD Vorerfassung'!$C$31,B188&lt;='ZD Vorerfassung'!$D$31),HLOOKUP(TEXT(C188,"ttt"),'ZD Vorerfassung'!$H$21:$L$36,11,0),0))+
IF('ZD Vorerfassung'!$E$32="",0,IF(AND(B188&gt;='ZD Vorerfassung'!$C$32,B188&lt;='ZD Vorerfassung'!$D$32),HLOOKUP(TEXT(C188,"ttt"),'ZD Vorerfassung'!$H$21:$L$36,12,0),0))+
IF('ZD Vorerfassung'!$E$33="",0,IF(AND(B188&gt;='ZD Vorerfassung'!$C$33,B188&lt;='ZD Vorerfassung'!$D$33),HLOOKUP(TEXT(C188,"ttt"),'ZD Vorerfassung'!$H$21:$L$36,13,0),0))+
IF('ZD Vorerfassung'!$E$34="",0,IF(AND(B188&gt;='ZD Vorerfassung'!$C$34,B188&lt;='ZD Vorerfassung'!$D$34),HLOOKUP(TEXT(C188,"ttt"),'ZD Vorerfassung'!$H$21:$L$36,14,0),0))+
IF('ZD Vorerfassung'!$E$35="",0,IF(AND(B188&gt;='ZD Vorerfassung'!$C$35,B188&lt;='ZD Vorerfassung'!$D$35),HLOOKUP(TEXT(C188,"ttt"),'ZD Vorerfassung'!$H$21:$L$36,15,0),0))+
IF('ZD Vorerfassung'!$E$36="",0,IF(AND(B188&gt;='ZD Vorerfassung'!$C$36,B188&lt;='ZD Vorerfassung'!$D$36),HLOOKUP(TEXT(C188,"ttt"),'ZD Vorerfassung'!$H$21:$L$36,16,0),0)),"")</f>
        <v>0</v>
      </c>
      <c r="AW188" s="110">
        <f t="array" ref="AW188">IF(OR(D188="UU",D188="FT",D188="WE"),0,
IF(D188="NR",SUM(IF(B188&gt;=_xlfn.NUMBERVALUE('ZD Vorerfassung'!$C$22:$C$36),1,0)*IF(B188&lt;=_xlfn.NUMBERVALUE('ZD Vorerfassung'!$D$22:$D$36),1,0)*'ZD Vorerfassung'!$Q$22:$Q$36),
IF(OR(D188="SF",D188="FH"),SUM(IF(B188&gt;=_xlfn.NUMBERVALUE('ZD Vorerfassung'!$C$22:$C$36),1,0)*IF(B188&lt;=_xlfn.NUMBERVALUE('ZD Vorerfassung'!$D$22:$D$36),1,0)*'ZD Vorerfassung'!$R$22:$R$36*IF(D188="FH",0.5,1)),
"prüfen")))</f>
        <v>0</v>
      </c>
      <c r="AX188" s="110">
        <f t="array" ref="AX188">IF(OR(D188="UU",D188="FT",D188="WE",E188="Ferien"),0,
IF(D188="NR",SUM(IF(B188&gt;=_xlfn.NUMBERVALUE('ZD Vorerfassung'!$C$22:$C$36),1,0)*IF(B188&lt;=_xlfn.NUMBERVALUE('ZD Vorerfassung'!$D$22:$D$36),1,0)*'ZD Vorerfassung'!$W$22:$W$36),
IF(OR(D188="SF",D188="FH"),SUM(IF(B188&gt;=_xlfn.NUMBERVALUE('ZD Vorerfassung'!$C$22:$C$36),1,0)*IF(B188&lt;=_xlfn.NUMBERVALUE('ZD Vorerfassung'!$D$22:$D$36),1,0)*'ZD Vorerfassung'!$X$22:$X$36*IF(D188="FH",0.5,1)),
"prüfen")))</f>
        <v>0</v>
      </c>
      <c r="AY188" s="110">
        <f t="array" ref="AY188">IF(OR(D188="UU",D188="FT",D188="WE",E188="Ferien"),0,
IF(D188="NR",SUM(IF(B188&gt;=_xlfn.NUMBERVALUE('ZD Vorerfassung'!$C$22:$C$36),1,0)*IF(B188&lt;=_xlfn.NUMBERVALUE('ZD Vorerfassung'!$D$22:$D$36),1,0)*'ZD Vorerfassung'!$U$22:$U$36),
IF(OR(D188="SF",D188="FH"),SUM(IF(B188&gt;=_xlfn.NUMBERVALUE('ZD Vorerfassung'!$C$22:$C$36),1,0)*IF(B188&lt;=_xlfn.NUMBERVALUE('ZD Vorerfassung'!$D$22:$D$36),1,0)*'ZD Vorerfassung'!$V$22:$V$36*IF(D188="FH",0.5,1)),
"prüfen")))</f>
        <v>0</v>
      </c>
      <c r="AZ188" s="110">
        <f t="array" ref="AZ188">IF(OR(D188="UU",D188="FT",D188="WE",E188="Ferien"),0,
IF(D188="NR",SUM(IF(B188&gt;=_xlfn.NUMBERVALUE('ZD Vorerfassung'!$C$22:$C$36),1,0)*IF(B188&lt;=_xlfn.NUMBERVALUE('ZD Vorerfassung'!$D$22:$D$36),1,0)*'ZD Vorerfassung'!$S$22:$S$36),
IF(OR(D188="SF",D188="FH"),SUM(IF(B188&gt;=_xlfn.NUMBERVALUE('ZD Vorerfassung'!$C$22:$C$36),1,0)*IF(B188&lt;=_xlfn.NUMBERVALUE('ZD Vorerfassung'!$D$22:$D$36),1,0)*'ZD Vorerfassung'!$T$22:$T$36*IF(D188="FH",0.5,1)),
"prüfen")))</f>
        <v>0</v>
      </c>
      <c r="BA188" s="112">
        <f t="shared" si="32"/>
        <v>1</v>
      </c>
    </row>
    <row r="189" spans="2:54" ht="19.5" thickTop="1" thickBot="1" x14ac:dyDescent="0.3">
      <c r="B189" s="99">
        <f t="shared" si="29"/>
        <v>44954</v>
      </c>
      <c r="C189" s="100">
        <f t="shared" si="33"/>
        <v>44954</v>
      </c>
      <c r="D189" s="101" t="str">
        <f t="shared" si="34"/>
        <v>NR</v>
      </c>
      <c r="E189" s="102" t="str">
        <f t="shared" si="30"/>
        <v>Unterrichtstag</v>
      </c>
      <c r="F189" s="103">
        <f t="shared" si="35"/>
        <v>0</v>
      </c>
      <c r="G189" s="104">
        <f t="shared" si="36"/>
        <v>0</v>
      </c>
      <c r="H189" s="104">
        <f>IFERROR(IF('ZD Vorerfassung'!$E$11="manuell",SUM(I189),IF(OR(E189="Feiertag",E189="Wochenende"),0,IF('ZD Vorerfassung'!$E$11="automatisch",AX189,IF(D189="UU","UU",IF(E189=Param2,AX189/24,IF(E189=Param9,AX189/48,"")))))),0)</f>
        <v>0</v>
      </c>
      <c r="I189" s="105"/>
      <c r="J189" s="106">
        <f>IF('ZD Vorerfassung'!$E$12="manuell",SUM(K189:AI189),IF(OR(E189="Feiertag",E189="Wochenende"),0,IF('ZD Vorerfassung'!$E$12="automatisch",AY189,IF(D189="UU","UU",IF(E189=Param2,AY189/24,IF(E189=Param9,AY189/48,""))))))</f>
        <v>0</v>
      </c>
      <c r="K189" s="105"/>
      <c r="L189" s="105"/>
      <c r="M189" s="105"/>
      <c r="N189" s="105"/>
      <c r="O189" s="105"/>
      <c r="P189" s="105"/>
      <c r="Q189" s="105"/>
      <c r="R189" s="105"/>
      <c r="S189" s="105"/>
      <c r="T189" s="105"/>
      <c r="U189" s="105"/>
      <c r="V189" s="105"/>
      <c r="W189" s="105"/>
      <c r="X189" s="105"/>
      <c r="Y189" s="105"/>
      <c r="Z189" s="105"/>
      <c r="AA189" s="105"/>
      <c r="AB189" s="105"/>
      <c r="AC189" s="105"/>
      <c r="AD189" s="105"/>
      <c r="AE189" s="105"/>
      <c r="AF189" s="105"/>
      <c r="AG189" s="105"/>
      <c r="AH189" s="105"/>
      <c r="AI189" s="105"/>
      <c r="AJ189" s="107">
        <f t="shared" si="37"/>
        <v>0</v>
      </c>
      <c r="AK189" s="105"/>
      <c r="AL189" s="105"/>
      <c r="AM189" s="105"/>
      <c r="AN189" s="105"/>
      <c r="AO189" s="105"/>
      <c r="AP189" s="105"/>
      <c r="AQ189" s="108">
        <f t="shared" si="38"/>
        <v>0</v>
      </c>
      <c r="AR189" s="108">
        <f t="shared" si="39"/>
        <v>0</v>
      </c>
      <c r="AS189" s="109">
        <f t="shared" si="40"/>
        <v>0</v>
      </c>
      <c r="AU189" s="110">
        <f t="shared" si="31"/>
        <v>0</v>
      </c>
      <c r="AV189" s="111">
        <f>IF(D189="NR",
IF('ZD Vorerfassung'!$E$22="",0,IF(AND(B189&gt;='ZD Vorerfassung'!$C$22,B189&lt;='ZD Vorerfassung'!$D$22),HLOOKUP(TEXT(C189,"ttt"),'ZD Vorerfassung'!$H$21:$L$36,2,0),0))+
IF('ZD Vorerfassung'!$E$23="",0,IF(AND(B189&gt;='ZD Vorerfassung'!$C$23,B189&lt;='ZD Vorerfassung'!$D$23),HLOOKUP(TEXT(C189,"ttt"),'ZD Vorerfassung'!$H$21:$L$36,3,0),0))+
IF('ZD Vorerfassung'!$E$24="",0,IF(AND(B189&gt;='ZD Vorerfassung'!$C$24,B189&lt;='ZD Vorerfassung'!$D$24),HLOOKUP(TEXT(C189,"ttt"),'ZD Vorerfassung'!$H$21:$L$36,4,0),0))+
IF('ZD Vorerfassung'!$E$25="",0,IF(AND(B189&gt;='ZD Vorerfassung'!$C$25,B189&lt;='ZD Vorerfassung'!$D$25),HLOOKUP(TEXT(C189,"ttt"),'ZD Vorerfassung'!$H$21:$L$36,5,0),0))+
IF('ZD Vorerfassung'!$E$26="",0,IF(AND(B189&gt;='ZD Vorerfassung'!$C$26,B189&lt;='ZD Vorerfassung'!$D$26),HLOOKUP(TEXT(C189,"ttt"),'ZD Vorerfassung'!$H$21:$L$36,6,0),0))+
IF('ZD Vorerfassung'!$E$27="",0,IF(AND(B189&gt;='ZD Vorerfassung'!$C$27,B189&lt;='ZD Vorerfassung'!$D$27),HLOOKUP(TEXT(C189,"ttt"),'ZD Vorerfassung'!$H$21:$L$36,7,0),0))+
IF('ZD Vorerfassung'!$E$28="",0,IF(AND(B189&gt;='ZD Vorerfassung'!$C$28,B189&lt;='ZD Vorerfassung'!$D$28),HLOOKUP(TEXT(C189,"ttt"),'ZD Vorerfassung'!$H$21:$L$36,8,0),0))+
IF('ZD Vorerfassung'!$E$29="",0,IF(AND(B189&gt;='ZD Vorerfassung'!$C$29,B189&lt;='ZD Vorerfassung'!$D$29),HLOOKUP(TEXT(C189,"ttt"),'ZD Vorerfassung'!$H$21:$L$36,9,0),0))+
IF('ZD Vorerfassung'!$E$30="",0,IF(AND(B189&gt;='ZD Vorerfassung'!$C$30,B189&lt;='ZD Vorerfassung'!$D$30),HLOOKUP(TEXT(C189,"ttt"),'ZD Vorerfassung'!$H$21:$L$36,10,0),0))+
IF('ZD Vorerfassung'!$E$31="",0,IF(AND(B189&gt;='ZD Vorerfassung'!$C$31,B189&lt;='ZD Vorerfassung'!$D$31),HLOOKUP(TEXT(C189,"ttt"),'ZD Vorerfassung'!$H$21:$L$36,11,0),0))+
IF('ZD Vorerfassung'!$E$32="",0,IF(AND(B189&gt;='ZD Vorerfassung'!$C$32,B189&lt;='ZD Vorerfassung'!$D$32),HLOOKUP(TEXT(C189,"ttt"),'ZD Vorerfassung'!$H$21:$L$36,12,0),0))+
IF('ZD Vorerfassung'!$E$33="",0,IF(AND(B189&gt;='ZD Vorerfassung'!$C$33,B189&lt;='ZD Vorerfassung'!$D$33),HLOOKUP(TEXT(C189,"ttt"),'ZD Vorerfassung'!$H$21:$L$36,13,0),0))+
IF('ZD Vorerfassung'!$E$34="",0,IF(AND(B189&gt;='ZD Vorerfassung'!$C$34,B189&lt;='ZD Vorerfassung'!$D$34),HLOOKUP(TEXT(C189,"ttt"),'ZD Vorerfassung'!$H$21:$L$36,14,0),0))+
IF('ZD Vorerfassung'!$E$35="",0,IF(AND(B189&gt;='ZD Vorerfassung'!$C$35,B189&lt;='ZD Vorerfassung'!$D$35),HLOOKUP(TEXT(C189,"ttt"),'ZD Vorerfassung'!$H$21:$L$36,15,0),0))+
IF('ZD Vorerfassung'!$E$36="",0,IF(AND(B189&gt;='ZD Vorerfassung'!$C$36,B189&lt;='ZD Vorerfassung'!$D$36),HLOOKUP(TEXT(C189,"ttt"),'ZD Vorerfassung'!$H$21:$L$36,16,0),0)),"")</f>
        <v>0</v>
      </c>
      <c r="AW189" s="110">
        <f t="array" ref="AW189">IF(OR(D189="UU",D189="FT",D189="WE"),0,
IF(D189="NR",SUM(IF(B189&gt;=_xlfn.NUMBERVALUE('ZD Vorerfassung'!$C$22:$C$36),1,0)*IF(B189&lt;=_xlfn.NUMBERVALUE('ZD Vorerfassung'!$D$22:$D$36),1,0)*'ZD Vorerfassung'!$Q$22:$Q$36),
IF(OR(D189="SF",D189="FH"),SUM(IF(B189&gt;=_xlfn.NUMBERVALUE('ZD Vorerfassung'!$C$22:$C$36),1,0)*IF(B189&lt;=_xlfn.NUMBERVALUE('ZD Vorerfassung'!$D$22:$D$36),1,0)*'ZD Vorerfassung'!$R$22:$R$36*IF(D189="FH",0.5,1)),
"prüfen")))</f>
        <v>0</v>
      </c>
      <c r="AX189" s="110">
        <f t="array" ref="AX189">IF(OR(D189="UU",D189="FT",D189="WE",E189="Ferien"),0,
IF(D189="NR",SUM(IF(B189&gt;=_xlfn.NUMBERVALUE('ZD Vorerfassung'!$C$22:$C$36),1,0)*IF(B189&lt;=_xlfn.NUMBERVALUE('ZD Vorerfassung'!$D$22:$D$36),1,0)*'ZD Vorerfassung'!$W$22:$W$36),
IF(OR(D189="SF",D189="FH"),SUM(IF(B189&gt;=_xlfn.NUMBERVALUE('ZD Vorerfassung'!$C$22:$C$36),1,0)*IF(B189&lt;=_xlfn.NUMBERVALUE('ZD Vorerfassung'!$D$22:$D$36),1,0)*'ZD Vorerfassung'!$X$22:$X$36*IF(D189="FH",0.5,1)),
"prüfen")))</f>
        <v>0</v>
      </c>
      <c r="AY189" s="110">
        <f t="array" ref="AY189">IF(OR(D189="UU",D189="FT",D189="WE",E189="Ferien"),0,
IF(D189="NR",SUM(IF(B189&gt;=_xlfn.NUMBERVALUE('ZD Vorerfassung'!$C$22:$C$36),1,0)*IF(B189&lt;=_xlfn.NUMBERVALUE('ZD Vorerfassung'!$D$22:$D$36),1,0)*'ZD Vorerfassung'!$U$22:$U$36),
IF(OR(D189="SF",D189="FH"),SUM(IF(B189&gt;=_xlfn.NUMBERVALUE('ZD Vorerfassung'!$C$22:$C$36),1,0)*IF(B189&lt;=_xlfn.NUMBERVALUE('ZD Vorerfassung'!$D$22:$D$36),1,0)*'ZD Vorerfassung'!$V$22:$V$36*IF(D189="FH",0.5,1)),
"prüfen")))</f>
        <v>0</v>
      </c>
      <c r="AZ189" s="110">
        <f t="array" ref="AZ189">IF(OR(D189="UU",D189="FT",D189="WE",E189="Ferien"),0,
IF(D189="NR",SUM(IF(B189&gt;=_xlfn.NUMBERVALUE('ZD Vorerfassung'!$C$22:$C$36),1,0)*IF(B189&lt;=_xlfn.NUMBERVALUE('ZD Vorerfassung'!$D$22:$D$36),1,0)*'ZD Vorerfassung'!$S$22:$S$36),
IF(OR(D189="SF",D189="FH"),SUM(IF(B189&gt;=_xlfn.NUMBERVALUE('ZD Vorerfassung'!$C$22:$C$36),1,0)*IF(B189&lt;=_xlfn.NUMBERVALUE('ZD Vorerfassung'!$D$22:$D$36),1,0)*'ZD Vorerfassung'!$T$22:$T$36*IF(D189="FH",0.5,1)),
"prüfen")))</f>
        <v>0</v>
      </c>
      <c r="BA189" s="112">
        <f t="shared" si="32"/>
        <v>1</v>
      </c>
    </row>
    <row r="190" spans="2:54" ht="19.5" thickTop="1" thickBot="1" x14ac:dyDescent="0.3">
      <c r="B190" s="99">
        <f t="shared" si="29"/>
        <v>44955</v>
      </c>
      <c r="C190" s="100">
        <f t="shared" si="33"/>
        <v>44955</v>
      </c>
      <c r="D190" s="101" t="str">
        <f t="shared" si="34"/>
        <v>WE</v>
      </c>
      <c r="E190" s="102" t="str">
        <f t="shared" si="30"/>
        <v>Wochenende</v>
      </c>
      <c r="F190" s="103" t="str">
        <f t="shared" si="35"/>
        <v/>
      </c>
      <c r="G190" s="104" t="str">
        <f t="shared" si="36"/>
        <v/>
      </c>
      <c r="H190" s="104">
        <f>IFERROR(IF('ZD Vorerfassung'!$E$11="manuell",SUM(I190),IF(OR(E190="Feiertag",E190="Wochenende"),0,IF('ZD Vorerfassung'!$E$11="automatisch",AX190,IF(D190="UU","UU",IF(E190=Param2,AX190/24,IF(E190=Param9,AX190/48,"")))))),0)</f>
        <v>0</v>
      </c>
      <c r="I190" s="105"/>
      <c r="J190" s="106">
        <f>IF('ZD Vorerfassung'!$E$12="manuell",SUM(K190:AI190),IF(OR(E190="Feiertag",E190="Wochenende"),0,IF('ZD Vorerfassung'!$E$12="automatisch",AY190,IF(D190="UU","UU",IF(E190=Param2,AY190/24,IF(E190=Param9,AY190/48,""))))))</f>
        <v>0</v>
      </c>
      <c r="K190" s="105"/>
      <c r="L190" s="105"/>
      <c r="M190" s="105"/>
      <c r="N190" s="105"/>
      <c r="O190" s="105"/>
      <c r="P190" s="105"/>
      <c r="Q190" s="105"/>
      <c r="R190" s="105"/>
      <c r="S190" s="105"/>
      <c r="T190" s="105"/>
      <c r="U190" s="105"/>
      <c r="V190" s="105"/>
      <c r="W190" s="105"/>
      <c r="X190" s="105"/>
      <c r="Y190" s="105"/>
      <c r="Z190" s="105"/>
      <c r="AA190" s="105"/>
      <c r="AB190" s="105"/>
      <c r="AC190" s="105"/>
      <c r="AD190" s="105"/>
      <c r="AE190" s="105"/>
      <c r="AF190" s="105"/>
      <c r="AG190" s="105"/>
      <c r="AH190" s="105"/>
      <c r="AI190" s="105"/>
      <c r="AJ190" s="107">
        <f t="shared" si="37"/>
        <v>0</v>
      </c>
      <c r="AK190" s="105"/>
      <c r="AL190" s="105"/>
      <c r="AM190" s="105"/>
      <c r="AN190" s="105"/>
      <c r="AO190" s="105"/>
      <c r="AP190" s="105"/>
      <c r="AQ190" s="108">
        <f t="shared" si="38"/>
        <v>0</v>
      </c>
      <c r="AR190" s="108">
        <f t="shared" si="39"/>
        <v>0</v>
      </c>
      <c r="AS190" s="109">
        <f t="shared" si="40"/>
        <v>0</v>
      </c>
      <c r="AU190" s="110">
        <f t="shared" si="31"/>
        <v>0</v>
      </c>
      <c r="AV190" s="111" t="str">
        <f>IF(D190="NR",
IF('ZD Vorerfassung'!$E$22="",0,IF(AND(B190&gt;='ZD Vorerfassung'!$C$22,B190&lt;='ZD Vorerfassung'!$D$22),HLOOKUP(TEXT(C190,"ttt"),'ZD Vorerfassung'!$H$21:$L$36,2,0),0))+
IF('ZD Vorerfassung'!$E$23="",0,IF(AND(B190&gt;='ZD Vorerfassung'!$C$23,B190&lt;='ZD Vorerfassung'!$D$23),HLOOKUP(TEXT(C190,"ttt"),'ZD Vorerfassung'!$H$21:$L$36,3,0),0))+
IF('ZD Vorerfassung'!$E$24="",0,IF(AND(B190&gt;='ZD Vorerfassung'!$C$24,B190&lt;='ZD Vorerfassung'!$D$24),HLOOKUP(TEXT(C190,"ttt"),'ZD Vorerfassung'!$H$21:$L$36,4,0),0))+
IF('ZD Vorerfassung'!$E$25="",0,IF(AND(B190&gt;='ZD Vorerfassung'!$C$25,B190&lt;='ZD Vorerfassung'!$D$25),HLOOKUP(TEXT(C190,"ttt"),'ZD Vorerfassung'!$H$21:$L$36,5,0),0))+
IF('ZD Vorerfassung'!$E$26="",0,IF(AND(B190&gt;='ZD Vorerfassung'!$C$26,B190&lt;='ZD Vorerfassung'!$D$26),HLOOKUP(TEXT(C190,"ttt"),'ZD Vorerfassung'!$H$21:$L$36,6,0),0))+
IF('ZD Vorerfassung'!$E$27="",0,IF(AND(B190&gt;='ZD Vorerfassung'!$C$27,B190&lt;='ZD Vorerfassung'!$D$27),HLOOKUP(TEXT(C190,"ttt"),'ZD Vorerfassung'!$H$21:$L$36,7,0),0))+
IF('ZD Vorerfassung'!$E$28="",0,IF(AND(B190&gt;='ZD Vorerfassung'!$C$28,B190&lt;='ZD Vorerfassung'!$D$28),HLOOKUP(TEXT(C190,"ttt"),'ZD Vorerfassung'!$H$21:$L$36,8,0),0))+
IF('ZD Vorerfassung'!$E$29="",0,IF(AND(B190&gt;='ZD Vorerfassung'!$C$29,B190&lt;='ZD Vorerfassung'!$D$29),HLOOKUP(TEXT(C190,"ttt"),'ZD Vorerfassung'!$H$21:$L$36,9,0),0))+
IF('ZD Vorerfassung'!$E$30="",0,IF(AND(B190&gt;='ZD Vorerfassung'!$C$30,B190&lt;='ZD Vorerfassung'!$D$30),HLOOKUP(TEXT(C190,"ttt"),'ZD Vorerfassung'!$H$21:$L$36,10,0),0))+
IF('ZD Vorerfassung'!$E$31="",0,IF(AND(B190&gt;='ZD Vorerfassung'!$C$31,B190&lt;='ZD Vorerfassung'!$D$31),HLOOKUP(TEXT(C190,"ttt"),'ZD Vorerfassung'!$H$21:$L$36,11,0),0))+
IF('ZD Vorerfassung'!$E$32="",0,IF(AND(B190&gt;='ZD Vorerfassung'!$C$32,B190&lt;='ZD Vorerfassung'!$D$32),HLOOKUP(TEXT(C190,"ttt"),'ZD Vorerfassung'!$H$21:$L$36,12,0),0))+
IF('ZD Vorerfassung'!$E$33="",0,IF(AND(B190&gt;='ZD Vorerfassung'!$C$33,B190&lt;='ZD Vorerfassung'!$D$33),HLOOKUP(TEXT(C190,"ttt"),'ZD Vorerfassung'!$H$21:$L$36,13,0),0))+
IF('ZD Vorerfassung'!$E$34="",0,IF(AND(B190&gt;='ZD Vorerfassung'!$C$34,B190&lt;='ZD Vorerfassung'!$D$34),HLOOKUP(TEXT(C190,"ttt"),'ZD Vorerfassung'!$H$21:$L$36,14,0),0))+
IF('ZD Vorerfassung'!$E$35="",0,IF(AND(B190&gt;='ZD Vorerfassung'!$C$35,B190&lt;='ZD Vorerfassung'!$D$35),HLOOKUP(TEXT(C190,"ttt"),'ZD Vorerfassung'!$H$21:$L$36,15,0),0))+
IF('ZD Vorerfassung'!$E$36="",0,IF(AND(B190&gt;='ZD Vorerfassung'!$C$36,B190&lt;='ZD Vorerfassung'!$D$36),HLOOKUP(TEXT(C190,"ttt"),'ZD Vorerfassung'!$H$21:$L$36,16,0),0)),"")</f>
        <v/>
      </c>
      <c r="AW190" s="110">
        <f t="array" ref="AW190">IF(OR(D190="UU",D190="FT",D190="WE"),0,
IF(D190="NR",SUM(IF(B190&gt;=_xlfn.NUMBERVALUE('ZD Vorerfassung'!$C$22:$C$36),1,0)*IF(B190&lt;=_xlfn.NUMBERVALUE('ZD Vorerfassung'!$D$22:$D$36),1,0)*'ZD Vorerfassung'!$Q$22:$Q$36),
IF(OR(D190="SF",D190="FH"),SUM(IF(B190&gt;=_xlfn.NUMBERVALUE('ZD Vorerfassung'!$C$22:$C$36),1,0)*IF(B190&lt;=_xlfn.NUMBERVALUE('ZD Vorerfassung'!$D$22:$D$36),1,0)*'ZD Vorerfassung'!$R$22:$R$36*IF(D190="FH",0.5,1)),
"prüfen")))</f>
        <v>0</v>
      </c>
      <c r="AX190" s="110">
        <f t="array" ref="AX190">IF(OR(D190="UU",D190="FT",D190="WE",E190="Ferien"),0,
IF(D190="NR",SUM(IF(B190&gt;=_xlfn.NUMBERVALUE('ZD Vorerfassung'!$C$22:$C$36),1,0)*IF(B190&lt;=_xlfn.NUMBERVALUE('ZD Vorerfassung'!$D$22:$D$36),1,0)*'ZD Vorerfassung'!$W$22:$W$36),
IF(OR(D190="SF",D190="FH"),SUM(IF(B190&gt;=_xlfn.NUMBERVALUE('ZD Vorerfassung'!$C$22:$C$36),1,0)*IF(B190&lt;=_xlfn.NUMBERVALUE('ZD Vorerfassung'!$D$22:$D$36),1,0)*'ZD Vorerfassung'!$X$22:$X$36*IF(D190="FH",0.5,1)),
"prüfen")))</f>
        <v>0</v>
      </c>
      <c r="AY190" s="110">
        <f t="array" ref="AY190">IF(OR(D190="UU",D190="FT",D190="WE",E190="Ferien"),0,
IF(D190="NR",SUM(IF(B190&gt;=_xlfn.NUMBERVALUE('ZD Vorerfassung'!$C$22:$C$36),1,0)*IF(B190&lt;=_xlfn.NUMBERVALUE('ZD Vorerfassung'!$D$22:$D$36),1,0)*'ZD Vorerfassung'!$U$22:$U$36),
IF(OR(D190="SF",D190="FH"),SUM(IF(B190&gt;=_xlfn.NUMBERVALUE('ZD Vorerfassung'!$C$22:$C$36),1,0)*IF(B190&lt;=_xlfn.NUMBERVALUE('ZD Vorerfassung'!$D$22:$D$36),1,0)*'ZD Vorerfassung'!$V$22:$V$36*IF(D190="FH",0.5,1)),
"prüfen")))</f>
        <v>0</v>
      </c>
      <c r="AZ190" s="110">
        <f t="array" ref="AZ190">IF(OR(D190="UU",D190="FT",D190="WE",E190="Ferien"),0,
IF(D190="NR",SUM(IF(B190&gt;=_xlfn.NUMBERVALUE('ZD Vorerfassung'!$C$22:$C$36),1,0)*IF(B190&lt;=_xlfn.NUMBERVALUE('ZD Vorerfassung'!$D$22:$D$36),1,0)*'ZD Vorerfassung'!$S$22:$S$36),
IF(OR(D190="SF",D190="FH"),SUM(IF(B190&gt;=_xlfn.NUMBERVALUE('ZD Vorerfassung'!$C$22:$C$36),1,0)*IF(B190&lt;=_xlfn.NUMBERVALUE('ZD Vorerfassung'!$D$22:$D$36),1,0)*'ZD Vorerfassung'!$T$22:$T$36*IF(D190="FH",0.5,1)),
"prüfen")))</f>
        <v>0</v>
      </c>
      <c r="BA190" s="112">
        <f t="shared" si="32"/>
        <v>1</v>
      </c>
    </row>
    <row r="191" spans="2:54" ht="19.5" thickTop="1" thickBot="1" x14ac:dyDescent="0.3">
      <c r="B191" s="99">
        <f t="shared" si="29"/>
        <v>44956</v>
      </c>
      <c r="C191" s="100">
        <f t="shared" si="33"/>
        <v>44956</v>
      </c>
      <c r="D191" s="101" t="str">
        <f t="shared" si="34"/>
        <v>WE</v>
      </c>
      <c r="E191" s="102" t="str">
        <f t="shared" si="30"/>
        <v>Wochenende</v>
      </c>
      <c r="F191" s="103" t="str">
        <f t="shared" si="35"/>
        <v/>
      </c>
      <c r="G191" s="104" t="str">
        <f t="shared" si="36"/>
        <v/>
      </c>
      <c r="H191" s="104">
        <f>IFERROR(IF('ZD Vorerfassung'!$E$11="manuell",SUM(I191),IF(OR(E191="Feiertag",E191="Wochenende"),0,IF('ZD Vorerfassung'!$E$11="automatisch",AX191,IF(D191="UU","UU",IF(E191=Param2,AX191/24,IF(E191=Param9,AX191/48,"")))))),0)</f>
        <v>0</v>
      </c>
      <c r="I191" s="105"/>
      <c r="J191" s="106">
        <f>IF('ZD Vorerfassung'!$E$12="manuell",SUM(K191:AI191),IF(OR(E191="Feiertag",E191="Wochenende"),0,IF('ZD Vorerfassung'!$E$12="automatisch",AY191,IF(D191="UU","UU",IF(E191=Param2,AY191/24,IF(E191=Param9,AY191/48,""))))))</f>
        <v>0</v>
      </c>
      <c r="K191" s="105"/>
      <c r="L191" s="105"/>
      <c r="M191" s="105"/>
      <c r="N191" s="105"/>
      <c r="O191" s="105"/>
      <c r="P191" s="105"/>
      <c r="Q191" s="105"/>
      <c r="R191" s="105"/>
      <c r="S191" s="105"/>
      <c r="T191" s="105"/>
      <c r="U191" s="105"/>
      <c r="V191" s="105"/>
      <c r="W191" s="105"/>
      <c r="X191" s="105"/>
      <c r="Y191" s="105"/>
      <c r="Z191" s="105"/>
      <c r="AA191" s="105"/>
      <c r="AB191" s="105"/>
      <c r="AC191" s="105"/>
      <c r="AD191" s="105"/>
      <c r="AE191" s="105"/>
      <c r="AF191" s="105"/>
      <c r="AG191" s="105"/>
      <c r="AH191" s="105"/>
      <c r="AI191" s="105"/>
      <c r="AJ191" s="107">
        <f t="shared" si="37"/>
        <v>0</v>
      </c>
      <c r="AK191" s="105"/>
      <c r="AL191" s="105"/>
      <c r="AM191" s="105"/>
      <c r="AN191" s="105"/>
      <c r="AO191" s="105"/>
      <c r="AP191" s="105"/>
      <c r="AQ191" s="108">
        <f t="shared" si="38"/>
        <v>0</v>
      </c>
      <c r="AR191" s="108">
        <f t="shared" si="39"/>
        <v>0</v>
      </c>
      <c r="AS191" s="109">
        <f t="shared" si="40"/>
        <v>0</v>
      </c>
      <c r="AU191" s="110">
        <f t="shared" si="31"/>
        <v>0</v>
      </c>
      <c r="AV191" s="111" t="str">
        <f>IF(D191="NR",
IF('ZD Vorerfassung'!$E$22="",0,IF(AND(B191&gt;='ZD Vorerfassung'!$C$22,B191&lt;='ZD Vorerfassung'!$D$22),HLOOKUP(TEXT(C191,"ttt"),'ZD Vorerfassung'!$H$21:$L$36,2,0),0))+
IF('ZD Vorerfassung'!$E$23="",0,IF(AND(B191&gt;='ZD Vorerfassung'!$C$23,B191&lt;='ZD Vorerfassung'!$D$23),HLOOKUP(TEXT(C191,"ttt"),'ZD Vorerfassung'!$H$21:$L$36,3,0),0))+
IF('ZD Vorerfassung'!$E$24="",0,IF(AND(B191&gt;='ZD Vorerfassung'!$C$24,B191&lt;='ZD Vorerfassung'!$D$24),HLOOKUP(TEXT(C191,"ttt"),'ZD Vorerfassung'!$H$21:$L$36,4,0),0))+
IF('ZD Vorerfassung'!$E$25="",0,IF(AND(B191&gt;='ZD Vorerfassung'!$C$25,B191&lt;='ZD Vorerfassung'!$D$25),HLOOKUP(TEXT(C191,"ttt"),'ZD Vorerfassung'!$H$21:$L$36,5,0),0))+
IF('ZD Vorerfassung'!$E$26="",0,IF(AND(B191&gt;='ZD Vorerfassung'!$C$26,B191&lt;='ZD Vorerfassung'!$D$26),HLOOKUP(TEXT(C191,"ttt"),'ZD Vorerfassung'!$H$21:$L$36,6,0),0))+
IF('ZD Vorerfassung'!$E$27="",0,IF(AND(B191&gt;='ZD Vorerfassung'!$C$27,B191&lt;='ZD Vorerfassung'!$D$27),HLOOKUP(TEXT(C191,"ttt"),'ZD Vorerfassung'!$H$21:$L$36,7,0),0))+
IF('ZD Vorerfassung'!$E$28="",0,IF(AND(B191&gt;='ZD Vorerfassung'!$C$28,B191&lt;='ZD Vorerfassung'!$D$28),HLOOKUP(TEXT(C191,"ttt"),'ZD Vorerfassung'!$H$21:$L$36,8,0),0))+
IF('ZD Vorerfassung'!$E$29="",0,IF(AND(B191&gt;='ZD Vorerfassung'!$C$29,B191&lt;='ZD Vorerfassung'!$D$29),HLOOKUP(TEXT(C191,"ttt"),'ZD Vorerfassung'!$H$21:$L$36,9,0),0))+
IF('ZD Vorerfassung'!$E$30="",0,IF(AND(B191&gt;='ZD Vorerfassung'!$C$30,B191&lt;='ZD Vorerfassung'!$D$30),HLOOKUP(TEXT(C191,"ttt"),'ZD Vorerfassung'!$H$21:$L$36,10,0),0))+
IF('ZD Vorerfassung'!$E$31="",0,IF(AND(B191&gt;='ZD Vorerfassung'!$C$31,B191&lt;='ZD Vorerfassung'!$D$31),HLOOKUP(TEXT(C191,"ttt"),'ZD Vorerfassung'!$H$21:$L$36,11,0),0))+
IF('ZD Vorerfassung'!$E$32="",0,IF(AND(B191&gt;='ZD Vorerfassung'!$C$32,B191&lt;='ZD Vorerfassung'!$D$32),HLOOKUP(TEXT(C191,"ttt"),'ZD Vorerfassung'!$H$21:$L$36,12,0),0))+
IF('ZD Vorerfassung'!$E$33="",0,IF(AND(B191&gt;='ZD Vorerfassung'!$C$33,B191&lt;='ZD Vorerfassung'!$D$33),HLOOKUP(TEXT(C191,"ttt"),'ZD Vorerfassung'!$H$21:$L$36,13,0),0))+
IF('ZD Vorerfassung'!$E$34="",0,IF(AND(B191&gt;='ZD Vorerfassung'!$C$34,B191&lt;='ZD Vorerfassung'!$D$34),HLOOKUP(TEXT(C191,"ttt"),'ZD Vorerfassung'!$H$21:$L$36,14,0),0))+
IF('ZD Vorerfassung'!$E$35="",0,IF(AND(B191&gt;='ZD Vorerfassung'!$C$35,B191&lt;='ZD Vorerfassung'!$D$35),HLOOKUP(TEXT(C191,"ttt"),'ZD Vorerfassung'!$H$21:$L$36,15,0),0))+
IF('ZD Vorerfassung'!$E$36="",0,IF(AND(B191&gt;='ZD Vorerfassung'!$C$36,B191&lt;='ZD Vorerfassung'!$D$36),HLOOKUP(TEXT(C191,"ttt"),'ZD Vorerfassung'!$H$21:$L$36,16,0),0)),"")</f>
        <v/>
      </c>
      <c r="AW191" s="110">
        <f t="array" ref="AW191">IF(OR(D191="UU",D191="FT",D191="WE"),0,
IF(D191="NR",SUM(IF(B191&gt;=_xlfn.NUMBERVALUE('ZD Vorerfassung'!$C$22:$C$36),1,0)*IF(B191&lt;=_xlfn.NUMBERVALUE('ZD Vorerfassung'!$D$22:$D$36),1,0)*'ZD Vorerfassung'!$Q$22:$Q$36),
IF(OR(D191="SF",D191="FH"),SUM(IF(B191&gt;=_xlfn.NUMBERVALUE('ZD Vorerfassung'!$C$22:$C$36),1,0)*IF(B191&lt;=_xlfn.NUMBERVALUE('ZD Vorerfassung'!$D$22:$D$36),1,0)*'ZD Vorerfassung'!$R$22:$R$36*IF(D191="FH",0.5,1)),
"prüfen")))</f>
        <v>0</v>
      </c>
      <c r="AX191" s="110">
        <f t="array" ref="AX191">IF(OR(D191="UU",D191="FT",D191="WE",E191="Ferien"),0,
IF(D191="NR",SUM(IF(B191&gt;=_xlfn.NUMBERVALUE('ZD Vorerfassung'!$C$22:$C$36),1,0)*IF(B191&lt;=_xlfn.NUMBERVALUE('ZD Vorerfassung'!$D$22:$D$36),1,0)*'ZD Vorerfassung'!$W$22:$W$36),
IF(OR(D191="SF",D191="FH"),SUM(IF(B191&gt;=_xlfn.NUMBERVALUE('ZD Vorerfassung'!$C$22:$C$36),1,0)*IF(B191&lt;=_xlfn.NUMBERVALUE('ZD Vorerfassung'!$D$22:$D$36),1,0)*'ZD Vorerfassung'!$X$22:$X$36*IF(D191="FH",0.5,1)),
"prüfen")))</f>
        <v>0</v>
      </c>
      <c r="AY191" s="110">
        <f t="array" ref="AY191">IF(OR(D191="UU",D191="FT",D191="WE",E191="Ferien"),0,
IF(D191="NR",SUM(IF(B191&gt;=_xlfn.NUMBERVALUE('ZD Vorerfassung'!$C$22:$C$36),1,0)*IF(B191&lt;=_xlfn.NUMBERVALUE('ZD Vorerfassung'!$D$22:$D$36),1,0)*'ZD Vorerfassung'!$U$22:$U$36),
IF(OR(D191="SF",D191="FH"),SUM(IF(B191&gt;=_xlfn.NUMBERVALUE('ZD Vorerfassung'!$C$22:$C$36),1,0)*IF(B191&lt;=_xlfn.NUMBERVALUE('ZD Vorerfassung'!$D$22:$D$36),1,0)*'ZD Vorerfassung'!$V$22:$V$36*IF(D191="FH",0.5,1)),
"prüfen")))</f>
        <v>0</v>
      </c>
      <c r="AZ191" s="110">
        <f t="array" ref="AZ191">IF(OR(D191="UU",D191="FT",D191="WE",E191="Ferien"),0,
IF(D191="NR",SUM(IF(B191&gt;=_xlfn.NUMBERVALUE('ZD Vorerfassung'!$C$22:$C$36),1,0)*IF(B191&lt;=_xlfn.NUMBERVALUE('ZD Vorerfassung'!$D$22:$D$36),1,0)*'ZD Vorerfassung'!$S$22:$S$36),
IF(OR(D191="SF",D191="FH"),SUM(IF(B191&gt;=_xlfn.NUMBERVALUE('ZD Vorerfassung'!$C$22:$C$36),1,0)*IF(B191&lt;=_xlfn.NUMBERVALUE('ZD Vorerfassung'!$D$22:$D$36),1,0)*'ZD Vorerfassung'!$T$22:$T$36*IF(D191="FH",0.5,1)),
"prüfen")))</f>
        <v>0</v>
      </c>
      <c r="BA191" s="112">
        <f t="shared" si="32"/>
        <v>1</v>
      </c>
    </row>
    <row r="192" spans="2:54" ht="19.5" thickTop="1" thickBot="1" x14ac:dyDescent="0.3">
      <c r="B192" s="99">
        <f t="shared" si="29"/>
        <v>44957</v>
      </c>
      <c r="C192" s="100">
        <f t="shared" si="33"/>
        <v>44957</v>
      </c>
      <c r="D192" s="101" t="str">
        <f t="shared" si="34"/>
        <v>NR</v>
      </c>
      <c r="E192" s="102" t="str">
        <f t="shared" si="30"/>
        <v>Unterrichtstag</v>
      </c>
      <c r="F192" s="103">
        <f t="shared" si="35"/>
        <v>0</v>
      </c>
      <c r="G192" s="104">
        <f t="shared" si="36"/>
        <v>0</v>
      </c>
      <c r="H192" s="104">
        <f>IFERROR(IF('ZD Vorerfassung'!$E$11="manuell",SUM(I192),IF(OR(E192="Feiertag",E192="Wochenende"),0,IF('ZD Vorerfassung'!$E$11="automatisch",AX192,IF(D192="UU","UU",IF(E192=Param2,AX192/24,IF(E192=Param9,AX192/48,"")))))),0)</f>
        <v>0</v>
      </c>
      <c r="I192" s="105"/>
      <c r="J192" s="106">
        <f>IF('ZD Vorerfassung'!$E$12="manuell",SUM(K192:AI192),IF(OR(E192="Feiertag",E192="Wochenende"),0,IF('ZD Vorerfassung'!$E$12="automatisch",AY192,IF(D192="UU","UU",IF(E192=Param2,AY192/24,IF(E192=Param9,AY192/48,""))))))</f>
        <v>0</v>
      </c>
      <c r="K192" s="105"/>
      <c r="L192" s="105"/>
      <c r="M192" s="105"/>
      <c r="N192" s="105"/>
      <c r="O192" s="105"/>
      <c r="P192" s="105"/>
      <c r="Q192" s="105"/>
      <c r="R192" s="105"/>
      <c r="S192" s="105"/>
      <c r="T192" s="105"/>
      <c r="U192" s="105"/>
      <c r="V192" s="105"/>
      <c r="W192" s="105"/>
      <c r="X192" s="105"/>
      <c r="Y192" s="105"/>
      <c r="Z192" s="105"/>
      <c r="AA192" s="105"/>
      <c r="AB192" s="105"/>
      <c r="AC192" s="105"/>
      <c r="AD192" s="105"/>
      <c r="AE192" s="105"/>
      <c r="AF192" s="105"/>
      <c r="AG192" s="105"/>
      <c r="AH192" s="105"/>
      <c r="AI192" s="105"/>
      <c r="AJ192" s="107">
        <f t="shared" si="37"/>
        <v>0</v>
      </c>
      <c r="AK192" s="105"/>
      <c r="AL192" s="105"/>
      <c r="AM192" s="105"/>
      <c r="AN192" s="105"/>
      <c r="AO192" s="105"/>
      <c r="AP192" s="105"/>
      <c r="AQ192" s="108">
        <f t="shared" si="38"/>
        <v>0</v>
      </c>
      <c r="AR192" s="108">
        <f t="shared" si="39"/>
        <v>0</v>
      </c>
      <c r="AS192" s="109">
        <f t="shared" si="40"/>
        <v>0</v>
      </c>
      <c r="AU192" s="110">
        <f t="shared" si="31"/>
        <v>0</v>
      </c>
      <c r="AV192" s="111">
        <f>IF(D192="NR",
IF('ZD Vorerfassung'!$E$22="",0,IF(AND(B192&gt;='ZD Vorerfassung'!$C$22,B192&lt;='ZD Vorerfassung'!$D$22),HLOOKUP(TEXT(C192,"ttt"),'ZD Vorerfassung'!$H$21:$L$36,2,0),0))+
IF('ZD Vorerfassung'!$E$23="",0,IF(AND(B192&gt;='ZD Vorerfassung'!$C$23,B192&lt;='ZD Vorerfassung'!$D$23),HLOOKUP(TEXT(C192,"ttt"),'ZD Vorerfassung'!$H$21:$L$36,3,0),0))+
IF('ZD Vorerfassung'!$E$24="",0,IF(AND(B192&gt;='ZD Vorerfassung'!$C$24,B192&lt;='ZD Vorerfassung'!$D$24),HLOOKUP(TEXT(C192,"ttt"),'ZD Vorerfassung'!$H$21:$L$36,4,0),0))+
IF('ZD Vorerfassung'!$E$25="",0,IF(AND(B192&gt;='ZD Vorerfassung'!$C$25,B192&lt;='ZD Vorerfassung'!$D$25),HLOOKUP(TEXT(C192,"ttt"),'ZD Vorerfassung'!$H$21:$L$36,5,0),0))+
IF('ZD Vorerfassung'!$E$26="",0,IF(AND(B192&gt;='ZD Vorerfassung'!$C$26,B192&lt;='ZD Vorerfassung'!$D$26),HLOOKUP(TEXT(C192,"ttt"),'ZD Vorerfassung'!$H$21:$L$36,6,0),0))+
IF('ZD Vorerfassung'!$E$27="",0,IF(AND(B192&gt;='ZD Vorerfassung'!$C$27,B192&lt;='ZD Vorerfassung'!$D$27),HLOOKUP(TEXT(C192,"ttt"),'ZD Vorerfassung'!$H$21:$L$36,7,0),0))+
IF('ZD Vorerfassung'!$E$28="",0,IF(AND(B192&gt;='ZD Vorerfassung'!$C$28,B192&lt;='ZD Vorerfassung'!$D$28),HLOOKUP(TEXT(C192,"ttt"),'ZD Vorerfassung'!$H$21:$L$36,8,0),0))+
IF('ZD Vorerfassung'!$E$29="",0,IF(AND(B192&gt;='ZD Vorerfassung'!$C$29,B192&lt;='ZD Vorerfassung'!$D$29),HLOOKUP(TEXT(C192,"ttt"),'ZD Vorerfassung'!$H$21:$L$36,9,0),0))+
IF('ZD Vorerfassung'!$E$30="",0,IF(AND(B192&gt;='ZD Vorerfassung'!$C$30,B192&lt;='ZD Vorerfassung'!$D$30),HLOOKUP(TEXT(C192,"ttt"),'ZD Vorerfassung'!$H$21:$L$36,10,0),0))+
IF('ZD Vorerfassung'!$E$31="",0,IF(AND(B192&gt;='ZD Vorerfassung'!$C$31,B192&lt;='ZD Vorerfassung'!$D$31),HLOOKUP(TEXT(C192,"ttt"),'ZD Vorerfassung'!$H$21:$L$36,11,0),0))+
IF('ZD Vorerfassung'!$E$32="",0,IF(AND(B192&gt;='ZD Vorerfassung'!$C$32,B192&lt;='ZD Vorerfassung'!$D$32),HLOOKUP(TEXT(C192,"ttt"),'ZD Vorerfassung'!$H$21:$L$36,12,0),0))+
IF('ZD Vorerfassung'!$E$33="",0,IF(AND(B192&gt;='ZD Vorerfassung'!$C$33,B192&lt;='ZD Vorerfassung'!$D$33),HLOOKUP(TEXT(C192,"ttt"),'ZD Vorerfassung'!$H$21:$L$36,13,0),0))+
IF('ZD Vorerfassung'!$E$34="",0,IF(AND(B192&gt;='ZD Vorerfassung'!$C$34,B192&lt;='ZD Vorerfassung'!$D$34),HLOOKUP(TEXT(C192,"ttt"),'ZD Vorerfassung'!$H$21:$L$36,14,0),0))+
IF('ZD Vorerfassung'!$E$35="",0,IF(AND(B192&gt;='ZD Vorerfassung'!$C$35,B192&lt;='ZD Vorerfassung'!$D$35),HLOOKUP(TEXT(C192,"ttt"),'ZD Vorerfassung'!$H$21:$L$36,15,0),0))+
IF('ZD Vorerfassung'!$E$36="",0,IF(AND(B192&gt;='ZD Vorerfassung'!$C$36,B192&lt;='ZD Vorerfassung'!$D$36),HLOOKUP(TEXT(C192,"ttt"),'ZD Vorerfassung'!$H$21:$L$36,16,0),0)),"")</f>
        <v>0</v>
      </c>
      <c r="AW192" s="110">
        <f t="array" ref="AW192">IF(OR(D192="UU",D192="FT",D192="WE"),0,
IF(D192="NR",SUM(IF(B192&gt;=_xlfn.NUMBERVALUE('ZD Vorerfassung'!$C$22:$C$36),1,0)*IF(B192&lt;=_xlfn.NUMBERVALUE('ZD Vorerfassung'!$D$22:$D$36),1,0)*'ZD Vorerfassung'!$Q$22:$Q$36),
IF(OR(D192="SF",D192="FH"),SUM(IF(B192&gt;=_xlfn.NUMBERVALUE('ZD Vorerfassung'!$C$22:$C$36),1,0)*IF(B192&lt;=_xlfn.NUMBERVALUE('ZD Vorerfassung'!$D$22:$D$36),1,0)*'ZD Vorerfassung'!$R$22:$R$36*IF(D192="FH",0.5,1)),
"prüfen")))</f>
        <v>0</v>
      </c>
      <c r="AX192" s="110">
        <f t="array" ref="AX192">IF(OR(D192="UU",D192="FT",D192="WE",E192="Ferien"),0,
IF(D192="NR",SUM(IF(B192&gt;=_xlfn.NUMBERVALUE('ZD Vorerfassung'!$C$22:$C$36),1,0)*IF(B192&lt;=_xlfn.NUMBERVALUE('ZD Vorerfassung'!$D$22:$D$36),1,0)*'ZD Vorerfassung'!$W$22:$W$36),
IF(OR(D192="SF",D192="FH"),SUM(IF(B192&gt;=_xlfn.NUMBERVALUE('ZD Vorerfassung'!$C$22:$C$36),1,0)*IF(B192&lt;=_xlfn.NUMBERVALUE('ZD Vorerfassung'!$D$22:$D$36),1,0)*'ZD Vorerfassung'!$X$22:$X$36*IF(D192="FH",0.5,1)),
"prüfen")))</f>
        <v>0</v>
      </c>
      <c r="AY192" s="110">
        <f t="array" ref="AY192">IF(OR(D192="UU",D192="FT",D192="WE",E192="Ferien"),0,
IF(D192="NR",SUM(IF(B192&gt;=_xlfn.NUMBERVALUE('ZD Vorerfassung'!$C$22:$C$36),1,0)*IF(B192&lt;=_xlfn.NUMBERVALUE('ZD Vorerfassung'!$D$22:$D$36),1,0)*'ZD Vorerfassung'!$U$22:$U$36),
IF(OR(D192="SF",D192="FH"),SUM(IF(B192&gt;=_xlfn.NUMBERVALUE('ZD Vorerfassung'!$C$22:$C$36),1,0)*IF(B192&lt;=_xlfn.NUMBERVALUE('ZD Vorerfassung'!$D$22:$D$36),1,0)*'ZD Vorerfassung'!$V$22:$V$36*IF(D192="FH",0.5,1)),
"prüfen")))</f>
        <v>0</v>
      </c>
      <c r="AZ192" s="110">
        <f t="array" ref="AZ192">IF(OR(D192="UU",D192="FT",D192="WE",E192="Ferien"),0,
IF(D192="NR",SUM(IF(B192&gt;=_xlfn.NUMBERVALUE('ZD Vorerfassung'!$C$22:$C$36),1,0)*IF(B192&lt;=_xlfn.NUMBERVALUE('ZD Vorerfassung'!$D$22:$D$36),1,0)*'ZD Vorerfassung'!$S$22:$S$36),
IF(OR(D192="SF",D192="FH"),SUM(IF(B192&gt;=_xlfn.NUMBERVALUE('ZD Vorerfassung'!$C$22:$C$36),1,0)*IF(B192&lt;=_xlfn.NUMBERVALUE('ZD Vorerfassung'!$D$22:$D$36),1,0)*'ZD Vorerfassung'!$T$22:$T$36*IF(D192="FH",0.5,1)),
"prüfen")))</f>
        <v>0</v>
      </c>
      <c r="BA192" s="112">
        <f t="shared" si="32"/>
        <v>2</v>
      </c>
    </row>
    <row r="193" spans="2:53" ht="19.5" thickTop="1" thickBot="1" x14ac:dyDescent="0.3">
      <c r="B193" s="99">
        <f t="shared" si="29"/>
        <v>44958</v>
      </c>
      <c r="C193" s="100">
        <f t="shared" si="33"/>
        <v>44958</v>
      </c>
      <c r="D193" s="101" t="str">
        <f t="shared" si="34"/>
        <v>NR</v>
      </c>
      <c r="E193" s="102" t="str">
        <f t="shared" si="30"/>
        <v>Unterrichtstag</v>
      </c>
      <c r="F193" s="103">
        <f t="shared" si="35"/>
        <v>0</v>
      </c>
      <c r="G193" s="104">
        <f t="shared" si="36"/>
        <v>0</v>
      </c>
      <c r="H193" s="104">
        <f>IFERROR(IF('ZD Vorerfassung'!$E$11="manuell",SUM(I193),IF(OR(E193="Feiertag",E193="Wochenende"),0,IF('ZD Vorerfassung'!$E$11="automatisch",AX193,IF(D193="UU","UU",IF(E193=Param2,AX193/24,IF(E193=Param9,AX193/48,"")))))),0)</f>
        <v>0</v>
      </c>
      <c r="I193" s="105"/>
      <c r="J193" s="106">
        <f>IF('ZD Vorerfassung'!$E$12="manuell",SUM(K193:AI193),IF(OR(E193="Feiertag",E193="Wochenende"),0,IF('ZD Vorerfassung'!$E$12="automatisch",AY193,IF(D193="UU","UU",IF(E193=Param2,AY193/24,IF(E193=Param9,AY193/48,""))))))</f>
        <v>0</v>
      </c>
      <c r="K193" s="105"/>
      <c r="L193" s="105"/>
      <c r="M193" s="105"/>
      <c r="N193" s="105"/>
      <c r="O193" s="105"/>
      <c r="P193" s="105"/>
      <c r="Q193" s="105"/>
      <c r="R193" s="105"/>
      <c r="S193" s="105"/>
      <c r="T193" s="105"/>
      <c r="U193" s="105"/>
      <c r="V193" s="105"/>
      <c r="W193" s="105"/>
      <c r="X193" s="105"/>
      <c r="Y193" s="105"/>
      <c r="Z193" s="105"/>
      <c r="AA193" s="105"/>
      <c r="AB193" s="105"/>
      <c r="AC193" s="105"/>
      <c r="AD193" s="105"/>
      <c r="AE193" s="105"/>
      <c r="AF193" s="105"/>
      <c r="AG193" s="105"/>
      <c r="AH193" s="105"/>
      <c r="AI193" s="105"/>
      <c r="AJ193" s="107">
        <f t="shared" si="37"/>
        <v>0</v>
      </c>
      <c r="AK193" s="105"/>
      <c r="AL193" s="105"/>
      <c r="AM193" s="105"/>
      <c r="AN193" s="105"/>
      <c r="AO193" s="105"/>
      <c r="AP193" s="105"/>
      <c r="AQ193" s="108">
        <f t="shared" si="38"/>
        <v>0</v>
      </c>
      <c r="AR193" s="108">
        <f t="shared" si="39"/>
        <v>0</v>
      </c>
      <c r="AS193" s="109">
        <f t="shared" si="40"/>
        <v>0</v>
      </c>
      <c r="AU193" s="110">
        <f t="shared" si="31"/>
        <v>0</v>
      </c>
      <c r="AV193" s="111">
        <f>IF(D193="NR",
IF('ZD Vorerfassung'!$E$22="",0,IF(AND(B193&gt;='ZD Vorerfassung'!$C$22,B193&lt;='ZD Vorerfassung'!$D$22),HLOOKUP(TEXT(C193,"ttt"),'ZD Vorerfassung'!$H$21:$L$36,2,0),0))+
IF('ZD Vorerfassung'!$E$23="",0,IF(AND(B193&gt;='ZD Vorerfassung'!$C$23,B193&lt;='ZD Vorerfassung'!$D$23),HLOOKUP(TEXT(C193,"ttt"),'ZD Vorerfassung'!$H$21:$L$36,3,0),0))+
IF('ZD Vorerfassung'!$E$24="",0,IF(AND(B193&gt;='ZD Vorerfassung'!$C$24,B193&lt;='ZD Vorerfassung'!$D$24),HLOOKUP(TEXT(C193,"ttt"),'ZD Vorerfassung'!$H$21:$L$36,4,0),0))+
IF('ZD Vorerfassung'!$E$25="",0,IF(AND(B193&gt;='ZD Vorerfassung'!$C$25,B193&lt;='ZD Vorerfassung'!$D$25),HLOOKUP(TEXT(C193,"ttt"),'ZD Vorerfassung'!$H$21:$L$36,5,0),0))+
IF('ZD Vorerfassung'!$E$26="",0,IF(AND(B193&gt;='ZD Vorerfassung'!$C$26,B193&lt;='ZD Vorerfassung'!$D$26),HLOOKUP(TEXT(C193,"ttt"),'ZD Vorerfassung'!$H$21:$L$36,6,0),0))+
IF('ZD Vorerfassung'!$E$27="",0,IF(AND(B193&gt;='ZD Vorerfassung'!$C$27,B193&lt;='ZD Vorerfassung'!$D$27),HLOOKUP(TEXT(C193,"ttt"),'ZD Vorerfassung'!$H$21:$L$36,7,0),0))+
IF('ZD Vorerfassung'!$E$28="",0,IF(AND(B193&gt;='ZD Vorerfassung'!$C$28,B193&lt;='ZD Vorerfassung'!$D$28),HLOOKUP(TEXT(C193,"ttt"),'ZD Vorerfassung'!$H$21:$L$36,8,0),0))+
IF('ZD Vorerfassung'!$E$29="",0,IF(AND(B193&gt;='ZD Vorerfassung'!$C$29,B193&lt;='ZD Vorerfassung'!$D$29),HLOOKUP(TEXT(C193,"ttt"),'ZD Vorerfassung'!$H$21:$L$36,9,0),0))+
IF('ZD Vorerfassung'!$E$30="",0,IF(AND(B193&gt;='ZD Vorerfassung'!$C$30,B193&lt;='ZD Vorerfassung'!$D$30),HLOOKUP(TEXT(C193,"ttt"),'ZD Vorerfassung'!$H$21:$L$36,10,0),0))+
IF('ZD Vorerfassung'!$E$31="",0,IF(AND(B193&gt;='ZD Vorerfassung'!$C$31,B193&lt;='ZD Vorerfassung'!$D$31),HLOOKUP(TEXT(C193,"ttt"),'ZD Vorerfassung'!$H$21:$L$36,11,0),0))+
IF('ZD Vorerfassung'!$E$32="",0,IF(AND(B193&gt;='ZD Vorerfassung'!$C$32,B193&lt;='ZD Vorerfassung'!$D$32),HLOOKUP(TEXT(C193,"ttt"),'ZD Vorerfassung'!$H$21:$L$36,12,0),0))+
IF('ZD Vorerfassung'!$E$33="",0,IF(AND(B193&gt;='ZD Vorerfassung'!$C$33,B193&lt;='ZD Vorerfassung'!$D$33),HLOOKUP(TEXT(C193,"ttt"),'ZD Vorerfassung'!$H$21:$L$36,13,0),0))+
IF('ZD Vorerfassung'!$E$34="",0,IF(AND(B193&gt;='ZD Vorerfassung'!$C$34,B193&lt;='ZD Vorerfassung'!$D$34),HLOOKUP(TEXT(C193,"ttt"),'ZD Vorerfassung'!$H$21:$L$36,14,0),0))+
IF('ZD Vorerfassung'!$E$35="",0,IF(AND(B193&gt;='ZD Vorerfassung'!$C$35,B193&lt;='ZD Vorerfassung'!$D$35),HLOOKUP(TEXT(C193,"ttt"),'ZD Vorerfassung'!$H$21:$L$36,15,0),0))+
IF('ZD Vorerfassung'!$E$36="",0,IF(AND(B193&gt;='ZD Vorerfassung'!$C$36,B193&lt;='ZD Vorerfassung'!$D$36),HLOOKUP(TEXT(C193,"ttt"),'ZD Vorerfassung'!$H$21:$L$36,16,0),0)),"")</f>
        <v>0</v>
      </c>
      <c r="AW193" s="110">
        <f t="array" ref="AW193">IF(OR(D193="UU",D193="FT",D193="WE"),0,
IF(D193="NR",SUM(IF(B193&gt;=_xlfn.NUMBERVALUE('ZD Vorerfassung'!$C$22:$C$36),1,0)*IF(B193&lt;=_xlfn.NUMBERVALUE('ZD Vorerfassung'!$D$22:$D$36),1,0)*'ZD Vorerfassung'!$Q$22:$Q$36),
IF(OR(D193="SF",D193="FH"),SUM(IF(B193&gt;=_xlfn.NUMBERVALUE('ZD Vorerfassung'!$C$22:$C$36),1,0)*IF(B193&lt;=_xlfn.NUMBERVALUE('ZD Vorerfassung'!$D$22:$D$36),1,0)*'ZD Vorerfassung'!$R$22:$R$36*IF(D193="FH",0.5,1)),
"prüfen")))</f>
        <v>0</v>
      </c>
      <c r="AX193" s="110">
        <f t="array" ref="AX193">IF(OR(D193="UU",D193="FT",D193="WE",E193="Ferien"),0,
IF(D193="NR",SUM(IF(B193&gt;=_xlfn.NUMBERVALUE('ZD Vorerfassung'!$C$22:$C$36),1,0)*IF(B193&lt;=_xlfn.NUMBERVALUE('ZD Vorerfassung'!$D$22:$D$36),1,0)*'ZD Vorerfassung'!$W$22:$W$36),
IF(OR(D193="SF",D193="FH"),SUM(IF(B193&gt;=_xlfn.NUMBERVALUE('ZD Vorerfassung'!$C$22:$C$36),1,0)*IF(B193&lt;=_xlfn.NUMBERVALUE('ZD Vorerfassung'!$D$22:$D$36),1,0)*'ZD Vorerfassung'!$X$22:$X$36*IF(D193="FH",0.5,1)),
"prüfen")))</f>
        <v>0</v>
      </c>
      <c r="AY193" s="110">
        <f t="array" ref="AY193">IF(OR(D193="UU",D193="FT",D193="WE",E193="Ferien"),0,
IF(D193="NR",SUM(IF(B193&gt;=_xlfn.NUMBERVALUE('ZD Vorerfassung'!$C$22:$C$36),1,0)*IF(B193&lt;=_xlfn.NUMBERVALUE('ZD Vorerfassung'!$D$22:$D$36),1,0)*'ZD Vorerfassung'!$U$22:$U$36),
IF(OR(D193="SF",D193="FH"),SUM(IF(B193&gt;=_xlfn.NUMBERVALUE('ZD Vorerfassung'!$C$22:$C$36),1,0)*IF(B193&lt;=_xlfn.NUMBERVALUE('ZD Vorerfassung'!$D$22:$D$36),1,0)*'ZD Vorerfassung'!$V$22:$V$36*IF(D193="FH",0.5,1)),
"prüfen")))</f>
        <v>0</v>
      </c>
      <c r="AZ193" s="110">
        <f t="array" ref="AZ193">IF(OR(D193="UU",D193="FT",D193="WE",E193="Ferien"),0,
IF(D193="NR",SUM(IF(B193&gt;=_xlfn.NUMBERVALUE('ZD Vorerfassung'!$C$22:$C$36),1,0)*IF(B193&lt;=_xlfn.NUMBERVALUE('ZD Vorerfassung'!$D$22:$D$36),1,0)*'ZD Vorerfassung'!$S$22:$S$36),
IF(OR(D193="SF",D193="FH"),SUM(IF(B193&gt;=_xlfn.NUMBERVALUE('ZD Vorerfassung'!$C$22:$C$36),1,0)*IF(B193&lt;=_xlfn.NUMBERVALUE('ZD Vorerfassung'!$D$22:$D$36),1,0)*'ZD Vorerfassung'!$T$22:$T$36*IF(D193="FH",0.5,1)),
"prüfen")))</f>
        <v>0</v>
      </c>
      <c r="BA193" s="112">
        <f t="shared" si="32"/>
        <v>2</v>
      </c>
    </row>
    <row r="194" spans="2:53" ht="19.5" thickTop="1" thickBot="1" x14ac:dyDescent="0.3">
      <c r="B194" s="99">
        <f t="shared" si="29"/>
        <v>44959</v>
      </c>
      <c r="C194" s="100">
        <f t="shared" si="33"/>
        <v>44959</v>
      </c>
      <c r="D194" s="101" t="str">
        <f t="shared" si="34"/>
        <v>NR</v>
      </c>
      <c r="E194" s="102" t="str">
        <f t="shared" si="30"/>
        <v>Unterrichtstag</v>
      </c>
      <c r="F194" s="103">
        <f t="shared" si="35"/>
        <v>0</v>
      </c>
      <c r="G194" s="104">
        <f t="shared" si="36"/>
        <v>0</v>
      </c>
      <c r="H194" s="104">
        <f>IFERROR(IF('ZD Vorerfassung'!$E$11="manuell",SUM(I194),IF(OR(E194="Feiertag",E194="Wochenende"),0,IF('ZD Vorerfassung'!$E$11="automatisch",AX194,IF(D194="UU","UU",IF(E194=Param2,AX194/24,IF(E194=Param9,AX194/48,"")))))),0)</f>
        <v>0</v>
      </c>
      <c r="I194" s="105"/>
      <c r="J194" s="106">
        <f>IF('ZD Vorerfassung'!$E$12="manuell",SUM(K194:AI194),IF(OR(E194="Feiertag",E194="Wochenende"),0,IF('ZD Vorerfassung'!$E$12="automatisch",AY194,IF(D194="UU","UU",IF(E194=Param2,AY194/24,IF(E194=Param9,AY194/48,""))))))</f>
        <v>0</v>
      </c>
      <c r="K194" s="105"/>
      <c r="L194" s="105"/>
      <c r="M194" s="105"/>
      <c r="N194" s="105"/>
      <c r="O194" s="105"/>
      <c r="P194" s="105"/>
      <c r="Q194" s="105"/>
      <c r="R194" s="105"/>
      <c r="S194" s="105"/>
      <c r="T194" s="105"/>
      <c r="U194" s="105"/>
      <c r="V194" s="105"/>
      <c r="W194" s="105"/>
      <c r="X194" s="105"/>
      <c r="Y194" s="105"/>
      <c r="Z194" s="105"/>
      <c r="AA194" s="105"/>
      <c r="AB194" s="105"/>
      <c r="AC194" s="105"/>
      <c r="AD194" s="105"/>
      <c r="AE194" s="105"/>
      <c r="AF194" s="105"/>
      <c r="AG194" s="105"/>
      <c r="AH194" s="105"/>
      <c r="AI194" s="105"/>
      <c r="AJ194" s="107">
        <f t="shared" si="37"/>
        <v>0</v>
      </c>
      <c r="AK194" s="105"/>
      <c r="AL194" s="105"/>
      <c r="AM194" s="105"/>
      <c r="AN194" s="105"/>
      <c r="AO194" s="105"/>
      <c r="AP194" s="105"/>
      <c r="AQ194" s="108">
        <f t="shared" si="38"/>
        <v>0</v>
      </c>
      <c r="AR194" s="108">
        <f t="shared" si="39"/>
        <v>0</v>
      </c>
      <c r="AS194" s="109">
        <f t="shared" si="40"/>
        <v>0</v>
      </c>
      <c r="AU194" s="110">
        <f t="shared" si="31"/>
        <v>0</v>
      </c>
      <c r="AV194" s="111">
        <f>IF(D194="NR",
IF('ZD Vorerfassung'!$E$22="",0,IF(AND(B194&gt;='ZD Vorerfassung'!$C$22,B194&lt;='ZD Vorerfassung'!$D$22),HLOOKUP(TEXT(C194,"ttt"),'ZD Vorerfassung'!$H$21:$L$36,2,0),0))+
IF('ZD Vorerfassung'!$E$23="",0,IF(AND(B194&gt;='ZD Vorerfassung'!$C$23,B194&lt;='ZD Vorerfassung'!$D$23),HLOOKUP(TEXT(C194,"ttt"),'ZD Vorerfassung'!$H$21:$L$36,3,0),0))+
IF('ZD Vorerfassung'!$E$24="",0,IF(AND(B194&gt;='ZD Vorerfassung'!$C$24,B194&lt;='ZD Vorerfassung'!$D$24),HLOOKUP(TEXT(C194,"ttt"),'ZD Vorerfassung'!$H$21:$L$36,4,0),0))+
IF('ZD Vorerfassung'!$E$25="",0,IF(AND(B194&gt;='ZD Vorerfassung'!$C$25,B194&lt;='ZD Vorerfassung'!$D$25),HLOOKUP(TEXT(C194,"ttt"),'ZD Vorerfassung'!$H$21:$L$36,5,0),0))+
IF('ZD Vorerfassung'!$E$26="",0,IF(AND(B194&gt;='ZD Vorerfassung'!$C$26,B194&lt;='ZD Vorerfassung'!$D$26),HLOOKUP(TEXT(C194,"ttt"),'ZD Vorerfassung'!$H$21:$L$36,6,0),0))+
IF('ZD Vorerfassung'!$E$27="",0,IF(AND(B194&gt;='ZD Vorerfassung'!$C$27,B194&lt;='ZD Vorerfassung'!$D$27),HLOOKUP(TEXT(C194,"ttt"),'ZD Vorerfassung'!$H$21:$L$36,7,0),0))+
IF('ZD Vorerfassung'!$E$28="",0,IF(AND(B194&gt;='ZD Vorerfassung'!$C$28,B194&lt;='ZD Vorerfassung'!$D$28),HLOOKUP(TEXT(C194,"ttt"),'ZD Vorerfassung'!$H$21:$L$36,8,0),0))+
IF('ZD Vorerfassung'!$E$29="",0,IF(AND(B194&gt;='ZD Vorerfassung'!$C$29,B194&lt;='ZD Vorerfassung'!$D$29),HLOOKUP(TEXT(C194,"ttt"),'ZD Vorerfassung'!$H$21:$L$36,9,0),0))+
IF('ZD Vorerfassung'!$E$30="",0,IF(AND(B194&gt;='ZD Vorerfassung'!$C$30,B194&lt;='ZD Vorerfassung'!$D$30),HLOOKUP(TEXT(C194,"ttt"),'ZD Vorerfassung'!$H$21:$L$36,10,0),0))+
IF('ZD Vorerfassung'!$E$31="",0,IF(AND(B194&gt;='ZD Vorerfassung'!$C$31,B194&lt;='ZD Vorerfassung'!$D$31),HLOOKUP(TEXT(C194,"ttt"),'ZD Vorerfassung'!$H$21:$L$36,11,0),0))+
IF('ZD Vorerfassung'!$E$32="",0,IF(AND(B194&gt;='ZD Vorerfassung'!$C$32,B194&lt;='ZD Vorerfassung'!$D$32),HLOOKUP(TEXT(C194,"ttt"),'ZD Vorerfassung'!$H$21:$L$36,12,0),0))+
IF('ZD Vorerfassung'!$E$33="",0,IF(AND(B194&gt;='ZD Vorerfassung'!$C$33,B194&lt;='ZD Vorerfassung'!$D$33),HLOOKUP(TEXT(C194,"ttt"),'ZD Vorerfassung'!$H$21:$L$36,13,0),0))+
IF('ZD Vorerfassung'!$E$34="",0,IF(AND(B194&gt;='ZD Vorerfassung'!$C$34,B194&lt;='ZD Vorerfassung'!$D$34),HLOOKUP(TEXT(C194,"ttt"),'ZD Vorerfassung'!$H$21:$L$36,14,0),0))+
IF('ZD Vorerfassung'!$E$35="",0,IF(AND(B194&gt;='ZD Vorerfassung'!$C$35,B194&lt;='ZD Vorerfassung'!$D$35),HLOOKUP(TEXT(C194,"ttt"),'ZD Vorerfassung'!$H$21:$L$36,15,0),0))+
IF('ZD Vorerfassung'!$E$36="",0,IF(AND(B194&gt;='ZD Vorerfassung'!$C$36,B194&lt;='ZD Vorerfassung'!$D$36),HLOOKUP(TEXT(C194,"ttt"),'ZD Vorerfassung'!$H$21:$L$36,16,0),0)),"")</f>
        <v>0</v>
      </c>
      <c r="AW194" s="110">
        <f t="array" ref="AW194">IF(OR(D194="UU",D194="FT",D194="WE"),0,
IF(D194="NR",SUM(IF(B194&gt;=_xlfn.NUMBERVALUE('ZD Vorerfassung'!$C$22:$C$36),1,0)*IF(B194&lt;=_xlfn.NUMBERVALUE('ZD Vorerfassung'!$D$22:$D$36),1,0)*'ZD Vorerfassung'!$Q$22:$Q$36),
IF(OR(D194="SF",D194="FH"),SUM(IF(B194&gt;=_xlfn.NUMBERVALUE('ZD Vorerfassung'!$C$22:$C$36),1,0)*IF(B194&lt;=_xlfn.NUMBERVALUE('ZD Vorerfassung'!$D$22:$D$36),1,0)*'ZD Vorerfassung'!$R$22:$R$36*IF(D194="FH",0.5,1)),
"prüfen")))</f>
        <v>0</v>
      </c>
      <c r="AX194" s="110">
        <f t="array" ref="AX194">IF(OR(D194="UU",D194="FT",D194="WE",E194="Ferien"),0,
IF(D194="NR",SUM(IF(B194&gt;=_xlfn.NUMBERVALUE('ZD Vorerfassung'!$C$22:$C$36),1,0)*IF(B194&lt;=_xlfn.NUMBERVALUE('ZD Vorerfassung'!$D$22:$D$36),1,0)*'ZD Vorerfassung'!$W$22:$W$36),
IF(OR(D194="SF",D194="FH"),SUM(IF(B194&gt;=_xlfn.NUMBERVALUE('ZD Vorerfassung'!$C$22:$C$36),1,0)*IF(B194&lt;=_xlfn.NUMBERVALUE('ZD Vorerfassung'!$D$22:$D$36),1,0)*'ZD Vorerfassung'!$X$22:$X$36*IF(D194="FH",0.5,1)),
"prüfen")))</f>
        <v>0</v>
      </c>
      <c r="AY194" s="110">
        <f t="array" ref="AY194">IF(OR(D194="UU",D194="FT",D194="WE",E194="Ferien"),0,
IF(D194="NR",SUM(IF(B194&gt;=_xlfn.NUMBERVALUE('ZD Vorerfassung'!$C$22:$C$36),1,0)*IF(B194&lt;=_xlfn.NUMBERVALUE('ZD Vorerfassung'!$D$22:$D$36),1,0)*'ZD Vorerfassung'!$U$22:$U$36),
IF(OR(D194="SF",D194="FH"),SUM(IF(B194&gt;=_xlfn.NUMBERVALUE('ZD Vorerfassung'!$C$22:$C$36),1,0)*IF(B194&lt;=_xlfn.NUMBERVALUE('ZD Vorerfassung'!$D$22:$D$36),1,0)*'ZD Vorerfassung'!$V$22:$V$36*IF(D194="FH",0.5,1)),
"prüfen")))</f>
        <v>0</v>
      </c>
      <c r="AZ194" s="110">
        <f t="array" ref="AZ194">IF(OR(D194="UU",D194="FT",D194="WE",E194="Ferien"),0,
IF(D194="NR",SUM(IF(B194&gt;=_xlfn.NUMBERVALUE('ZD Vorerfassung'!$C$22:$C$36),1,0)*IF(B194&lt;=_xlfn.NUMBERVALUE('ZD Vorerfassung'!$D$22:$D$36),1,0)*'ZD Vorerfassung'!$S$22:$S$36),
IF(OR(D194="SF",D194="FH"),SUM(IF(B194&gt;=_xlfn.NUMBERVALUE('ZD Vorerfassung'!$C$22:$C$36),1,0)*IF(B194&lt;=_xlfn.NUMBERVALUE('ZD Vorerfassung'!$D$22:$D$36),1,0)*'ZD Vorerfassung'!$T$22:$T$36*IF(D194="FH",0.5,1)),
"prüfen")))</f>
        <v>0</v>
      </c>
      <c r="BA194" s="112">
        <f t="shared" si="32"/>
        <v>2</v>
      </c>
    </row>
    <row r="195" spans="2:53" ht="19.5" thickTop="1" thickBot="1" x14ac:dyDescent="0.3">
      <c r="B195" s="99">
        <f t="shared" si="29"/>
        <v>44960</v>
      </c>
      <c r="C195" s="100">
        <f t="shared" si="33"/>
        <v>44960</v>
      </c>
      <c r="D195" s="101" t="str">
        <f t="shared" si="34"/>
        <v>NR</v>
      </c>
      <c r="E195" s="102" t="str">
        <f t="shared" si="30"/>
        <v>Unterrichtstag</v>
      </c>
      <c r="F195" s="103">
        <f t="shared" si="35"/>
        <v>0</v>
      </c>
      <c r="G195" s="104">
        <f t="shared" si="36"/>
        <v>0</v>
      </c>
      <c r="H195" s="104">
        <f>IFERROR(IF('ZD Vorerfassung'!$E$11="manuell",SUM(I195),IF(OR(E195="Feiertag",E195="Wochenende"),0,IF('ZD Vorerfassung'!$E$11="automatisch",AX195,IF(D195="UU","UU",IF(E195=Param2,AX195/24,IF(E195=Param9,AX195/48,"")))))),0)</f>
        <v>0</v>
      </c>
      <c r="I195" s="105"/>
      <c r="J195" s="106">
        <f>IF('ZD Vorerfassung'!$E$12="manuell",SUM(K195:AI195),IF(OR(E195="Feiertag",E195="Wochenende"),0,IF('ZD Vorerfassung'!$E$12="automatisch",AY195,IF(D195="UU","UU",IF(E195=Param2,AY195/24,IF(E195=Param9,AY195/48,""))))))</f>
        <v>0</v>
      </c>
      <c r="K195" s="105"/>
      <c r="L195" s="105"/>
      <c r="M195" s="105"/>
      <c r="N195" s="105"/>
      <c r="O195" s="105"/>
      <c r="P195" s="105"/>
      <c r="Q195" s="105"/>
      <c r="R195" s="105"/>
      <c r="S195" s="105"/>
      <c r="T195" s="105"/>
      <c r="U195" s="105"/>
      <c r="V195" s="105"/>
      <c r="W195" s="105"/>
      <c r="X195" s="105"/>
      <c r="Y195" s="105"/>
      <c r="Z195" s="105"/>
      <c r="AA195" s="105"/>
      <c r="AB195" s="105"/>
      <c r="AC195" s="105"/>
      <c r="AD195" s="105"/>
      <c r="AE195" s="105"/>
      <c r="AF195" s="105"/>
      <c r="AG195" s="105"/>
      <c r="AH195" s="105"/>
      <c r="AI195" s="105"/>
      <c r="AJ195" s="107">
        <f t="shared" si="37"/>
        <v>0</v>
      </c>
      <c r="AK195" s="105"/>
      <c r="AL195" s="105"/>
      <c r="AM195" s="105"/>
      <c r="AN195" s="105"/>
      <c r="AO195" s="105"/>
      <c r="AP195" s="105"/>
      <c r="AQ195" s="108">
        <f t="shared" si="38"/>
        <v>0</v>
      </c>
      <c r="AR195" s="108">
        <f t="shared" si="39"/>
        <v>0</v>
      </c>
      <c r="AS195" s="109">
        <f t="shared" si="40"/>
        <v>0</v>
      </c>
      <c r="AU195" s="110">
        <f t="shared" si="31"/>
        <v>0</v>
      </c>
      <c r="AV195" s="111">
        <f>IF(D195="NR",
IF('ZD Vorerfassung'!$E$22="",0,IF(AND(B195&gt;='ZD Vorerfassung'!$C$22,B195&lt;='ZD Vorerfassung'!$D$22),HLOOKUP(TEXT(C195,"ttt"),'ZD Vorerfassung'!$H$21:$L$36,2,0),0))+
IF('ZD Vorerfassung'!$E$23="",0,IF(AND(B195&gt;='ZD Vorerfassung'!$C$23,B195&lt;='ZD Vorerfassung'!$D$23),HLOOKUP(TEXT(C195,"ttt"),'ZD Vorerfassung'!$H$21:$L$36,3,0),0))+
IF('ZD Vorerfassung'!$E$24="",0,IF(AND(B195&gt;='ZD Vorerfassung'!$C$24,B195&lt;='ZD Vorerfassung'!$D$24),HLOOKUP(TEXT(C195,"ttt"),'ZD Vorerfassung'!$H$21:$L$36,4,0),0))+
IF('ZD Vorerfassung'!$E$25="",0,IF(AND(B195&gt;='ZD Vorerfassung'!$C$25,B195&lt;='ZD Vorerfassung'!$D$25),HLOOKUP(TEXT(C195,"ttt"),'ZD Vorerfassung'!$H$21:$L$36,5,0),0))+
IF('ZD Vorerfassung'!$E$26="",0,IF(AND(B195&gt;='ZD Vorerfassung'!$C$26,B195&lt;='ZD Vorerfassung'!$D$26),HLOOKUP(TEXT(C195,"ttt"),'ZD Vorerfassung'!$H$21:$L$36,6,0),0))+
IF('ZD Vorerfassung'!$E$27="",0,IF(AND(B195&gt;='ZD Vorerfassung'!$C$27,B195&lt;='ZD Vorerfassung'!$D$27),HLOOKUP(TEXT(C195,"ttt"),'ZD Vorerfassung'!$H$21:$L$36,7,0),0))+
IF('ZD Vorerfassung'!$E$28="",0,IF(AND(B195&gt;='ZD Vorerfassung'!$C$28,B195&lt;='ZD Vorerfassung'!$D$28),HLOOKUP(TEXT(C195,"ttt"),'ZD Vorerfassung'!$H$21:$L$36,8,0),0))+
IF('ZD Vorerfassung'!$E$29="",0,IF(AND(B195&gt;='ZD Vorerfassung'!$C$29,B195&lt;='ZD Vorerfassung'!$D$29),HLOOKUP(TEXT(C195,"ttt"),'ZD Vorerfassung'!$H$21:$L$36,9,0),0))+
IF('ZD Vorerfassung'!$E$30="",0,IF(AND(B195&gt;='ZD Vorerfassung'!$C$30,B195&lt;='ZD Vorerfassung'!$D$30),HLOOKUP(TEXT(C195,"ttt"),'ZD Vorerfassung'!$H$21:$L$36,10,0),0))+
IF('ZD Vorerfassung'!$E$31="",0,IF(AND(B195&gt;='ZD Vorerfassung'!$C$31,B195&lt;='ZD Vorerfassung'!$D$31),HLOOKUP(TEXT(C195,"ttt"),'ZD Vorerfassung'!$H$21:$L$36,11,0),0))+
IF('ZD Vorerfassung'!$E$32="",0,IF(AND(B195&gt;='ZD Vorerfassung'!$C$32,B195&lt;='ZD Vorerfassung'!$D$32),HLOOKUP(TEXT(C195,"ttt"),'ZD Vorerfassung'!$H$21:$L$36,12,0),0))+
IF('ZD Vorerfassung'!$E$33="",0,IF(AND(B195&gt;='ZD Vorerfassung'!$C$33,B195&lt;='ZD Vorerfassung'!$D$33),HLOOKUP(TEXT(C195,"ttt"),'ZD Vorerfassung'!$H$21:$L$36,13,0),0))+
IF('ZD Vorerfassung'!$E$34="",0,IF(AND(B195&gt;='ZD Vorerfassung'!$C$34,B195&lt;='ZD Vorerfassung'!$D$34),HLOOKUP(TEXT(C195,"ttt"),'ZD Vorerfassung'!$H$21:$L$36,14,0),0))+
IF('ZD Vorerfassung'!$E$35="",0,IF(AND(B195&gt;='ZD Vorerfassung'!$C$35,B195&lt;='ZD Vorerfassung'!$D$35),HLOOKUP(TEXT(C195,"ttt"),'ZD Vorerfassung'!$H$21:$L$36,15,0),0))+
IF('ZD Vorerfassung'!$E$36="",0,IF(AND(B195&gt;='ZD Vorerfassung'!$C$36,B195&lt;='ZD Vorerfassung'!$D$36),HLOOKUP(TEXT(C195,"ttt"),'ZD Vorerfassung'!$H$21:$L$36,16,0),0)),"")</f>
        <v>0</v>
      </c>
      <c r="AW195" s="110">
        <f t="array" ref="AW195">IF(OR(D195="UU",D195="FT",D195="WE"),0,
IF(D195="NR",SUM(IF(B195&gt;=_xlfn.NUMBERVALUE('ZD Vorerfassung'!$C$22:$C$36),1,0)*IF(B195&lt;=_xlfn.NUMBERVALUE('ZD Vorerfassung'!$D$22:$D$36),1,0)*'ZD Vorerfassung'!$Q$22:$Q$36),
IF(OR(D195="SF",D195="FH"),SUM(IF(B195&gt;=_xlfn.NUMBERVALUE('ZD Vorerfassung'!$C$22:$C$36),1,0)*IF(B195&lt;=_xlfn.NUMBERVALUE('ZD Vorerfassung'!$D$22:$D$36),1,0)*'ZD Vorerfassung'!$R$22:$R$36*IF(D195="FH",0.5,1)),
"prüfen")))</f>
        <v>0</v>
      </c>
      <c r="AX195" s="110">
        <f t="array" ref="AX195">IF(OR(D195="UU",D195="FT",D195="WE",E195="Ferien"),0,
IF(D195="NR",SUM(IF(B195&gt;=_xlfn.NUMBERVALUE('ZD Vorerfassung'!$C$22:$C$36),1,0)*IF(B195&lt;=_xlfn.NUMBERVALUE('ZD Vorerfassung'!$D$22:$D$36),1,0)*'ZD Vorerfassung'!$W$22:$W$36),
IF(OR(D195="SF",D195="FH"),SUM(IF(B195&gt;=_xlfn.NUMBERVALUE('ZD Vorerfassung'!$C$22:$C$36),1,0)*IF(B195&lt;=_xlfn.NUMBERVALUE('ZD Vorerfassung'!$D$22:$D$36),1,0)*'ZD Vorerfassung'!$X$22:$X$36*IF(D195="FH",0.5,1)),
"prüfen")))</f>
        <v>0</v>
      </c>
      <c r="AY195" s="110">
        <f t="array" ref="AY195">IF(OR(D195="UU",D195="FT",D195="WE",E195="Ferien"),0,
IF(D195="NR",SUM(IF(B195&gt;=_xlfn.NUMBERVALUE('ZD Vorerfassung'!$C$22:$C$36),1,0)*IF(B195&lt;=_xlfn.NUMBERVALUE('ZD Vorerfassung'!$D$22:$D$36),1,0)*'ZD Vorerfassung'!$U$22:$U$36),
IF(OR(D195="SF",D195="FH"),SUM(IF(B195&gt;=_xlfn.NUMBERVALUE('ZD Vorerfassung'!$C$22:$C$36),1,0)*IF(B195&lt;=_xlfn.NUMBERVALUE('ZD Vorerfassung'!$D$22:$D$36),1,0)*'ZD Vorerfassung'!$V$22:$V$36*IF(D195="FH",0.5,1)),
"prüfen")))</f>
        <v>0</v>
      </c>
      <c r="AZ195" s="110">
        <f t="array" ref="AZ195">IF(OR(D195="UU",D195="FT",D195="WE",E195="Ferien"),0,
IF(D195="NR",SUM(IF(B195&gt;=_xlfn.NUMBERVALUE('ZD Vorerfassung'!$C$22:$C$36),1,0)*IF(B195&lt;=_xlfn.NUMBERVALUE('ZD Vorerfassung'!$D$22:$D$36),1,0)*'ZD Vorerfassung'!$S$22:$S$36),
IF(OR(D195="SF",D195="FH"),SUM(IF(B195&gt;=_xlfn.NUMBERVALUE('ZD Vorerfassung'!$C$22:$C$36),1,0)*IF(B195&lt;=_xlfn.NUMBERVALUE('ZD Vorerfassung'!$D$22:$D$36),1,0)*'ZD Vorerfassung'!$T$22:$T$36*IF(D195="FH",0.5,1)),
"prüfen")))</f>
        <v>0</v>
      </c>
      <c r="BA195" s="112">
        <f t="shared" si="32"/>
        <v>2</v>
      </c>
    </row>
    <row r="196" spans="2:53" ht="19.5" thickTop="1" thickBot="1" x14ac:dyDescent="0.3">
      <c r="B196" s="99">
        <f t="shared" si="29"/>
        <v>44961</v>
      </c>
      <c r="C196" s="100">
        <f t="shared" si="33"/>
        <v>44961</v>
      </c>
      <c r="D196" s="101" t="str">
        <f t="shared" si="34"/>
        <v>NR</v>
      </c>
      <c r="E196" s="102" t="str">
        <f t="shared" si="30"/>
        <v>Unterrichtstag</v>
      </c>
      <c r="F196" s="103">
        <f t="shared" si="35"/>
        <v>0</v>
      </c>
      <c r="G196" s="104">
        <f t="shared" si="36"/>
        <v>0</v>
      </c>
      <c r="H196" s="104">
        <f>IFERROR(IF('ZD Vorerfassung'!$E$11="manuell",SUM(I196),IF(OR(E196="Feiertag",E196="Wochenende"),0,IF('ZD Vorerfassung'!$E$11="automatisch",AX196,IF(D196="UU","UU",IF(E196=Param2,AX196/24,IF(E196=Param9,AX196/48,"")))))),0)</f>
        <v>0</v>
      </c>
      <c r="I196" s="105"/>
      <c r="J196" s="106">
        <f>IF('ZD Vorerfassung'!$E$12="manuell",SUM(K196:AI196),IF(OR(E196="Feiertag",E196="Wochenende"),0,IF('ZD Vorerfassung'!$E$12="automatisch",AY196,IF(D196="UU","UU",IF(E196=Param2,AY196/24,IF(E196=Param9,AY196/48,""))))))</f>
        <v>0</v>
      </c>
      <c r="K196" s="105"/>
      <c r="L196" s="105"/>
      <c r="M196" s="105"/>
      <c r="N196" s="105"/>
      <c r="O196" s="105"/>
      <c r="P196" s="105"/>
      <c r="Q196" s="105"/>
      <c r="R196" s="105"/>
      <c r="S196" s="105"/>
      <c r="T196" s="105"/>
      <c r="U196" s="105"/>
      <c r="V196" s="105"/>
      <c r="W196" s="105"/>
      <c r="X196" s="105"/>
      <c r="Y196" s="105"/>
      <c r="Z196" s="105"/>
      <c r="AA196" s="105"/>
      <c r="AB196" s="105"/>
      <c r="AC196" s="105"/>
      <c r="AD196" s="105"/>
      <c r="AE196" s="105"/>
      <c r="AF196" s="105"/>
      <c r="AG196" s="105"/>
      <c r="AH196" s="105"/>
      <c r="AI196" s="105"/>
      <c r="AJ196" s="107">
        <f t="shared" si="37"/>
        <v>0</v>
      </c>
      <c r="AK196" s="105"/>
      <c r="AL196" s="105"/>
      <c r="AM196" s="105"/>
      <c r="AN196" s="105"/>
      <c r="AO196" s="105"/>
      <c r="AP196" s="105"/>
      <c r="AQ196" s="108">
        <f t="shared" si="38"/>
        <v>0</v>
      </c>
      <c r="AR196" s="108">
        <f t="shared" si="39"/>
        <v>0</v>
      </c>
      <c r="AS196" s="109">
        <f t="shared" si="40"/>
        <v>0</v>
      </c>
      <c r="AU196" s="110">
        <f t="shared" si="31"/>
        <v>0</v>
      </c>
      <c r="AV196" s="111">
        <f>IF(D196="NR",
IF('ZD Vorerfassung'!$E$22="",0,IF(AND(B196&gt;='ZD Vorerfassung'!$C$22,B196&lt;='ZD Vorerfassung'!$D$22),HLOOKUP(TEXT(C196,"ttt"),'ZD Vorerfassung'!$H$21:$L$36,2,0),0))+
IF('ZD Vorerfassung'!$E$23="",0,IF(AND(B196&gt;='ZD Vorerfassung'!$C$23,B196&lt;='ZD Vorerfassung'!$D$23),HLOOKUP(TEXT(C196,"ttt"),'ZD Vorerfassung'!$H$21:$L$36,3,0),0))+
IF('ZD Vorerfassung'!$E$24="",0,IF(AND(B196&gt;='ZD Vorerfassung'!$C$24,B196&lt;='ZD Vorerfassung'!$D$24),HLOOKUP(TEXT(C196,"ttt"),'ZD Vorerfassung'!$H$21:$L$36,4,0),0))+
IF('ZD Vorerfassung'!$E$25="",0,IF(AND(B196&gt;='ZD Vorerfassung'!$C$25,B196&lt;='ZD Vorerfassung'!$D$25),HLOOKUP(TEXT(C196,"ttt"),'ZD Vorerfassung'!$H$21:$L$36,5,0),0))+
IF('ZD Vorerfassung'!$E$26="",0,IF(AND(B196&gt;='ZD Vorerfassung'!$C$26,B196&lt;='ZD Vorerfassung'!$D$26),HLOOKUP(TEXT(C196,"ttt"),'ZD Vorerfassung'!$H$21:$L$36,6,0),0))+
IF('ZD Vorerfassung'!$E$27="",0,IF(AND(B196&gt;='ZD Vorerfassung'!$C$27,B196&lt;='ZD Vorerfassung'!$D$27),HLOOKUP(TEXT(C196,"ttt"),'ZD Vorerfassung'!$H$21:$L$36,7,0),0))+
IF('ZD Vorerfassung'!$E$28="",0,IF(AND(B196&gt;='ZD Vorerfassung'!$C$28,B196&lt;='ZD Vorerfassung'!$D$28),HLOOKUP(TEXT(C196,"ttt"),'ZD Vorerfassung'!$H$21:$L$36,8,0),0))+
IF('ZD Vorerfassung'!$E$29="",0,IF(AND(B196&gt;='ZD Vorerfassung'!$C$29,B196&lt;='ZD Vorerfassung'!$D$29),HLOOKUP(TEXT(C196,"ttt"),'ZD Vorerfassung'!$H$21:$L$36,9,0),0))+
IF('ZD Vorerfassung'!$E$30="",0,IF(AND(B196&gt;='ZD Vorerfassung'!$C$30,B196&lt;='ZD Vorerfassung'!$D$30),HLOOKUP(TEXT(C196,"ttt"),'ZD Vorerfassung'!$H$21:$L$36,10,0),0))+
IF('ZD Vorerfassung'!$E$31="",0,IF(AND(B196&gt;='ZD Vorerfassung'!$C$31,B196&lt;='ZD Vorerfassung'!$D$31),HLOOKUP(TEXT(C196,"ttt"),'ZD Vorerfassung'!$H$21:$L$36,11,0),0))+
IF('ZD Vorerfassung'!$E$32="",0,IF(AND(B196&gt;='ZD Vorerfassung'!$C$32,B196&lt;='ZD Vorerfassung'!$D$32),HLOOKUP(TEXT(C196,"ttt"),'ZD Vorerfassung'!$H$21:$L$36,12,0),0))+
IF('ZD Vorerfassung'!$E$33="",0,IF(AND(B196&gt;='ZD Vorerfassung'!$C$33,B196&lt;='ZD Vorerfassung'!$D$33),HLOOKUP(TEXT(C196,"ttt"),'ZD Vorerfassung'!$H$21:$L$36,13,0),0))+
IF('ZD Vorerfassung'!$E$34="",0,IF(AND(B196&gt;='ZD Vorerfassung'!$C$34,B196&lt;='ZD Vorerfassung'!$D$34),HLOOKUP(TEXT(C196,"ttt"),'ZD Vorerfassung'!$H$21:$L$36,14,0),0))+
IF('ZD Vorerfassung'!$E$35="",0,IF(AND(B196&gt;='ZD Vorerfassung'!$C$35,B196&lt;='ZD Vorerfassung'!$D$35),HLOOKUP(TEXT(C196,"ttt"),'ZD Vorerfassung'!$H$21:$L$36,15,0),0))+
IF('ZD Vorerfassung'!$E$36="",0,IF(AND(B196&gt;='ZD Vorerfassung'!$C$36,B196&lt;='ZD Vorerfassung'!$D$36),HLOOKUP(TEXT(C196,"ttt"),'ZD Vorerfassung'!$H$21:$L$36,16,0),0)),"")</f>
        <v>0</v>
      </c>
      <c r="AW196" s="110">
        <f t="array" ref="AW196">IF(OR(D196="UU",D196="FT",D196="WE"),0,
IF(D196="NR",SUM(IF(B196&gt;=_xlfn.NUMBERVALUE('ZD Vorerfassung'!$C$22:$C$36),1,0)*IF(B196&lt;=_xlfn.NUMBERVALUE('ZD Vorerfassung'!$D$22:$D$36),1,0)*'ZD Vorerfassung'!$Q$22:$Q$36),
IF(OR(D196="SF",D196="FH"),SUM(IF(B196&gt;=_xlfn.NUMBERVALUE('ZD Vorerfassung'!$C$22:$C$36),1,0)*IF(B196&lt;=_xlfn.NUMBERVALUE('ZD Vorerfassung'!$D$22:$D$36),1,0)*'ZD Vorerfassung'!$R$22:$R$36*IF(D196="FH",0.5,1)),
"prüfen")))</f>
        <v>0</v>
      </c>
      <c r="AX196" s="110">
        <f t="array" ref="AX196">IF(OR(D196="UU",D196="FT",D196="WE",E196="Ferien"),0,
IF(D196="NR",SUM(IF(B196&gt;=_xlfn.NUMBERVALUE('ZD Vorerfassung'!$C$22:$C$36),1,0)*IF(B196&lt;=_xlfn.NUMBERVALUE('ZD Vorerfassung'!$D$22:$D$36),1,0)*'ZD Vorerfassung'!$W$22:$W$36),
IF(OR(D196="SF",D196="FH"),SUM(IF(B196&gt;=_xlfn.NUMBERVALUE('ZD Vorerfassung'!$C$22:$C$36),1,0)*IF(B196&lt;=_xlfn.NUMBERVALUE('ZD Vorerfassung'!$D$22:$D$36),1,0)*'ZD Vorerfassung'!$X$22:$X$36*IF(D196="FH",0.5,1)),
"prüfen")))</f>
        <v>0</v>
      </c>
      <c r="AY196" s="110">
        <f t="array" ref="AY196">IF(OR(D196="UU",D196="FT",D196="WE",E196="Ferien"),0,
IF(D196="NR",SUM(IF(B196&gt;=_xlfn.NUMBERVALUE('ZD Vorerfassung'!$C$22:$C$36),1,0)*IF(B196&lt;=_xlfn.NUMBERVALUE('ZD Vorerfassung'!$D$22:$D$36),1,0)*'ZD Vorerfassung'!$U$22:$U$36),
IF(OR(D196="SF",D196="FH"),SUM(IF(B196&gt;=_xlfn.NUMBERVALUE('ZD Vorerfassung'!$C$22:$C$36),1,0)*IF(B196&lt;=_xlfn.NUMBERVALUE('ZD Vorerfassung'!$D$22:$D$36),1,0)*'ZD Vorerfassung'!$V$22:$V$36*IF(D196="FH",0.5,1)),
"prüfen")))</f>
        <v>0</v>
      </c>
      <c r="AZ196" s="110">
        <f t="array" ref="AZ196">IF(OR(D196="UU",D196="FT",D196="WE",E196="Ferien"),0,
IF(D196="NR",SUM(IF(B196&gt;=_xlfn.NUMBERVALUE('ZD Vorerfassung'!$C$22:$C$36),1,0)*IF(B196&lt;=_xlfn.NUMBERVALUE('ZD Vorerfassung'!$D$22:$D$36),1,0)*'ZD Vorerfassung'!$S$22:$S$36),
IF(OR(D196="SF",D196="FH"),SUM(IF(B196&gt;=_xlfn.NUMBERVALUE('ZD Vorerfassung'!$C$22:$C$36),1,0)*IF(B196&lt;=_xlfn.NUMBERVALUE('ZD Vorerfassung'!$D$22:$D$36),1,0)*'ZD Vorerfassung'!$T$22:$T$36*IF(D196="FH",0.5,1)),
"prüfen")))</f>
        <v>0</v>
      </c>
      <c r="BA196" s="112">
        <f t="shared" si="32"/>
        <v>2</v>
      </c>
    </row>
    <row r="197" spans="2:53" ht="19.5" thickTop="1" thickBot="1" x14ac:dyDescent="0.3">
      <c r="B197" s="99">
        <f t="shared" si="29"/>
        <v>44962</v>
      </c>
      <c r="C197" s="100">
        <f t="shared" si="33"/>
        <v>44962</v>
      </c>
      <c r="D197" s="101" t="str">
        <f t="shared" si="34"/>
        <v>WE</v>
      </c>
      <c r="E197" s="102" t="str">
        <f t="shared" si="30"/>
        <v>Wochenende</v>
      </c>
      <c r="F197" s="103" t="str">
        <f t="shared" si="35"/>
        <v/>
      </c>
      <c r="G197" s="104" t="str">
        <f t="shared" si="36"/>
        <v/>
      </c>
      <c r="H197" s="104">
        <f>IFERROR(IF('ZD Vorerfassung'!$E$11="manuell",SUM(I197),IF(OR(E197="Feiertag",E197="Wochenende"),0,IF('ZD Vorerfassung'!$E$11="automatisch",AX197,IF(D197="UU","UU",IF(E197=Param2,AX197/24,IF(E197=Param9,AX197/48,"")))))),0)</f>
        <v>0</v>
      </c>
      <c r="I197" s="105"/>
      <c r="J197" s="106">
        <f>IF('ZD Vorerfassung'!$E$12="manuell",SUM(K197:AI197),IF(OR(E197="Feiertag",E197="Wochenende"),0,IF('ZD Vorerfassung'!$E$12="automatisch",AY197,IF(D197="UU","UU",IF(E197=Param2,AY197/24,IF(E197=Param9,AY197/48,""))))))</f>
        <v>0</v>
      </c>
      <c r="K197" s="105"/>
      <c r="L197" s="105"/>
      <c r="M197" s="105"/>
      <c r="N197" s="105"/>
      <c r="O197" s="105"/>
      <c r="P197" s="105"/>
      <c r="Q197" s="105"/>
      <c r="R197" s="105"/>
      <c r="S197" s="105"/>
      <c r="T197" s="105"/>
      <c r="U197" s="105"/>
      <c r="V197" s="105"/>
      <c r="W197" s="105"/>
      <c r="X197" s="105"/>
      <c r="Y197" s="105"/>
      <c r="Z197" s="105"/>
      <c r="AA197" s="105"/>
      <c r="AB197" s="105"/>
      <c r="AC197" s="105"/>
      <c r="AD197" s="105"/>
      <c r="AE197" s="105"/>
      <c r="AF197" s="105"/>
      <c r="AG197" s="105"/>
      <c r="AH197" s="105"/>
      <c r="AI197" s="105"/>
      <c r="AJ197" s="107">
        <f t="shared" si="37"/>
        <v>0</v>
      </c>
      <c r="AK197" s="105"/>
      <c r="AL197" s="105"/>
      <c r="AM197" s="105"/>
      <c r="AN197" s="105"/>
      <c r="AO197" s="105"/>
      <c r="AP197" s="105"/>
      <c r="AQ197" s="108">
        <f t="shared" si="38"/>
        <v>0</v>
      </c>
      <c r="AR197" s="108">
        <f t="shared" si="39"/>
        <v>0</v>
      </c>
      <c r="AS197" s="109">
        <f t="shared" si="40"/>
        <v>0</v>
      </c>
      <c r="AU197" s="110">
        <f t="shared" si="31"/>
        <v>0</v>
      </c>
      <c r="AV197" s="111" t="str">
        <f>IF(D197="NR",
IF('ZD Vorerfassung'!$E$22="",0,IF(AND(B197&gt;='ZD Vorerfassung'!$C$22,B197&lt;='ZD Vorerfassung'!$D$22),HLOOKUP(TEXT(C197,"ttt"),'ZD Vorerfassung'!$H$21:$L$36,2,0),0))+
IF('ZD Vorerfassung'!$E$23="",0,IF(AND(B197&gt;='ZD Vorerfassung'!$C$23,B197&lt;='ZD Vorerfassung'!$D$23),HLOOKUP(TEXT(C197,"ttt"),'ZD Vorerfassung'!$H$21:$L$36,3,0),0))+
IF('ZD Vorerfassung'!$E$24="",0,IF(AND(B197&gt;='ZD Vorerfassung'!$C$24,B197&lt;='ZD Vorerfassung'!$D$24),HLOOKUP(TEXT(C197,"ttt"),'ZD Vorerfassung'!$H$21:$L$36,4,0),0))+
IF('ZD Vorerfassung'!$E$25="",0,IF(AND(B197&gt;='ZD Vorerfassung'!$C$25,B197&lt;='ZD Vorerfassung'!$D$25),HLOOKUP(TEXT(C197,"ttt"),'ZD Vorerfassung'!$H$21:$L$36,5,0),0))+
IF('ZD Vorerfassung'!$E$26="",0,IF(AND(B197&gt;='ZD Vorerfassung'!$C$26,B197&lt;='ZD Vorerfassung'!$D$26),HLOOKUP(TEXT(C197,"ttt"),'ZD Vorerfassung'!$H$21:$L$36,6,0),0))+
IF('ZD Vorerfassung'!$E$27="",0,IF(AND(B197&gt;='ZD Vorerfassung'!$C$27,B197&lt;='ZD Vorerfassung'!$D$27),HLOOKUP(TEXT(C197,"ttt"),'ZD Vorerfassung'!$H$21:$L$36,7,0),0))+
IF('ZD Vorerfassung'!$E$28="",0,IF(AND(B197&gt;='ZD Vorerfassung'!$C$28,B197&lt;='ZD Vorerfassung'!$D$28),HLOOKUP(TEXT(C197,"ttt"),'ZD Vorerfassung'!$H$21:$L$36,8,0),0))+
IF('ZD Vorerfassung'!$E$29="",0,IF(AND(B197&gt;='ZD Vorerfassung'!$C$29,B197&lt;='ZD Vorerfassung'!$D$29),HLOOKUP(TEXT(C197,"ttt"),'ZD Vorerfassung'!$H$21:$L$36,9,0),0))+
IF('ZD Vorerfassung'!$E$30="",0,IF(AND(B197&gt;='ZD Vorerfassung'!$C$30,B197&lt;='ZD Vorerfassung'!$D$30),HLOOKUP(TEXT(C197,"ttt"),'ZD Vorerfassung'!$H$21:$L$36,10,0),0))+
IF('ZD Vorerfassung'!$E$31="",0,IF(AND(B197&gt;='ZD Vorerfassung'!$C$31,B197&lt;='ZD Vorerfassung'!$D$31),HLOOKUP(TEXT(C197,"ttt"),'ZD Vorerfassung'!$H$21:$L$36,11,0),0))+
IF('ZD Vorerfassung'!$E$32="",0,IF(AND(B197&gt;='ZD Vorerfassung'!$C$32,B197&lt;='ZD Vorerfassung'!$D$32),HLOOKUP(TEXT(C197,"ttt"),'ZD Vorerfassung'!$H$21:$L$36,12,0),0))+
IF('ZD Vorerfassung'!$E$33="",0,IF(AND(B197&gt;='ZD Vorerfassung'!$C$33,B197&lt;='ZD Vorerfassung'!$D$33),HLOOKUP(TEXT(C197,"ttt"),'ZD Vorerfassung'!$H$21:$L$36,13,0),0))+
IF('ZD Vorerfassung'!$E$34="",0,IF(AND(B197&gt;='ZD Vorerfassung'!$C$34,B197&lt;='ZD Vorerfassung'!$D$34),HLOOKUP(TEXT(C197,"ttt"),'ZD Vorerfassung'!$H$21:$L$36,14,0),0))+
IF('ZD Vorerfassung'!$E$35="",0,IF(AND(B197&gt;='ZD Vorerfassung'!$C$35,B197&lt;='ZD Vorerfassung'!$D$35),HLOOKUP(TEXT(C197,"ttt"),'ZD Vorerfassung'!$H$21:$L$36,15,0),0))+
IF('ZD Vorerfassung'!$E$36="",0,IF(AND(B197&gt;='ZD Vorerfassung'!$C$36,B197&lt;='ZD Vorerfassung'!$D$36),HLOOKUP(TEXT(C197,"ttt"),'ZD Vorerfassung'!$H$21:$L$36,16,0),0)),"")</f>
        <v/>
      </c>
      <c r="AW197" s="110">
        <f t="array" ref="AW197">IF(OR(D197="UU",D197="FT",D197="WE"),0,
IF(D197="NR",SUM(IF(B197&gt;=_xlfn.NUMBERVALUE('ZD Vorerfassung'!$C$22:$C$36),1,0)*IF(B197&lt;=_xlfn.NUMBERVALUE('ZD Vorerfassung'!$D$22:$D$36),1,0)*'ZD Vorerfassung'!$Q$22:$Q$36),
IF(OR(D197="SF",D197="FH"),SUM(IF(B197&gt;=_xlfn.NUMBERVALUE('ZD Vorerfassung'!$C$22:$C$36),1,0)*IF(B197&lt;=_xlfn.NUMBERVALUE('ZD Vorerfassung'!$D$22:$D$36),1,0)*'ZD Vorerfassung'!$R$22:$R$36*IF(D197="FH",0.5,1)),
"prüfen")))</f>
        <v>0</v>
      </c>
      <c r="AX197" s="110">
        <f t="array" ref="AX197">IF(OR(D197="UU",D197="FT",D197="WE",E197="Ferien"),0,
IF(D197="NR",SUM(IF(B197&gt;=_xlfn.NUMBERVALUE('ZD Vorerfassung'!$C$22:$C$36),1,0)*IF(B197&lt;=_xlfn.NUMBERVALUE('ZD Vorerfassung'!$D$22:$D$36),1,0)*'ZD Vorerfassung'!$W$22:$W$36),
IF(OR(D197="SF",D197="FH"),SUM(IF(B197&gt;=_xlfn.NUMBERVALUE('ZD Vorerfassung'!$C$22:$C$36),1,0)*IF(B197&lt;=_xlfn.NUMBERVALUE('ZD Vorerfassung'!$D$22:$D$36),1,0)*'ZD Vorerfassung'!$X$22:$X$36*IF(D197="FH",0.5,1)),
"prüfen")))</f>
        <v>0</v>
      </c>
      <c r="AY197" s="110">
        <f t="array" ref="AY197">IF(OR(D197="UU",D197="FT",D197="WE",E197="Ferien"),0,
IF(D197="NR",SUM(IF(B197&gt;=_xlfn.NUMBERVALUE('ZD Vorerfassung'!$C$22:$C$36),1,0)*IF(B197&lt;=_xlfn.NUMBERVALUE('ZD Vorerfassung'!$D$22:$D$36),1,0)*'ZD Vorerfassung'!$U$22:$U$36),
IF(OR(D197="SF",D197="FH"),SUM(IF(B197&gt;=_xlfn.NUMBERVALUE('ZD Vorerfassung'!$C$22:$C$36),1,0)*IF(B197&lt;=_xlfn.NUMBERVALUE('ZD Vorerfassung'!$D$22:$D$36),1,0)*'ZD Vorerfassung'!$V$22:$V$36*IF(D197="FH",0.5,1)),
"prüfen")))</f>
        <v>0</v>
      </c>
      <c r="AZ197" s="110">
        <f t="array" ref="AZ197">IF(OR(D197="UU",D197="FT",D197="WE",E197="Ferien"),0,
IF(D197="NR",SUM(IF(B197&gt;=_xlfn.NUMBERVALUE('ZD Vorerfassung'!$C$22:$C$36),1,0)*IF(B197&lt;=_xlfn.NUMBERVALUE('ZD Vorerfassung'!$D$22:$D$36),1,0)*'ZD Vorerfassung'!$S$22:$S$36),
IF(OR(D197="SF",D197="FH"),SUM(IF(B197&gt;=_xlfn.NUMBERVALUE('ZD Vorerfassung'!$C$22:$C$36),1,0)*IF(B197&lt;=_xlfn.NUMBERVALUE('ZD Vorerfassung'!$D$22:$D$36),1,0)*'ZD Vorerfassung'!$T$22:$T$36*IF(D197="FH",0.5,1)),
"prüfen")))</f>
        <v>0</v>
      </c>
      <c r="BA197" s="112">
        <f t="shared" si="32"/>
        <v>2</v>
      </c>
    </row>
    <row r="198" spans="2:53" ht="19.5" thickTop="1" thickBot="1" x14ac:dyDescent="0.3">
      <c r="B198" s="99">
        <f t="shared" si="29"/>
        <v>44963</v>
      </c>
      <c r="C198" s="100">
        <f t="shared" si="33"/>
        <v>44963</v>
      </c>
      <c r="D198" s="101" t="str">
        <f t="shared" si="34"/>
        <v>WE</v>
      </c>
      <c r="E198" s="102" t="str">
        <f t="shared" si="30"/>
        <v>Wochenende</v>
      </c>
      <c r="F198" s="103" t="str">
        <f t="shared" si="35"/>
        <v/>
      </c>
      <c r="G198" s="104" t="str">
        <f t="shared" si="36"/>
        <v/>
      </c>
      <c r="H198" s="104">
        <f>IFERROR(IF('ZD Vorerfassung'!$E$11="manuell",SUM(I198),IF(OR(E198="Feiertag",E198="Wochenende"),0,IF('ZD Vorerfassung'!$E$11="automatisch",AX198,IF(D198="UU","UU",IF(E198=Param2,AX198/24,IF(E198=Param9,AX198/48,"")))))),0)</f>
        <v>0</v>
      </c>
      <c r="I198" s="105"/>
      <c r="J198" s="106">
        <f>IF('ZD Vorerfassung'!$E$12="manuell",SUM(K198:AI198),IF(OR(E198="Feiertag",E198="Wochenende"),0,IF('ZD Vorerfassung'!$E$12="automatisch",AY198,IF(D198="UU","UU",IF(E198=Param2,AY198/24,IF(E198=Param9,AY198/48,""))))))</f>
        <v>0</v>
      </c>
      <c r="K198" s="105"/>
      <c r="L198" s="105"/>
      <c r="M198" s="105"/>
      <c r="N198" s="105"/>
      <c r="O198" s="105"/>
      <c r="P198" s="105"/>
      <c r="Q198" s="105"/>
      <c r="R198" s="105"/>
      <c r="S198" s="105"/>
      <c r="T198" s="105"/>
      <c r="U198" s="105"/>
      <c r="V198" s="105"/>
      <c r="W198" s="105"/>
      <c r="X198" s="105"/>
      <c r="Y198" s="105"/>
      <c r="Z198" s="105"/>
      <c r="AA198" s="105"/>
      <c r="AB198" s="105"/>
      <c r="AC198" s="105"/>
      <c r="AD198" s="105"/>
      <c r="AE198" s="105"/>
      <c r="AF198" s="105"/>
      <c r="AG198" s="105"/>
      <c r="AH198" s="105"/>
      <c r="AI198" s="105"/>
      <c r="AJ198" s="107">
        <f t="shared" si="37"/>
        <v>0</v>
      </c>
      <c r="AK198" s="105"/>
      <c r="AL198" s="105"/>
      <c r="AM198" s="105"/>
      <c r="AN198" s="105"/>
      <c r="AO198" s="105"/>
      <c r="AP198" s="105"/>
      <c r="AQ198" s="108">
        <f t="shared" si="38"/>
        <v>0</v>
      </c>
      <c r="AR198" s="108">
        <f t="shared" si="39"/>
        <v>0</v>
      </c>
      <c r="AS198" s="109">
        <f t="shared" si="40"/>
        <v>0</v>
      </c>
      <c r="AU198" s="110">
        <f t="shared" si="31"/>
        <v>0</v>
      </c>
      <c r="AV198" s="111" t="str">
        <f>IF(D198="NR",
IF('ZD Vorerfassung'!$E$22="",0,IF(AND(B198&gt;='ZD Vorerfassung'!$C$22,B198&lt;='ZD Vorerfassung'!$D$22),HLOOKUP(TEXT(C198,"ttt"),'ZD Vorerfassung'!$H$21:$L$36,2,0),0))+
IF('ZD Vorerfassung'!$E$23="",0,IF(AND(B198&gt;='ZD Vorerfassung'!$C$23,B198&lt;='ZD Vorerfassung'!$D$23),HLOOKUP(TEXT(C198,"ttt"),'ZD Vorerfassung'!$H$21:$L$36,3,0),0))+
IF('ZD Vorerfassung'!$E$24="",0,IF(AND(B198&gt;='ZD Vorerfassung'!$C$24,B198&lt;='ZD Vorerfassung'!$D$24),HLOOKUP(TEXT(C198,"ttt"),'ZD Vorerfassung'!$H$21:$L$36,4,0),0))+
IF('ZD Vorerfassung'!$E$25="",0,IF(AND(B198&gt;='ZD Vorerfassung'!$C$25,B198&lt;='ZD Vorerfassung'!$D$25),HLOOKUP(TEXT(C198,"ttt"),'ZD Vorerfassung'!$H$21:$L$36,5,0),0))+
IF('ZD Vorerfassung'!$E$26="",0,IF(AND(B198&gt;='ZD Vorerfassung'!$C$26,B198&lt;='ZD Vorerfassung'!$D$26),HLOOKUP(TEXT(C198,"ttt"),'ZD Vorerfassung'!$H$21:$L$36,6,0),0))+
IF('ZD Vorerfassung'!$E$27="",0,IF(AND(B198&gt;='ZD Vorerfassung'!$C$27,B198&lt;='ZD Vorerfassung'!$D$27),HLOOKUP(TEXT(C198,"ttt"),'ZD Vorerfassung'!$H$21:$L$36,7,0),0))+
IF('ZD Vorerfassung'!$E$28="",0,IF(AND(B198&gt;='ZD Vorerfassung'!$C$28,B198&lt;='ZD Vorerfassung'!$D$28),HLOOKUP(TEXT(C198,"ttt"),'ZD Vorerfassung'!$H$21:$L$36,8,0),0))+
IF('ZD Vorerfassung'!$E$29="",0,IF(AND(B198&gt;='ZD Vorerfassung'!$C$29,B198&lt;='ZD Vorerfassung'!$D$29),HLOOKUP(TEXT(C198,"ttt"),'ZD Vorerfassung'!$H$21:$L$36,9,0),0))+
IF('ZD Vorerfassung'!$E$30="",0,IF(AND(B198&gt;='ZD Vorerfassung'!$C$30,B198&lt;='ZD Vorerfassung'!$D$30),HLOOKUP(TEXT(C198,"ttt"),'ZD Vorerfassung'!$H$21:$L$36,10,0),0))+
IF('ZD Vorerfassung'!$E$31="",0,IF(AND(B198&gt;='ZD Vorerfassung'!$C$31,B198&lt;='ZD Vorerfassung'!$D$31),HLOOKUP(TEXT(C198,"ttt"),'ZD Vorerfassung'!$H$21:$L$36,11,0),0))+
IF('ZD Vorerfassung'!$E$32="",0,IF(AND(B198&gt;='ZD Vorerfassung'!$C$32,B198&lt;='ZD Vorerfassung'!$D$32),HLOOKUP(TEXT(C198,"ttt"),'ZD Vorerfassung'!$H$21:$L$36,12,0),0))+
IF('ZD Vorerfassung'!$E$33="",0,IF(AND(B198&gt;='ZD Vorerfassung'!$C$33,B198&lt;='ZD Vorerfassung'!$D$33),HLOOKUP(TEXT(C198,"ttt"),'ZD Vorerfassung'!$H$21:$L$36,13,0),0))+
IF('ZD Vorerfassung'!$E$34="",0,IF(AND(B198&gt;='ZD Vorerfassung'!$C$34,B198&lt;='ZD Vorerfassung'!$D$34),HLOOKUP(TEXT(C198,"ttt"),'ZD Vorerfassung'!$H$21:$L$36,14,0),0))+
IF('ZD Vorerfassung'!$E$35="",0,IF(AND(B198&gt;='ZD Vorerfassung'!$C$35,B198&lt;='ZD Vorerfassung'!$D$35),HLOOKUP(TEXT(C198,"ttt"),'ZD Vorerfassung'!$H$21:$L$36,15,0),0))+
IF('ZD Vorerfassung'!$E$36="",0,IF(AND(B198&gt;='ZD Vorerfassung'!$C$36,B198&lt;='ZD Vorerfassung'!$D$36),HLOOKUP(TEXT(C198,"ttt"),'ZD Vorerfassung'!$H$21:$L$36,16,0),0)),"")</f>
        <v/>
      </c>
      <c r="AW198" s="110">
        <f t="array" ref="AW198">IF(OR(D198="UU",D198="FT",D198="WE"),0,
IF(D198="NR",SUM(IF(B198&gt;=_xlfn.NUMBERVALUE('ZD Vorerfassung'!$C$22:$C$36),1,0)*IF(B198&lt;=_xlfn.NUMBERVALUE('ZD Vorerfassung'!$D$22:$D$36),1,0)*'ZD Vorerfassung'!$Q$22:$Q$36),
IF(OR(D198="SF",D198="FH"),SUM(IF(B198&gt;=_xlfn.NUMBERVALUE('ZD Vorerfassung'!$C$22:$C$36),1,0)*IF(B198&lt;=_xlfn.NUMBERVALUE('ZD Vorerfassung'!$D$22:$D$36),1,0)*'ZD Vorerfassung'!$R$22:$R$36*IF(D198="FH",0.5,1)),
"prüfen")))</f>
        <v>0</v>
      </c>
      <c r="AX198" s="110">
        <f t="array" ref="AX198">IF(OR(D198="UU",D198="FT",D198="WE",E198="Ferien"),0,
IF(D198="NR",SUM(IF(B198&gt;=_xlfn.NUMBERVALUE('ZD Vorerfassung'!$C$22:$C$36),1,0)*IF(B198&lt;=_xlfn.NUMBERVALUE('ZD Vorerfassung'!$D$22:$D$36),1,0)*'ZD Vorerfassung'!$W$22:$W$36),
IF(OR(D198="SF",D198="FH"),SUM(IF(B198&gt;=_xlfn.NUMBERVALUE('ZD Vorerfassung'!$C$22:$C$36),1,0)*IF(B198&lt;=_xlfn.NUMBERVALUE('ZD Vorerfassung'!$D$22:$D$36),1,0)*'ZD Vorerfassung'!$X$22:$X$36*IF(D198="FH",0.5,1)),
"prüfen")))</f>
        <v>0</v>
      </c>
      <c r="AY198" s="110">
        <f t="array" ref="AY198">IF(OR(D198="UU",D198="FT",D198="WE",E198="Ferien"),0,
IF(D198="NR",SUM(IF(B198&gt;=_xlfn.NUMBERVALUE('ZD Vorerfassung'!$C$22:$C$36),1,0)*IF(B198&lt;=_xlfn.NUMBERVALUE('ZD Vorerfassung'!$D$22:$D$36),1,0)*'ZD Vorerfassung'!$U$22:$U$36),
IF(OR(D198="SF",D198="FH"),SUM(IF(B198&gt;=_xlfn.NUMBERVALUE('ZD Vorerfassung'!$C$22:$C$36),1,0)*IF(B198&lt;=_xlfn.NUMBERVALUE('ZD Vorerfassung'!$D$22:$D$36),1,0)*'ZD Vorerfassung'!$V$22:$V$36*IF(D198="FH",0.5,1)),
"prüfen")))</f>
        <v>0</v>
      </c>
      <c r="AZ198" s="110">
        <f t="array" ref="AZ198">IF(OR(D198="UU",D198="FT",D198="WE",E198="Ferien"),0,
IF(D198="NR",SUM(IF(B198&gt;=_xlfn.NUMBERVALUE('ZD Vorerfassung'!$C$22:$C$36),1,0)*IF(B198&lt;=_xlfn.NUMBERVALUE('ZD Vorerfassung'!$D$22:$D$36),1,0)*'ZD Vorerfassung'!$S$22:$S$36),
IF(OR(D198="SF",D198="FH"),SUM(IF(B198&gt;=_xlfn.NUMBERVALUE('ZD Vorerfassung'!$C$22:$C$36),1,0)*IF(B198&lt;=_xlfn.NUMBERVALUE('ZD Vorerfassung'!$D$22:$D$36),1,0)*'ZD Vorerfassung'!$T$22:$T$36*IF(D198="FH",0.5,1)),
"prüfen")))</f>
        <v>0</v>
      </c>
      <c r="BA198" s="112">
        <f t="shared" si="32"/>
        <v>2</v>
      </c>
    </row>
    <row r="199" spans="2:53" ht="19.5" thickTop="1" thickBot="1" x14ac:dyDescent="0.3">
      <c r="B199" s="99">
        <f t="shared" si="29"/>
        <v>44964</v>
      </c>
      <c r="C199" s="100">
        <f t="shared" si="33"/>
        <v>44964</v>
      </c>
      <c r="D199" s="101" t="str">
        <f t="shared" si="34"/>
        <v>SF</v>
      </c>
      <c r="E199" s="102" t="str">
        <f t="shared" si="30"/>
        <v>unterrichtsfreie Arbeitszeit</v>
      </c>
      <c r="F199" s="103" t="str">
        <f t="shared" si="35"/>
        <v/>
      </c>
      <c r="G199" s="104" t="str">
        <f t="shared" si="36"/>
        <v/>
      </c>
      <c r="H199" s="104">
        <f>IFERROR(IF('ZD Vorerfassung'!$E$11="manuell",SUM(I199),IF(OR(E199="Feiertag",E199="Wochenende"),0,IF('ZD Vorerfassung'!$E$11="automatisch",AX199,IF(D199="UU","UU",IF(E199=Param2,AX199/24,IF(E199=Param9,AX199/48,"")))))),0)</f>
        <v>0</v>
      </c>
      <c r="I199" s="105"/>
      <c r="J199" s="106">
        <f>IF('ZD Vorerfassung'!$E$12="manuell",SUM(K199:AI199),IF(OR(E199="Feiertag",E199="Wochenende"),0,IF('ZD Vorerfassung'!$E$12="automatisch",AY199,IF(D199="UU","UU",IF(E199=Param2,AY199/24,IF(E199=Param9,AY199/48,""))))))</f>
        <v>0</v>
      </c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  <c r="AE199" s="105"/>
      <c r="AF199" s="105"/>
      <c r="AG199" s="105"/>
      <c r="AH199" s="105"/>
      <c r="AI199" s="105"/>
      <c r="AJ199" s="107">
        <f t="shared" si="37"/>
        <v>0</v>
      </c>
      <c r="AK199" s="105"/>
      <c r="AL199" s="105"/>
      <c r="AM199" s="105"/>
      <c r="AN199" s="105"/>
      <c r="AO199" s="105"/>
      <c r="AP199" s="105"/>
      <c r="AQ199" s="108">
        <f t="shared" si="38"/>
        <v>0</v>
      </c>
      <c r="AR199" s="108">
        <f t="shared" si="39"/>
        <v>0</v>
      </c>
      <c r="AS199" s="109">
        <f t="shared" si="40"/>
        <v>0</v>
      </c>
      <c r="AU199" s="110">
        <f t="shared" si="31"/>
        <v>0</v>
      </c>
      <c r="AV199" s="111" t="str">
        <f>IF(D199="NR",
IF('ZD Vorerfassung'!$E$22="",0,IF(AND(B199&gt;='ZD Vorerfassung'!$C$22,B199&lt;='ZD Vorerfassung'!$D$22),HLOOKUP(TEXT(C199,"ttt"),'ZD Vorerfassung'!$H$21:$L$36,2,0),0))+
IF('ZD Vorerfassung'!$E$23="",0,IF(AND(B199&gt;='ZD Vorerfassung'!$C$23,B199&lt;='ZD Vorerfassung'!$D$23),HLOOKUP(TEXT(C199,"ttt"),'ZD Vorerfassung'!$H$21:$L$36,3,0),0))+
IF('ZD Vorerfassung'!$E$24="",0,IF(AND(B199&gt;='ZD Vorerfassung'!$C$24,B199&lt;='ZD Vorerfassung'!$D$24),HLOOKUP(TEXT(C199,"ttt"),'ZD Vorerfassung'!$H$21:$L$36,4,0),0))+
IF('ZD Vorerfassung'!$E$25="",0,IF(AND(B199&gt;='ZD Vorerfassung'!$C$25,B199&lt;='ZD Vorerfassung'!$D$25),HLOOKUP(TEXT(C199,"ttt"),'ZD Vorerfassung'!$H$21:$L$36,5,0),0))+
IF('ZD Vorerfassung'!$E$26="",0,IF(AND(B199&gt;='ZD Vorerfassung'!$C$26,B199&lt;='ZD Vorerfassung'!$D$26),HLOOKUP(TEXT(C199,"ttt"),'ZD Vorerfassung'!$H$21:$L$36,6,0),0))+
IF('ZD Vorerfassung'!$E$27="",0,IF(AND(B199&gt;='ZD Vorerfassung'!$C$27,B199&lt;='ZD Vorerfassung'!$D$27),HLOOKUP(TEXT(C199,"ttt"),'ZD Vorerfassung'!$H$21:$L$36,7,0),0))+
IF('ZD Vorerfassung'!$E$28="",0,IF(AND(B199&gt;='ZD Vorerfassung'!$C$28,B199&lt;='ZD Vorerfassung'!$D$28),HLOOKUP(TEXT(C199,"ttt"),'ZD Vorerfassung'!$H$21:$L$36,8,0),0))+
IF('ZD Vorerfassung'!$E$29="",0,IF(AND(B199&gt;='ZD Vorerfassung'!$C$29,B199&lt;='ZD Vorerfassung'!$D$29),HLOOKUP(TEXT(C199,"ttt"),'ZD Vorerfassung'!$H$21:$L$36,9,0),0))+
IF('ZD Vorerfassung'!$E$30="",0,IF(AND(B199&gt;='ZD Vorerfassung'!$C$30,B199&lt;='ZD Vorerfassung'!$D$30),HLOOKUP(TEXT(C199,"ttt"),'ZD Vorerfassung'!$H$21:$L$36,10,0),0))+
IF('ZD Vorerfassung'!$E$31="",0,IF(AND(B199&gt;='ZD Vorerfassung'!$C$31,B199&lt;='ZD Vorerfassung'!$D$31),HLOOKUP(TEXT(C199,"ttt"),'ZD Vorerfassung'!$H$21:$L$36,11,0),0))+
IF('ZD Vorerfassung'!$E$32="",0,IF(AND(B199&gt;='ZD Vorerfassung'!$C$32,B199&lt;='ZD Vorerfassung'!$D$32),HLOOKUP(TEXT(C199,"ttt"),'ZD Vorerfassung'!$H$21:$L$36,12,0),0))+
IF('ZD Vorerfassung'!$E$33="",0,IF(AND(B199&gt;='ZD Vorerfassung'!$C$33,B199&lt;='ZD Vorerfassung'!$D$33),HLOOKUP(TEXT(C199,"ttt"),'ZD Vorerfassung'!$H$21:$L$36,13,0),0))+
IF('ZD Vorerfassung'!$E$34="",0,IF(AND(B199&gt;='ZD Vorerfassung'!$C$34,B199&lt;='ZD Vorerfassung'!$D$34),HLOOKUP(TEXT(C199,"ttt"),'ZD Vorerfassung'!$H$21:$L$36,14,0),0))+
IF('ZD Vorerfassung'!$E$35="",0,IF(AND(B199&gt;='ZD Vorerfassung'!$C$35,B199&lt;='ZD Vorerfassung'!$D$35),HLOOKUP(TEXT(C199,"ttt"),'ZD Vorerfassung'!$H$21:$L$36,15,0),0))+
IF('ZD Vorerfassung'!$E$36="",0,IF(AND(B199&gt;='ZD Vorerfassung'!$C$36,B199&lt;='ZD Vorerfassung'!$D$36),HLOOKUP(TEXT(C199,"ttt"),'ZD Vorerfassung'!$H$21:$L$36,16,0),0)),"")</f>
        <v/>
      </c>
      <c r="AW199" s="110">
        <f t="array" ref="AW199">IF(OR(D199="UU",D199="FT",D199="WE"),0,
IF(D199="NR",SUM(IF(B199&gt;=_xlfn.NUMBERVALUE('ZD Vorerfassung'!$C$22:$C$36),1,0)*IF(B199&lt;=_xlfn.NUMBERVALUE('ZD Vorerfassung'!$D$22:$D$36),1,0)*'ZD Vorerfassung'!$Q$22:$Q$36),
IF(OR(D199="SF",D199="FH"),SUM(IF(B199&gt;=_xlfn.NUMBERVALUE('ZD Vorerfassung'!$C$22:$C$36),1,0)*IF(B199&lt;=_xlfn.NUMBERVALUE('ZD Vorerfassung'!$D$22:$D$36),1,0)*'ZD Vorerfassung'!$R$22:$R$36*IF(D199="FH",0.5,1)),
"prüfen")))</f>
        <v>0</v>
      </c>
      <c r="AX199" s="110">
        <f t="array" ref="AX199">IF(OR(D199="UU",D199="FT",D199="WE",E199="Ferien"),0,
IF(D199="NR",SUM(IF(B199&gt;=_xlfn.NUMBERVALUE('ZD Vorerfassung'!$C$22:$C$36),1,0)*IF(B199&lt;=_xlfn.NUMBERVALUE('ZD Vorerfassung'!$D$22:$D$36),1,0)*'ZD Vorerfassung'!$W$22:$W$36),
IF(OR(D199="SF",D199="FH"),SUM(IF(B199&gt;=_xlfn.NUMBERVALUE('ZD Vorerfassung'!$C$22:$C$36),1,0)*IF(B199&lt;=_xlfn.NUMBERVALUE('ZD Vorerfassung'!$D$22:$D$36),1,0)*'ZD Vorerfassung'!$X$22:$X$36*IF(D199="FH",0.5,1)),
"prüfen")))</f>
        <v>0</v>
      </c>
      <c r="AY199" s="110">
        <f t="array" ref="AY199">IF(OR(D199="UU",D199="FT",D199="WE",E199="Ferien"),0,
IF(D199="NR",SUM(IF(B199&gt;=_xlfn.NUMBERVALUE('ZD Vorerfassung'!$C$22:$C$36),1,0)*IF(B199&lt;=_xlfn.NUMBERVALUE('ZD Vorerfassung'!$D$22:$D$36),1,0)*'ZD Vorerfassung'!$U$22:$U$36),
IF(OR(D199="SF",D199="FH"),SUM(IF(B199&gt;=_xlfn.NUMBERVALUE('ZD Vorerfassung'!$C$22:$C$36),1,0)*IF(B199&lt;=_xlfn.NUMBERVALUE('ZD Vorerfassung'!$D$22:$D$36),1,0)*'ZD Vorerfassung'!$V$22:$V$36*IF(D199="FH",0.5,1)),
"prüfen")))</f>
        <v>0</v>
      </c>
      <c r="AZ199" s="110">
        <f t="array" ref="AZ199">IF(OR(D199="UU",D199="FT",D199="WE",E199="Ferien"),0,
IF(D199="NR",SUM(IF(B199&gt;=_xlfn.NUMBERVALUE('ZD Vorerfassung'!$C$22:$C$36),1,0)*IF(B199&lt;=_xlfn.NUMBERVALUE('ZD Vorerfassung'!$D$22:$D$36),1,0)*'ZD Vorerfassung'!$S$22:$S$36),
IF(OR(D199="SF",D199="FH"),SUM(IF(B199&gt;=_xlfn.NUMBERVALUE('ZD Vorerfassung'!$C$22:$C$36),1,0)*IF(B199&lt;=_xlfn.NUMBERVALUE('ZD Vorerfassung'!$D$22:$D$36),1,0)*'ZD Vorerfassung'!$T$22:$T$36*IF(D199="FH",0.5,1)),
"prüfen")))</f>
        <v>0</v>
      </c>
      <c r="BA199" s="112">
        <f t="shared" si="32"/>
        <v>2</v>
      </c>
    </row>
    <row r="200" spans="2:53" ht="19.5" thickTop="1" thickBot="1" x14ac:dyDescent="0.3">
      <c r="B200" s="99">
        <f t="shared" ref="B200:B263" si="41">IF(B199="Datum",DATE(LEFT(Schuljahr,4),8,1),B199+1)</f>
        <v>44965</v>
      </c>
      <c r="C200" s="100">
        <f t="shared" si="33"/>
        <v>44965</v>
      </c>
      <c r="D200" s="101" t="str">
        <f t="shared" si="34"/>
        <v>SF</v>
      </c>
      <c r="E200" s="102" t="str">
        <f t="shared" ref="E200:E263" si="42">IF(D200="FT",Param8,
IF(D200="FH",Param9,
IF(D200="WE",Param7,
IF(D200="SF",Param2,
IF(D200="NR",Param1,
IF(D200="UU",Param10,
""))))))</f>
        <v>unterrichtsfreie Arbeitszeit</v>
      </c>
      <c r="F200" s="103" t="str">
        <f t="shared" si="35"/>
        <v/>
      </c>
      <c r="G200" s="104" t="str">
        <f t="shared" si="36"/>
        <v/>
      </c>
      <c r="H200" s="104">
        <f>IFERROR(IF('ZD Vorerfassung'!$E$11="manuell",SUM(I200),IF(OR(E200="Feiertag",E200="Wochenende"),0,IF('ZD Vorerfassung'!$E$11="automatisch",AX200,IF(D200="UU","UU",IF(E200=Param2,AX200/24,IF(E200=Param9,AX200/48,"")))))),0)</f>
        <v>0</v>
      </c>
      <c r="I200" s="105"/>
      <c r="J200" s="106">
        <f>IF('ZD Vorerfassung'!$E$12="manuell",SUM(K200:AI200),IF(OR(E200="Feiertag",E200="Wochenende"),0,IF('ZD Vorerfassung'!$E$12="automatisch",AY200,IF(D200="UU","UU",IF(E200=Param2,AY200/24,IF(E200=Param9,AY200/48,""))))))</f>
        <v>0</v>
      </c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7">
        <f t="shared" si="37"/>
        <v>0</v>
      </c>
      <c r="AK200" s="105"/>
      <c r="AL200" s="105"/>
      <c r="AM200" s="105"/>
      <c r="AN200" s="105"/>
      <c r="AO200" s="105"/>
      <c r="AP200" s="105"/>
      <c r="AQ200" s="108">
        <f t="shared" si="38"/>
        <v>0</v>
      </c>
      <c r="AR200" s="108">
        <f t="shared" si="39"/>
        <v>0</v>
      </c>
      <c r="AS200" s="109">
        <f t="shared" si="40"/>
        <v>0</v>
      </c>
      <c r="AU200" s="110">
        <f t="shared" ref="AU200:AU263" si="43">SUM(AW200:AZ200)</f>
        <v>0</v>
      </c>
      <c r="AV200" s="111" t="str">
        <f>IF(D200="NR",
IF('ZD Vorerfassung'!$E$22="",0,IF(AND(B200&gt;='ZD Vorerfassung'!$C$22,B200&lt;='ZD Vorerfassung'!$D$22),HLOOKUP(TEXT(C200,"ttt"),'ZD Vorerfassung'!$H$21:$L$36,2,0),0))+
IF('ZD Vorerfassung'!$E$23="",0,IF(AND(B200&gt;='ZD Vorerfassung'!$C$23,B200&lt;='ZD Vorerfassung'!$D$23),HLOOKUP(TEXT(C200,"ttt"),'ZD Vorerfassung'!$H$21:$L$36,3,0),0))+
IF('ZD Vorerfassung'!$E$24="",0,IF(AND(B200&gt;='ZD Vorerfassung'!$C$24,B200&lt;='ZD Vorerfassung'!$D$24),HLOOKUP(TEXT(C200,"ttt"),'ZD Vorerfassung'!$H$21:$L$36,4,0),0))+
IF('ZD Vorerfassung'!$E$25="",0,IF(AND(B200&gt;='ZD Vorerfassung'!$C$25,B200&lt;='ZD Vorerfassung'!$D$25),HLOOKUP(TEXT(C200,"ttt"),'ZD Vorerfassung'!$H$21:$L$36,5,0),0))+
IF('ZD Vorerfassung'!$E$26="",0,IF(AND(B200&gt;='ZD Vorerfassung'!$C$26,B200&lt;='ZD Vorerfassung'!$D$26),HLOOKUP(TEXT(C200,"ttt"),'ZD Vorerfassung'!$H$21:$L$36,6,0),0))+
IF('ZD Vorerfassung'!$E$27="",0,IF(AND(B200&gt;='ZD Vorerfassung'!$C$27,B200&lt;='ZD Vorerfassung'!$D$27),HLOOKUP(TEXT(C200,"ttt"),'ZD Vorerfassung'!$H$21:$L$36,7,0),0))+
IF('ZD Vorerfassung'!$E$28="",0,IF(AND(B200&gt;='ZD Vorerfassung'!$C$28,B200&lt;='ZD Vorerfassung'!$D$28),HLOOKUP(TEXT(C200,"ttt"),'ZD Vorerfassung'!$H$21:$L$36,8,0),0))+
IF('ZD Vorerfassung'!$E$29="",0,IF(AND(B200&gt;='ZD Vorerfassung'!$C$29,B200&lt;='ZD Vorerfassung'!$D$29),HLOOKUP(TEXT(C200,"ttt"),'ZD Vorerfassung'!$H$21:$L$36,9,0),0))+
IF('ZD Vorerfassung'!$E$30="",0,IF(AND(B200&gt;='ZD Vorerfassung'!$C$30,B200&lt;='ZD Vorerfassung'!$D$30),HLOOKUP(TEXT(C200,"ttt"),'ZD Vorerfassung'!$H$21:$L$36,10,0),0))+
IF('ZD Vorerfassung'!$E$31="",0,IF(AND(B200&gt;='ZD Vorerfassung'!$C$31,B200&lt;='ZD Vorerfassung'!$D$31),HLOOKUP(TEXT(C200,"ttt"),'ZD Vorerfassung'!$H$21:$L$36,11,0),0))+
IF('ZD Vorerfassung'!$E$32="",0,IF(AND(B200&gt;='ZD Vorerfassung'!$C$32,B200&lt;='ZD Vorerfassung'!$D$32),HLOOKUP(TEXT(C200,"ttt"),'ZD Vorerfassung'!$H$21:$L$36,12,0),0))+
IF('ZD Vorerfassung'!$E$33="",0,IF(AND(B200&gt;='ZD Vorerfassung'!$C$33,B200&lt;='ZD Vorerfassung'!$D$33),HLOOKUP(TEXT(C200,"ttt"),'ZD Vorerfassung'!$H$21:$L$36,13,0),0))+
IF('ZD Vorerfassung'!$E$34="",0,IF(AND(B200&gt;='ZD Vorerfassung'!$C$34,B200&lt;='ZD Vorerfassung'!$D$34),HLOOKUP(TEXT(C200,"ttt"),'ZD Vorerfassung'!$H$21:$L$36,14,0),0))+
IF('ZD Vorerfassung'!$E$35="",0,IF(AND(B200&gt;='ZD Vorerfassung'!$C$35,B200&lt;='ZD Vorerfassung'!$D$35),HLOOKUP(TEXT(C200,"ttt"),'ZD Vorerfassung'!$H$21:$L$36,15,0),0))+
IF('ZD Vorerfassung'!$E$36="",0,IF(AND(B200&gt;='ZD Vorerfassung'!$C$36,B200&lt;='ZD Vorerfassung'!$D$36),HLOOKUP(TEXT(C200,"ttt"),'ZD Vorerfassung'!$H$21:$L$36,16,0),0)),"")</f>
        <v/>
      </c>
      <c r="AW200" s="110">
        <f t="array" ref="AW200">IF(OR(D200="UU",D200="FT",D200="WE"),0,
IF(D200="NR",SUM(IF(B200&gt;=_xlfn.NUMBERVALUE('ZD Vorerfassung'!$C$22:$C$36),1,0)*IF(B200&lt;=_xlfn.NUMBERVALUE('ZD Vorerfassung'!$D$22:$D$36),1,0)*'ZD Vorerfassung'!$Q$22:$Q$36),
IF(OR(D200="SF",D200="FH"),SUM(IF(B200&gt;=_xlfn.NUMBERVALUE('ZD Vorerfassung'!$C$22:$C$36),1,0)*IF(B200&lt;=_xlfn.NUMBERVALUE('ZD Vorerfassung'!$D$22:$D$36),1,0)*'ZD Vorerfassung'!$R$22:$R$36*IF(D200="FH",0.5,1)),
"prüfen")))</f>
        <v>0</v>
      </c>
      <c r="AX200" s="110">
        <f t="array" ref="AX200">IF(OR(D200="UU",D200="FT",D200="WE",E200="Ferien"),0,
IF(D200="NR",SUM(IF(B200&gt;=_xlfn.NUMBERVALUE('ZD Vorerfassung'!$C$22:$C$36),1,0)*IF(B200&lt;=_xlfn.NUMBERVALUE('ZD Vorerfassung'!$D$22:$D$36),1,0)*'ZD Vorerfassung'!$W$22:$W$36),
IF(OR(D200="SF",D200="FH"),SUM(IF(B200&gt;=_xlfn.NUMBERVALUE('ZD Vorerfassung'!$C$22:$C$36),1,0)*IF(B200&lt;=_xlfn.NUMBERVALUE('ZD Vorerfassung'!$D$22:$D$36),1,0)*'ZD Vorerfassung'!$X$22:$X$36*IF(D200="FH",0.5,1)),
"prüfen")))</f>
        <v>0</v>
      </c>
      <c r="AY200" s="110">
        <f t="array" ref="AY200">IF(OR(D200="UU",D200="FT",D200="WE",E200="Ferien"),0,
IF(D200="NR",SUM(IF(B200&gt;=_xlfn.NUMBERVALUE('ZD Vorerfassung'!$C$22:$C$36),1,0)*IF(B200&lt;=_xlfn.NUMBERVALUE('ZD Vorerfassung'!$D$22:$D$36),1,0)*'ZD Vorerfassung'!$U$22:$U$36),
IF(OR(D200="SF",D200="FH"),SUM(IF(B200&gt;=_xlfn.NUMBERVALUE('ZD Vorerfassung'!$C$22:$C$36),1,0)*IF(B200&lt;=_xlfn.NUMBERVALUE('ZD Vorerfassung'!$D$22:$D$36),1,0)*'ZD Vorerfassung'!$V$22:$V$36*IF(D200="FH",0.5,1)),
"prüfen")))</f>
        <v>0</v>
      </c>
      <c r="AZ200" s="110">
        <f t="array" ref="AZ200">IF(OR(D200="UU",D200="FT",D200="WE",E200="Ferien"),0,
IF(D200="NR",SUM(IF(B200&gt;=_xlfn.NUMBERVALUE('ZD Vorerfassung'!$C$22:$C$36),1,0)*IF(B200&lt;=_xlfn.NUMBERVALUE('ZD Vorerfassung'!$D$22:$D$36),1,0)*'ZD Vorerfassung'!$S$22:$S$36),
IF(OR(D200="SF",D200="FH"),SUM(IF(B200&gt;=_xlfn.NUMBERVALUE('ZD Vorerfassung'!$C$22:$C$36),1,0)*IF(B200&lt;=_xlfn.NUMBERVALUE('ZD Vorerfassung'!$D$22:$D$36),1,0)*'ZD Vorerfassung'!$T$22:$T$36*IF(D200="FH",0.5,1)),
"prüfen")))</f>
        <v>0</v>
      </c>
      <c r="BA200" s="112">
        <f t="shared" ref="BA200:BA263" si="44">MONTH(B200)</f>
        <v>2</v>
      </c>
    </row>
    <row r="201" spans="2:53" ht="19.5" thickTop="1" thickBot="1" x14ac:dyDescent="0.3">
      <c r="B201" s="99">
        <f t="shared" si="41"/>
        <v>44966</v>
      </c>
      <c r="C201" s="100">
        <f t="shared" ref="C201:C264" si="45">B201</f>
        <v>44966</v>
      </c>
      <c r="D201" s="101" t="str">
        <f t="shared" ref="D201:D264" si="46">IF(WEEKDAY(B201,2)&gt;5,"WE",IF(OR(AND(B201&gt;=UU1_start,B201&lt;=UU1_stop),AND(B201&gt;=UU2_start,B201&lt;=UU2_stop),AND(B201&gt;=UU3_start,B201&lt;=UU3_stop)),"UU",
IF(COUNTIF(Data_Feiertage,B201)&gt;0,"FT",
IF(COUNTIF(Data_Feiertage_halb,B201)&gt;0,"FH",
IF(COUNTIF(Data_Schulferien,B201)&gt;0,"SF",
"NR")))))</f>
        <v>SF</v>
      </c>
      <c r="E201" s="102" t="str">
        <f t="shared" si="42"/>
        <v>unterrichtsfreie Arbeitszeit</v>
      </c>
      <c r="F201" s="103" t="str">
        <f t="shared" ref="F201:F264" si="47">IF(E201=Param1,AV201,"")</f>
        <v/>
      </c>
      <c r="G201" s="104" t="str">
        <f t="shared" ref="G201:G264" si="48">IF(F201="","",F201*0.75*60/1440)</f>
        <v/>
      </c>
      <c r="H201" s="104">
        <f>IFERROR(IF('ZD Vorerfassung'!$E$11="manuell",SUM(I201),IF(OR(E201="Feiertag",E201="Wochenende"),0,IF('ZD Vorerfassung'!$E$11="automatisch",AX201,IF(D201="UU","UU",IF(E201=Param2,AX201/24,IF(E201=Param9,AX201/48,"")))))),0)</f>
        <v>0</v>
      </c>
      <c r="I201" s="105"/>
      <c r="J201" s="106">
        <f>IF('ZD Vorerfassung'!$E$12="manuell",SUM(K201:AI201),IF(OR(E201="Feiertag",E201="Wochenende"),0,IF('ZD Vorerfassung'!$E$12="automatisch",AY201,IF(D201="UU","UU",IF(E201=Param2,AY201/24,IF(E201=Param9,AY201/48,""))))))</f>
        <v>0</v>
      </c>
      <c r="K201" s="105"/>
      <c r="L201" s="105"/>
      <c r="M201" s="105"/>
      <c r="N201" s="105"/>
      <c r="O201" s="105"/>
      <c r="P201" s="105"/>
      <c r="Q201" s="105"/>
      <c r="R201" s="105"/>
      <c r="S201" s="105"/>
      <c r="T201" s="105"/>
      <c r="U201" s="105"/>
      <c r="V201" s="105"/>
      <c r="W201" s="105"/>
      <c r="X201" s="105"/>
      <c r="Y201" s="105"/>
      <c r="Z201" s="105"/>
      <c r="AA201" s="105"/>
      <c r="AB201" s="105"/>
      <c r="AC201" s="105"/>
      <c r="AD201" s="105"/>
      <c r="AE201" s="105"/>
      <c r="AF201" s="105"/>
      <c r="AG201" s="105"/>
      <c r="AH201" s="105"/>
      <c r="AI201" s="105"/>
      <c r="AJ201" s="107">
        <f t="shared" ref="AJ201:AJ264" si="49">IF(VorsaldoFerien="manuell",SUM(AK201:AP201),IF(OR(E201="Feiertag",E201="Wochenende"),0,IF(VorsaldoFerien="automatisch",AZ201,IF(D201="UU","UU",IF(E201=Param2,AX201/24,IF(E201=Param9,AX201/48,""))))))</f>
        <v>0</v>
      </c>
      <c r="AK201" s="105"/>
      <c r="AL201" s="105"/>
      <c r="AM201" s="105"/>
      <c r="AN201" s="105"/>
      <c r="AO201" s="105"/>
      <c r="AP201" s="105"/>
      <c r="AQ201" s="108">
        <f t="shared" ref="AQ201:AQ264" si="50">IF(OR(D201="FT",D201="WE",D201="UU"),0,
IF(D201="FH",AU201/2,AU201))</f>
        <v>0</v>
      </c>
      <c r="AR201" s="108">
        <f t="shared" ref="AR201:AR264" si="51">IF(E201=Param1,SUM(G201,H201,J201,AJ201),
IF(OR(E201=Param2,E201=Param3,E201=Param7,E201=Param8,E201=Param9),SUM(G201,H201,J201,AJ201),
IF(OR(E201=Param4,E201=Param6),AQ201,
IF(OR(E201=Param5,E201=Param10),0,0))))</f>
        <v>0</v>
      </c>
      <c r="AS201" s="109">
        <f t="shared" ref="AS201:AS264" si="52">IF(AND(DAY(B201)=1,MONTH(B201)=8),0+AR201-AQ201,AS200+AR201-AQ201)</f>
        <v>0</v>
      </c>
      <c r="AU201" s="110">
        <f t="shared" si="43"/>
        <v>0</v>
      </c>
      <c r="AV201" s="111" t="str">
        <f>IF(D201="NR",
IF('ZD Vorerfassung'!$E$22="",0,IF(AND(B201&gt;='ZD Vorerfassung'!$C$22,B201&lt;='ZD Vorerfassung'!$D$22),HLOOKUP(TEXT(C201,"ttt"),'ZD Vorerfassung'!$H$21:$L$36,2,0),0))+
IF('ZD Vorerfassung'!$E$23="",0,IF(AND(B201&gt;='ZD Vorerfassung'!$C$23,B201&lt;='ZD Vorerfassung'!$D$23),HLOOKUP(TEXT(C201,"ttt"),'ZD Vorerfassung'!$H$21:$L$36,3,0),0))+
IF('ZD Vorerfassung'!$E$24="",0,IF(AND(B201&gt;='ZD Vorerfassung'!$C$24,B201&lt;='ZD Vorerfassung'!$D$24),HLOOKUP(TEXT(C201,"ttt"),'ZD Vorerfassung'!$H$21:$L$36,4,0),0))+
IF('ZD Vorerfassung'!$E$25="",0,IF(AND(B201&gt;='ZD Vorerfassung'!$C$25,B201&lt;='ZD Vorerfassung'!$D$25),HLOOKUP(TEXT(C201,"ttt"),'ZD Vorerfassung'!$H$21:$L$36,5,0),0))+
IF('ZD Vorerfassung'!$E$26="",0,IF(AND(B201&gt;='ZD Vorerfassung'!$C$26,B201&lt;='ZD Vorerfassung'!$D$26),HLOOKUP(TEXT(C201,"ttt"),'ZD Vorerfassung'!$H$21:$L$36,6,0),0))+
IF('ZD Vorerfassung'!$E$27="",0,IF(AND(B201&gt;='ZD Vorerfassung'!$C$27,B201&lt;='ZD Vorerfassung'!$D$27),HLOOKUP(TEXT(C201,"ttt"),'ZD Vorerfassung'!$H$21:$L$36,7,0),0))+
IF('ZD Vorerfassung'!$E$28="",0,IF(AND(B201&gt;='ZD Vorerfassung'!$C$28,B201&lt;='ZD Vorerfassung'!$D$28),HLOOKUP(TEXT(C201,"ttt"),'ZD Vorerfassung'!$H$21:$L$36,8,0),0))+
IF('ZD Vorerfassung'!$E$29="",0,IF(AND(B201&gt;='ZD Vorerfassung'!$C$29,B201&lt;='ZD Vorerfassung'!$D$29),HLOOKUP(TEXT(C201,"ttt"),'ZD Vorerfassung'!$H$21:$L$36,9,0),0))+
IF('ZD Vorerfassung'!$E$30="",0,IF(AND(B201&gt;='ZD Vorerfassung'!$C$30,B201&lt;='ZD Vorerfassung'!$D$30),HLOOKUP(TEXT(C201,"ttt"),'ZD Vorerfassung'!$H$21:$L$36,10,0),0))+
IF('ZD Vorerfassung'!$E$31="",0,IF(AND(B201&gt;='ZD Vorerfassung'!$C$31,B201&lt;='ZD Vorerfassung'!$D$31),HLOOKUP(TEXT(C201,"ttt"),'ZD Vorerfassung'!$H$21:$L$36,11,0),0))+
IF('ZD Vorerfassung'!$E$32="",0,IF(AND(B201&gt;='ZD Vorerfassung'!$C$32,B201&lt;='ZD Vorerfassung'!$D$32),HLOOKUP(TEXT(C201,"ttt"),'ZD Vorerfassung'!$H$21:$L$36,12,0),0))+
IF('ZD Vorerfassung'!$E$33="",0,IF(AND(B201&gt;='ZD Vorerfassung'!$C$33,B201&lt;='ZD Vorerfassung'!$D$33),HLOOKUP(TEXT(C201,"ttt"),'ZD Vorerfassung'!$H$21:$L$36,13,0),0))+
IF('ZD Vorerfassung'!$E$34="",0,IF(AND(B201&gt;='ZD Vorerfassung'!$C$34,B201&lt;='ZD Vorerfassung'!$D$34),HLOOKUP(TEXT(C201,"ttt"),'ZD Vorerfassung'!$H$21:$L$36,14,0),0))+
IF('ZD Vorerfassung'!$E$35="",0,IF(AND(B201&gt;='ZD Vorerfassung'!$C$35,B201&lt;='ZD Vorerfassung'!$D$35),HLOOKUP(TEXT(C201,"ttt"),'ZD Vorerfassung'!$H$21:$L$36,15,0),0))+
IF('ZD Vorerfassung'!$E$36="",0,IF(AND(B201&gt;='ZD Vorerfassung'!$C$36,B201&lt;='ZD Vorerfassung'!$D$36),HLOOKUP(TEXT(C201,"ttt"),'ZD Vorerfassung'!$H$21:$L$36,16,0),0)),"")</f>
        <v/>
      </c>
      <c r="AW201" s="110">
        <f t="array" ref="AW201">IF(OR(D201="UU",D201="FT",D201="WE"),0,
IF(D201="NR",SUM(IF(B201&gt;=_xlfn.NUMBERVALUE('ZD Vorerfassung'!$C$22:$C$36),1,0)*IF(B201&lt;=_xlfn.NUMBERVALUE('ZD Vorerfassung'!$D$22:$D$36),1,0)*'ZD Vorerfassung'!$Q$22:$Q$36),
IF(OR(D201="SF",D201="FH"),SUM(IF(B201&gt;=_xlfn.NUMBERVALUE('ZD Vorerfassung'!$C$22:$C$36),1,0)*IF(B201&lt;=_xlfn.NUMBERVALUE('ZD Vorerfassung'!$D$22:$D$36),1,0)*'ZD Vorerfassung'!$R$22:$R$36*IF(D201="FH",0.5,1)),
"prüfen")))</f>
        <v>0</v>
      </c>
      <c r="AX201" s="110">
        <f t="array" ref="AX201">IF(OR(D201="UU",D201="FT",D201="WE",E201="Ferien"),0,
IF(D201="NR",SUM(IF(B201&gt;=_xlfn.NUMBERVALUE('ZD Vorerfassung'!$C$22:$C$36),1,0)*IF(B201&lt;=_xlfn.NUMBERVALUE('ZD Vorerfassung'!$D$22:$D$36),1,0)*'ZD Vorerfassung'!$W$22:$W$36),
IF(OR(D201="SF",D201="FH"),SUM(IF(B201&gt;=_xlfn.NUMBERVALUE('ZD Vorerfassung'!$C$22:$C$36),1,0)*IF(B201&lt;=_xlfn.NUMBERVALUE('ZD Vorerfassung'!$D$22:$D$36),1,0)*'ZD Vorerfassung'!$X$22:$X$36*IF(D201="FH",0.5,1)),
"prüfen")))</f>
        <v>0</v>
      </c>
      <c r="AY201" s="110">
        <f t="array" ref="AY201">IF(OR(D201="UU",D201="FT",D201="WE",E201="Ferien"),0,
IF(D201="NR",SUM(IF(B201&gt;=_xlfn.NUMBERVALUE('ZD Vorerfassung'!$C$22:$C$36),1,0)*IF(B201&lt;=_xlfn.NUMBERVALUE('ZD Vorerfassung'!$D$22:$D$36),1,0)*'ZD Vorerfassung'!$U$22:$U$36),
IF(OR(D201="SF",D201="FH"),SUM(IF(B201&gt;=_xlfn.NUMBERVALUE('ZD Vorerfassung'!$C$22:$C$36),1,0)*IF(B201&lt;=_xlfn.NUMBERVALUE('ZD Vorerfassung'!$D$22:$D$36),1,0)*'ZD Vorerfassung'!$V$22:$V$36*IF(D201="FH",0.5,1)),
"prüfen")))</f>
        <v>0</v>
      </c>
      <c r="AZ201" s="110">
        <f t="array" ref="AZ201">IF(OR(D201="UU",D201="FT",D201="WE",E201="Ferien"),0,
IF(D201="NR",SUM(IF(B201&gt;=_xlfn.NUMBERVALUE('ZD Vorerfassung'!$C$22:$C$36),1,0)*IF(B201&lt;=_xlfn.NUMBERVALUE('ZD Vorerfassung'!$D$22:$D$36),1,0)*'ZD Vorerfassung'!$S$22:$S$36),
IF(OR(D201="SF",D201="FH"),SUM(IF(B201&gt;=_xlfn.NUMBERVALUE('ZD Vorerfassung'!$C$22:$C$36),1,0)*IF(B201&lt;=_xlfn.NUMBERVALUE('ZD Vorerfassung'!$D$22:$D$36),1,0)*'ZD Vorerfassung'!$T$22:$T$36*IF(D201="FH",0.5,1)),
"prüfen")))</f>
        <v>0</v>
      </c>
      <c r="BA201" s="112">
        <f t="shared" si="44"/>
        <v>2</v>
      </c>
    </row>
    <row r="202" spans="2:53" ht="19.5" thickTop="1" thickBot="1" x14ac:dyDescent="0.3">
      <c r="B202" s="99">
        <f t="shared" si="41"/>
        <v>44967</v>
      </c>
      <c r="C202" s="100">
        <f t="shared" si="45"/>
        <v>44967</v>
      </c>
      <c r="D202" s="101" t="str">
        <f t="shared" si="46"/>
        <v>SF</v>
      </c>
      <c r="E202" s="102" t="str">
        <f t="shared" si="42"/>
        <v>unterrichtsfreie Arbeitszeit</v>
      </c>
      <c r="F202" s="103" t="str">
        <f t="shared" si="47"/>
        <v/>
      </c>
      <c r="G202" s="104" t="str">
        <f t="shared" si="48"/>
        <v/>
      </c>
      <c r="H202" s="104">
        <f>IFERROR(IF('ZD Vorerfassung'!$E$11="manuell",SUM(I202),IF(OR(E202="Feiertag",E202="Wochenende"),0,IF('ZD Vorerfassung'!$E$11="automatisch",AX202,IF(D202="UU","UU",IF(E202=Param2,AX202/24,IF(E202=Param9,AX202/48,"")))))),0)</f>
        <v>0</v>
      </c>
      <c r="I202" s="105"/>
      <c r="J202" s="106">
        <f>IF('ZD Vorerfassung'!$E$12="manuell",SUM(K202:AI202),IF(OR(E202="Feiertag",E202="Wochenende"),0,IF('ZD Vorerfassung'!$E$12="automatisch",AY202,IF(D202="UU","UU",IF(E202=Param2,AY202/24,IF(E202=Param9,AY202/48,""))))))</f>
        <v>0</v>
      </c>
      <c r="K202" s="105"/>
      <c r="L202" s="105"/>
      <c r="M202" s="105"/>
      <c r="N202" s="105"/>
      <c r="O202" s="105"/>
      <c r="P202" s="105"/>
      <c r="Q202" s="105"/>
      <c r="R202" s="105"/>
      <c r="S202" s="105"/>
      <c r="T202" s="105"/>
      <c r="U202" s="105"/>
      <c r="V202" s="105"/>
      <c r="W202" s="105"/>
      <c r="X202" s="105"/>
      <c r="Y202" s="105"/>
      <c r="Z202" s="105"/>
      <c r="AA202" s="105"/>
      <c r="AB202" s="105"/>
      <c r="AC202" s="105"/>
      <c r="AD202" s="105"/>
      <c r="AE202" s="105"/>
      <c r="AF202" s="105"/>
      <c r="AG202" s="105"/>
      <c r="AH202" s="105"/>
      <c r="AI202" s="105"/>
      <c r="AJ202" s="107">
        <f t="shared" si="49"/>
        <v>0</v>
      </c>
      <c r="AK202" s="105"/>
      <c r="AL202" s="105"/>
      <c r="AM202" s="105"/>
      <c r="AN202" s="105"/>
      <c r="AO202" s="105"/>
      <c r="AP202" s="105"/>
      <c r="AQ202" s="108">
        <f t="shared" si="50"/>
        <v>0</v>
      </c>
      <c r="AR202" s="108">
        <f t="shared" si="51"/>
        <v>0</v>
      </c>
      <c r="AS202" s="109">
        <f t="shared" si="52"/>
        <v>0</v>
      </c>
      <c r="AU202" s="110">
        <f t="shared" si="43"/>
        <v>0</v>
      </c>
      <c r="AV202" s="111" t="str">
        <f>IF(D202="NR",
IF('ZD Vorerfassung'!$E$22="",0,IF(AND(B202&gt;='ZD Vorerfassung'!$C$22,B202&lt;='ZD Vorerfassung'!$D$22),HLOOKUP(TEXT(C202,"ttt"),'ZD Vorerfassung'!$H$21:$L$36,2,0),0))+
IF('ZD Vorerfassung'!$E$23="",0,IF(AND(B202&gt;='ZD Vorerfassung'!$C$23,B202&lt;='ZD Vorerfassung'!$D$23),HLOOKUP(TEXT(C202,"ttt"),'ZD Vorerfassung'!$H$21:$L$36,3,0),0))+
IF('ZD Vorerfassung'!$E$24="",0,IF(AND(B202&gt;='ZD Vorerfassung'!$C$24,B202&lt;='ZD Vorerfassung'!$D$24),HLOOKUP(TEXT(C202,"ttt"),'ZD Vorerfassung'!$H$21:$L$36,4,0),0))+
IF('ZD Vorerfassung'!$E$25="",0,IF(AND(B202&gt;='ZD Vorerfassung'!$C$25,B202&lt;='ZD Vorerfassung'!$D$25),HLOOKUP(TEXT(C202,"ttt"),'ZD Vorerfassung'!$H$21:$L$36,5,0),0))+
IF('ZD Vorerfassung'!$E$26="",0,IF(AND(B202&gt;='ZD Vorerfassung'!$C$26,B202&lt;='ZD Vorerfassung'!$D$26),HLOOKUP(TEXT(C202,"ttt"),'ZD Vorerfassung'!$H$21:$L$36,6,0),0))+
IF('ZD Vorerfassung'!$E$27="",0,IF(AND(B202&gt;='ZD Vorerfassung'!$C$27,B202&lt;='ZD Vorerfassung'!$D$27),HLOOKUP(TEXT(C202,"ttt"),'ZD Vorerfassung'!$H$21:$L$36,7,0),0))+
IF('ZD Vorerfassung'!$E$28="",0,IF(AND(B202&gt;='ZD Vorerfassung'!$C$28,B202&lt;='ZD Vorerfassung'!$D$28),HLOOKUP(TEXT(C202,"ttt"),'ZD Vorerfassung'!$H$21:$L$36,8,0),0))+
IF('ZD Vorerfassung'!$E$29="",0,IF(AND(B202&gt;='ZD Vorerfassung'!$C$29,B202&lt;='ZD Vorerfassung'!$D$29),HLOOKUP(TEXT(C202,"ttt"),'ZD Vorerfassung'!$H$21:$L$36,9,0),0))+
IF('ZD Vorerfassung'!$E$30="",0,IF(AND(B202&gt;='ZD Vorerfassung'!$C$30,B202&lt;='ZD Vorerfassung'!$D$30),HLOOKUP(TEXT(C202,"ttt"),'ZD Vorerfassung'!$H$21:$L$36,10,0),0))+
IF('ZD Vorerfassung'!$E$31="",0,IF(AND(B202&gt;='ZD Vorerfassung'!$C$31,B202&lt;='ZD Vorerfassung'!$D$31),HLOOKUP(TEXT(C202,"ttt"),'ZD Vorerfassung'!$H$21:$L$36,11,0),0))+
IF('ZD Vorerfassung'!$E$32="",0,IF(AND(B202&gt;='ZD Vorerfassung'!$C$32,B202&lt;='ZD Vorerfassung'!$D$32),HLOOKUP(TEXT(C202,"ttt"),'ZD Vorerfassung'!$H$21:$L$36,12,0),0))+
IF('ZD Vorerfassung'!$E$33="",0,IF(AND(B202&gt;='ZD Vorerfassung'!$C$33,B202&lt;='ZD Vorerfassung'!$D$33),HLOOKUP(TEXT(C202,"ttt"),'ZD Vorerfassung'!$H$21:$L$36,13,0),0))+
IF('ZD Vorerfassung'!$E$34="",0,IF(AND(B202&gt;='ZD Vorerfassung'!$C$34,B202&lt;='ZD Vorerfassung'!$D$34),HLOOKUP(TEXT(C202,"ttt"),'ZD Vorerfassung'!$H$21:$L$36,14,0),0))+
IF('ZD Vorerfassung'!$E$35="",0,IF(AND(B202&gt;='ZD Vorerfassung'!$C$35,B202&lt;='ZD Vorerfassung'!$D$35),HLOOKUP(TEXT(C202,"ttt"),'ZD Vorerfassung'!$H$21:$L$36,15,0),0))+
IF('ZD Vorerfassung'!$E$36="",0,IF(AND(B202&gt;='ZD Vorerfassung'!$C$36,B202&lt;='ZD Vorerfassung'!$D$36),HLOOKUP(TEXT(C202,"ttt"),'ZD Vorerfassung'!$H$21:$L$36,16,0),0)),"")</f>
        <v/>
      </c>
      <c r="AW202" s="110">
        <f t="array" ref="AW202">IF(OR(D202="UU",D202="FT",D202="WE"),0,
IF(D202="NR",SUM(IF(B202&gt;=_xlfn.NUMBERVALUE('ZD Vorerfassung'!$C$22:$C$36),1,0)*IF(B202&lt;=_xlfn.NUMBERVALUE('ZD Vorerfassung'!$D$22:$D$36),1,0)*'ZD Vorerfassung'!$Q$22:$Q$36),
IF(OR(D202="SF",D202="FH"),SUM(IF(B202&gt;=_xlfn.NUMBERVALUE('ZD Vorerfassung'!$C$22:$C$36),1,0)*IF(B202&lt;=_xlfn.NUMBERVALUE('ZD Vorerfassung'!$D$22:$D$36),1,0)*'ZD Vorerfassung'!$R$22:$R$36*IF(D202="FH",0.5,1)),
"prüfen")))</f>
        <v>0</v>
      </c>
      <c r="AX202" s="110">
        <f t="array" ref="AX202">IF(OR(D202="UU",D202="FT",D202="WE",E202="Ferien"),0,
IF(D202="NR",SUM(IF(B202&gt;=_xlfn.NUMBERVALUE('ZD Vorerfassung'!$C$22:$C$36),1,0)*IF(B202&lt;=_xlfn.NUMBERVALUE('ZD Vorerfassung'!$D$22:$D$36),1,0)*'ZD Vorerfassung'!$W$22:$W$36),
IF(OR(D202="SF",D202="FH"),SUM(IF(B202&gt;=_xlfn.NUMBERVALUE('ZD Vorerfassung'!$C$22:$C$36),1,0)*IF(B202&lt;=_xlfn.NUMBERVALUE('ZD Vorerfassung'!$D$22:$D$36),1,0)*'ZD Vorerfassung'!$X$22:$X$36*IF(D202="FH",0.5,1)),
"prüfen")))</f>
        <v>0</v>
      </c>
      <c r="AY202" s="110">
        <f t="array" ref="AY202">IF(OR(D202="UU",D202="FT",D202="WE",E202="Ferien"),0,
IF(D202="NR",SUM(IF(B202&gt;=_xlfn.NUMBERVALUE('ZD Vorerfassung'!$C$22:$C$36),1,0)*IF(B202&lt;=_xlfn.NUMBERVALUE('ZD Vorerfassung'!$D$22:$D$36),1,0)*'ZD Vorerfassung'!$U$22:$U$36),
IF(OR(D202="SF",D202="FH"),SUM(IF(B202&gt;=_xlfn.NUMBERVALUE('ZD Vorerfassung'!$C$22:$C$36),1,0)*IF(B202&lt;=_xlfn.NUMBERVALUE('ZD Vorerfassung'!$D$22:$D$36),1,0)*'ZD Vorerfassung'!$V$22:$V$36*IF(D202="FH",0.5,1)),
"prüfen")))</f>
        <v>0</v>
      </c>
      <c r="AZ202" s="110">
        <f t="array" ref="AZ202">IF(OR(D202="UU",D202="FT",D202="WE",E202="Ferien"),0,
IF(D202="NR",SUM(IF(B202&gt;=_xlfn.NUMBERVALUE('ZD Vorerfassung'!$C$22:$C$36),1,0)*IF(B202&lt;=_xlfn.NUMBERVALUE('ZD Vorerfassung'!$D$22:$D$36),1,0)*'ZD Vorerfassung'!$S$22:$S$36),
IF(OR(D202="SF",D202="FH"),SUM(IF(B202&gt;=_xlfn.NUMBERVALUE('ZD Vorerfassung'!$C$22:$C$36),1,0)*IF(B202&lt;=_xlfn.NUMBERVALUE('ZD Vorerfassung'!$D$22:$D$36),1,0)*'ZD Vorerfassung'!$T$22:$T$36*IF(D202="FH",0.5,1)),
"prüfen")))</f>
        <v>0</v>
      </c>
      <c r="BA202" s="112">
        <f t="shared" si="44"/>
        <v>2</v>
      </c>
    </row>
    <row r="203" spans="2:53" ht="19.5" thickTop="1" thickBot="1" x14ac:dyDescent="0.3">
      <c r="B203" s="99">
        <f t="shared" si="41"/>
        <v>44968</v>
      </c>
      <c r="C203" s="100">
        <f t="shared" si="45"/>
        <v>44968</v>
      </c>
      <c r="D203" s="101" t="str">
        <f t="shared" si="46"/>
        <v>SF</v>
      </c>
      <c r="E203" s="102" t="str">
        <f t="shared" si="42"/>
        <v>unterrichtsfreie Arbeitszeit</v>
      </c>
      <c r="F203" s="103" t="str">
        <f t="shared" si="47"/>
        <v/>
      </c>
      <c r="G203" s="104" t="str">
        <f t="shared" si="48"/>
        <v/>
      </c>
      <c r="H203" s="104">
        <f>IFERROR(IF('ZD Vorerfassung'!$E$11="manuell",SUM(I203),IF(OR(E203="Feiertag",E203="Wochenende"),0,IF('ZD Vorerfassung'!$E$11="automatisch",AX203,IF(D203="UU","UU",IF(E203=Param2,AX203/24,IF(E203=Param9,AX203/48,"")))))),0)</f>
        <v>0</v>
      </c>
      <c r="I203" s="105"/>
      <c r="J203" s="106">
        <f>IF('ZD Vorerfassung'!$E$12="manuell",SUM(K203:AI203),IF(OR(E203="Feiertag",E203="Wochenende"),0,IF('ZD Vorerfassung'!$E$12="automatisch",AY203,IF(D203="UU","UU",IF(E203=Param2,AY203/24,IF(E203=Param9,AY203/48,""))))))</f>
        <v>0</v>
      </c>
      <c r="K203" s="105"/>
      <c r="L203" s="105"/>
      <c r="M203" s="105"/>
      <c r="N203" s="105"/>
      <c r="O203" s="105"/>
      <c r="P203" s="105"/>
      <c r="Q203" s="105"/>
      <c r="R203" s="105"/>
      <c r="S203" s="105"/>
      <c r="T203" s="105"/>
      <c r="U203" s="105"/>
      <c r="V203" s="105"/>
      <c r="W203" s="105"/>
      <c r="X203" s="105"/>
      <c r="Y203" s="105"/>
      <c r="Z203" s="105"/>
      <c r="AA203" s="105"/>
      <c r="AB203" s="105"/>
      <c r="AC203" s="105"/>
      <c r="AD203" s="105"/>
      <c r="AE203" s="105"/>
      <c r="AF203" s="105"/>
      <c r="AG203" s="105"/>
      <c r="AH203" s="105"/>
      <c r="AI203" s="105"/>
      <c r="AJ203" s="107">
        <f t="shared" si="49"/>
        <v>0</v>
      </c>
      <c r="AK203" s="105"/>
      <c r="AL203" s="105"/>
      <c r="AM203" s="105"/>
      <c r="AN203" s="105"/>
      <c r="AO203" s="105"/>
      <c r="AP203" s="105"/>
      <c r="AQ203" s="108">
        <f t="shared" si="50"/>
        <v>0</v>
      </c>
      <c r="AR203" s="108">
        <f t="shared" si="51"/>
        <v>0</v>
      </c>
      <c r="AS203" s="109">
        <f t="shared" si="52"/>
        <v>0</v>
      </c>
      <c r="AU203" s="110">
        <f t="shared" si="43"/>
        <v>0</v>
      </c>
      <c r="AV203" s="111" t="str">
        <f>IF(D203="NR",
IF('ZD Vorerfassung'!$E$22="",0,IF(AND(B203&gt;='ZD Vorerfassung'!$C$22,B203&lt;='ZD Vorerfassung'!$D$22),HLOOKUP(TEXT(C203,"ttt"),'ZD Vorerfassung'!$H$21:$L$36,2,0),0))+
IF('ZD Vorerfassung'!$E$23="",0,IF(AND(B203&gt;='ZD Vorerfassung'!$C$23,B203&lt;='ZD Vorerfassung'!$D$23),HLOOKUP(TEXT(C203,"ttt"),'ZD Vorerfassung'!$H$21:$L$36,3,0),0))+
IF('ZD Vorerfassung'!$E$24="",0,IF(AND(B203&gt;='ZD Vorerfassung'!$C$24,B203&lt;='ZD Vorerfassung'!$D$24),HLOOKUP(TEXT(C203,"ttt"),'ZD Vorerfassung'!$H$21:$L$36,4,0),0))+
IF('ZD Vorerfassung'!$E$25="",0,IF(AND(B203&gt;='ZD Vorerfassung'!$C$25,B203&lt;='ZD Vorerfassung'!$D$25),HLOOKUP(TEXT(C203,"ttt"),'ZD Vorerfassung'!$H$21:$L$36,5,0),0))+
IF('ZD Vorerfassung'!$E$26="",0,IF(AND(B203&gt;='ZD Vorerfassung'!$C$26,B203&lt;='ZD Vorerfassung'!$D$26),HLOOKUP(TEXT(C203,"ttt"),'ZD Vorerfassung'!$H$21:$L$36,6,0),0))+
IF('ZD Vorerfassung'!$E$27="",0,IF(AND(B203&gt;='ZD Vorerfassung'!$C$27,B203&lt;='ZD Vorerfassung'!$D$27),HLOOKUP(TEXT(C203,"ttt"),'ZD Vorerfassung'!$H$21:$L$36,7,0),0))+
IF('ZD Vorerfassung'!$E$28="",0,IF(AND(B203&gt;='ZD Vorerfassung'!$C$28,B203&lt;='ZD Vorerfassung'!$D$28),HLOOKUP(TEXT(C203,"ttt"),'ZD Vorerfassung'!$H$21:$L$36,8,0),0))+
IF('ZD Vorerfassung'!$E$29="",0,IF(AND(B203&gt;='ZD Vorerfassung'!$C$29,B203&lt;='ZD Vorerfassung'!$D$29),HLOOKUP(TEXT(C203,"ttt"),'ZD Vorerfassung'!$H$21:$L$36,9,0),0))+
IF('ZD Vorerfassung'!$E$30="",0,IF(AND(B203&gt;='ZD Vorerfassung'!$C$30,B203&lt;='ZD Vorerfassung'!$D$30),HLOOKUP(TEXT(C203,"ttt"),'ZD Vorerfassung'!$H$21:$L$36,10,0),0))+
IF('ZD Vorerfassung'!$E$31="",0,IF(AND(B203&gt;='ZD Vorerfassung'!$C$31,B203&lt;='ZD Vorerfassung'!$D$31),HLOOKUP(TEXT(C203,"ttt"),'ZD Vorerfassung'!$H$21:$L$36,11,0),0))+
IF('ZD Vorerfassung'!$E$32="",0,IF(AND(B203&gt;='ZD Vorerfassung'!$C$32,B203&lt;='ZD Vorerfassung'!$D$32),HLOOKUP(TEXT(C203,"ttt"),'ZD Vorerfassung'!$H$21:$L$36,12,0),0))+
IF('ZD Vorerfassung'!$E$33="",0,IF(AND(B203&gt;='ZD Vorerfassung'!$C$33,B203&lt;='ZD Vorerfassung'!$D$33),HLOOKUP(TEXT(C203,"ttt"),'ZD Vorerfassung'!$H$21:$L$36,13,0),0))+
IF('ZD Vorerfassung'!$E$34="",0,IF(AND(B203&gt;='ZD Vorerfassung'!$C$34,B203&lt;='ZD Vorerfassung'!$D$34),HLOOKUP(TEXT(C203,"ttt"),'ZD Vorerfassung'!$H$21:$L$36,14,0),0))+
IF('ZD Vorerfassung'!$E$35="",0,IF(AND(B203&gt;='ZD Vorerfassung'!$C$35,B203&lt;='ZD Vorerfassung'!$D$35),HLOOKUP(TEXT(C203,"ttt"),'ZD Vorerfassung'!$H$21:$L$36,15,0),0))+
IF('ZD Vorerfassung'!$E$36="",0,IF(AND(B203&gt;='ZD Vorerfassung'!$C$36,B203&lt;='ZD Vorerfassung'!$D$36),HLOOKUP(TEXT(C203,"ttt"),'ZD Vorerfassung'!$H$21:$L$36,16,0),0)),"")</f>
        <v/>
      </c>
      <c r="AW203" s="110">
        <f t="array" ref="AW203">IF(OR(D203="UU",D203="FT",D203="WE"),0,
IF(D203="NR",SUM(IF(B203&gt;=_xlfn.NUMBERVALUE('ZD Vorerfassung'!$C$22:$C$36),1,0)*IF(B203&lt;=_xlfn.NUMBERVALUE('ZD Vorerfassung'!$D$22:$D$36),1,0)*'ZD Vorerfassung'!$Q$22:$Q$36),
IF(OR(D203="SF",D203="FH"),SUM(IF(B203&gt;=_xlfn.NUMBERVALUE('ZD Vorerfassung'!$C$22:$C$36),1,0)*IF(B203&lt;=_xlfn.NUMBERVALUE('ZD Vorerfassung'!$D$22:$D$36),1,0)*'ZD Vorerfassung'!$R$22:$R$36*IF(D203="FH",0.5,1)),
"prüfen")))</f>
        <v>0</v>
      </c>
      <c r="AX203" s="110">
        <f t="array" ref="AX203">IF(OR(D203="UU",D203="FT",D203="WE",E203="Ferien"),0,
IF(D203="NR",SUM(IF(B203&gt;=_xlfn.NUMBERVALUE('ZD Vorerfassung'!$C$22:$C$36),1,0)*IF(B203&lt;=_xlfn.NUMBERVALUE('ZD Vorerfassung'!$D$22:$D$36),1,0)*'ZD Vorerfassung'!$W$22:$W$36),
IF(OR(D203="SF",D203="FH"),SUM(IF(B203&gt;=_xlfn.NUMBERVALUE('ZD Vorerfassung'!$C$22:$C$36),1,0)*IF(B203&lt;=_xlfn.NUMBERVALUE('ZD Vorerfassung'!$D$22:$D$36),1,0)*'ZD Vorerfassung'!$X$22:$X$36*IF(D203="FH",0.5,1)),
"prüfen")))</f>
        <v>0</v>
      </c>
      <c r="AY203" s="110">
        <f t="array" ref="AY203">IF(OR(D203="UU",D203="FT",D203="WE",E203="Ferien"),0,
IF(D203="NR",SUM(IF(B203&gt;=_xlfn.NUMBERVALUE('ZD Vorerfassung'!$C$22:$C$36),1,0)*IF(B203&lt;=_xlfn.NUMBERVALUE('ZD Vorerfassung'!$D$22:$D$36),1,0)*'ZD Vorerfassung'!$U$22:$U$36),
IF(OR(D203="SF",D203="FH"),SUM(IF(B203&gt;=_xlfn.NUMBERVALUE('ZD Vorerfassung'!$C$22:$C$36),1,0)*IF(B203&lt;=_xlfn.NUMBERVALUE('ZD Vorerfassung'!$D$22:$D$36),1,0)*'ZD Vorerfassung'!$V$22:$V$36*IF(D203="FH",0.5,1)),
"prüfen")))</f>
        <v>0</v>
      </c>
      <c r="AZ203" s="110">
        <f t="array" ref="AZ203">IF(OR(D203="UU",D203="FT",D203="WE",E203="Ferien"),0,
IF(D203="NR",SUM(IF(B203&gt;=_xlfn.NUMBERVALUE('ZD Vorerfassung'!$C$22:$C$36),1,0)*IF(B203&lt;=_xlfn.NUMBERVALUE('ZD Vorerfassung'!$D$22:$D$36),1,0)*'ZD Vorerfassung'!$S$22:$S$36),
IF(OR(D203="SF",D203="FH"),SUM(IF(B203&gt;=_xlfn.NUMBERVALUE('ZD Vorerfassung'!$C$22:$C$36),1,0)*IF(B203&lt;=_xlfn.NUMBERVALUE('ZD Vorerfassung'!$D$22:$D$36),1,0)*'ZD Vorerfassung'!$T$22:$T$36*IF(D203="FH",0.5,1)),
"prüfen")))</f>
        <v>0</v>
      </c>
      <c r="BA203" s="112">
        <f t="shared" si="44"/>
        <v>2</v>
      </c>
    </row>
    <row r="204" spans="2:53" ht="19.5" thickTop="1" thickBot="1" x14ac:dyDescent="0.3">
      <c r="B204" s="99">
        <f t="shared" si="41"/>
        <v>44969</v>
      </c>
      <c r="C204" s="100">
        <f t="shared" si="45"/>
        <v>44969</v>
      </c>
      <c r="D204" s="101" t="str">
        <f t="shared" si="46"/>
        <v>WE</v>
      </c>
      <c r="E204" s="102" t="str">
        <f t="shared" si="42"/>
        <v>Wochenende</v>
      </c>
      <c r="F204" s="103" t="str">
        <f t="shared" si="47"/>
        <v/>
      </c>
      <c r="G204" s="104" t="str">
        <f t="shared" si="48"/>
        <v/>
      </c>
      <c r="H204" s="104">
        <f>IFERROR(IF('ZD Vorerfassung'!$E$11="manuell",SUM(I204),IF(OR(E204="Feiertag",E204="Wochenende"),0,IF('ZD Vorerfassung'!$E$11="automatisch",AX204,IF(D204="UU","UU",IF(E204=Param2,AX204/24,IF(E204=Param9,AX204/48,"")))))),0)</f>
        <v>0</v>
      </c>
      <c r="I204" s="105"/>
      <c r="J204" s="106">
        <f>IF('ZD Vorerfassung'!$E$12="manuell",SUM(K204:AI204),IF(OR(E204="Feiertag",E204="Wochenende"),0,IF('ZD Vorerfassung'!$E$12="automatisch",AY204,IF(D204="UU","UU",IF(E204=Param2,AY204/24,IF(E204=Param9,AY204/48,""))))))</f>
        <v>0</v>
      </c>
      <c r="K204" s="105"/>
      <c r="L204" s="105"/>
      <c r="M204" s="105"/>
      <c r="N204" s="105"/>
      <c r="O204" s="105"/>
      <c r="P204" s="105"/>
      <c r="Q204" s="105"/>
      <c r="R204" s="105"/>
      <c r="S204" s="105"/>
      <c r="T204" s="105"/>
      <c r="U204" s="105"/>
      <c r="V204" s="105"/>
      <c r="W204" s="105"/>
      <c r="X204" s="105"/>
      <c r="Y204" s="105"/>
      <c r="Z204" s="105"/>
      <c r="AA204" s="105"/>
      <c r="AB204" s="105"/>
      <c r="AC204" s="105"/>
      <c r="AD204" s="105"/>
      <c r="AE204" s="105"/>
      <c r="AF204" s="105"/>
      <c r="AG204" s="105"/>
      <c r="AH204" s="105"/>
      <c r="AI204" s="105"/>
      <c r="AJ204" s="107">
        <f t="shared" si="49"/>
        <v>0</v>
      </c>
      <c r="AK204" s="105"/>
      <c r="AL204" s="105"/>
      <c r="AM204" s="105"/>
      <c r="AN204" s="105"/>
      <c r="AO204" s="105"/>
      <c r="AP204" s="105"/>
      <c r="AQ204" s="108">
        <f t="shared" si="50"/>
        <v>0</v>
      </c>
      <c r="AR204" s="108">
        <f t="shared" si="51"/>
        <v>0</v>
      </c>
      <c r="AS204" s="109">
        <f t="shared" si="52"/>
        <v>0</v>
      </c>
      <c r="AU204" s="110">
        <f t="shared" si="43"/>
        <v>0</v>
      </c>
      <c r="AV204" s="111" t="str">
        <f>IF(D204="NR",
IF('ZD Vorerfassung'!$E$22="",0,IF(AND(B204&gt;='ZD Vorerfassung'!$C$22,B204&lt;='ZD Vorerfassung'!$D$22),HLOOKUP(TEXT(C204,"ttt"),'ZD Vorerfassung'!$H$21:$L$36,2,0),0))+
IF('ZD Vorerfassung'!$E$23="",0,IF(AND(B204&gt;='ZD Vorerfassung'!$C$23,B204&lt;='ZD Vorerfassung'!$D$23),HLOOKUP(TEXT(C204,"ttt"),'ZD Vorerfassung'!$H$21:$L$36,3,0),0))+
IF('ZD Vorerfassung'!$E$24="",0,IF(AND(B204&gt;='ZD Vorerfassung'!$C$24,B204&lt;='ZD Vorerfassung'!$D$24),HLOOKUP(TEXT(C204,"ttt"),'ZD Vorerfassung'!$H$21:$L$36,4,0),0))+
IF('ZD Vorerfassung'!$E$25="",0,IF(AND(B204&gt;='ZD Vorerfassung'!$C$25,B204&lt;='ZD Vorerfassung'!$D$25),HLOOKUP(TEXT(C204,"ttt"),'ZD Vorerfassung'!$H$21:$L$36,5,0),0))+
IF('ZD Vorerfassung'!$E$26="",0,IF(AND(B204&gt;='ZD Vorerfassung'!$C$26,B204&lt;='ZD Vorerfassung'!$D$26),HLOOKUP(TEXT(C204,"ttt"),'ZD Vorerfassung'!$H$21:$L$36,6,0),0))+
IF('ZD Vorerfassung'!$E$27="",0,IF(AND(B204&gt;='ZD Vorerfassung'!$C$27,B204&lt;='ZD Vorerfassung'!$D$27),HLOOKUP(TEXT(C204,"ttt"),'ZD Vorerfassung'!$H$21:$L$36,7,0),0))+
IF('ZD Vorerfassung'!$E$28="",0,IF(AND(B204&gt;='ZD Vorerfassung'!$C$28,B204&lt;='ZD Vorerfassung'!$D$28),HLOOKUP(TEXT(C204,"ttt"),'ZD Vorerfassung'!$H$21:$L$36,8,0),0))+
IF('ZD Vorerfassung'!$E$29="",0,IF(AND(B204&gt;='ZD Vorerfassung'!$C$29,B204&lt;='ZD Vorerfassung'!$D$29),HLOOKUP(TEXT(C204,"ttt"),'ZD Vorerfassung'!$H$21:$L$36,9,0),0))+
IF('ZD Vorerfassung'!$E$30="",0,IF(AND(B204&gt;='ZD Vorerfassung'!$C$30,B204&lt;='ZD Vorerfassung'!$D$30),HLOOKUP(TEXT(C204,"ttt"),'ZD Vorerfassung'!$H$21:$L$36,10,0),0))+
IF('ZD Vorerfassung'!$E$31="",0,IF(AND(B204&gt;='ZD Vorerfassung'!$C$31,B204&lt;='ZD Vorerfassung'!$D$31),HLOOKUP(TEXT(C204,"ttt"),'ZD Vorerfassung'!$H$21:$L$36,11,0),0))+
IF('ZD Vorerfassung'!$E$32="",0,IF(AND(B204&gt;='ZD Vorerfassung'!$C$32,B204&lt;='ZD Vorerfassung'!$D$32),HLOOKUP(TEXT(C204,"ttt"),'ZD Vorerfassung'!$H$21:$L$36,12,0),0))+
IF('ZD Vorerfassung'!$E$33="",0,IF(AND(B204&gt;='ZD Vorerfassung'!$C$33,B204&lt;='ZD Vorerfassung'!$D$33),HLOOKUP(TEXT(C204,"ttt"),'ZD Vorerfassung'!$H$21:$L$36,13,0),0))+
IF('ZD Vorerfassung'!$E$34="",0,IF(AND(B204&gt;='ZD Vorerfassung'!$C$34,B204&lt;='ZD Vorerfassung'!$D$34),HLOOKUP(TEXT(C204,"ttt"),'ZD Vorerfassung'!$H$21:$L$36,14,0),0))+
IF('ZD Vorerfassung'!$E$35="",0,IF(AND(B204&gt;='ZD Vorerfassung'!$C$35,B204&lt;='ZD Vorerfassung'!$D$35),HLOOKUP(TEXT(C204,"ttt"),'ZD Vorerfassung'!$H$21:$L$36,15,0),0))+
IF('ZD Vorerfassung'!$E$36="",0,IF(AND(B204&gt;='ZD Vorerfassung'!$C$36,B204&lt;='ZD Vorerfassung'!$D$36),HLOOKUP(TEXT(C204,"ttt"),'ZD Vorerfassung'!$H$21:$L$36,16,0),0)),"")</f>
        <v/>
      </c>
      <c r="AW204" s="110">
        <f t="array" ref="AW204">IF(OR(D204="UU",D204="FT",D204="WE"),0,
IF(D204="NR",SUM(IF(B204&gt;=_xlfn.NUMBERVALUE('ZD Vorerfassung'!$C$22:$C$36),1,0)*IF(B204&lt;=_xlfn.NUMBERVALUE('ZD Vorerfassung'!$D$22:$D$36),1,0)*'ZD Vorerfassung'!$Q$22:$Q$36),
IF(OR(D204="SF",D204="FH"),SUM(IF(B204&gt;=_xlfn.NUMBERVALUE('ZD Vorerfassung'!$C$22:$C$36),1,0)*IF(B204&lt;=_xlfn.NUMBERVALUE('ZD Vorerfassung'!$D$22:$D$36),1,0)*'ZD Vorerfassung'!$R$22:$R$36*IF(D204="FH",0.5,1)),
"prüfen")))</f>
        <v>0</v>
      </c>
      <c r="AX204" s="110">
        <f t="array" ref="AX204">IF(OR(D204="UU",D204="FT",D204="WE",E204="Ferien"),0,
IF(D204="NR",SUM(IF(B204&gt;=_xlfn.NUMBERVALUE('ZD Vorerfassung'!$C$22:$C$36),1,0)*IF(B204&lt;=_xlfn.NUMBERVALUE('ZD Vorerfassung'!$D$22:$D$36),1,0)*'ZD Vorerfassung'!$W$22:$W$36),
IF(OR(D204="SF",D204="FH"),SUM(IF(B204&gt;=_xlfn.NUMBERVALUE('ZD Vorerfassung'!$C$22:$C$36),1,0)*IF(B204&lt;=_xlfn.NUMBERVALUE('ZD Vorerfassung'!$D$22:$D$36),1,0)*'ZD Vorerfassung'!$X$22:$X$36*IF(D204="FH",0.5,1)),
"prüfen")))</f>
        <v>0</v>
      </c>
      <c r="AY204" s="110">
        <f t="array" ref="AY204">IF(OR(D204="UU",D204="FT",D204="WE",E204="Ferien"),0,
IF(D204="NR",SUM(IF(B204&gt;=_xlfn.NUMBERVALUE('ZD Vorerfassung'!$C$22:$C$36),1,0)*IF(B204&lt;=_xlfn.NUMBERVALUE('ZD Vorerfassung'!$D$22:$D$36),1,0)*'ZD Vorerfassung'!$U$22:$U$36),
IF(OR(D204="SF",D204="FH"),SUM(IF(B204&gt;=_xlfn.NUMBERVALUE('ZD Vorerfassung'!$C$22:$C$36),1,0)*IF(B204&lt;=_xlfn.NUMBERVALUE('ZD Vorerfassung'!$D$22:$D$36),1,0)*'ZD Vorerfassung'!$V$22:$V$36*IF(D204="FH",0.5,1)),
"prüfen")))</f>
        <v>0</v>
      </c>
      <c r="AZ204" s="110">
        <f t="array" ref="AZ204">IF(OR(D204="UU",D204="FT",D204="WE",E204="Ferien"),0,
IF(D204="NR",SUM(IF(B204&gt;=_xlfn.NUMBERVALUE('ZD Vorerfassung'!$C$22:$C$36),1,0)*IF(B204&lt;=_xlfn.NUMBERVALUE('ZD Vorerfassung'!$D$22:$D$36),1,0)*'ZD Vorerfassung'!$S$22:$S$36),
IF(OR(D204="SF",D204="FH"),SUM(IF(B204&gt;=_xlfn.NUMBERVALUE('ZD Vorerfassung'!$C$22:$C$36),1,0)*IF(B204&lt;=_xlfn.NUMBERVALUE('ZD Vorerfassung'!$D$22:$D$36),1,0)*'ZD Vorerfassung'!$T$22:$T$36*IF(D204="FH",0.5,1)),
"prüfen")))</f>
        <v>0</v>
      </c>
      <c r="BA204" s="112">
        <f t="shared" si="44"/>
        <v>2</v>
      </c>
    </row>
    <row r="205" spans="2:53" ht="19.5" thickTop="1" thickBot="1" x14ac:dyDescent="0.3">
      <c r="B205" s="99">
        <f t="shared" si="41"/>
        <v>44970</v>
      </c>
      <c r="C205" s="100">
        <f t="shared" si="45"/>
        <v>44970</v>
      </c>
      <c r="D205" s="101" t="str">
        <f t="shared" si="46"/>
        <v>WE</v>
      </c>
      <c r="E205" s="102" t="str">
        <f t="shared" si="42"/>
        <v>Wochenende</v>
      </c>
      <c r="F205" s="103" t="str">
        <f t="shared" si="47"/>
        <v/>
      </c>
      <c r="G205" s="104" t="str">
        <f t="shared" si="48"/>
        <v/>
      </c>
      <c r="H205" s="104">
        <f>IFERROR(IF('ZD Vorerfassung'!$E$11="manuell",SUM(I205),IF(OR(E205="Feiertag",E205="Wochenende"),0,IF('ZD Vorerfassung'!$E$11="automatisch",AX205,IF(D205="UU","UU",IF(E205=Param2,AX205/24,IF(E205=Param9,AX205/48,"")))))),0)</f>
        <v>0</v>
      </c>
      <c r="I205" s="105"/>
      <c r="J205" s="106">
        <f>IF('ZD Vorerfassung'!$E$12="manuell",SUM(K205:AI205),IF(OR(E205="Feiertag",E205="Wochenende"),0,IF('ZD Vorerfassung'!$E$12="automatisch",AY205,IF(D205="UU","UU",IF(E205=Param2,AY205/24,IF(E205=Param9,AY205/48,""))))))</f>
        <v>0</v>
      </c>
      <c r="K205" s="105"/>
      <c r="L205" s="105"/>
      <c r="M205" s="105"/>
      <c r="N205" s="105"/>
      <c r="O205" s="105"/>
      <c r="P205" s="105"/>
      <c r="Q205" s="105"/>
      <c r="R205" s="105"/>
      <c r="S205" s="105"/>
      <c r="T205" s="105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  <c r="AE205" s="105"/>
      <c r="AF205" s="105"/>
      <c r="AG205" s="105"/>
      <c r="AH205" s="105"/>
      <c r="AI205" s="105"/>
      <c r="AJ205" s="107">
        <f t="shared" si="49"/>
        <v>0</v>
      </c>
      <c r="AK205" s="105"/>
      <c r="AL205" s="105"/>
      <c r="AM205" s="105"/>
      <c r="AN205" s="105"/>
      <c r="AO205" s="105"/>
      <c r="AP205" s="105"/>
      <c r="AQ205" s="108">
        <f t="shared" si="50"/>
        <v>0</v>
      </c>
      <c r="AR205" s="108">
        <f t="shared" si="51"/>
        <v>0</v>
      </c>
      <c r="AS205" s="109">
        <f t="shared" si="52"/>
        <v>0</v>
      </c>
      <c r="AU205" s="110">
        <f t="shared" si="43"/>
        <v>0</v>
      </c>
      <c r="AV205" s="111" t="str">
        <f>IF(D205="NR",
IF('ZD Vorerfassung'!$E$22="",0,IF(AND(B205&gt;='ZD Vorerfassung'!$C$22,B205&lt;='ZD Vorerfassung'!$D$22),HLOOKUP(TEXT(C205,"ttt"),'ZD Vorerfassung'!$H$21:$L$36,2,0),0))+
IF('ZD Vorerfassung'!$E$23="",0,IF(AND(B205&gt;='ZD Vorerfassung'!$C$23,B205&lt;='ZD Vorerfassung'!$D$23),HLOOKUP(TEXT(C205,"ttt"),'ZD Vorerfassung'!$H$21:$L$36,3,0),0))+
IF('ZD Vorerfassung'!$E$24="",0,IF(AND(B205&gt;='ZD Vorerfassung'!$C$24,B205&lt;='ZD Vorerfassung'!$D$24),HLOOKUP(TEXT(C205,"ttt"),'ZD Vorerfassung'!$H$21:$L$36,4,0),0))+
IF('ZD Vorerfassung'!$E$25="",0,IF(AND(B205&gt;='ZD Vorerfassung'!$C$25,B205&lt;='ZD Vorerfassung'!$D$25),HLOOKUP(TEXT(C205,"ttt"),'ZD Vorerfassung'!$H$21:$L$36,5,0),0))+
IF('ZD Vorerfassung'!$E$26="",0,IF(AND(B205&gt;='ZD Vorerfassung'!$C$26,B205&lt;='ZD Vorerfassung'!$D$26),HLOOKUP(TEXT(C205,"ttt"),'ZD Vorerfassung'!$H$21:$L$36,6,0),0))+
IF('ZD Vorerfassung'!$E$27="",0,IF(AND(B205&gt;='ZD Vorerfassung'!$C$27,B205&lt;='ZD Vorerfassung'!$D$27),HLOOKUP(TEXT(C205,"ttt"),'ZD Vorerfassung'!$H$21:$L$36,7,0),0))+
IF('ZD Vorerfassung'!$E$28="",0,IF(AND(B205&gt;='ZD Vorerfassung'!$C$28,B205&lt;='ZD Vorerfassung'!$D$28),HLOOKUP(TEXT(C205,"ttt"),'ZD Vorerfassung'!$H$21:$L$36,8,0),0))+
IF('ZD Vorerfassung'!$E$29="",0,IF(AND(B205&gt;='ZD Vorerfassung'!$C$29,B205&lt;='ZD Vorerfassung'!$D$29),HLOOKUP(TEXT(C205,"ttt"),'ZD Vorerfassung'!$H$21:$L$36,9,0),0))+
IF('ZD Vorerfassung'!$E$30="",0,IF(AND(B205&gt;='ZD Vorerfassung'!$C$30,B205&lt;='ZD Vorerfassung'!$D$30),HLOOKUP(TEXT(C205,"ttt"),'ZD Vorerfassung'!$H$21:$L$36,10,0),0))+
IF('ZD Vorerfassung'!$E$31="",0,IF(AND(B205&gt;='ZD Vorerfassung'!$C$31,B205&lt;='ZD Vorerfassung'!$D$31),HLOOKUP(TEXT(C205,"ttt"),'ZD Vorerfassung'!$H$21:$L$36,11,0),0))+
IF('ZD Vorerfassung'!$E$32="",0,IF(AND(B205&gt;='ZD Vorerfassung'!$C$32,B205&lt;='ZD Vorerfassung'!$D$32),HLOOKUP(TEXT(C205,"ttt"),'ZD Vorerfassung'!$H$21:$L$36,12,0),0))+
IF('ZD Vorerfassung'!$E$33="",0,IF(AND(B205&gt;='ZD Vorerfassung'!$C$33,B205&lt;='ZD Vorerfassung'!$D$33),HLOOKUP(TEXT(C205,"ttt"),'ZD Vorerfassung'!$H$21:$L$36,13,0),0))+
IF('ZD Vorerfassung'!$E$34="",0,IF(AND(B205&gt;='ZD Vorerfassung'!$C$34,B205&lt;='ZD Vorerfassung'!$D$34),HLOOKUP(TEXT(C205,"ttt"),'ZD Vorerfassung'!$H$21:$L$36,14,0),0))+
IF('ZD Vorerfassung'!$E$35="",0,IF(AND(B205&gt;='ZD Vorerfassung'!$C$35,B205&lt;='ZD Vorerfassung'!$D$35),HLOOKUP(TEXT(C205,"ttt"),'ZD Vorerfassung'!$H$21:$L$36,15,0),0))+
IF('ZD Vorerfassung'!$E$36="",0,IF(AND(B205&gt;='ZD Vorerfassung'!$C$36,B205&lt;='ZD Vorerfassung'!$D$36),HLOOKUP(TEXT(C205,"ttt"),'ZD Vorerfassung'!$H$21:$L$36,16,0),0)),"")</f>
        <v/>
      </c>
      <c r="AW205" s="110">
        <f t="array" ref="AW205">IF(OR(D205="UU",D205="FT",D205="WE"),0,
IF(D205="NR",SUM(IF(B205&gt;=_xlfn.NUMBERVALUE('ZD Vorerfassung'!$C$22:$C$36),1,0)*IF(B205&lt;=_xlfn.NUMBERVALUE('ZD Vorerfassung'!$D$22:$D$36),1,0)*'ZD Vorerfassung'!$Q$22:$Q$36),
IF(OR(D205="SF",D205="FH"),SUM(IF(B205&gt;=_xlfn.NUMBERVALUE('ZD Vorerfassung'!$C$22:$C$36),1,0)*IF(B205&lt;=_xlfn.NUMBERVALUE('ZD Vorerfassung'!$D$22:$D$36),1,0)*'ZD Vorerfassung'!$R$22:$R$36*IF(D205="FH",0.5,1)),
"prüfen")))</f>
        <v>0</v>
      </c>
      <c r="AX205" s="110">
        <f t="array" ref="AX205">IF(OR(D205="UU",D205="FT",D205="WE",E205="Ferien"),0,
IF(D205="NR",SUM(IF(B205&gt;=_xlfn.NUMBERVALUE('ZD Vorerfassung'!$C$22:$C$36),1,0)*IF(B205&lt;=_xlfn.NUMBERVALUE('ZD Vorerfassung'!$D$22:$D$36),1,0)*'ZD Vorerfassung'!$W$22:$W$36),
IF(OR(D205="SF",D205="FH"),SUM(IF(B205&gt;=_xlfn.NUMBERVALUE('ZD Vorerfassung'!$C$22:$C$36),1,0)*IF(B205&lt;=_xlfn.NUMBERVALUE('ZD Vorerfassung'!$D$22:$D$36),1,0)*'ZD Vorerfassung'!$X$22:$X$36*IF(D205="FH",0.5,1)),
"prüfen")))</f>
        <v>0</v>
      </c>
      <c r="AY205" s="110">
        <f t="array" ref="AY205">IF(OR(D205="UU",D205="FT",D205="WE",E205="Ferien"),0,
IF(D205="NR",SUM(IF(B205&gt;=_xlfn.NUMBERVALUE('ZD Vorerfassung'!$C$22:$C$36),1,0)*IF(B205&lt;=_xlfn.NUMBERVALUE('ZD Vorerfassung'!$D$22:$D$36),1,0)*'ZD Vorerfassung'!$U$22:$U$36),
IF(OR(D205="SF",D205="FH"),SUM(IF(B205&gt;=_xlfn.NUMBERVALUE('ZD Vorerfassung'!$C$22:$C$36),1,0)*IF(B205&lt;=_xlfn.NUMBERVALUE('ZD Vorerfassung'!$D$22:$D$36),1,0)*'ZD Vorerfassung'!$V$22:$V$36*IF(D205="FH",0.5,1)),
"prüfen")))</f>
        <v>0</v>
      </c>
      <c r="AZ205" s="110">
        <f t="array" ref="AZ205">IF(OR(D205="UU",D205="FT",D205="WE",E205="Ferien"),0,
IF(D205="NR",SUM(IF(B205&gt;=_xlfn.NUMBERVALUE('ZD Vorerfassung'!$C$22:$C$36),1,0)*IF(B205&lt;=_xlfn.NUMBERVALUE('ZD Vorerfassung'!$D$22:$D$36),1,0)*'ZD Vorerfassung'!$S$22:$S$36),
IF(OR(D205="SF",D205="FH"),SUM(IF(B205&gt;=_xlfn.NUMBERVALUE('ZD Vorerfassung'!$C$22:$C$36),1,0)*IF(B205&lt;=_xlfn.NUMBERVALUE('ZD Vorerfassung'!$D$22:$D$36),1,0)*'ZD Vorerfassung'!$T$22:$T$36*IF(D205="FH",0.5,1)),
"prüfen")))</f>
        <v>0</v>
      </c>
      <c r="BA205" s="112">
        <f t="shared" si="44"/>
        <v>2</v>
      </c>
    </row>
    <row r="206" spans="2:53" ht="19.5" thickTop="1" thickBot="1" x14ac:dyDescent="0.3">
      <c r="B206" s="99">
        <f t="shared" si="41"/>
        <v>44971</v>
      </c>
      <c r="C206" s="100">
        <f t="shared" si="45"/>
        <v>44971</v>
      </c>
      <c r="D206" s="101" t="str">
        <f t="shared" si="46"/>
        <v>FH</v>
      </c>
      <c r="E206" s="102" t="str">
        <f t="shared" si="42"/>
        <v>Feiertag halb</v>
      </c>
      <c r="F206" s="103" t="str">
        <f t="shared" si="47"/>
        <v/>
      </c>
      <c r="G206" s="104" t="str">
        <f t="shared" si="48"/>
        <v/>
      </c>
      <c r="H206" s="104">
        <f>IFERROR(IF('ZD Vorerfassung'!$E$11="manuell",SUM(I206),IF(OR(E206="Feiertag",E206="Wochenende"),0,IF('ZD Vorerfassung'!$E$11="automatisch",AX206,IF(D206="UU","UU",IF(E206=Param2,AX206/24,IF(E206=Param9,AX206/48,"")))))),0)</f>
        <v>0</v>
      </c>
      <c r="I206" s="105"/>
      <c r="J206" s="106">
        <f>IF('ZD Vorerfassung'!$E$12="manuell",SUM(K206:AI206),IF(OR(E206="Feiertag",E206="Wochenende"),0,IF('ZD Vorerfassung'!$E$12="automatisch",AY206,IF(D206="UU","UU",IF(E206=Param2,AY206/24,IF(E206=Param9,AY206/48,""))))))</f>
        <v>0</v>
      </c>
      <c r="K206" s="105"/>
      <c r="L206" s="105"/>
      <c r="M206" s="105"/>
      <c r="N206" s="105"/>
      <c r="O206" s="105"/>
      <c r="P206" s="105"/>
      <c r="Q206" s="105"/>
      <c r="R206" s="105"/>
      <c r="S206" s="105"/>
      <c r="T206" s="105"/>
      <c r="U206" s="105"/>
      <c r="V206" s="105"/>
      <c r="W206" s="105"/>
      <c r="X206" s="105"/>
      <c r="Y206" s="105"/>
      <c r="Z206" s="105"/>
      <c r="AA206" s="105"/>
      <c r="AB206" s="105"/>
      <c r="AC206" s="105"/>
      <c r="AD206" s="105"/>
      <c r="AE206" s="105"/>
      <c r="AF206" s="105"/>
      <c r="AG206" s="105"/>
      <c r="AH206" s="105"/>
      <c r="AI206" s="105"/>
      <c r="AJ206" s="107">
        <f t="shared" si="49"/>
        <v>0</v>
      </c>
      <c r="AK206" s="105"/>
      <c r="AL206" s="105"/>
      <c r="AM206" s="105"/>
      <c r="AN206" s="105"/>
      <c r="AO206" s="105"/>
      <c r="AP206" s="105"/>
      <c r="AQ206" s="108">
        <f t="shared" si="50"/>
        <v>0</v>
      </c>
      <c r="AR206" s="108">
        <f t="shared" si="51"/>
        <v>0</v>
      </c>
      <c r="AS206" s="109">
        <f t="shared" si="52"/>
        <v>0</v>
      </c>
      <c r="AU206" s="110">
        <f t="shared" si="43"/>
        <v>0</v>
      </c>
      <c r="AV206" s="111" t="str">
        <f>IF(D206="NR",
IF('ZD Vorerfassung'!$E$22="",0,IF(AND(B206&gt;='ZD Vorerfassung'!$C$22,B206&lt;='ZD Vorerfassung'!$D$22),HLOOKUP(TEXT(C206,"ttt"),'ZD Vorerfassung'!$H$21:$L$36,2,0),0))+
IF('ZD Vorerfassung'!$E$23="",0,IF(AND(B206&gt;='ZD Vorerfassung'!$C$23,B206&lt;='ZD Vorerfassung'!$D$23),HLOOKUP(TEXT(C206,"ttt"),'ZD Vorerfassung'!$H$21:$L$36,3,0),0))+
IF('ZD Vorerfassung'!$E$24="",0,IF(AND(B206&gt;='ZD Vorerfassung'!$C$24,B206&lt;='ZD Vorerfassung'!$D$24),HLOOKUP(TEXT(C206,"ttt"),'ZD Vorerfassung'!$H$21:$L$36,4,0),0))+
IF('ZD Vorerfassung'!$E$25="",0,IF(AND(B206&gt;='ZD Vorerfassung'!$C$25,B206&lt;='ZD Vorerfassung'!$D$25),HLOOKUP(TEXT(C206,"ttt"),'ZD Vorerfassung'!$H$21:$L$36,5,0),0))+
IF('ZD Vorerfassung'!$E$26="",0,IF(AND(B206&gt;='ZD Vorerfassung'!$C$26,B206&lt;='ZD Vorerfassung'!$D$26),HLOOKUP(TEXT(C206,"ttt"),'ZD Vorerfassung'!$H$21:$L$36,6,0),0))+
IF('ZD Vorerfassung'!$E$27="",0,IF(AND(B206&gt;='ZD Vorerfassung'!$C$27,B206&lt;='ZD Vorerfassung'!$D$27),HLOOKUP(TEXT(C206,"ttt"),'ZD Vorerfassung'!$H$21:$L$36,7,0),0))+
IF('ZD Vorerfassung'!$E$28="",0,IF(AND(B206&gt;='ZD Vorerfassung'!$C$28,B206&lt;='ZD Vorerfassung'!$D$28),HLOOKUP(TEXT(C206,"ttt"),'ZD Vorerfassung'!$H$21:$L$36,8,0),0))+
IF('ZD Vorerfassung'!$E$29="",0,IF(AND(B206&gt;='ZD Vorerfassung'!$C$29,B206&lt;='ZD Vorerfassung'!$D$29),HLOOKUP(TEXT(C206,"ttt"),'ZD Vorerfassung'!$H$21:$L$36,9,0),0))+
IF('ZD Vorerfassung'!$E$30="",0,IF(AND(B206&gt;='ZD Vorerfassung'!$C$30,B206&lt;='ZD Vorerfassung'!$D$30),HLOOKUP(TEXT(C206,"ttt"),'ZD Vorerfassung'!$H$21:$L$36,10,0),0))+
IF('ZD Vorerfassung'!$E$31="",0,IF(AND(B206&gt;='ZD Vorerfassung'!$C$31,B206&lt;='ZD Vorerfassung'!$D$31),HLOOKUP(TEXT(C206,"ttt"),'ZD Vorerfassung'!$H$21:$L$36,11,0),0))+
IF('ZD Vorerfassung'!$E$32="",0,IF(AND(B206&gt;='ZD Vorerfassung'!$C$32,B206&lt;='ZD Vorerfassung'!$D$32),HLOOKUP(TEXT(C206,"ttt"),'ZD Vorerfassung'!$H$21:$L$36,12,0),0))+
IF('ZD Vorerfassung'!$E$33="",0,IF(AND(B206&gt;='ZD Vorerfassung'!$C$33,B206&lt;='ZD Vorerfassung'!$D$33),HLOOKUP(TEXT(C206,"ttt"),'ZD Vorerfassung'!$H$21:$L$36,13,0),0))+
IF('ZD Vorerfassung'!$E$34="",0,IF(AND(B206&gt;='ZD Vorerfassung'!$C$34,B206&lt;='ZD Vorerfassung'!$D$34),HLOOKUP(TEXT(C206,"ttt"),'ZD Vorerfassung'!$H$21:$L$36,14,0),0))+
IF('ZD Vorerfassung'!$E$35="",0,IF(AND(B206&gt;='ZD Vorerfassung'!$C$35,B206&lt;='ZD Vorerfassung'!$D$35),HLOOKUP(TEXT(C206,"ttt"),'ZD Vorerfassung'!$H$21:$L$36,15,0),0))+
IF('ZD Vorerfassung'!$E$36="",0,IF(AND(B206&gt;='ZD Vorerfassung'!$C$36,B206&lt;='ZD Vorerfassung'!$D$36),HLOOKUP(TEXT(C206,"ttt"),'ZD Vorerfassung'!$H$21:$L$36,16,0),0)),"")</f>
        <v/>
      </c>
      <c r="AW206" s="110">
        <f t="array" ref="AW206">IF(OR(D206="UU",D206="FT",D206="WE"),0,
IF(D206="NR",SUM(IF(B206&gt;=_xlfn.NUMBERVALUE('ZD Vorerfassung'!$C$22:$C$36),1,0)*IF(B206&lt;=_xlfn.NUMBERVALUE('ZD Vorerfassung'!$D$22:$D$36),1,0)*'ZD Vorerfassung'!$Q$22:$Q$36),
IF(OR(D206="SF",D206="FH"),SUM(IF(B206&gt;=_xlfn.NUMBERVALUE('ZD Vorerfassung'!$C$22:$C$36),1,0)*IF(B206&lt;=_xlfn.NUMBERVALUE('ZD Vorerfassung'!$D$22:$D$36),1,0)*'ZD Vorerfassung'!$R$22:$R$36*IF(D206="FH",0.5,1)),
"prüfen")))</f>
        <v>0</v>
      </c>
      <c r="AX206" s="110">
        <f t="array" ref="AX206">IF(OR(D206="UU",D206="FT",D206="WE",E206="Ferien"),0,
IF(D206="NR",SUM(IF(B206&gt;=_xlfn.NUMBERVALUE('ZD Vorerfassung'!$C$22:$C$36),1,0)*IF(B206&lt;=_xlfn.NUMBERVALUE('ZD Vorerfassung'!$D$22:$D$36),1,0)*'ZD Vorerfassung'!$W$22:$W$36),
IF(OR(D206="SF",D206="FH"),SUM(IF(B206&gt;=_xlfn.NUMBERVALUE('ZD Vorerfassung'!$C$22:$C$36),1,0)*IF(B206&lt;=_xlfn.NUMBERVALUE('ZD Vorerfassung'!$D$22:$D$36),1,0)*'ZD Vorerfassung'!$X$22:$X$36*IF(D206="FH",0.5,1)),
"prüfen")))</f>
        <v>0</v>
      </c>
      <c r="AY206" s="110">
        <f t="array" ref="AY206">IF(OR(D206="UU",D206="FT",D206="WE",E206="Ferien"),0,
IF(D206="NR",SUM(IF(B206&gt;=_xlfn.NUMBERVALUE('ZD Vorerfassung'!$C$22:$C$36),1,0)*IF(B206&lt;=_xlfn.NUMBERVALUE('ZD Vorerfassung'!$D$22:$D$36),1,0)*'ZD Vorerfassung'!$U$22:$U$36),
IF(OR(D206="SF",D206="FH"),SUM(IF(B206&gt;=_xlfn.NUMBERVALUE('ZD Vorerfassung'!$C$22:$C$36),1,0)*IF(B206&lt;=_xlfn.NUMBERVALUE('ZD Vorerfassung'!$D$22:$D$36),1,0)*'ZD Vorerfassung'!$V$22:$V$36*IF(D206="FH",0.5,1)),
"prüfen")))</f>
        <v>0</v>
      </c>
      <c r="AZ206" s="110">
        <f t="array" ref="AZ206">IF(OR(D206="UU",D206="FT",D206="WE",E206="Ferien"),0,
IF(D206="NR",SUM(IF(B206&gt;=_xlfn.NUMBERVALUE('ZD Vorerfassung'!$C$22:$C$36),1,0)*IF(B206&lt;=_xlfn.NUMBERVALUE('ZD Vorerfassung'!$D$22:$D$36),1,0)*'ZD Vorerfassung'!$S$22:$S$36),
IF(OR(D206="SF",D206="FH"),SUM(IF(B206&gt;=_xlfn.NUMBERVALUE('ZD Vorerfassung'!$C$22:$C$36),1,0)*IF(B206&lt;=_xlfn.NUMBERVALUE('ZD Vorerfassung'!$D$22:$D$36),1,0)*'ZD Vorerfassung'!$T$22:$T$36*IF(D206="FH",0.5,1)),
"prüfen")))</f>
        <v>0</v>
      </c>
      <c r="BA206" s="112">
        <f t="shared" si="44"/>
        <v>2</v>
      </c>
    </row>
    <row r="207" spans="2:53" ht="19.5" thickTop="1" thickBot="1" x14ac:dyDescent="0.3">
      <c r="B207" s="99">
        <f t="shared" si="41"/>
        <v>44972</v>
      </c>
      <c r="C207" s="100">
        <f t="shared" si="45"/>
        <v>44972</v>
      </c>
      <c r="D207" s="101" t="str">
        <f t="shared" si="46"/>
        <v>SF</v>
      </c>
      <c r="E207" s="102" t="str">
        <f t="shared" si="42"/>
        <v>unterrichtsfreie Arbeitszeit</v>
      </c>
      <c r="F207" s="103" t="str">
        <f t="shared" si="47"/>
        <v/>
      </c>
      <c r="G207" s="104" t="str">
        <f t="shared" si="48"/>
        <v/>
      </c>
      <c r="H207" s="104">
        <f>IFERROR(IF('ZD Vorerfassung'!$E$11="manuell",SUM(I207),IF(OR(E207="Feiertag",E207="Wochenende"),0,IF('ZD Vorerfassung'!$E$11="automatisch",AX207,IF(D207="UU","UU",IF(E207=Param2,AX207/24,IF(E207=Param9,AX207/48,"")))))),0)</f>
        <v>0</v>
      </c>
      <c r="I207" s="105"/>
      <c r="J207" s="106">
        <f>IF('ZD Vorerfassung'!$E$12="manuell",SUM(K207:AI207),IF(OR(E207="Feiertag",E207="Wochenende"),0,IF('ZD Vorerfassung'!$E$12="automatisch",AY207,IF(D207="UU","UU",IF(E207=Param2,AY207/24,IF(E207=Param9,AY207/48,""))))))</f>
        <v>0</v>
      </c>
      <c r="K207" s="105"/>
      <c r="L207" s="105"/>
      <c r="M207" s="105"/>
      <c r="N207" s="105"/>
      <c r="O207" s="105"/>
      <c r="P207" s="105"/>
      <c r="Q207" s="105"/>
      <c r="R207" s="105"/>
      <c r="S207" s="105"/>
      <c r="T207" s="105"/>
      <c r="U207" s="105"/>
      <c r="V207" s="105"/>
      <c r="W207" s="105"/>
      <c r="X207" s="105"/>
      <c r="Y207" s="105"/>
      <c r="Z207" s="105"/>
      <c r="AA207" s="105"/>
      <c r="AB207" s="105"/>
      <c r="AC207" s="105"/>
      <c r="AD207" s="105"/>
      <c r="AE207" s="105"/>
      <c r="AF207" s="105"/>
      <c r="AG207" s="105"/>
      <c r="AH207" s="105"/>
      <c r="AI207" s="105"/>
      <c r="AJ207" s="107">
        <f t="shared" si="49"/>
        <v>0</v>
      </c>
      <c r="AK207" s="105"/>
      <c r="AL207" s="105"/>
      <c r="AM207" s="105"/>
      <c r="AN207" s="105"/>
      <c r="AO207" s="105"/>
      <c r="AP207" s="105"/>
      <c r="AQ207" s="108">
        <f t="shared" si="50"/>
        <v>0</v>
      </c>
      <c r="AR207" s="108">
        <f t="shared" si="51"/>
        <v>0</v>
      </c>
      <c r="AS207" s="109">
        <f t="shared" si="52"/>
        <v>0</v>
      </c>
      <c r="AU207" s="110">
        <f t="shared" si="43"/>
        <v>0</v>
      </c>
      <c r="AV207" s="111" t="str">
        <f>IF(D207="NR",
IF('ZD Vorerfassung'!$E$22="",0,IF(AND(B207&gt;='ZD Vorerfassung'!$C$22,B207&lt;='ZD Vorerfassung'!$D$22),HLOOKUP(TEXT(C207,"ttt"),'ZD Vorerfassung'!$H$21:$L$36,2,0),0))+
IF('ZD Vorerfassung'!$E$23="",0,IF(AND(B207&gt;='ZD Vorerfassung'!$C$23,B207&lt;='ZD Vorerfassung'!$D$23),HLOOKUP(TEXT(C207,"ttt"),'ZD Vorerfassung'!$H$21:$L$36,3,0),0))+
IF('ZD Vorerfassung'!$E$24="",0,IF(AND(B207&gt;='ZD Vorerfassung'!$C$24,B207&lt;='ZD Vorerfassung'!$D$24),HLOOKUP(TEXT(C207,"ttt"),'ZD Vorerfassung'!$H$21:$L$36,4,0),0))+
IF('ZD Vorerfassung'!$E$25="",0,IF(AND(B207&gt;='ZD Vorerfassung'!$C$25,B207&lt;='ZD Vorerfassung'!$D$25),HLOOKUP(TEXT(C207,"ttt"),'ZD Vorerfassung'!$H$21:$L$36,5,0),0))+
IF('ZD Vorerfassung'!$E$26="",0,IF(AND(B207&gt;='ZD Vorerfassung'!$C$26,B207&lt;='ZD Vorerfassung'!$D$26),HLOOKUP(TEXT(C207,"ttt"),'ZD Vorerfassung'!$H$21:$L$36,6,0),0))+
IF('ZD Vorerfassung'!$E$27="",0,IF(AND(B207&gt;='ZD Vorerfassung'!$C$27,B207&lt;='ZD Vorerfassung'!$D$27),HLOOKUP(TEXT(C207,"ttt"),'ZD Vorerfassung'!$H$21:$L$36,7,0),0))+
IF('ZD Vorerfassung'!$E$28="",0,IF(AND(B207&gt;='ZD Vorerfassung'!$C$28,B207&lt;='ZD Vorerfassung'!$D$28),HLOOKUP(TEXT(C207,"ttt"),'ZD Vorerfassung'!$H$21:$L$36,8,0),0))+
IF('ZD Vorerfassung'!$E$29="",0,IF(AND(B207&gt;='ZD Vorerfassung'!$C$29,B207&lt;='ZD Vorerfassung'!$D$29),HLOOKUP(TEXT(C207,"ttt"),'ZD Vorerfassung'!$H$21:$L$36,9,0),0))+
IF('ZD Vorerfassung'!$E$30="",0,IF(AND(B207&gt;='ZD Vorerfassung'!$C$30,B207&lt;='ZD Vorerfassung'!$D$30),HLOOKUP(TEXT(C207,"ttt"),'ZD Vorerfassung'!$H$21:$L$36,10,0),0))+
IF('ZD Vorerfassung'!$E$31="",0,IF(AND(B207&gt;='ZD Vorerfassung'!$C$31,B207&lt;='ZD Vorerfassung'!$D$31),HLOOKUP(TEXT(C207,"ttt"),'ZD Vorerfassung'!$H$21:$L$36,11,0),0))+
IF('ZD Vorerfassung'!$E$32="",0,IF(AND(B207&gt;='ZD Vorerfassung'!$C$32,B207&lt;='ZD Vorerfassung'!$D$32),HLOOKUP(TEXT(C207,"ttt"),'ZD Vorerfassung'!$H$21:$L$36,12,0),0))+
IF('ZD Vorerfassung'!$E$33="",0,IF(AND(B207&gt;='ZD Vorerfassung'!$C$33,B207&lt;='ZD Vorerfassung'!$D$33),HLOOKUP(TEXT(C207,"ttt"),'ZD Vorerfassung'!$H$21:$L$36,13,0),0))+
IF('ZD Vorerfassung'!$E$34="",0,IF(AND(B207&gt;='ZD Vorerfassung'!$C$34,B207&lt;='ZD Vorerfassung'!$D$34),HLOOKUP(TEXT(C207,"ttt"),'ZD Vorerfassung'!$H$21:$L$36,14,0),0))+
IF('ZD Vorerfassung'!$E$35="",0,IF(AND(B207&gt;='ZD Vorerfassung'!$C$35,B207&lt;='ZD Vorerfassung'!$D$35),HLOOKUP(TEXT(C207,"ttt"),'ZD Vorerfassung'!$H$21:$L$36,15,0),0))+
IF('ZD Vorerfassung'!$E$36="",0,IF(AND(B207&gt;='ZD Vorerfassung'!$C$36,B207&lt;='ZD Vorerfassung'!$D$36),HLOOKUP(TEXT(C207,"ttt"),'ZD Vorerfassung'!$H$21:$L$36,16,0),0)),"")</f>
        <v/>
      </c>
      <c r="AW207" s="110">
        <f t="array" ref="AW207">IF(OR(D207="UU",D207="FT",D207="WE"),0,
IF(D207="NR",SUM(IF(B207&gt;=_xlfn.NUMBERVALUE('ZD Vorerfassung'!$C$22:$C$36),1,0)*IF(B207&lt;=_xlfn.NUMBERVALUE('ZD Vorerfassung'!$D$22:$D$36),1,0)*'ZD Vorerfassung'!$Q$22:$Q$36),
IF(OR(D207="SF",D207="FH"),SUM(IF(B207&gt;=_xlfn.NUMBERVALUE('ZD Vorerfassung'!$C$22:$C$36),1,0)*IF(B207&lt;=_xlfn.NUMBERVALUE('ZD Vorerfassung'!$D$22:$D$36),1,0)*'ZD Vorerfassung'!$R$22:$R$36*IF(D207="FH",0.5,1)),
"prüfen")))</f>
        <v>0</v>
      </c>
      <c r="AX207" s="110">
        <f t="array" ref="AX207">IF(OR(D207="UU",D207="FT",D207="WE",E207="Ferien"),0,
IF(D207="NR",SUM(IF(B207&gt;=_xlfn.NUMBERVALUE('ZD Vorerfassung'!$C$22:$C$36),1,0)*IF(B207&lt;=_xlfn.NUMBERVALUE('ZD Vorerfassung'!$D$22:$D$36),1,0)*'ZD Vorerfassung'!$W$22:$W$36),
IF(OR(D207="SF",D207="FH"),SUM(IF(B207&gt;=_xlfn.NUMBERVALUE('ZD Vorerfassung'!$C$22:$C$36),1,0)*IF(B207&lt;=_xlfn.NUMBERVALUE('ZD Vorerfassung'!$D$22:$D$36),1,0)*'ZD Vorerfassung'!$X$22:$X$36*IF(D207="FH",0.5,1)),
"prüfen")))</f>
        <v>0</v>
      </c>
      <c r="AY207" s="110">
        <f t="array" ref="AY207">IF(OR(D207="UU",D207="FT",D207="WE",E207="Ferien"),0,
IF(D207="NR",SUM(IF(B207&gt;=_xlfn.NUMBERVALUE('ZD Vorerfassung'!$C$22:$C$36),1,0)*IF(B207&lt;=_xlfn.NUMBERVALUE('ZD Vorerfassung'!$D$22:$D$36),1,0)*'ZD Vorerfassung'!$U$22:$U$36),
IF(OR(D207="SF",D207="FH"),SUM(IF(B207&gt;=_xlfn.NUMBERVALUE('ZD Vorerfassung'!$C$22:$C$36),1,0)*IF(B207&lt;=_xlfn.NUMBERVALUE('ZD Vorerfassung'!$D$22:$D$36),1,0)*'ZD Vorerfassung'!$V$22:$V$36*IF(D207="FH",0.5,1)),
"prüfen")))</f>
        <v>0</v>
      </c>
      <c r="AZ207" s="110">
        <f t="array" ref="AZ207">IF(OR(D207="UU",D207="FT",D207="WE",E207="Ferien"),0,
IF(D207="NR",SUM(IF(B207&gt;=_xlfn.NUMBERVALUE('ZD Vorerfassung'!$C$22:$C$36),1,0)*IF(B207&lt;=_xlfn.NUMBERVALUE('ZD Vorerfassung'!$D$22:$D$36),1,0)*'ZD Vorerfassung'!$S$22:$S$36),
IF(OR(D207="SF",D207="FH"),SUM(IF(B207&gt;=_xlfn.NUMBERVALUE('ZD Vorerfassung'!$C$22:$C$36),1,0)*IF(B207&lt;=_xlfn.NUMBERVALUE('ZD Vorerfassung'!$D$22:$D$36),1,0)*'ZD Vorerfassung'!$T$22:$T$36*IF(D207="FH",0.5,1)),
"prüfen")))</f>
        <v>0</v>
      </c>
      <c r="BA207" s="112">
        <f t="shared" si="44"/>
        <v>2</v>
      </c>
    </row>
    <row r="208" spans="2:53" ht="19.5" thickTop="1" thickBot="1" x14ac:dyDescent="0.3">
      <c r="B208" s="99">
        <f t="shared" si="41"/>
        <v>44973</v>
      </c>
      <c r="C208" s="100">
        <f t="shared" si="45"/>
        <v>44973</v>
      </c>
      <c r="D208" s="101" t="str">
        <f t="shared" si="46"/>
        <v>FH</v>
      </c>
      <c r="E208" s="102" t="str">
        <f t="shared" si="42"/>
        <v>Feiertag halb</v>
      </c>
      <c r="F208" s="103" t="str">
        <f t="shared" si="47"/>
        <v/>
      </c>
      <c r="G208" s="104" t="str">
        <f t="shared" si="48"/>
        <v/>
      </c>
      <c r="H208" s="104">
        <f>IFERROR(IF('ZD Vorerfassung'!$E$11="manuell",SUM(I208),IF(OR(E208="Feiertag",E208="Wochenende"),0,IF('ZD Vorerfassung'!$E$11="automatisch",AX208,IF(D208="UU","UU",IF(E208=Param2,AX208/24,IF(E208=Param9,AX208/48,"")))))),0)</f>
        <v>0</v>
      </c>
      <c r="I208" s="105"/>
      <c r="J208" s="106">
        <f>IF('ZD Vorerfassung'!$E$12="manuell",SUM(K208:AI208),IF(OR(E208="Feiertag",E208="Wochenende"),0,IF('ZD Vorerfassung'!$E$12="automatisch",AY208,IF(D208="UU","UU",IF(E208=Param2,AY208/24,IF(E208=Param9,AY208/48,""))))))</f>
        <v>0</v>
      </c>
      <c r="K208" s="105"/>
      <c r="L208" s="105"/>
      <c r="M208" s="105"/>
      <c r="N208" s="105"/>
      <c r="O208" s="105"/>
      <c r="P208" s="105"/>
      <c r="Q208" s="105"/>
      <c r="R208" s="105"/>
      <c r="S208" s="105"/>
      <c r="T208" s="105"/>
      <c r="U208" s="105"/>
      <c r="V208" s="105"/>
      <c r="W208" s="105"/>
      <c r="X208" s="105"/>
      <c r="Y208" s="105"/>
      <c r="Z208" s="105"/>
      <c r="AA208" s="105"/>
      <c r="AB208" s="105"/>
      <c r="AC208" s="105"/>
      <c r="AD208" s="105"/>
      <c r="AE208" s="105"/>
      <c r="AF208" s="105"/>
      <c r="AG208" s="105"/>
      <c r="AH208" s="105"/>
      <c r="AI208" s="105"/>
      <c r="AJ208" s="107">
        <f t="shared" si="49"/>
        <v>0</v>
      </c>
      <c r="AK208" s="105"/>
      <c r="AL208" s="105"/>
      <c r="AM208" s="105"/>
      <c r="AN208" s="105"/>
      <c r="AO208" s="105"/>
      <c r="AP208" s="105"/>
      <c r="AQ208" s="108">
        <f t="shared" si="50"/>
        <v>0</v>
      </c>
      <c r="AR208" s="108">
        <f t="shared" si="51"/>
        <v>0</v>
      </c>
      <c r="AS208" s="109">
        <f t="shared" si="52"/>
        <v>0</v>
      </c>
      <c r="AU208" s="110">
        <f t="shared" si="43"/>
        <v>0</v>
      </c>
      <c r="AV208" s="111" t="str">
        <f>IF(D208="NR",
IF('ZD Vorerfassung'!$E$22="",0,IF(AND(B208&gt;='ZD Vorerfassung'!$C$22,B208&lt;='ZD Vorerfassung'!$D$22),HLOOKUP(TEXT(C208,"ttt"),'ZD Vorerfassung'!$H$21:$L$36,2,0),0))+
IF('ZD Vorerfassung'!$E$23="",0,IF(AND(B208&gt;='ZD Vorerfassung'!$C$23,B208&lt;='ZD Vorerfassung'!$D$23),HLOOKUP(TEXT(C208,"ttt"),'ZD Vorerfassung'!$H$21:$L$36,3,0),0))+
IF('ZD Vorerfassung'!$E$24="",0,IF(AND(B208&gt;='ZD Vorerfassung'!$C$24,B208&lt;='ZD Vorerfassung'!$D$24),HLOOKUP(TEXT(C208,"ttt"),'ZD Vorerfassung'!$H$21:$L$36,4,0),0))+
IF('ZD Vorerfassung'!$E$25="",0,IF(AND(B208&gt;='ZD Vorerfassung'!$C$25,B208&lt;='ZD Vorerfassung'!$D$25),HLOOKUP(TEXT(C208,"ttt"),'ZD Vorerfassung'!$H$21:$L$36,5,0),0))+
IF('ZD Vorerfassung'!$E$26="",0,IF(AND(B208&gt;='ZD Vorerfassung'!$C$26,B208&lt;='ZD Vorerfassung'!$D$26),HLOOKUP(TEXT(C208,"ttt"),'ZD Vorerfassung'!$H$21:$L$36,6,0),0))+
IF('ZD Vorerfassung'!$E$27="",0,IF(AND(B208&gt;='ZD Vorerfassung'!$C$27,B208&lt;='ZD Vorerfassung'!$D$27),HLOOKUP(TEXT(C208,"ttt"),'ZD Vorerfassung'!$H$21:$L$36,7,0),0))+
IF('ZD Vorerfassung'!$E$28="",0,IF(AND(B208&gt;='ZD Vorerfassung'!$C$28,B208&lt;='ZD Vorerfassung'!$D$28),HLOOKUP(TEXT(C208,"ttt"),'ZD Vorerfassung'!$H$21:$L$36,8,0),0))+
IF('ZD Vorerfassung'!$E$29="",0,IF(AND(B208&gt;='ZD Vorerfassung'!$C$29,B208&lt;='ZD Vorerfassung'!$D$29),HLOOKUP(TEXT(C208,"ttt"),'ZD Vorerfassung'!$H$21:$L$36,9,0),0))+
IF('ZD Vorerfassung'!$E$30="",0,IF(AND(B208&gt;='ZD Vorerfassung'!$C$30,B208&lt;='ZD Vorerfassung'!$D$30),HLOOKUP(TEXT(C208,"ttt"),'ZD Vorerfassung'!$H$21:$L$36,10,0),0))+
IF('ZD Vorerfassung'!$E$31="",0,IF(AND(B208&gt;='ZD Vorerfassung'!$C$31,B208&lt;='ZD Vorerfassung'!$D$31),HLOOKUP(TEXT(C208,"ttt"),'ZD Vorerfassung'!$H$21:$L$36,11,0),0))+
IF('ZD Vorerfassung'!$E$32="",0,IF(AND(B208&gt;='ZD Vorerfassung'!$C$32,B208&lt;='ZD Vorerfassung'!$D$32),HLOOKUP(TEXT(C208,"ttt"),'ZD Vorerfassung'!$H$21:$L$36,12,0),0))+
IF('ZD Vorerfassung'!$E$33="",0,IF(AND(B208&gt;='ZD Vorerfassung'!$C$33,B208&lt;='ZD Vorerfassung'!$D$33),HLOOKUP(TEXT(C208,"ttt"),'ZD Vorerfassung'!$H$21:$L$36,13,0),0))+
IF('ZD Vorerfassung'!$E$34="",0,IF(AND(B208&gt;='ZD Vorerfassung'!$C$34,B208&lt;='ZD Vorerfassung'!$D$34),HLOOKUP(TEXT(C208,"ttt"),'ZD Vorerfassung'!$H$21:$L$36,14,0),0))+
IF('ZD Vorerfassung'!$E$35="",0,IF(AND(B208&gt;='ZD Vorerfassung'!$C$35,B208&lt;='ZD Vorerfassung'!$D$35),HLOOKUP(TEXT(C208,"ttt"),'ZD Vorerfassung'!$H$21:$L$36,15,0),0))+
IF('ZD Vorerfassung'!$E$36="",0,IF(AND(B208&gt;='ZD Vorerfassung'!$C$36,B208&lt;='ZD Vorerfassung'!$D$36),HLOOKUP(TEXT(C208,"ttt"),'ZD Vorerfassung'!$H$21:$L$36,16,0),0)),"")</f>
        <v/>
      </c>
      <c r="AW208" s="110">
        <f t="array" ref="AW208">IF(OR(D208="UU",D208="FT",D208="WE"),0,
IF(D208="NR",SUM(IF(B208&gt;=_xlfn.NUMBERVALUE('ZD Vorerfassung'!$C$22:$C$36),1,0)*IF(B208&lt;=_xlfn.NUMBERVALUE('ZD Vorerfassung'!$D$22:$D$36),1,0)*'ZD Vorerfassung'!$Q$22:$Q$36),
IF(OR(D208="SF",D208="FH"),SUM(IF(B208&gt;=_xlfn.NUMBERVALUE('ZD Vorerfassung'!$C$22:$C$36),1,0)*IF(B208&lt;=_xlfn.NUMBERVALUE('ZD Vorerfassung'!$D$22:$D$36),1,0)*'ZD Vorerfassung'!$R$22:$R$36*IF(D208="FH",0.5,1)),
"prüfen")))</f>
        <v>0</v>
      </c>
      <c r="AX208" s="110">
        <f t="array" ref="AX208">IF(OR(D208="UU",D208="FT",D208="WE",E208="Ferien"),0,
IF(D208="NR",SUM(IF(B208&gt;=_xlfn.NUMBERVALUE('ZD Vorerfassung'!$C$22:$C$36),1,0)*IF(B208&lt;=_xlfn.NUMBERVALUE('ZD Vorerfassung'!$D$22:$D$36),1,0)*'ZD Vorerfassung'!$W$22:$W$36),
IF(OR(D208="SF",D208="FH"),SUM(IF(B208&gt;=_xlfn.NUMBERVALUE('ZD Vorerfassung'!$C$22:$C$36),1,0)*IF(B208&lt;=_xlfn.NUMBERVALUE('ZD Vorerfassung'!$D$22:$D$36),1,0)*'ZD Vorerfassung'!$X$22:$X$36*IF(D208="FH",0.5,1)),
"prüfen")))</f>
        <v>0</v>
      </c>
      <c r="AY208" s="110">
        <f t="array" ref="AY208">IF(OR(D208="UU",D208="FT",D208="WE",E208="Ferien"),0,
IF(D208="NR",SUM(IF(B208&gt;=_xlfn.NUMBERVALUE('ZD Vorerfassung'!$C$22:$C$36),1,0)*IF(B208&lt;=_xlfn.NUMBERVALUE('ZD Vorerfassung'!$D$22:$D$36),1,0)*'ZD Vorerfassung'!$U$22:$U$36),
IF(OR(D208="SF",D208="FH"),SUM(IF(B208&gt;=_xlfn.NUMBERVALUE('ZD Vorerfassung'!$C$22:$C$36),1,0)*IF(B208&lt;=_xlfn.NUMBERVALUE('ZD Vorerfassung'!$D$22:$D$36),1,0)*'ZD Vorerfassung'!$V$22:$V$36*IF(D208="FH",0.5,1)),
"prüfen")))</f>
        <v>0</v>
      </c>
      <c r="AZ208" s="110">
        <f t="array" ref="AZ208">IF(OR(D208="UU",D208="FT",D208="WE",E208="Ferien"),0,
IF(D208="NR",SUM(IF(B208&gt;=_xlfn.NUMBERVALUE('ZD Vorerfassung'!$C$22:$C$36),1,0)*IF(B208&lt;=_xlfn.NUMBERVALUE('ZD Vorerfassung'!$D$22:$D$36),1,0)*'ZD Vorerfassung'!$S$22:$S$36),
IF(OR(D208="SF",D208="FH"),SUM(IF(B208&gt;=_xlfn.NUMBERVALUE('ZD Vorerfassung'!$C$22:$C$36),1,0)*IF(B208&lt;=_xlfn.NUMBERVALUE('ZD Vorerfassung'!$D$22:$D$36),1,0)*'ZD Vorerfassung'!$T$22:$T$36*IF(D208="FH",0.5,1)),
"prüfen")))</f>
        <v>0</v>
      </c>
      <c r="BA208" s="112">
        <f t="shared" si="44"/>
        <v>2</v>
      </c>
    </row>
    <row r="209" spans="2:53" ht="19.5" thickTop="1" thickBot="1" x14ac:dyDescent="0.3">
      <c r="B209" s="99">
        <f t="shared" si="41"/>
        <v>44974</v>
      </c>
      <c r="C209" s="100">
        <f t="shared" si="45"/>
        <v>44974</v>
      </c>
      <c r="D209" s="101" t="str">
        <f t="shared" si="46"/>
        <v>SF</v>
      </c>
      <c r="E209" s="102" t="str">
        <f t="shared" si="42"/>
        <v>unterrichtsfreie Arbeitszeit</v>
      </c>
      <c r="F209" s="103" t="str">
        <f t="shared" si="47"/>
        <v/>
      </c>
      <c r="G209" s="104" t="str">
        <f t="shared" si="48"/>
        <v/>
      </c>
      <c r="H209" s="104">
        <f>IFERROR(IF('ZD Vorerfassung'!$E$11="manuell",SUM(I209),IF(OR(E209="Feiertag",E209="Wochenende"),0,IF('ZD Vorerfassung'!$E$11="automatisch",AX209,IF(D209="UU","UU",IF(E209=Param2,AX209/24,IF(E209=Param9,AX209/48,"")))))),0)</f>
        <v>0</v>
      </c>
      <c r="I209" s="105"/>
      <c r="J209" s="106">
        <f>IF('ZD Vorerfassung'!$E$12="manuell",SUM(K209:AI209),IF(OR(E209="Feiertag",E209="Wochenende"),0,IF('ZD Vorerfassung'!$E$12="automatisch",AY209,IF(D209="UU","UU",IF(E209=Param2,AY209/24,IF(E209=Param9,AY209/48,""))))))</f>
        <v>0</v>
      </c>
      <c r="K209" s="105"/>
      <c r="L209" s="105"/>
      <c r="M209" s="105"/>
      <c r="N209" s="105"/>
      <c r="O209" s="105"/>
      <c r="P209" s="105"/>
      <c r="Q209" s="105"/>
      <c r="R209" s="105"/>
      <c r="S209" s="105"/>
      <c r="T209" s="105"/>
      <c r="U209" s="105"/>
      <c r="V209" s="105"/>
      <c r="W209" s="105"/>
      <c r="X209" s="105"/>
      <c r="Y209" s="105"/>
      <c r="Z209" s="105"/>
      <c r="AA209" s="105"/>
      <c r="AB209" s="105"/>
      <c r="AC209" s="105"/>
      <c r="AD209" s="105"/>
      <c r="AE209" s="105"/>
      <c r="AF209" s="105"/>
      <c r="AG209" s="105"/>
      <c r="AH209" s="105"/>
      <c r="AI209" s="105"/>
      <c r="AJ209" s="107">
        <f t="shared" si="49"/>
        <v>0</v>
      </c>
      <c r="AK209" s="105"/>
      <c r="AL209" s="105"/>
      <c r="AM209" s="105"/>
      <c r="AN209" s="105"/>
      <c r="AO209" s="105"/>
      <c r="AP209" s="105"/>
      <c r="AQ209" s="108">
        <f t="shared" si="50"/>
        <v>0</v>
      </c>
      <c r="AR209" s="108">
        <f t="shared" si="51"/>
        <v>0</v>
      </c>
      <c r="AS209" s="109">
        <f t="shared" si="52"/>
        <v>0</v>
      </c>
      <c r="AU209" s="110">
        <f t="shared" si="43"/>
        <v>0</v>
      </c>
      <c r="AV209" s="111" t="str">
        <f>IF(D209="NR",
IF('ZD Vorerfassung'!$E$22="",0,IF(AND(B209&gt;='ZD Vorerfassung'!$C$22,B209&lt;='ZD Vorerfassung'!$D$22),HLOOKUP(TEXT(C209,"ttt"),'ZD Vorerfassung'!$H$21:$L$36,2,0),0))+
IF('ZD Vorerfassung'!$E$23="",0,IF(AND(B209&gt;='ZD Vorerfassung'!$C$23,B209&lt;='ZD Vorerfassung'!$D$23),HLOOKUP(TEXT(C209,"ttt"),'ZD Vorerfassung'!$H$21:$L$36,3,0),0))+
IF('ZD Vorerfassung'!$E$24="",0,IF(AND(B209&gt;='ZD Vorerfassung'!$C$24,B209&lt;='ZD Vorerfassung'!$D$24),HLOOKUP(TEXT(C209,"ttt"),'ZD Vorerfassung'!$H$21:$L$36,4,0),0))+
IF('ZD Vorerfassung'!$E$25="",0,IF(AND(B209&gt;='ZD Vorerfassung'!$C$25,B209&lt;='ZD Vorerfassung'!$D$25),HLOOKUP(TEXT(C209,"ttt"),'ZD Vorerfassung'!$H$21:$L$36,5,0),0))+
IF('ZD Vorerfassung'!$E$26="",0,IF(AND(B209&gt;='ZD Vorerfassung'!$C$26,B209&lt;='ZD Vorerfassung'!$D$26),HLOOKUP(TEXT(C209,"ttt"),'ZD Vorerfassung'!$H$21:$L$36,6,0),0))+
IF('ZD Vorerfassung'!$E$27="",0,IF(AND(B209&gt;='ZD Vorerfassung'!$C$27,B209&lt;='ZD Vorerfassung'!$D$27),HLOOKUP(TEXT(C209,"ttt"),'ZD Vorerfassung'!$H$21:$L$36,7,0),0))+
IF('ZD Vorerfassung'!$E$28="",0,IF(AND(B209&gt;='ZD Vorerfassung'!$C$28,B209&lt;='ZD Vorerfassung'!$D$28),HLOOKUP(TEXT(C209,"ttt"),'ZD Vorerfassung'!$H$21:$L$36,8,0),0))+
IF('ZD Vorerfassung'!$E$29="",0,IF(AND(B209&gt;='ZD Vorerfassung'!$C$29,B209&lt;='ZD Vorerfassung'!$D$29),HLOOKUP(TEXT(C209,"ttt"),'ZD Vorerfassung'!$H$21:$L$36,9,0),0))+
IF('ZD Vorerfassung'!$E$30="",0,IF(AND(B209&gt;='ZD Vorerfassung'!$C$30,B209&lt;='ZD Vorerfassung'!$D$30),HLOOKUP(TEXT(C209,"ttt"),'ZD Vorerfassung'!$H$21:$L$36,10,0),0))+
IF('ZD Vorerfassung'!$E$31="",0,IF(AND(B209&gt;='ZD Vorerfassung'!$C$31,B209&lt;='ZD Vorerfassung'!$D$31),HLOOKUP(TEXT(C209,"ttt"),'ZD Vorerfassung'!$H$21:$L$36,11,0),0))+
IF('ZD Vorerfassung'!$E$32="",0,IF(AND(B209&gt;='ZD Vorerfassung'!$C$32,B209&lt;='ZD Vorerfassung'!$D$32),HLOOKUP(TEXT(C209,"ttt"),'ZD Vorerfassung'!$H$21:$L$36,12,0),0))+
IF('ZD Vorerfassung'!$E$33="",0,IF(AND(B209&gt;='ZD Vorerfassung'!$C$33,B209&lt;='ZD Vorerfassung'!$D$33),HLOOKUP(TEXT(C209,"ttt"),'ZD Vorerfassung'!$H$21:$L$36,13,0),0))+
IF('ZD Vorerfassung'!$E$34="",0,IF(AND(B209&gt;='ZD Vorerfassung'!$C$34,B209&lt;='ZD Vorerfassung'!$D$34),HLOOKUP(TEXT(C209,"ttt"),'ZD Vorerfassung'!$H$21:$L$36,14,0),0))+
IF('ZD Vorerfassung'!$E$35="",0,IF(AND(B209&gt;='ZD Vorerfassung'!$C$35,B209&lt;='ZD Vorerfassung'!$D$35),HLOOKUP(TEXT(C209,"ttt"),'ZD Vorerfassung'!$H$21:$L$36,15,0),0))+
IF('ZD Vorerfassung'!$E$36="",0,IF(AND(B209&gt;='ZD Vorerfassung'!$C$36,B209&lt;='ZD Vorerfassung'!$D$36),HLOOKUP(TEXT(C209,"ttt"),'ZD Vorerfassung'!$H$21:$L$36,16,0),0)),"")</f>
        <v/>
      </c>
      <c r="AW209" s="110">
        <f t="array" ref="AW209">IF(OR(D209="UU",D209="FT",D209="WE"),0,
IF(D209="NR",SUM(IF(B209&gt;=_xlfn.NUMBERVALUE('ZD Vorerfassung'!$C$22:$C$36),1,0)*IF(B209&lt;=_xlfn.NUMBERVALUE('ZD Vorerfassung'!$D$22:$D$36),1,0)*'ZD Vorerfassung'!$Q$22:$Q$36),
IF(OR(D209="SF",D209="FH"),SUM(IF(B209&gt;=_xlfn.NUMBERVALUE('ZD Vorerfassung'!$C$22:$C$36),1,0)*IF(B209&lt;=_xlfn.NUMBERVALUE('ZD Vorerfassung'!$D$22:$D$36),1,0)*'ZD Vorerfassung'!$R$22:$R$36*IF(D209="FH",0.5,1)),
"prüfen")))</f>
        <v>0</v>
      </c>
      <c r="AX209" s="110">
        <f t="array" ref="AX209">IF(OR(D209="UU",D209="FT",D209="WE",E209="Ferien"),0,
IF(D209="NR",SUM(IF(B209&gt;=_xlfn.NUMBERVALUE('ZD Vorerfassung'!$C$22:$C$36),1,0)*IF(B209&lt;=_xlfn.NUMBERVALUE('ZD Vorerfassung'!$D$22:$D$36),1,0)*'ZD Vorerfassung'!$W$22:$W$36),
IF(OR(D209="SF",D209="FH"),SUM(IF(B209&gt;=_xlfn.NUMBERVALUE('ZD Vorerfassung'!$C$22:$C$36),1,0)*IF(B209&lt;=_xlfn.NUMBERVALUE('ZD Vorerfassung'!$D$22:$D$36),1,0)*'ZD Vorerfassung'!$X$22:$X$36*IF(D209="FH",0.5,1)),
"prüfen")))</f>
        <v>0</v>
      </c>
      <c r="AY209" s="110">
        <f t="array" ref="AY209">IF(OR(D209="UU",D209="FT",D209="WE",E209="Ferien"),0,
IF(D209="NR",SUM(IF(B209&gt;=_xlfn.NUMBERVALUE('ZD Vorerfassung'!$C$22:$C$36),1,0)*IF(B209&lt;=_xlfn.NUMBERVALUE('ZD Vorerfassung'!$D$22:$D$36),1,0)*'ZD Vorerfassung'!$U$22:$U$36),
IF(OR(D209="SF",D209="FH"),SUM(IF(B209&gt;=_xlfn.NUMBERVALUE('ZD Vorerfassung'!$C$22:$C$36),1,0)*IF(B209&lt;=_xlfn.NUMBERVALUE('ZD Vorerfassung'!$D$22:$D$36),1,0)*'ZD Vorerfassung'!$V$22:$V$36*IF(D209="FH",0.5,1)),
"prüfen")))</f>
        <v>0</v>
      </c>
      <c r="AZ209" s="110">
        <f t="array" ref="AZ209">IF(OR(D209="UU",D209="FT",D209="WE",E209="Ferien"),0,
IF(D209="NR",SUM(IF(B209&gt;=_xlfn.NUMBERVALUE('ZD Vorerfassung'!$C$22:$C$36),1,0)*IF(B209&lt;=_xlfn.NUMBERVALUE('ZD Vorerfassung'!$D$22:$D$36),1,0)*'ZD Vorerfassung'!$S$22:$S$36),
IF(OR(D209="SF",D209="FH"),SUM(IF(B209&gt;=_xlfn.NUMBERVALUE('ZD Vorerfassung'!$C$22:$C$36),1,0)*IF(B209&lt;=_xlfn.NUMBERVALUE('ZD Vorerfassung'!$D$22:$D$36),1,0)*'ZD Vorerfassung'!$T$22:$T$36*IF(D209="FH",0.5,1)),
"prüfen")))</f>
        <v>0</v>
      </c>
      <c r="BA209" s="112">
        <f t="shared" si="44"/>
        <v>2</v>
      </c>
    </row>
    <row r="210" spans="2:53" ht="19.5" thickTop="1" thickBot="1" x14ac:dyDescent="0.3">
      <c r="B210" s="99">
        <f t="shared" si="41"/>
        <v>44975</v>
      </c>
      <c r="C210" s="100">
        <f t="shared" si="45"/>
        <v>44975</v>
      </c>
      <c r="D210" s="101" t="str">
        <f t="shared" si="46"/>
        <v>SF</v>
      </c>
      <c r="E210" s="102" t="str">
        <f t="shared" si="42"/>
        <v>unterrichtsfreie Arbeitszeit</v>
      </c>
      <c r="F210" s="103" t="str">
        <f t="shared" si="47"/>
        <v/>
      </c>
      <c r="G210" s="104" t="str">
        <f t="shared" si="48"/>
        <v/>
      </c>
      <c r="H210" s="104">
        <f>IFERROR(IF('ZD Vorerfassung'!$E$11="manuell",SUM(I210),IF(OR(E210="Feiertag",E210="Wochenende"),0,IF('ZD Vorerfassung'!$E$11="automatisch",AX210,IF(D210="UU","UU",IF(E210=Param2,AX210/24,IF(E210=Param9,AX210/48,"")))))),0)</f>
        <v>0</v>
      </c>
      <c r="I210" s="105"/>
      <c r="J210" s="106">
        <f>IF('ZD Vorerfassung'!$E$12="manuell",SUM(K210:AI210),IF(OR(E210="Feiertag",E210="Wochenende"),0,IF('ZD Vorerfassung'!$E$12="automatisch",AY210,IF(D210="UU","UU",IF(E210=Param2,AY210/24,IF(E210=Param9,AY210/48,""))))))</f>
        <v>0</v>
      </c>
      <c r="K210" s="105"/>
      <c r="L210" s="105"/>
      <c r="M210" s="105"/>
      <c r="N210" s="105"/>
      <c r="O210" s="105"/>
      <c r="P210" s="105"/>
      <c r="Q210" s="105"/>
      <c r="R210" s="105"/>
      <c r="S210" s="105"/>
      <c r="T210" s="105"/>
      <c r="U210" s="105"/>
      <c r="V210" s="105"/>
      <c r="W210" s="105"/>
      <c r="X210" s="105"/>
      <c r="Y210" s="105"/>
      <c r="Z210" s="105"/>
      <c r="AA210" s="105"/>
      <c r="AB210" s="105"/>
      <c r="AC210" s="105"/>
      <c r="AD210" s="105"/>
      <c r="AE210" s="105"/>
      <c r="AF210" s="105"/>
      <c r="AG210" s="105"/>
      <c r="AH210" s="105"/>
      <c r="AI210" s="105"/>
      <c r="AJ210" s="107">
        <f t="shared" si="49"/>
        <v>0</v>
      </c>
      <c r="AK210" s="105"/>
      <c r="AL210" s="105"/>
      <c r="AM210" s="105"/>
      <c r="AN210" s="105"/>
      <c r="AO210" s="105"/>
      <c r="AP210" s="105"/>
      <c r="AQ210" s="108">
        <f t="shared" si="50"/>
        <v>0</v>
      </c>
      <c r="AR210" s="108">
        <f t="shared" si="51"/>
        <v>0</v>
      </c>
      <c r="AS210" s="109">
        <f t="shared" si="52"/>
        <v>0</v>
      </c>
      <c r="AU210" s="110">
        <f t="shared" si="43"/>
        <v>0</v>
      </c>
      <c r="AV210" s="111" t="str">
        <f>IF(D210="NR",
IF('ZD Vorerfassung'!$E$22="",0,IF(AND(B210&gt;='ZD Vorerfassung'!$C$22,B210&lt;='ZD Vorerfassung'!$D$22),HLOOKUP(TEXT(C210,"ttt"),'ZD Vorerfassung'!$H$21:$L$36,2,0),0))+
IF('ZD Vorerfassung'!$E$23="",0,IF(AND(B210&gt;='ZD Vorerfassung'!$C$23,B210&lt;='ZD Vorerfassung'!$D$23),HLOOKUP(TEXT(C210,"ttt"),'ZD Vorerfassung'!$H$21:$L$36,3,0),0))+
IF('ZD Vorerfassung'!$E$24="",0,IF(AND(B210&gt;='ZD Vorerfassung'!$C$24,B210&lt;='ZD Vorerfassung'!$D$24),HLOOKUP(TEXT(C210,"ttt"),'ZD Vorerfassung'!$H$21:$L$36,4,0),0))+
IF('ZD Vorerfassung'!$E$25="",0,IF(AND(B210&gt;='ZD Vorerfassung'!$C$25,B210&lt;='ZD Vorerfassung'!$D$25),HLOOKUP(TEXT(C210,"ttt"),'ZD Vorerfassung'!$H$21:$L$36,5,0),0))+
IF('ZD Vorerfassung'!$E$26="",0,IF(AND(B210&gt;='ZD Vorerfassung'!$C$26,B210&lt;='ZD Vorerfassung'!$D$26),HLOOKUP(TEXT(C210,"ttt"),'ZD Vorerfassung'!$H$21:$L$36,6,0),0))+
IF('ZD Vorerfassung'!$E$27="",0,IF(AND(B210&gt;='ZD Vorerfassung'!$C$27,B210&lt;='ZD Vorerfassung'!$D$27),HLOOKUP(TEXT(C210,"ttt"),'ZD Vorerfassung'!$H$21:$L$36,7,0),0))+
IF('ZD Vorerfassung'!$E$28="",0,IF(AND(B210&gt;='ZD Vorerfassung'!$C$28,B210&lt;='ZD Vorerfassung'!$D$28),HLOOKUP(TEXT(C210,"ttt"),'ZD Vorerfassung'!$H$21:$L$36,8,0),0))+
IF('ZD Vorerfassung'!$E$29="",0,IF(AND(B210&gt;='ZD Vorerfassung'!$C$29,B210&lt;='ZD Vorerfassung'!$D$29),HLOOKUP(TEXT(C210,"ttt"),'ZD Vorerfassung'!$H$21:$L$36,9,0),0))+
IF('ZD Vorerfassung'!$E$30="",0,IF(AND(B210&gt;='ZD Vorerfassung'!$C$30,B210&lt;='ZD Vorerfassung'!$D$30),HLOOKUP(TEXT(C210,"ttt"),'ZD Vorerfassung'!$H$21:$L$36,10,0),0))+
IF('ZD Vorerfassung'!$E$31="",0,IF(AND(B210&gt;='ZD Vorerfassung'!$C$31,B210&lt;='ZD Vorerfassung'!$D$31),HLOOKUP(TEXT(C210,"ttt"),'ZD Vorerfassung'!$H$21:$L$36,11,0),0))+
IF('ZD Vorerfassung'!$E$32="",0,IF(AND(B210&gt;='ZD Vorerfassung'!$C$32,B210&lt;='ZD Vorerfassung'!$D$32),HLOOKUP(TEXT(C210,"ttt"),'ZD Vorerfassung'!$H$21:$L$36,12,0),0))+
IF('ZD Vorerfassung'!$E$33="",0,IF(AND(B210&gt;='ZD Vorerfassung'!$C$33,B210&lt;='ZD Vorerfassung'!$D$33),HLOOKUP(TEXT(C210,"ttt"),'ZD Vorerfassung'!$H$21:$L$36,13,0),0))+
IF('ZD Vorerfassung'!$E$34="",0,IF(AND(B210&gt;='ZD Vorerfassung'!$C$34,B210&lt;='ZD Vorerfassung'!$D$34),HLOOKUP(TEXT(C210,"ttt"),'ZD Vorerfassung'!$H$21:$L$36,14,0),0))+
IF('ZD Vorerfassung'!$E$35="",0,IF(AND(B210&gt;='ZD Vorerfassung'!$C$35,B210&lt;='ZD Vorerfassung'!$D$35),HLOOKUP(TEXT(C210,"ttt"),'ZD Vorerfassung'!$H$21:$L$36,15,0),0))+
IF('ZD Vorerfassung'!$E$36="",0,IF(AND(B210&gt;='ZD Vorerfassung'!$C$36,B210&lt;='ZD Vorerfassung'!$D$36),HLOOKUP(TEXT(C210,"ttt"),'ZD Vorerfassung'!$H$21:$L$36,16,0),0)),"")</f>
        <v/>
      </c>
      <c r="AW210" s="110">
        <f t="array" ref="AW210">IF(OR(D210="UU",D210="FT",D210="WE"),0,
IF(D210="NR",SUM(IF(B210&gt;=_xlfn.NUMBERVALUE('ZD Vorerfassung'!$C$22:$C$36),1,0)*IF(B210&lt;=_xlfn.NUMBERVALUE('ZD Vorerfassung'!$D$22:$D$36),1,0)*'ZD Vorerfassung'!$Q$22:$Q$36),
IF(OR(D210="SF",D210="FH"),SUM(IF(B210&gt;=_xlfn.NUMBERVALUE('ZD Vorerfassung'!$C$22:$C$36),1,0)*IF(B210&lt;=_xlfn.NUMBERVALUE('ZD Vorerfassung'!$D$22:$D$36),1,0)*'ZD Vorerfassung'!$R$22:$R$36*IF(D210="FH",0.5,1)),
"prüfen")))</f>
        <v>0</v>
      </c>
      <c r="AX210" s="110">
        <f t="array" ref="AX210">IF(OR(D210="UU",D210="FT",D210="WE",E210="Ferien"),0,
IF(D210="NR",SUM(IF(B210&gt;=_xlfn.NUMBERVALUE('ZD Vorerfassung'!$C$22:$C$36),1,0)*IF(B210&lt;=_xlfn.NUMBERVALUE('ZD Vorerfassung'!$D$22:$D$36),1,0)*'ZD Vorerfassung'!$W$22:$W$36),
IF(OR(D210="SF",D210="FH"),SUM(IF(B210&gt;=_xlfn.NUMBERVALUE('ZD Vorerfassung'!$C$22:$C$36),1,0)*IF(B210&lt;=_xlfn.NUMBERVALUE('ZD Vorerfassung'!$D$22:$D$36),1,0)*'ZD Vorerfassung'!$X$22:$X$36*IF(D210="FH",0.5,1)),
"prüfen")))</f>
        <v>0</v>
      </c>
      <c r="AY210" s="110">
        <f t="array" ref="AY210">IF(OR(D210="UU",D210="FT",D210="WE",E210="Ferien"),0,
IF(D210="NR",SUM(IF(B210&gt;=_xlfn.NUMBERVALUE('ZD Vorerfassung'!$C$22:$C$36),1,0)*IF(B210&lt;=_xlfn.NUMBERVALUE('ZD Vorerfassung'!$D$22:$D$36),1,0)*'ZD Vorerfassung'!$U$22:$U$36),
IF(OR(D210="SF",D210="FH"),SUM(IF(B210&gt;=_xlfn.NUMBERVALUE('ZD Vorerfassung'!$C$22:$C$36),1,0)*IF(B210&lt;=_xlfn.NUMBERVALUE('ZD Vorerfassung'!$D$22:$D$36),1,0)*'ZD Vorerfassung'!$V$22:$V$36*IF(D210="FH",0.5,1)),
"prüfen")))</f>
        <v>0</v>
      </c>
      <c r="AZ210" s="110">
        <f t="array" ref="AZ210">IF(OR(D210="UU",D210="FT",D210="WE",E210="Ferien"),0,
IF(D210="NR",SUM(IF(B210&gt;=_xlfn.NUMBERVALUE('ZD Vorerfassung'!$C$22:$C$36),1,0)*IF(B210&lt;=_xlfn.NUMBERVALUE('ZD Vorerfassung'!$D$22:$D$36),1,0)*'ZD Vorerfassung'!$S$22:$S$36),
IF(OR(D210="SF",D210="FH"),SUM(IF(B210&gt;=_xlfn.NUMBERVALUE('ZD Vorerfassung'!$C$22:$C$36),1,0)*IF(B210&lt;=_xlfn.NUMBERVALUE('ZD Vorerfassung'!$D$22:$D$36),1,0)*'ZD Vorerfassung'!$T$22:$T$36*IF(D210="FH",0.5,1)),
"prüfen")))</f>
        <v>0</v>
      </c>
      <c r="BA210" s="112">
        <f t="shared" si="44"/>
        <v>2</v>
      </c>
    </row>
    <row r="211" spans="2:53" ht="19.5" thickTop="1" thickBot="1" x14ac:dyDescent="0.3">
      <c r="B211" s="99">
        <f t="shared" si="41"/>
        <v>44976</v>
      </c>
      <c r="C211" s="100">
        <f t="shared" si="45"/>
        <v>44976</v>
      </c>
      <c r="D211" s="101" t="str">
        <f t="shared" si="46"/>
        <v>WE</v>
      </c>
      <c r="E211" s="102" t="str">
        <f t="shared" si="42"/>
        <v>Wochenende</v>
      </c>
      <c r="F211" s="103" t="str">
        <f t="shared" si="47"/>
        <v/>
      </c>
      <c r="G211" s="104" t="str">
        <f t="shared" si="48"/>
        <v/>
      </c>
      <c r="H211" s="104">
        <f>IFERROR(IF('ZD Vorerfassung'!$E$11="manuell",SUM(I211),IF(OR(E211="Feiertag",E211="Wochenende"),0,IF('ZD Vorerfassung'!$E$11="automatisch",AX211,IF(D211="UU","UU",IF(E211=Param2,AX211/24,IF(E211=Param9,AX211/48,"")))))),0)</f>
        <v>0</v>
      </c>
      <c r="I211" s="105"/>
      <c r="J211" s="106">
        <f>IF('ZD Vorerfassung'!$E$12="manuell",SUM(K211:AI211),IF(OR(E211="Feiertag",E211="Wochenende"),0,IF('ZD Vorerfassung'!$E$12="automatisch",AY211,IF(D211="UU","UU",IF(E211=Param2,AY211/24,IF(E211=Param9,AY211/48,""))))))</f>
        <v>0</v>
      </c>
      <c r="K211" s="105"/>
      <c r="L211" s="105"/>
      <c r="M211" s="105"/>
      <c r="N211" s="105"/>
      <c r="O211" s="105"/>
      <c r="P211" s="105"/>
      <c r="Q211" s="105"/>
      <c r="R211" s="105"/>
      <c r="S211" s="105"/>
      <c r="T211" s="105"/>
      <c r="U211" s="105"/>
      <c r="V211" s="105"/>
      <c r="W211" s="105"/>
      <c r="X211" s="105"/>
      <c r="Y211" s="105"/>
      <c r="Z211" s="105"/>
      <c r="AA211" s="105"/>
      <c r="AB211" s="105"/>
      <c r="AC211" s="105"/>
      <c r="AD211" s="105"/>
      <c r="AE211" s="105"/>
      <c r="AF211" s="105"/>
      <c r="AG211" s="105"/>
      <c r="AH211" s="105"/>
      <c r="AI211" s="105"/>
      <c r="AJ211" s="107">
        <f t="shared" si="49"/>
        <v>0</v>
      </c>
      <c r="AK211" s="105"/>
      <c r="AL211" s="105"/>
      <c r="AM211" s="105"/>
      <c r="AN211" s="105"/>
      <c r="AO211" s="105"/>
      <c r="AP211" s="105"/>
      <c r="AQ211" s="108">
        <f t="shared" si="50"/>
        <v>0</v>
      </c>
      <c r="AR211" s="108">
        <f t="shared" si="51"/>
        <v>0</v>
      </c>
      <c r="AS211" s="109">
        <f t="shared" si="52"/>
        <v>0</v>
      </c>
      <c r="AU211" s="110">
        <f t="shared" si="43"/>
        <v>0</v>
      </c>
      <c r="AV211" s="111" t="str">
        <f>IF(D211="NR",
IF('ZD Vorerfassung'!$E$22="",0,IF(AND(B211&gt;='ZD Vorerfassung'!$C$22,B211&lt;='ZD Vorerfassung'!$D$22),HLOOKUP(TEXT(C211,"ttt"),'ZD Vorerfassung'!$H$21:$L$36,2,0),0))+
IF('ZD Vorerfassung'!$E$23="",0,IF(AND(B211&gt;='ZD Vorerfassung'!$C$23,B211&lt;='ZD Vorerfassung'!$D$23),HLOOKUP(TEXT(C211,"ttt"),'ZD Vorerfassung'!$H$21:$L$36,3,0),0))+
IF('ZD Vorerfassung'!$E$24="",0,IF(AND(B211&gt;='ZD Vorerfassung'!$C$24,B211&lt;='ZD Vorerfassung'!$D$24),HLOOKUP(TEXT(C211,"ttt"),'ZD Vorerfassung'!$H$21:$L$36,4,0),0))+
IF('ZD Vorerfassung'!$E$25="",0,IF(AND(B211&gt;='ZD Vorerfassung'!$C$25,B211&lt;='ZD Vorerfassung'!$D$25),HLOOKUP(TEXT(C211,"ttt"),'ZD Vorerfassung'!$H$21:$L$36,5,0),0))+
IF('ZD Vorerfassung'!$E$26="",0,IF(AND(B211&gt;='ZD Vorerfassung'!$C$26,B211&lt;='ZD Vorerfassung'!$D$26),HLOOKUP(TEXT(C211,"ttt"),'ZD Vorerfassung'!$H$21:$L$36,6,0),0))+
IF('ZD Vorerfassung'!$E$27="",0,IF(AND(B211&gt;='ZD Vorerfassung'!$C$27,B211&lt;='ZD Vorerfassung'!$D$27),HLOOKUP(TEXT(C211,"ttt"),'ZD Vorerfassung'!$H$21:$L$36,7,0),0))+
IF('ZD Vorerfassung'!$E$28="",0,IF(AND(B211&gt;='ZD Vorerfassung'!$C$28,B211&lt;='ZD Vorerfassung'!$D$28),HLOOKUP(TEXT(C211,"ttt"),'ZD Vorerfassung'!$H$21:$L$36,8,0),0))+
IF('ZD Vorerfassung'!$E$29="",0,IF(AND(B211&gt;='ZD Vorerfassung'!$C$29,B211&lt;='ZD Vorerfassung'!$D$29),HLOOKUP(TEXT(C211,"ttt"),'ZD Vorerfassung'!$H$21:$L$36,9,0),0))+
IF('ZD Vorerfassung'!$E$30="",0,IF(AND(B211&gt;='ZD Vorerfassung'!$C$30,B211&lt;='ZD Vorerfassung'!$D$30),HLOOKUP(TEXT(C211,"ttt"),'ZD Vorerfassung'!$H$21:$L$36,10,0),0))+
IF('ZD Vorerfassung'!$E$31="",0,IF(AND(B211&gt;='ZD Vorerfassung'!$C$31,B211&lt;='ZD Vorerfassung'!$D$31),HLOOKUP(TEXT(C211,"ttt"),'ZD Vorerfassung'!$H$21:$L$36,11,0),0))+
IF('ZD Vorerfassung'!$E$32="",0,IF(AND(B211&gt;='ZD Vorerfassung'!$C$32,B211&lt;='ZD Vorerfassung'!$D$32),HLOOKUP(TEXT(C211,"ttt"),'ZD Vorerfassung'!$H$21:$L$36,12,0),0))+
IF('ZD Vorerfassung'!$E$33="",0,IF(AND(B211&gt;='ZD Vorerfassung'!$C$33,B211&lt;='ZD Vorerfassung'!$D$33),HLOOKUP(TEXT(C211,"ttt"),'ZD Vorerfassung'!$H$21:$L$36,13,0),0))+
IF('ZD Vorerfassung'!$E$34="",0,IF(AND(B211&gt;='ZD Vorerfassung'!$C$34,B211&lt;='ZD Vorerfassung'!$D$34),HLOOKUP(TEXT(C211,"ttt"),'ZD Vorerfassung'!$H$21:$L$36,14,0),0))+
IF('ZD Vorerfassung'!$E$35="",0,IF(AND(B211&gt;='ZD Vorerfassung'!$C$35,B211&lt;='ZD Vorerfassung'!$D$35),HLOOKUP(TEXT(C211,"ttt"),'ZD Vorerfassung'!$H$21:$L$36,15,0),0))+
IF('ZD Vorerfassung'!$E$36="",0,IF(AND(B211&gt;='ZD Vorerfassung'!$C$36,B211&lt;='ZD Vorerfassung'!$D$36),HLOOKUP(TEXT(C211,"ttt"),'ZD Vorerfassung'!$H$21:$L$36,16,0),0)),"")</f>
        <v/>
      </c>
      <c r="AW211" s="110">
        <f t="array" ref="AW211">IF(OR(D211="UU",D211="FT",D211="WE"),0,
IF(D211="NR",SUM(IF(B211&gt;=_xlfn.NUMBERVALUE('ZD Vorerfassung'!$C$22:$C$36),1,0)*IF(B211&lt;=_xlfn.NUMBERVALUE('ZD Vorerfassung'!$D$22:$D$36),1,0)*'ZD Vorerfassung'!$Q$22:$Q$36),
IF(OR(D211="SF",D211="FH"),SUM(IF(B211&gt;=_xlfn.NUMBERVALUE('ZD Vorerfassung'!$C$22:$C$36),1,0)*IF(B211&lt;=_xlfn.NUMBERVALUE('ZD Vorerfassung'!$D$22:$D$36),1,0)*'ZD Vorerfassung'!$R$22:$R$36*IF(D211="FH",0.5,1)),
"prüfen")))</f>
        <v>0</v>
      </c>
      <c r="AX211" s="110">
        <f t="array" ref="AX211">IF(OR(D211="UU",D211="FT",D211="WE",E211="Ferien"),0,
IF(D211="NR",SUM(IF(B211&gt;=_xlfn.NUMBERVALUE('ZD Vorerfassung'!$C$22:$C$36),1,0)*IF(B211&lt;=_xlfn.NUMBERVALUE('ZD Vorerfassung'!$D$22:$D$36),1,0)*'ZD Vorerfassung'!$W$22:$W$36),
IF(OR(D211="SF",D211="FH"),SUM(IF(B211&gt;=_xlfn.NUMBERVALUE('ZD Vorerfassung'!$C$22:$C$36),1,0)*IF(B211&lt;=_xlfn.NUMBERVALUE('ZD Vorerfassung'!$D$22:$D$36),1,0)*'ZD Vorerfassung'!$X$22:$X$36*IF(D211="FH",0.5,1)),
"prüfen")))</f>
        <v>0</v>
      </c>
      <c r="AY211" s="110">
        <f t="array" ref="AY211">IF(OR(D211="UU",D211="FT",D211="WE",E211="Ferien"),0,
IF(D211="NR",SUM(IF(B211&gt;=_xlfn.NUMBERVALUE('ZD Vorerfassung'!$C$22:$C$36),1,0)*IF(B211&lt;=_xlfn.NUMBERVALUE('ZD Vorerfassung'!$D$22:$D$36),1,0)*'ZD Vorerfassung'!$U$22:$U$36),
IF(OR(D211="SF",D211="FH"),SUM(IF(B211&gt;=_xlfn.NUMBERVALUE('ZD Vorerfassung'!$C$22:$C$36),1,0)*IF(B211&lt;=_xlfn.NUMBERVALUE('ZD Vorerfassung'!$D$22:$D$36),1,0)*'ZD Vorerfassung'!$V$22:$V$36*IF(D211="FH",0.5,1)),
"prüfen")))</f>
        <v>0</v>
      </c>
      <c r="AZ211" s="110">
        <f t="array" ref="AZ211">IF(OR(D211="UU",D211="FT",D211="WE",E211="Ferien"),0,
IF(D211="NR",SUM(IF(B211&gt;=_xlfn.NUMBERVALUE('ZD Vorerfassung'!$C$22:$C$36),1,0)*IF(B211&lt;=_xlfn.NUMBERVALUE('ZD Vorerfassung'!$D$22:$D$36),1,0)*'ZD Vorerfassung'!$S$22:$S$36),
IF(OR(D211="SF",D211="FH"),SUM(IF(B211&gt;=_xlfn.NUMBERVALUE('ZD Vorerfassung'!$C$22:$C$36),1,0)*IF(B211&lt;=_xlfn.NUMBERVALUE('ZD Vorerfassung'!$D$22:$D$36),1,0)*'ZD Vorerfassung'!$T$22:$T$36*IF(D211="FH",0.5,1)),
"prüfen")))</f>
        <v>0</v>
      </c>
      <c r="BA211" s="112">
        <f t="shared" si="44"/>
        <v>2</v>
      </c>
    </row>
    <row r="212" spans="2:53" ht="19.5" thickTop="1" thickBot="1" x14ac:dyDescent="0.3">
      <c r="B212" s="99">
        <f t="shared" si="41"/>
        <v>44977</v>
      </c>
      <c r="C212" s="100">
        <f t="shared" si="45"/>
        <v>44977</v>
      </c>
      <c r="D212" s="101" t="str">
        <f t="shared" si="46"/>
        <v>WE</v>
      </c>
      <c r="E212" s="102" t="str">
        <f t="shared" si="42"/>
        <v>Wochenende</v>
      </c>
      <c r="F212" s="103" t="str">
        <f t="shared" si="47"/>
        <v/>
      </c>
      <c r="G212" s="104" t="str">
        <f t="shared" si="48"/>
        <v/>
      </c>
      <c r="H212" s="104">
        <f>IFERROR(IF('ZD Vorerfassung'!$E$11="manuell",SUM(I212),IF(OR(E212="Feiertag",E212="Wochenende"),0,IF('ZD Vorerfassung'!$E$11="automatisch",AX212,IF(D212="UU","UU",IF(E212=Param2,AX212/24,IF(E212=Param9,AX212/48,"")))))),0)</f>
        <v>0</v>
      </c>
      <c r="I212" s="105"/>
      <c r="J212" s="106">
        <f>IF('ZD Vorerfassung'!$E$12="manuell",SUM(K212:AI212),IF(OR(E212="Feiertag",E212="Wochenende"),0,IF('ZD Vorerfassung'!$E$12="automatisch",AY212,IF(D212="UU","UU",IF(E212=Param2,AY212/24,IF(E212=Param9,AY212/48,""))))))</f>
        <v>0</v>
      </c>
      <c r="K212" s="105"/>
      <c r="L212" s="105"/>
      <c r="M212" s="105"/>
      <c r="N212" s="105"/>
      <c r="O212" s="105"/>
      <c r="P212" s="105"/>
      <c r="Q212" s="105"/>
      <c r="R212" s="105"/>
      <c r="S212" s="105"/>
      <c r="T212" s="105"/>
      <c r="U212" s="105"/>
      <c r="V212" s="105"/>
      <c r="W212" s="105"/>
      <c r="X212" s="105"/>
      <c r="Y212" s="105"/>
      <c r="Z212" s="105"/>
      <c r="AA212" s="105"/>
      <c r="AB212" s="105"/>
      <c r="AC212" s="105"/>
      <c r="AD212" s="105"/>
      <c r="AE212" s="105"/>
      <c r="AF212" s="105"/>
      <c r="AG212" s="105"/>
      <c r="AH212" s="105"/>
      <c r="AI212" s="105"/>
      <c r="AJ212" s="107">
        <f t="shared" si="49"/>
        <v>0</v>
      </c>
      <c r="AK212" s="105"/>
      <c r="AL212" s="105"/>
      <c r="AM212" s="105"/>
      <c r="AN212" s="105"/>
      <c r="AO212" s="105"/>
      <c r="AP212" s="105"/>
      <c r="AQ212" s="108">
        <f t="shared" si="50"/>
        <v>0</v>
      </c>
      <c r="AR212" s="108">
        <f t="shared" si="51"/>
        <v>0</v>
      </c>
      <c r="AS212" s="109">
        <f t="shared" si="52"/>
        <v>0</v>
      </c>
      <c r="AU212" s="110">
        <f t="shared" si="43"/>
        <v>0</v>
      </c>
      <c r="AV212" s="111" t="str">
        <f>IF(D212="NR",
IF('ZD Vorerfassung'!$E$22="",0,IF(AND(B212&gt;='ZD Vorerfassung'!$C$22,B212&lt;='ZD Vorerfassung'!$D$22),HLOOKUP(TEXT(C212,"ttt"),'ZD Vorerfassung'!$H$21:$L$36,2,0),0))+
IF('ZD Vorerfassung'!$E$23="",0,IF(AND(B212&gt;='ZD Vorerfassung'!$C$23,B212&lt;='ZD Vorerfassung'!$D$23),HLOOKUP(TEXT(C212,"ttt"),'ZD Vorerfassung'!$H$21:$L$36,3,0),0))+
IF('ZD Vorerfassung'!$E$24="",0,IF(AND(B212&gt;='ZD Vorerfassung'!$C$24,B212&lt;='ZD Vorerfassung'!$D$24),HLOOKUP(TEXT(C212,"ttt"),'ZD Vorerfassung'!$H$21:$L$36,4,0),0))+
IF('ZD Vorerfassung'!$E$25="",0,IF(AND(B212&gt;='ZD Vorerfassung'!$C$25,B212&lt;='ZD Vorerfassung'!$D$25),HLOOKUP(TEXT(C212,"ttt"),'ZD Vorerfassung'!$H$21:$L$36,5,0),0))+
IF('ZD Vorerfassung'!$E$26="",0,IF(AND(B212&gt;='ZD Vorerfassung'!$C$26,B212&lt;='ZD Vorerfassung'!$D$26),HLOOKUP(TEXT(C212,"ttt"),'ZD Vorerfassung'!$H$21:$L$36,6,0),0))+
IF('ZD Vorerfassung'!$E$27="",0,IF(AND(B212&gt;='ZD Vorerfassung'!$C$27,B212&lt;='ZD Vorerfassung'!$D$27),HLOOKUP(TEXT(C212,"ttt"),'ZD Vorerfassung'!$H$21:$L$36,7,0),0))+
IF('ZD Vorerfassung'!$E$28="",0,IF(AND(B212&gt;='ZD Vorerfassung'!$C$28,B212&lt;='ZD Vorerfassung'!$D$28),HLOOKUP(TEXT(C212,"ttt"),'ZD Vorerfassung'!$H$21:$L$36,8,0),0))+
IF('ZD Vorerfassung'!$E$29="",0,IF(AND(B212&gt;='ZD Vorerfassung'!$C$29,B212&lt;='ZD Vorerfassung'!$D$29),HLOOKUP(TEXT(C212,"ttt"),'ZD Vorerfassung'!$H$21:$L$36,9,0),0))+
IF('ZD Vorerfassung'!$E$30="",0,IF(AND(B212&gt;='ZD Vorerfassung'!$C$30,B212&lt;='ZD Vorerfassung'!$D$30),HLOOKUP(TEXT(C212,"ttt"),'ZD Vorerfassung'!$H$21:$L$36,10,0),0))+
IF('ZD Vorerfassung'!$E$31="",0,IF(AND(B212&gt;='ZD Vorerfassung'!$C$31,B212&lt;='ZD Vorerfassung'!$D$31),HLOOKUP(TEXT(C212,"ttt"),'ZD Vorerfassung'!$H$21:$L$36,11,0),0))+
IF('ZD Vorerfassung'!$E$32="",0,IF(AND(B212&gt;='ZD Vorerfassung'!$C$32,B212&lt;='ZD Vorerfassung'!$D$32),HLOOKUP(TEXT(C212,"ttt"),'ZD Vorerfassung'!$H$21:$L$36,12,0),0))+
IF('ZD Vorerfassung'!$E$33="",0,IF(AND(B212&gt;='ZD Vorerfassung'!$C$33,B212&lt;='ZD Vorerfassung'!$D$33),HLOOKUP(TEXT(C212,"ttt"),'ZD Vorerfassung'!$H$21:$L$36,13,0),0))+
IF('ZD Vorerfassung'!$E$34="",0,IF(AND(B212&gt;='ZD Vorerfassung'!$C$34,B212&lt;='ZD Vorerfassung'!$D$34),HLOOKUP(TEXT(C212,"ttt"),'ZD Vorerfassung'!$H$21:$L$36,14,0),0))+
IF('ZD Vorerfassung'!$E$35="",0,IF(AND(B212&gt;='ZD Vorerfassung'!$C$35,B212&lt;='ZD Vorerfassung'!$D$35),HLOOKUP(TEXT(C212,"ttt"),'ZD Vorerfassung'!$H$21:$L$36,15,0),0))+
IF('ZD Vorerfassung'!$E$36="",0,IF(AND(B212&gt;='ZD Vorerfassung'!$C$36,B212&lt;='ZD Vorerfassung'!$D$36),HLOOKUP(TEXT(C212,"ttt"),'ZD Vorerfassung'!$H$21:$L$36,16,0),0)),"")</f>
        <v/>
      </c>
      <c r="AW212" s="110">
        <f t="array" ref="AW212">IF(OR(D212="UU",D212="FT",D212="WE"),0,
IF(D212="NR",SUM(IF(B212&gt;=_xlfn.NUMBERVALUE('ZD Vorerfassung'!$C$22:$C$36),1,0)*IF(B212&lt;=_xlfn.NUMBERVALUE('ZD Vorerfassung'!$D$22:$D$36),1,0)*'ZD Vorerfassung'!$Q$22:$Q$36),
IF(OR(D212="SF",D212="FH"),SUM(IF(B212&gt;=_xlfn.NUMBERVALUE('ZD Vorerfassung'!$C$22:$C$36),1,0)*IF(B212&lt;=_xlfn.NUMBERVALUE('ZD Vorerfassung'!$D$22:$D$36),1,0)*'ZD Vorerfassung'!$R$22:$R$36*IF(D212="FH",0.5,1)),
"prüfen")))</f>
        <v>0</v>
      </c>
      <c r="AX212" s="110">
        <f t="array" ref="AX212">IF(OR(D212="UU",D212="FT",D212="WE",E212="Ferien"),0,
IF(D212="NR",SUM(IF(B212&gt;=_xlfn.NUMBERVALUE('ZD Vorerfassung'!$C$22:$C$36),1,0)*IF(B212&lt;=_xlfn.NUMBERVALUE('ZD Vorerfassung'!$D$22:$D$36),1,0)*'ZD Vorerfassung'!$W$22:$W$36),
IF(OR(D212="SF",D212="FH"),SUM(IF(B212&gt;=_xlfn.NUMBERVALUE('ZD Vorerfassung'!$C$22:$C$36),1,0)*IF(B212&lt;=_xlfn.NUMBERVALUE('ZD Vorerfassung'!$D$22:$D$36),1,0)*'ZD Vorerfassung'!$X$22:$X$36*IF(D212="FH",0.5,1)),
"prüfen")))</f>
        <v>0</v>
      </c>
      <c r="AY212" s="110">
        <f t="array" ref="AY212">IF(OR(D212="UU",D212="FT",D212="WE",E212="Ferien"),0,
IF(D212="NR",SUM(IF(B212&gt;=_xlfn.NUMBERVALUE('ZD Vorerfassung'!$C$22:$C$36),1,0)*IF(B212&lt;=_xlfn.NUMBERVALUE('ZD Vorerfassung'!$D$22:$D$36),1,0)*'ZD Vorerfassung'!$U$22:$U$36),
IF(OR(D212="SF",D212="FH"),SUM(IF(B212&gt;=_xlfn.NUMBERVALUE('ZD Vorerfassung'!$C$22:$C$36),1,0)*IF(B212&lt;=_xlfn.NUMBERVALUE('ZD Vorerfassung'!$D$22:$D$36),1,0)*'ZD Vorerfassung'!$V$22:$V$36*IF(D212="FH",0.5,1)),
"prüfen")))</f>
        <v>0</v>
      </c>
      <c r="AZ212" s="110">
        <f t="array" ref="AZ212">IF(OR(D212="UU",D212="FT",D212="WE",E212="Ferien"),0,
IF(D212="NR",SUM(IF(B212&gt;=_xlfn.NUMBERVALUE('ZD Vorerfassung'!$C$22:$C$36),1,0)*IF(B212&lt;=_xlfn.NUMBERVALUE('ZD Vorerfassung'!$D$22:$D$36),1,0)*'ZD Vorerfassung'!$S$22:$S$36),
IF(OR(D212="SF",D212="FH"),SUM(IF(B212&gt;=_xlfn.NUMBERVALUE('ZD Vorerfassung'!$C$22:$C$36),1,0)*IF(B212&lt;=_xlfn.NUMBERVALUE('ZD Vorerfassung'!$D$22:$D$36),1,0)*'ZD Vorerfassung'!$T$22:$T$36*IF(D212="FH",0.5,1)),
"prüfen")))</f>
        <v>0</v>
      </c>
      <c r="BA212" s="112">
        <f t="shared" si="44"/>
        <v>2</v>
      </c>
    </row>
    <row r="213" spans="2:53" ht="19.5" thickTop="1" thickBot="1" x14ac:dyDescent="0.3">
      <c r="B213" s="99">
        <f t="shared" si="41"/>
        <v>44978</v>
      </c>
      <c r="C213" s="100">
        <f t="shared" si="45"/>
        <v>44978</v>
      </c>
      <c r="D213" s="101" t="str">
        <f t="shared" si="46"/>
        <v>NR</v>
      </c>
      <c r="E213" s="102" t="str">
        <f t="shared" si="42"/>
        <v>Unterrichtstag</v>
      </c>
      <c r="F213" s="103">
        <f t="shared" si="47"/>
        <v>0</v>
      </c>
      <c r="G213" s="104">
        <f t="shared" si="48"/>
        <v>0</v>
      </c>
      <c r="H213" s="104">
        <f>IFERROR(IF('ZD Vorerfassung'!$E$11="manuell",SUM(I213),IF(OR(E213="Feiertag",E213="Wochenende"),0,IF('ZD Vorerfassung'!$E$11="automatisch",AX213,IF(D213="UU","UU",IF(E213=Param2,AX213/24,IF(E213=Param9,AX213/48,"")))))),0)</f>
        <v>0</v>
      </c>
      <c r="I213" s="105"/>
      <c r="J213" s="106">
        <f>IF('ZD Vorerfassung'!$E$12="manuell",SUM(K213:AI213),IF(OR(E213="Feiertag",E213="Wochenende"),0,IF('ZD Vorerfassung'!$E$12="automatisch",AY213,IF(D213="UU","UU",IF(E213=Param2,AY213/24,IF(E213=Param9,AY213/48,""))))))</f>
        <v>0</v>
      </c>
      <c r="K213" s="105"/>
      <c r="L213" s="105"/>
      <c r="M213" s="105"/>
      <c r="N213" s="105"/>
      <c r="O213" s="105"/>
      <c r="P213" s="105"/>
      <c r="Q213" s="105"/>
      <c r="R213" s="105"/>
      <c r="S213" s="105"/>
      <c r="T213" s="105"/>
      <c r="U213" s="105"/>
      <c r="V213" s="105"/>
      <c r="W213" s="105"/>
      <c r="X213" s="105"/>
      <c r="Y213" s="105"/>
      <c r="Z213" s="105"/>
      <c r="AA213" s="105"/>
      <c r="AB213" s="105"/>
      <c r="AC213" s="105"/>
      <c r="AD213" s="105"/>
      <c r="AE213" s="105"/>
      <c r="AF213" s="105"/>
      <c r="AG213" s="105"/>
      <c r="AH213" s="105"/>
      <c r="AI213" s="105"/>
      <c r="AJ213" s="107">
        <f t="shared" si="49"/>
        <v>0</v>
      </c>
      <c r="AK213" s="105"/>
      <c r="AL213" s="105"/>
      <c r="AM213" s="105"/>
      <c r="AN213" s="105"/>
      <c r="AO213" s="105"/>
      <c r="AP213" s="105"/>
      <c r="AQ213" s="108">
        <f t="shared" si="50"/>
        <v>0</v>
      </c>
      <c r="AR213" s="108">
        <f t="shared" si="51"/>
        <v>0</v>
      </c>
      <c r="AS213" s="109">
        <f t="shared" si="52"/>
        <v>0</v>
      </c>
      <c r="AU213" s="110">
        <f t="shared" si="43"/>
        <v>0</v>
      </c>
      <c r="AV213" s="111">
        <f>IF(D213="NR",
IF('ZD Vorerfassung'!$E$22="",0,IF(AND(B213&gt;='ZD Vorerfassung'!$C$22,B213&lt;='ZD Vorerfassung'!$D$22),HLOOKUP(TEXT(C213,"ttt"),'ZD Vorerfassung'!$H$21:$L$36,2,0),0))+
IF('ZD Vorerfassung'!$E$23="",0,IF(AND(B213&gt;='ZD Vorerfassung'!$C$23,B213&lt;='ZD Vorerfassung'!$D$23),HLOOKUP(TEXT(C213,"ttt"),'ZD Vorerfassung'!$H$21:$L$36,3,0),0))+
IF('ZD Vorerfassung'!$E$24="",0,IF(AND(B213&gt;='ZD Vorerfassung'!$C$24,B213&lt;='ZD Vorerfassung'!$D$24),HLOOKUP(TEXT(C213,"ttt"),'ZD Vorerfassung'!$H$21:$L$36,4,0),0))+
IF('ZD Vorerfassung'!$E$25="",0,IF(AND(B213&gt;='ZD Vorerfassung'!$C$25,B213&lt;='ZD Vorerfassung'!$D$25),HLOOKUP(TEXT(C213,"ttt"),'ZD Vorerfassung'!$H$21:$L$36,5,0),0))+
IF('ZD Vorerfassung'!$E$26="",0,IF(AND(B213&gt;='ZD Vorerfassung'!$C$26,B213&lt;='ZD Vorerfassung'!$D$26),HLOOKUP(TEXT(C213,"ttt"),'ZD Vorerfassung'!$H$21:$L$36,6,0),0))+
IF('ZD Vorerfassung'!$E$27="",0,IF(AND(B213&gt;='ZD Vorerfassung'!$C$27,B213&lt;='ZD Vorerfassung'!$D$27),HLOOKUP(TEXT(C213,"ttt"),'ZD Vorerfassung'!$H$21:$L$36,7,0),0))+
IF('ZD Vorerfassung'!$E$28="",0,IF(AND(B213&gt;='ZD Vorerfassung'!$C$28,B213&lt;='ZD Vorerfassung'!$D$28),HLOOKUP(TEXT(C213,"ttt"),'ZD Vorerfassung'!$H$21:$L$36,8,0),0))+
IF('ZD Vorerfassung'!$E$29="",0,IF(AND(B213&gt;='ZD Vorerfassung'!$C$29,B213&lt;='ZD Vorerfassung'!$D$29),HLOOKUP(TEXT(C213,"ttt"),'ZD Vorerfassung'!$H$21:$L$36,9,0),0))+
IF('ZD Vorerfassung'!$E$30="",0,IF(AND(B213&gt;='ZD Vorerfassung'!$C$30,B213&lt;='ZD Vorerfassung'!$D$30),HLOOKUP(TEXT(C213,"ttt"),'ZD Vorerfassung'!$H$21:$L$36,10,0),0))+
IF('ZD Vorerfassung'!$E$31="",0,IF(AND(B213&gt;='ZD Vorerfassung'!$C$31,B213&lt;='ZD Vorerfassung'!$D$31),HLOOKUP(TEXT(C213,"ttt"),'ZD Vorerfassung'!$H$21:$L$36,11,0),0))+
IF('ZD Vorerfassung'!$E$32="",0,IF(AND(B213&gt;='ZD Vorerfassung'!$C$32,B213&lt;='ZD Vorerfassung'!$D$32),HLOOKUP(TEXT(C213,"ttt"),'ZD Vorerfassung'!$H$21:$L$36,12,0),0))+
IF('ZD Vorerfassung'!$E$33="",0,IF(AND(B213&gt;='ZD Vorerfassung'!$C$33,B213&lt;='ZD Vorerfassung'!$D$33),HLOOKUP(TEXT(C213,"ttt"),'ZD Vorerfassung'!$H$21:$L$36,13,0),0))+
IF('ZD Vorerfassung'!$E$34="",0,IF(AND(B213&gt;='ZD Vorerfassung'!$C$34,B213&lt;='ZD Vorerfassung'!$D$34),HLOOKUP(TEXT(C213,"ttt"),'ZD Vorerfassung'!$H$21:$L$36,14,0),0))+
IF('ZD Vorerfassung'!$E$35="",0,IF(AND(B213&gt;='ZD Vorerfassung'!$C$35,B213&lt;='ZD Vorerfassung'!$D$35),HLOOKUP(TEXT(C213,"ttt"),'ZD Vorerfassung'!$H$21:$L$36,15,0),0))+
IF('ZD Vorerfassung'!$E$36="",0,IF(AND(B213&gt;='ZD Vorerfassung'!$C$36,B213&lt;='ZD Vorerfassung'!$D$36),HLOOKUP(TEXT(C213,"ttt"),'ZD Vorerfassung'!$H$21:$L$36,16,0),0)),"")</f>
        <v>0</v>
      </c>
      <c r="AW213" s="110">
        <f t="array" ref="AW213">IF(OR(D213="UU",D213="FT",D213="WE"),0,
IF(D213="NR",SUM(IF(B213&gt;=_xlfn.NUMBERVALUE('ZD Vorerfassung'!$C$22:$C$36),1,0)*IF(B213&lt;=_xlfn.NUMBERVALUE('ZD Vorerfassung'!$D$22:$D$36),1,0)*'ZD Vorerfassung'!$Q$22:$Q$36),
IF(OR(D213="SF",D213="FH"),SUM(IF(B213&gt;=_xlfn.NUMBERVALUE('ZD Vorerfassung'!$C$22:$C$36),1,0)*IF(B213&lt;=_xlfn.NUMBERVALUE('ZD Vorerfassung'!$D$22:$D$36),1,0)*'ZD Vorerfassung'!$R$22:$R$36*IF(D213="FH",0.5,1)),
"prüfen")))</f>
        <v>0</v>
      </c>
      <c r="AX213" s="110">
        <f t="array" ref="AX213">IF(OR(D213="UU",D213="FT",D213="WE",E213="Ferien"),0,
IF(D213="NR",SUM(IF(B213&gt;=_xlfn.NUMBERVALUE('ZD Vorerfassung'!$C$22:$C$36),1,0)*IF(B213&lt;=_xlfn.NUMBERVALUE('ZD Vorerfassung'!$D$22:$D$36),1,0)*'ZD Vorerfassung'!$W$22:$W$36),
IF(OR(D213="SF",D213="FH"),SUM(IF(B213&gt;=_xlfn.NUMBERVALUE('ZD Vorerfassung'!$C$22:$C$36),1,0)*IF(B213&lt;=_xlfn.NUMBERVALUE('ZD Vorerfassung'!$D$22:$D$36),1,0)*'ZD Vorerfassung'!$X$22:$X$36*IF(D213="FH",0.5,1)),
"prüfen")))</f>
        <v>0</v>
      </c>
      <c r="AY213" s="110">
        <f t="array" ref="AY213">IF(OR(D213="UU",D213="FT",D213="WE",E213="Ferien"),0,
IF(D213="NR",SUM(IF(B213&gt;=_xlfn.NUMBERVALUE('ZD Vorerfassung'!$C$22:$C$36),1,0)*IF(B213&lt;=_xlfn.NUMBERVALUE('ZD Vorerfassung'!$D$22:$D$36),1,0)*'ZD Vorerfassung'!$U$22:$U$36),
IF(OR(D213="SF",D213="FH"),SUM(IF(B213&gt;=_xlfn.NUMBERVALUE('ZD Vorerfassung'!$C$22:$C$36),1,0)*IF(B213&lt;=_xlfn.NUMBERVALUE('ZD Vorerfassung'!$D$22:$D$36),1,0)*'ZD Vorerfassung'!$V$22:$V$36*IF(D213="FH",0.5,1)),
"prüfen")))</f>
        <v>0</v>
      </c>
      <c r="AZ213" s="110">
        <f t="array" ref="AZ213">IF(OR(D213="UU",D213="FT",D213="WE",E213="Ferien"),0,
IF(D213="NR",SUM(IF(B213&gt;=_xlfn.NUMBERVALUE('ZD Vorerfassung'!$C$22:$C$36),1,0)*IF(B213&lt;=_xlfn.NUMBERVALUE('ZD Vorerfassung'!$D$22:$D$36),1,0)*'ZD Vorerfassung'!$S$22:$S$36),
IF(OR(D213="SF",D213="FH"),SUM(IF(B213&gt;=_xlfn.NUMBERVALUE('ZD Vorerfassung'!$C$22:$C$36),1,0)*IF(B213&lt;=_xlfn.NUMBERVALUE('ZD Vorerfassung'!$D$22:$D$36),1,0)*'ZD Vorerfassung'!$T$22:$T$36*IF(D213="FH",0.5,1)),
"prüfen")))</f>
        <v>0</v>
      </c>
      <c r="BA213" s="112">
        <f t="shared" si="44"/>
        <v>2</v>
      </c>
    </row>
    <row r="214" spans="2:53" ht="19.5" thickTop="1" thickBot="1" x14ac:dyDescent="0.3">
      <c r="B214" s="99">
        <f t="shared" si="41"/>
        <v>44979</v>
      </c>
      <c r="C214" s="100">
        <f t="shared" si="45"/>
        <v>44979</v>
      </c>
      <c r="D214" s="101" t="str">
        <f t="shared" si="46"/>
        <v>NR</v>
      </c>
      <c r="E214" s="102" t="str">
        <f t="shared" si="42"/>
        <v>Unterrichtstag</v>
      </c>
      <c r="F214" s="103">
        <f t="shared" si="47"/>
        <v>0</v>
      </c>
      <c r="G214" s="104">
        <f t="shared" si="48"/>
        <v>0</v>
      </c>
      <c r="H214" s="104">
        <f>IFERROR(IF('ZD Vorerfassung'!$E$11="manuell",SUM(I214),IF(OR(E214="Feiertag",E214="Wochenende"),0,IF('ZD Vorerfassung'!$E$11="automatisch",AX214,IF(D214="UU","UU",IF(E214=Param2,AX214/24,IF(E214=Param9,AX214/48,"")))))),0)</f>
        <v>0</v>
      </c>
      <c r="I214" s="105"/>
      <c r="J214" s="106">
        <f>IF('ZD Vorerfassung'!$E$12="manuell",SUM(K214:AI214),IF(OR(E214="Feiertag",E214="Wochenende"),0,IF('ZD Vorerfassung'!$E$12="automatisch",AY214,IF(D214="UU","UU",IF(E214=Param2,AY214/24,IF(E214=Param9,AY214/48,""))))))</f>
        <v>0</v>
      </c>
      <c r="K214" s="105"/>
      <c r="L214" s="105"/>
      <c r="M214" s="105"/>
      <c r="N214" s="105"/>
      <c r="O214" s="105"/>
      <c r="P214" s="105"/>
      <c r="Q214" s="105"/>
      <c r="R214" s="105"/>
      <c r="S214" s="105"/>
      <c r="T214" s="105"/>
      <c r="U214" s="105"/>
      <c r="V214" s="105"/>
      <c r="W214" s="105"/>
      <c r="X214" s="105"/>
      <c r="Y214" s="105"/>
      <c r="Z214" s="105"/>
      <c r="AA214" s="105"/>
      <c r="AB214" s="105"/>
      <c r="AC214" s="105"/>
      <c r="AD214" s="105"/>
      <c r="AE214" s="105"/>
      <c r="AF214" s="105"/>
      <c r="AG214" s="105"/>
      <c r="AH214" s="105"/>
      <c r="AI214" s="105"/>
      <c r="AJ214" s="107">
        <f t="shared" si="49"/>
        <v>0</v>
      </c>
      <c r="AK214" s="105"/>
      <c r="AL214" s="105"/>
      <c r="AM214" s="105"/>
      <c r="AN214" s="105"/>
      <c r="AO214" s="105"/>
      <c r="AP214" s="105"/>
      <c r="AQ214" s="108">
        <f t="shared" si="50"/>
        <v>0</v>
      </c>
      <c r="AR214" s="108">
        <f t="shared" si="51"/>
        <v>0</v>
      </c>
      <c r="AS214" s="109">
        <f t="shared" si="52"/>
        <v>0</v>
      </c>
      <c r="AU214" s="110">
        <f t="shared" si="43"/>
        <v>0</v>
      </c>
      <c r="AV214" s="111">
        <f>IF(D214="NR",
IF('ZD Vorerfassung'!$E$22="",0,IF(AND(B214&gt;='ZD Vorerfassung'!$C$22,B214&lt;='ZD Vorerfassung'!$D$22),HLOOKUP(TEXT(C214,"ttt"),'ZD Vorerfassung'!$H$21:$L$36,2,0),0))+
IF('ZD Vorerfassung'!$E$23="",0,IF(AND(B214&gt;='ZD Vorerfassung'!$C$23,B214&lt;='ZD Vorerfassung'!$D$23),HLOOKUP(TEXT(C214,"ttt"),'ZD Vorerfassung'!$H$21:$L$36,3,0),0))+
IF('ZD Vorerfassung'!$E$24="",0,IF(AND(B214&gt;='ZD Vorerfassung'!$C$24,B214&lt;='ZD Vorerfassung'!$D$24),HLOOKUP(TEXT(C214,"ttt"),'ZD Vorerfassung'!$H$21:$L$36,4,0),0))+
IF('ZD Vorerfassung'!$E$25="",0,IF(AND(B214&gt;='ZD Vorerfassung'!$C$25,B214&lt;='ZD Vorerfassung'!$D$25),HLOOKUP(TEXT(C214,"ttt"),'ZD Vorerfassung'!$H$21:$L$36,5,0),0))+
IF('ZD Vorerfassung'!$E$26="",0,IF(AND(B214&gt;='ZD Vorerfassung'!$C$26,B214&lt;='ZD Vorerfassung'!$D$26),HLOOKUP(TEXT(C214,"ttt"),'ZD Vorerfassung'!$H$21:$L$36,6,0),0))+
IF('ZD Vorerfassung'!$E$27="",0,IF(AND(B214&gt;='ZD Vorerfassung'!$C$27,B214&lt;='ZD Vorerfassung'!$D$27),HLOOKUP(TEXT(C214,"ttt"),'ZD Vorerfassung'!$H$21:$L$36,7,0),0))+
IF('ZD Vorerfassung'!$E$28="",0,IF(AND(B214&gt;='ZD Vorerfassung'!$C$28,B214&lt;='ZD Vorerfassung'!$D$28),HLOOKUP(TEXT(C214,"ttt"),'ZD Vorerfassung'!$H$21:$L$36,8,0),0))+
IF('ZD Vorerfassung'!$E$29="",0,IF(AND(B214&gt;='ZD Vorerfassung'!$C$29,B214&lt;='ZD Vorerfassung'!$D$29),HLOOKUP(TEXT(C214,"ttt"),'ZD Vorerfassung'!$H$21:$L$36,9,0),0))+
IF('ZD Vorerfassung'!$E$30="",0,IF(AND(B214&gt;='ZD Vorerfassung'!$C$30,B214&lt;='ZD Vorerfassung'!$D$30),HLOOKUP(TEXT(C214,"ttt"),'ZD Vorerfassung'!$H$21:$L$36,10,0),0))+
IF('ZD Vorerfassung'!$E$31="",0,IF(AND(B214&gt;='ZD Vorerfassung'!$C$31,B214&lt;='ZD Vorerfassung'!$D$31),HLOOKUP(TEXT(C214,"ttt"),'ZD Vorerfassung'!$H$21:$L$36,11,0),0))+
IF('ZD Vorerfassung'!$E$32="",0,IF(AND(B214&gt;='ZD Vorerfassung'!$C$32,B214&lt;='ZD Vorerfassung'!$D$32),HLOOKUP(TEXT(C214,"ttt"),'ZD Vorerfassung'!$H$21:$L$36,12,0),0))+
IF('ZD Vorerfassung'!$E$33="",0,IF(AND(B214&gt;='ZD Vorerfassung'!$C$33,B214&lt;='ZD Vorerfassung'!$D$33),HLOOKUP(TEXT(C214,"ttt"),'ZD Vorerfassung'!$H$21:$L$36,13,0),0))+
IF('ZD Vorerfassung'!$E$34="",0,IF(AND(B214&gt;='ZD Vorerfassung'!$C$34,B214&lt;='ZD Vorerfassung'!$D$34),HLOOKUP(TEXT(C214,"ttt"),'ZD Vorerfassung'!$H$21:$L$36,14,0),0))+
IF('ZD Vorerfassung'!$E$35="",0,IF(AND(B214&gt;='ZD Vorerfassung'!$C$35,B214&lt;='ZD Vorerfassung'!$D$35),HLOOKUP(TEXT(C214,"ttt"),'ZD Vorerfassung'!$H$21:$L$36,15,0),0))+
IF('ZD Vorerfassung'!$E$36="",0,IF(AND(B214&gt;='ZD Vorerfassung'!$C$36,B214&lt;='ZD Vorerfassung'!$D$36),HLOOKUP(TEXT(C214,"ttt"),'ZD Vorerfassung'!$H$21:$L$36,16,0),0)),"")</f>
        <v>0</v>
      </c>
      <c r="AW214" s="110">
        <f t="array" ref="AW214">IF(OR(D214="UU",D214="FT",D214="WE"),0,
IF(D214="NR",SUM(IF(B214&gt;=_xlfn.NUMBERVALUE('ZD Vorerfassung'!$C$22:$C$36),1,0)*IF(B214&lt;=_xlfn.NUMBERVALUE('ZD Vorerfassung'!$D$22:$D$36),1,0)*'ZD Vorerfassung'!$Q$22:$Q$36),
IF(OR(D214="SF",D214="FH"),SUM(IF(B214&gt;=_xlfn.NUMBERVALUE('ZD Vorerfassung'!$C$22:$C$36),1,0)*IF(B214&lt;=_xlfn.NUMBERVALUE('ZD Vorerfassung'!$D$22:$D$36),1,0)*'ZD Vorerfassung'!$R$22:$R$36*IF(D214="FH",0.5,1)),
"prüfen")))</f>
        <v>0</v>
      </c>
      <c r="AX214" s="110">
        <f t="array" ref="AX214">IF(OR(D214="UU",D214="FT",D214="WE",E214="Ferien"),0,
IF(D214="NR",SUM(IF(B214&gt;=_xlfn.NUMBERVALUE('ZD Vorerfassung'!$C$22:$C$36),1,0)*IF(B214&lt;=_xlfn.NUMBERVALUE('ZD Vorerfassung'!$D$22:$D$36),1,0)*'ZD Vorerfassung'!$W$22:$W$36),
IF(OR(D214="SF",D214="FH"),SUM(IF(B214&gt;=_xlfn.NUMBERVALUE('ZD Vorerfassung'!$C$22:$C$36),1,0)*IF(B214&lt;=_xlfn.NUMBERVALUE('ZD Vorerfassung'!$D$22:$D$36),1,0)*'ZD Vorerfassung'!$X$22:$X$36*IF(D214="FH",0.5,1)),
"prüfen")))</f>
        <v>0</v>
      </c>
      <c r="AY214" s="110">
        <f t="array" ref="AY214">IF(OR(D214="UU",D214="FT",D214="WE",E214="Ferien"),0,
IF(D214="NR",SUM(IF(B214&gt;=_xlfn.NUMBERVALUE('ZD Vorerfassung'!$C$22:$C$36),1,0)*IF(B214&lt;=_xlfn.NUMBERVALUE('ZD Vorerfassung'!$D$22:$D$36),1,0)*'ZD Vorerfassung'!$U$22:$U$36),
IF(OR(D214="SF",D214="FH"),SUM(IF(B214&gt;=_xlfn.NUMBERVALUE('ZD Vorerfassung'!$C$22:$C$36),1,0)*IF(B214&lt;=_xlfn.NUMBERVALUE('ZD Vorerfassung'!$D$22:$D$36),1,0)*'ZD Vorerfassung'!$V$22:$V$36*IF(D214="FH",0.5,1)),
"prüfen")))</f>
        <v>0</v>
      </c>
      <c r="AZ214" s="110">
        <f t="array" ref="AZ214">IF(OR(D214="UU",D214="FT",D214="WE",E214="Ferien"),0,
IF(D214="NR",SUM(IF(B214&gt;=_xlfn.NUMBERVALUE('ZD Vorerfassung'!$C$22:$C$36),1,0)*IF(B214&lt;=_xlfn.NUMBERVALUE('ZD Vorerfassung'!$D$22:$D$36),1,0)*'ZD Vorerfassung'!$S$22:$S$36),
IF(OR(D214="SF",D214="FH"),SUM(IF(B214&gt;=_xlfn.NUMBERVALUE('ZD Vorerfassung'!$C$22:$C$36),1,0)*IF(B214&lt;=_xlfn.NUMBERVALUE('ZD Vorerfassung'!$D$22:$D$36),1,0)*'ZD Vorerfassung'!$T$22:$T$36*IF(D214="FH",0.5,1)),
"prüfen")))</f>
        <v>0</v>
      </c>
      <c r="BA214" s="112">
        <f t="shared" si="44"/>
        <v>2</v>
      </c>
    </row>
    <row r="215" spans="2:53" ht="19.5" thickTop="1" thickBot="1" x14ac:dyDescent="0.3">
      <c r="B215" s="99">
        <f t="shared" si="41"/>
        <v>44980</v>
      </c>
      <c r="C215" s="100">
        <f t="shared" si="45"/>
        <v>44980</v>
      </c>
      <c r="D215" s="101" t="str">
        <f t="shared" si="46"/>
        <v>NR</v>
      </c>
      <c r="E215" s="102" t="str">
        <f t="shared" si="42"/>
        <v>Unterrichtstag</v>
      </c>
      <c r="F215" s="103">
        <f t="shared" si="47"/>
        <v>0</v>
      </c>
      <c r="G215" s="104">
        <f t="shared" si="48"/>
        <v>0</v>
      </c>
      <c r="H215" s="104">
        <f>IFERROR(IF('ZD Vorerfassung'!$E$11="manuell",SUM(I215),IF(OR(E215="Feiertag",E215="Wochenende"),0,IF('ZD Vorerfassung'!$E$11="automatisch",AX215,IF(D215="UU","UU",IF(E215=Param2,AX215/24,IF(E215=Param9,AX215/48,"")))))),0)</f>
        <v>0</v>
      </c>
      <c r="I215" s="105"/>
      <c r="J215" s="106">
        <f>IF('ZD Vorerfassung'!$E$12="manuell",SUM(K215:AI215),IF(OR(E215="Feiertag",E215="Wochenende"),0,IF('ZD Vorerfassung'!$E$12="automatisch",AY215,IF(D215="UU","UU",IF(E215=Param2,AY215/24,IF(E215=Param9,AY215/48,""))))))</f>
        <v>0</v>
      </c>
      <c r="K215" s="105"/>
      <c r="L215" s="105"/>
      <c r="M215" s="105"/>
      <c r="N215" s="105"/>
      <c r="O215" s="105"/>
      <c r="P215" s="105"/>
      <c r="Q215" s="105"/>
      <c r="R215" s="105"/>
      <c r="S215" s="105"/>
      <c r="T215" s="105"/>
      <c r="U215" s="105"/>
      <c r="V215" s="105"/>
      <c r="W215" s="105"/>
      <c r="X215" s="105"/>
      <c r="Y215" s="105"/>
      <c r="Z215" s="105"/>
      <c r="AA215" s="105"/>
      <c r="AB215" s="105"/>
      <c r="AC215" s="105"/>
      <c r="AD215" s="105"/>
      <c r="AE215" s="105"/>
      <c r="AF215" s="105"/>
      <c r="AG215" s="105"/>
      <c r="AH215" s="105"/>
      <c r="AI215" s="105"/>
      <c r="AJ215" s="107">
        <f t="shared" si="49"/>
        <v>0</v>
      </c>
      <c r="AK215" s="105"/>
      <c r="AL215" s="105"/>
      <c r="AM215" s="105"/>
      <c r="AN215" s="105"/>
      <c r="AO215" s="105"/>
      <c r="AP215" s="105"/>
      <c r="AQ215" s="108">
        <f t="shared" si="50"/>
        <v>0</v>
      </c>
      <c r="AR215" s="108">
        <f t="shared" si="51"/>
        <v>0</v>
      </c>
      <c r="AS215" s="109">
        <f t="shared" si="52"/>
        <v>0</v>
      </c>
      <c r="AU215" s="110">
        <f t="shared" si="43"/>
        <v>0</v>
      </c>
      <c r="AV215" s="111">
        <f>IF(D215="NR",
IF('ZD Vorerfassung'!$E$22="",0,IF(AND(B215&gt;='ZD Vorerfassung'!$C$22,B215&lt;='ZD Vorerfassung'!$D$22),HLOOKUP(TEXT(C215,"ttt"),'ZD Vorerfassung'!$H$21:$L$36,2,0),0))+
IF('ZD Vorerfassung'!$E$23="",0,IF(AND(B215&gt;='ZD Vorerfassung'!$C$23,B215&lt;='ZD Vorerfassung'!$D$23),HLOOKUP(TEXT(C215,"ttt"),'ZD Vorerfassung'!$H$21:$L$36,3,0),0))+
IF('ZD Vorerfassung'!$E$24="",0,IF(AND(B215&gt;='ZD Vorerfassung'!$C$24,B215&lt;='ZD Vorerfassung'!$D$24),HLOOKUP(TEXT(C215,"ttt"),'ZD Vorerfassung'!$H$21:$L$36,4,0),0))+
IF('ZD Vorerfassung'!$E$25="",0,IF(AND(B215&gt;='ZD Vorerfassung'!$C$25,B215&lt;='ZD Vorerfassung'!$D$25),HLOOKUP(TEXT(C215,"ttt"),'ZD Vorerfassung'!$H$21:$L$36,5,0),0))+
IF('ZD Vorerfassung'!$E$26="",0,IF(AND(B215&gt;='ZD Vorerfassung'!$C$26,B215&lt;='ZD Vorerfassung'!$D$26),HLOOKUP(TEXT(C215,"ttt"),'ZD Vorerfassung'!$H$21:$L$36,6,0),0))+
IF('ZD Vorerfassung'!$E$27="",0,IF(AND(B215&gt;='ZD Vorerfassung'!$C$27,B215&lt;='ZD Vorerfassung'!$D$27),HLOOKUP(TEXT(C215,"ttt"),'ZD Vorerfassung'!$H$21:$L$36,7,0),0))+
IF('ZD Vorerfassung'!$E$28="",0,IF(AND(B215&gt;='ZD Vorerfassung'!$C$28,B215&lt;='ZD Vorerfassung'!$D$28),HLOOKUP(TEXT(C215,"ttt"),'ZD Vorerfassung'!$H$21:$L$36,8,0),0))+
IF('ZD Vorerfassung'!$E$29="",0,IF(AND(B215&gt;='ZD Vorerfassung'!$C$29,B215&lt;='ZD Vorerfassung'!$D$29),HLOOKUP(TEXT(C215,"ttt"),'ZD Vorerfassung'!$H$21:$L$36,9,0),0))+
IF('ZD Vorerfassung'!$E$30="",0,IF(AND(B215&gt;='ZD Vorerfassung'!$C$30,B215&lt;='ZD Vorerfassung'!$D$30),HLOOKUP(TEXT(C215,"ttt"),'ZD Vorerfassung'!$H$21:$L$36,10,0),0))+
IF('ZD Vorerfassung'!$E$31="",0,IF(AND(B215&gt;='ZD Vorerfassung'!$C$31,B215&lt;='ZD Vorerfassung'!$D$31),HLOOKUP(TEXT(C215,"ttt"),'ZD Vorerfassung'!$H$21:$L$36,11,0),0))+
IF('ZD Vorerfassung'!$E$32="",0,IF(AND(B215&gt;='ZD Vorerfassung'!$C$32,B215&lt;='ZD Vorerfassung'!$D$32),HLOOKUP(TEXT(C215,"ttt"),'ZD Vorerfassung'!$H$21:$L$36,12,0),0))+
IF('ZD Vorerfassung'!$E$33="",0,IF(AND(B215&gt;='ZD Vorerfassung'!$C$33,B215&lt;='ZD Vorerfassung'!$D$33),HLOOKUP(TEXT(C215,"ttt"),'ZD Vorerfassung'!$H$21:$L$36,13,0),0))+
IF('ZD Vorerfassung'!$E$34="",0,IF(AND(B215&gt;='ZD Vorerfassung'!$C$34,B215&lt;='ZD Vorerfassung'!$D$34),HLOOKUP(TEXT(C215,"ttt"),'ZD Vorerfassung'!$H$21:$L$36,14,0),0))+
IF('ZD Vorerfassung'!$E$35="",0,IF(AND(B215&gt;='ZD Vorerfassung'!$C$35,B215&lt;='ZD Vorerfassung'!$D$35),HLOOKUP(TEXT(C215,"ttt"),'ZD Vorerfassung'!$H$21:$L$36,15,0),0))+
IF('ZD Vorerfassung'!$E$36="",0,IF(AND(B215&gt;='ZD Vorerfassung'!$C$36,B215&lt;='ZD Vorerfassung'!$D$36),HLOOKUP(TEXT(C215,"ttt"),'ZD Vorerfassung'!$H$21:$L$36,16,0),0)),"")</f>
        <v>0</v>
      </c>
      <c r="AW215" s="110">
        <f t="array" ref="AW215">IF(OR(D215="UU",D215="FT",D215="WE"),0,
IF(D215="NR",SUM(IF(B215&gt;=_xlfn.NUMBERVALUE('ZD Vorerfassung'!$C$22:$C$36),1,0)*IF(B215&lt;=_xlfn.NUMBERVALUE('ZD Vorerfassung'!$D$22:$D$36),1,0)*'ZD Vorerfassung'!$Q$22:$Q$36),
IF(OR(D215="SF",D215="FH"),SUM(IF(B215&gt;=_xlfn.NUMBERVALUE('ZD Vorerfassung'!$C$22:$C$36),1,0)*IF(B215&lt;=_xlfn.NUMBERVALUE('ZD Vorerfassung'!$D$22:$D$36),1,0)*'ZD Vorerfassung'!$R$22:$R$36*IF(D215="FH",0.5,1)),
"prüfen")))</f>
        <v>0</v>
      </c>
      <c r="AX215" s="110">
        <f t="array" ref="AX215">IF(OR(D215="UU",D215="FT",D215="WE",E215="Ferien"),0,
IF(D215="NR",SUM(IF(B215&gt;=_xlfn.NUMBERVALUE('ZD Vorerfassung'!$C$22:$C$36),1,0)*IF(B215&lt;=_xlfn.NUMBERVALUE('ZD Vorerfassung'!$D$22:$D$36),1,0)*'ZD Vorerfassung'!$W$22:$W$36),
IF(OR(D215="SF",D215="FH"),SUM(IF(B215&gt;=_xlfn.NUMBERVALUE('ZD Vorerfassung'!$C$22:$C$36),1,0)*IF(B215&lt;=_xlfn.NUMBERVALUE('ZD Vorerfassung'!$D$22:$D$36),1,0)*'ZD Vorerfassung'!$X$22:$X$36*IF(D215="FH",0.5,1)),
"prüfen")))</f>
        <v>0</v>
      </c>
      <c r="AY215" s="110">
        <f t="array" ref="AY215">IF(OR(D215="UU",D215="FT",D215="WE",E215="Ferien"),0,
IF(D215="NR",SUM(IF(B215&gt;=_xlfn.NUMBERVALUE('ZD Vorerfassung'!$C$22:$C$36),1,0)*IF(B215&lt;=_xlfn.NUMBERVALUE('ZD Vorerfassung'!$D$22:$D$36),1,0)*'ZD Vorerfassung'!$U$22:$U$36),
IF(OR(D215="SF",D215="FH"),SUM(IF(B215&gt;=_xlfn.NUMBERVALUE('ZD Vorerfassung'!$C$22:$C$36),1,0)*IF(B215&lt;=_xlfn.NUMBERVALUE('ZD Vorerfassung'!$D$22:$D$36),1,0)*'ZD Vorerfassung'!$V$22:$V$36*IF(D215="FH",0.5,1)),
"prüfen")))</f>
        <v>0</v>
      </c>
      <c r="AZ215" s="110">
        <f t="array" ref="AZ215">IF(OR(D215="UU",D215="FT",D215="WE",E215="Ferien"),0,
IF(D215="NR",SUM(IF(B215&gt;=_xlfn.NUMBERVALUE('ZD Vorerfassung'!$C$22:$C$36),1,0)*IF(B215&lt;=_xlfn.NUMBERVALUE('ZD Vorerfassung'!$D$22:$D$36),1,0)*'ZD Vorerfassung'!$S$22:$S$36),
IF(OR(D215="SF",D215="FH"),SUM(IF(B215&gt;=_xlfn.NUMBERVALUE('ZD Vorerfassung'!$C$22:$C$36),1,0)*IF(B215&lt;=_xlfn.NUMBERVALUE('ZD Vorerfassung'!$D$22:$D$36),1,0)*'ZD Vorerfassung'!$T$22:$T$36*IF(D215="FH",0.5,1)),
"prüfen")))</f>
        <v>0</v>
      </c>
      <c r="BA215" s="112">
        <f t="shared" si="44"/>
        <v>2</v>
      </c>
    </row>
    <row r="216" spans="2:53" ht="19.5" thickTop="1" thickBot="1" x14ac:dyDescent="0.3">
      <c r="B216" s="99">
        <f t="shared" si="41"/>
        <v>44981</v>
      </c>
      <c r="C216" s="100">
        <f t="shared" si="45"/>
        <v>44981</v>
      </c>
      <c r="D216" s="101" t="str">
        <f t="shared" si="46"/>
        <v>NR</v>
      </c>
      <c r="E216" s="102" t="str">
        <f t="shared" si="42"/>
        <v>Unterrichtstag</v>
      </c>
      <c r="F216" s="103">
        <f t="shared" si="47"/>
        <v>0</v>
      </c>
      <c r="G216" s="104">
        <f t="shared" si="48"/>
        <v>0</v>
      </c>
      <c r="H216" s="104">
        <f>IFERROR(IF('ZD Vorerfassung'!$E$11="manuell",SUM(I216),IF(OR(E216="Feiertag",E216="Wochenende"),0,IF('ZD Vorerfassung'!$E$11="automatisch",AX216,IF(D216="UU","UU",IF(E216=Param2,AX216/24,IF(E216=Param9,AX216/48,"")))))),0)</f>
        <v>0</v>
      </c>
      <c r="I216" s="105"/>
      <c r="J216" s="106">
        <f>IF('ZD Vorerfassung'!$E$12="manuell",SUM(K216:AI216),IF(OR(E216="Feiertag",E216="Wochenende"),0,IF('ZD Vorerfassung'!$E$12="automatisch",AY216,IF(D216="UU","UU",IF(E216=Param2,AY216/24,IF(E216=Param9,AY216/48,""))))))</f>
        <v>0</v>
      </c>
      <c r="K216" s="105"/>
      <c r="L216" s="105"/>
      <c r="M216" s="105"/>
      <c r="N216" s="105"/>
      <c r="O216" s="105"/>
      <c r="P216" s="105"/>
      <c r="Q216" s="105"/>
      <c r="R216" s="105"/>
      <c r="S216" s="105"/>
      <c r="T216" s="105"/>
      <c r="U216" s="105"/>
      <c r="V216" s="105"/>
      <c r="W216" s="105"/>
      <c r="X216" s="105"/>
      <c r="Y216" s="105"/>
      <c r="Z216" s="105"/>
      <c r="AA216" s="105"/>
      <c r="AB216" s="105"/>
      <c r="AC216" s="105"/>
      <c r="AD216" s="105"/>
      <c r="AE216" s="105"/>
      <c r="AF216" s="105"/>
      <c r="AG216" s="105"/>
      <c r="AH216" s="105"/>
      <c r="AI216" s="105"/>
      <c r="AJ216" s="107">
        <f t="shared" si="49"/>
        <v>0</v>
      </c>
      <c r="AK216" s="105"/>
      <c r="AL216" s="105"/>
      <c r="AM216" s="105"/>
      <c r="AN216" s="105"/>
      <c r="AO216" s="105"/>
      <c r="AP216" s="105"/>
      <c r="AQ216" s="108">
        <f t="shared" si="50"/>
        <v>0</v>
      </c>
      <c r="AR216" s="108">
        <f t="shared" si="51"/>
        <v>0</v>
      </c>
      <c r="AS216" s="109">
        <f t="shared" si="52"/>
        <v>0</v>
      </c>
      <c r="AU216" s="110">
        <f t="shared" si="43"/>
        <v>0</v>
      </c>
      <c r="AV216" s="111">
        <f>IF(D216="NR",
IF('ZD Vorerfassung'!$E$22="",0,IF(AND(B216&gt;='ZD Vorerfassung'!$C$22,B216&lt;='ZD Vorerfassung'!$D$22),HLOOKUP(TEXT(C216,"ttt"),'ZD Vorerfassung'!$H$21:$L$36,2,0),0))+
IF('ZD Vorerfassung'!$E$23="",0,IF(AND(B216&gt;='ZD Vorerfassung'!$C$23,B216&lt;='ZD Vorerfassung'!$D$23),HLOOKUP(TEXT(C216,"ttt"),'ZD Vorerfassung'!$H$21:$L$36,3,0),0))+
IF('ZD Vorerfassung'!$E$24="",0,IF(AND(B216&gt;='ZD Vorerfassung'!$C$24,B216&lt;='ZD Vorerfassung'!$D$24),HLOOKUP(TEXT(C216,"ttt"),'ZD Vorerfassung'!$H$21:$L$36,4,0),0))+
IF('ZD Vorerfassung'!$E$25="",0,IF(AND(B216&gt;='ZD Vorerfassung'!$C$25,B216&lt;='ZD Vorerfassung'!$D$25),HLOOKUP(TEXT(C216,"ttt"),'ZD Vorerfassung'!$H$21:$L$36,5,0),0))+
IF('ZD Vorerfassung'!$E$26="",0,IF(AND(B216&gt;='ZD Vorerfassung'!$C$26,B216&lt;='ZD Vorerfassung'!$D$26),HLOOKUP(TEXT(C216,"ttt"),'ZD Vorerfassung'!$H$21:$L$36,6,0),0))+
IF('ZD Vorerfassung'!$E$27="",0,IF(AND(B216&gt;='ZD Vorerfassung'!$C$27,B216&lt;='ZD Vorerfassung'!$D$27),HLOOKUP(TEXT(C216,"ttt"),'ZD Vorerfassung'!$H$21:$L$36,7,0),0))+
IF('ZD Vorerfassung'!$E$28="",0,IF(AND(B216&gt;='ZD Vorerfassung'!$C$28,B216&lt;='ZD Vorerfassung'!$D$28),HLOOKUP(TEXT(C216,"ttt"),'ZD Vorerfassung'!$H$21:$L$36,8,0),0))+
IF('ZD Vorerfassung'!$E$29="",0,IF(AND(B216&gt;='ZD Vorerfassung'!$C$29,B216&lt;='ZD Vorerfassung'!$D$29),HLOOKUP(TEXT(C216,"ttt"),'ZD Vorerfassung'!$H$21:$L$36,9,0),0))+
IF('ZD Vorerfassung'!$E$30="",0,IF(AND(B216&gt;='ZD Vorerfassung'!$C$30,B216&lt;='ZD Vorerfassung'!$D$30),HLOOKUP(TEXT(C216,"ttt"),'ZD Vorerfassung'!$H$21:$L$36,10,0),0))+
IF('ZD Vorerfassung'!$E$31="",0,IF(AND(B216&gt;='ZD Vorerfassung'!$C$31,B216&lt;='ZD Vorerfassung'!$D$31),HLOOKUP(TEXT(C216,"ttt"),'ZD Vorerfassung'!$H$21:$L$36,11,0),0))+
IF('ZD Vorerfassung'!$E$32="",0,IF(AND(B216&gt;='ZD Vorerfassung'!$C$32,B216&lt;='ZD Vorerfassung'!$D$32),HLOOKUP(TEXT(C216,"ttt"),'ZD Vorerfassung'!$H$21:$L$36,12,0),0))+
IF('ZD Vorerfassung'!$E$33="",0,IF(AND(B216&gt;='ZD Vorerfassung'!$C$33,B216&lt;='ZD Vorerfassung'!$D$33),HLOOKUP(TEXT(C216,"ttt"),'ZD Vorerfassung'!$H$21:$L$36,13,0),0))+
IF('ZD Vorerfassung'!$E$34="",0,IF(AND(B216&gt;='ZD Vorerfassung'!$C$34,B216&lt;='ZD Vorerfassung'!$D$34),HLOOKUP(TEXT(C216,"ttt"),'ZD Vorerfassung'!$H$21:$L$36,14,0),0))+
IF('ZD Vorerfassung'!$E$35="",0,IF(AND(B216&gt;='ZD Vorerfassung'!$C$35,B216&lt;='ZD Vorerfassung'!$D$35),HLOOKUP(TEXT(C216,"ttt"),'ZD Vorerfassung'!$H$21:$L$36,15,0),0))+
IF('ZD Vorerfassung'!$E$36="",0,IF(AND(B216&gt;='ZD Vorerfassung'!$C$36,B216&lt;='ZD Vorerfassung'!$D$36),HLOOKUP(TEXT(C216,"ttt"),'ZD Vorerfassung'!$H$21:$L$36,16,0),0)),"")</f>
        <v>0</v>
      </c>
      <c r="AW216" s="110">
        <f t="array" ref="AW216">IF(OR(D216="UU",D216="FT",D216="WE"),0,
IF(D216="NR",SUM(IF(B216&gt;=_xlfn.NUMBERVALUE('ZD Vorerfassung'!$C$22:$C$36),1,0)*IF(B216&lt;=_xlfn.NUMBERVALUE('ZD Vorerfassung'!$D$22:$D$36),1,0)*'ZD Vorerfassung'!$Q$22:$Q$36),
IF(OR(D216="SF",D216="FH"),SUM(IF(B216&gt;=_xlfn.NUMBERVALUE('ZD Vorerfassung'!$C$22:$C$36),1,0)*IF(B216&lt;=_xlfn.NUMBERVALUE('ZD Vorerfassung'!$D$22:$D$36),1,0)*'ZD Vorerfassung'!$R$22:$R$36*IF(D216="FH",0.5,1)),
"prüfen")))</f>
        <v>0</v>
      </c>
      <c r="AX216" s="110">
        <f t="array" ref="AX216">IF(OR(D216="UU",D216="FT",D216="WE",E216="Ferien"),0,
IF(D216="NR",SUM(IF(B216&gt;=_xlfn.NUMBERVALUE('ZD Vorerfassung'!$C$22:$C$36),1,0)*IF(B216&lt;=_xlfn.NUMBERVALUE('ZD Vorerfassung'!$D$22:$D$36),1,0)*'ZD Vorerfassung'!$W$22:$W$36),
IF(OR(D216="SF",D216="FH"),SUM(IF(B216&gt;=_xlfn.NUMBERVALUE('ZD Vorerfassung'!$C$22:$C$36),1,0)*IF(B216&lt;=_xlfn.NUMBERVALUE('ZD Vorerfassung'!$D$22:$D$36),1,0)*'ZD Vorerfassung'!$X$22:$X$36*IF(D216="FH",0.5,1)),
"prüfen")))</f>
        <v>0</v>
      </c>
      <c r="AY216" s="110">
        <f t="array" ref="AY216">IF(OR(D216="UU",D216="FT",D216="WE",E216="Ferien"),0,
IF(D216="NR",SUM(IF(B216&gt;=_xlfn.NUMBERVALUE('ZD Vorerfassung'!$C$22:$C$36),1,0)*IF(B216&lt;=_xlfn.NUMBERVALUE('ZD Vorerfassung'!$D$22:$D$36),1,0)*'ZD Vorerfassung'!$U$22:$U$36),
IF(OR(D216="SF",D216="FH"),SUM(IF(B216&gt;=_xlfn.NUMBERVALUE('ZD Vorerfassung'!$C$22:$C$36),1,0)*IF(B216&lt;=_xlfn.NUMBERVALUE('ZD Vorerfassung'!$D$22:$D$36),1,0)*'ZD Vorerfassung'!$V$22:$V$36*IF(D216="FH",0.5,1)),
"prüfen")))</f>
        <v>0</v>
      </c>
      <c r="AZ216" s="110">
        <f t="array" ref="AZ216">IF(OR(D216="UU",D216="FT",D216="WE",E216="Ferien"),0,
IF(D216="NR",SUM(IF(B216&gt;=_xlfn.NUMBERVALUE('ZD Vorerfassung'!$C$22:$C$36),1,0)*IF(B216&lt;=_xlfn.NUMBERVALUE('ZD Vorerfassung'!$D$22:$D$36),1,0)*'ZD Vorerfassung'!$S$22:$S$36),
IF(OR(D216="SF",D216="FH"),SUM(IF(B216&gt;=_xlfn.NUMBERVALUE('ZD Vorerfassung'!$C$22:$C$36),1,0)*IF(B216&lt;=_xlfn.NUMBERVALUE('ZD Vorerfassung'!$D$22:$D$36),1,0)*'ZD Vorerfassung'!$T$22:$T$36*IF(D216="FH",0.5,1)),
"prüfen")))</f>
        <v>0</v>
      </c>
      <c r="BA216" s="112">
        <f t="shared" si="44"/>
        <v>2</v>
      </c>
    </row>
    <row r="217" spans="2:53" ht="19.5" thickTop="1" thickBot="1" x14ac:dyDescent="0.3">
      <c r="B217" s="99">
        <f t="shared" si="41"/>
        <v>44982</v>
      </c>
      <c r="C217" s="100">
        <f t="shared" si="45"/>
        <v>44982</v>
      </c>
      <c r="D217" s="101" t="str">
        <f t="shared" si="46"/>
        <v>NR</v>
      </c>
      <c r="E217" s="102" t="str">
        <f t="shared" si="42"/>
        <v>Unterrichtstag</v>
      </c>
      <c r="F217" s="103">
        <f t="shared" si="47"/>
        <v>0</v>
      </c>
      <c r="G217" s="104">
        <f t="shared" si="48"/>
        <v>0</v>
      </c>
      <c r="H217" s="104">
        <f>IFERROR(IF('ZD Vorerfassung'!$E$11="manuell",SUM(I217),IF(OR(E217="Feiertag",E217="Wochenende"),0,IF('ZD Vorerfassung'!$E$11="automatisch",AX217,IF(D217="UU","UU",IF(E217=Param2,AX217/24,IF(E217=Param9,AX217/48,"")))))),0)</f>
        <v>0</v>
      </c>
      <c r="I217" s="105"/>
      <c r="J217" s="106">
        <f>IF('ZD Vorerfassung'!$E$12="manuell",SUM(K217:AI217),IF(OR(E217="Feiertag",E217="Wochenende"),0,IF('ZD Vorerfassung'!$E$12="automatisch",AY217,IF(D217="UU","UU",IF(E217=Param2,AY217/24,IF(E217=Param9,AY217/48,""))))))</f>
        <v>0</v>
      </c>
      <c r="K217" s="105"/>
      <c r="L217" s="105"/>
      <c r="M217" s="105"/>
      <c r="N217" s="105"/>
      <c r="O217" s="105"/>
      <c r="P217" s="105"/>
      <c r="Q217" s="105"/>
      <c r="R217" s="105"/>
      <c r="S217" s="105"/>
      <c r="T217" s="105"/>
      <c r="U217" s="105"/>
      <c r="V217" s="105"/>
      <c r="W217" s="105"/>
      <c r="X217" s="105"/>
      <c r="Y217" s="105"/>
      <c r="Z217" s="105"/>
      <c r="AA217" s="105"/>
      <c r="AB217" s="105"/>
      <c r="AC217" s="105"/>
      <c r="AD217" s="105"/>
      <c r="AE217" s="105"/>
      <c r="AF217" s="105"/>
      <c r="AG217" s="105"/>
      <c r="AH217" s="105"/>
      <c r="AI217" s="105"/>
      <c r="AJ217" s="107">
        <f t="shared" si="49"/>
        <v>0</v>
      </c>
      <c r="AK217" s="105"/>
      <c r="AL217" s="105"/>
      <c r="AM217" s="105"/>
      <c r="AN217" s="105"/>
      <c r="AO217" s="105"/>
      <c r="AP217" s="105"/>
      <c r="AQ217" s="108">
        <f t="shared" si="50"/>
        <v>0</v>
      </c>
      <c r="AR217" s="108">
        <f t="shared" si="51"/>
        <v>0</v>
      </c>
      <c r="AS217" s="109">
        <f t="shared" si="52"/>
        <v>0</v>
      </c>
      <c r="AU217" s="110">
        <f t="shared" si="43"/>
        <v>0</v>
      </c>
      <c r="AV217" s="111">
        <f>IF(D217="NR",
IF('ZD Vorerfassung'!$E$22="",0,IF(AND(B217&gt;='ZD Vorerfassung'!$C$22,B217&lt;='ZD Vorerfassung'!$D$22),HLOOKUP(TEXT(C217,"ttt"),'ZD Vorerfassung'!$H$21:$L$36,2,0),0))+
IF('ZD Vorerfassung'!$E$23="",0,IF(AND(B217&gt;='ZD Vorerfassung'!$C$23,B217&lt;='ZD Vorerfassung'!$D$23),HLOOKUP(TEXT(C217,"ttt"),'ZD Vorerfassung'!$H$21:$L$36,3,0),0))+
IF('ZD Vorerfassung'!$E$24="",0,IF(AND(B217&gt;='ZD Vorerfassung'!$C$24,B217&lt;='ZD Vorerfassung'!$D$24),HLOOKUP(TEXT(C217,"ttt"),'ZD Vorerfassung'!$H$21:$L$36,4,0),0))+
IF('ZD Vorerfassung'!$E$25="",0,IF(AND(B217&gt;='ZD Vorerfassung'!$C$25,B217&lt;='ZD Vorerfassung'!$D$25),HLOOKUP(TEXT(C217,"ttt"),'ZD Vorerfassung'!$H$21:$L$36,5,0),0))+
IF('ZD Vorerfassung'!$E$26="",0,IF(AND(B217&gt;='ZD Vorerfassung'!$C$26,B217&lt;='ZD Vorerfassung'!$D$26),HLOOKUP(TEXT(C217,"ttt"),'ZD Vorerfassung'!$H$21:$L$36,6,0),0))+
IF('ZD Vorerfassung'!$E$27="",0,IF(AND(B217&gt;='ZD Vorerfassung'!$C$27,B217&lt;='ZD Vorerfassung'!$D$27),HLOOKUP(TEXT(C217,"ttt"),'ZD Vorerfassung'!$H$21:$L$36,7,0),0))+
IF('ZD Vorerfassung'!$E$28="",0,IF(AND(B217&gt;='ZD Vorerfassung'!$C$28,B217&lt;='ZD Vorerfassung'!$D$28),HLOOKUP(TEXT(C217,"ttt"),'ZD Vorerfassung'!$H$21:$L$36,8,0),0))+
IF('ZD Vorerfassung'!$E$29="",0,IF(AND(B217&gt;='ZD Vorerfassung'!$C$29,B217&lt;='ZD Vorerfassung'!$D$29),HLOOKUP(TEXT(C217,"ttt"),'ZD Vorerfassung'!$H$21:$L$36,9,0),0))+
IF('ZD Vorerfassung'!$E$30="",0,IF(AND(B217&gt;='ZD Vorerfassung'!$C$30,B217&lt;='ZD Vorerfassung'!$D$30),HLOOKUP(TEXT(C217,"ttt"),'ZD Vorerfassung'!$H$21:$L$36,10,0),0))+
IF('ZD Vorerfassung'!$E$31="",0,IF(AND(B217&gt;='ZD Vorerfassung'!$C$31,B217&lt;='ZD Vorerfassung'!$D$31),HLOOKUP(TEXT(C217,"ttt"),'ZD Vorerfassung'!$H$21:$L$36,11,0),0))+
IF('ZD Vorerfassung'!$E$32="",0,IF(AND(B217&gt;='ZD Vorerfassung'!$C$32,B217&lt;='ZD Vorerfassung'!$D$32),HLOOKUP(TEXT(C217,"ttt"),'ZD Vorerfassung'!$H$21:$L$36,12,0),0))+
IF('ZD Vorerfassung'!$E$33="",0,IF(AND(B217&gt;='ZD Vorerfassung'!$C$33,B217&lt;='ZD Vorerfassung'!$D$33),HLOOKUP(TEXT(C217,"ttt"),'ZD Vorerfassung'!$H$21:$L$36,13,0),0))+
IF('ZD Vorerfassung'!$E$34="",0,IF(AND(B217&gt;='ZD Vorerfassung'!$C$34,B217&lt;='ZD Vorerfassung'!$D$34),HLOOKUP(TEXT(C217,"ttt"),'ZD Vorerfassung'!$H$21:$L$36,14,0),0))+
IF('ZD Vorerfassung'!$E$35="",0,IF(AND(B217&gt;='ZD Vorerfassung'!$C$35,B217&lt;='ZD Vorerfassung'!$D$35),HLOOKUP(TEXT(C217,"ttt"),'ZD Vorerfassung'!$H$21:$L$36,15,0),0))+
IF('ZD Vorerfassung'!$E$36="",0,IF(AND(B217&gt;='ZD Vorerfassung'!$C$36,B217&lt;='ZD Vorerfassung'!$D$36),HLOOKUP(TEXT(C217,"ttt"),'ZD Vorerfassung'!$H$21:$L$36,16,0),0)),"")</f>
        <v>0</v>
      </c>
      <c r="AW217" s="110">
        <f t="array" ref="AW217">IF(OR(D217="UU",D217="FT",D217="WE"),0,
IF(D217="NR",SUM(IF(B217&gt;=_xlfn.NUMBERVALUE('ZD Vorerfassung'!$C$22:$C$36),1,0)*IF(B217&lt;=_xlfn.NUMBERVALUE('ZD Vorerfassung'!$D$22:$D$36),1,0)*'ZD Vorerfassung'!$Q$22:$Q$36),
IF(OR(D217="SF",D217="FH"),SUM(IF(B217&gt;=_xlfn.NUMBERVALUE('ZD Vorerfassung'!$C$22:$C$36),1,0)*IF(B217&lt;=_xlfn.NUMBERVALUE('ZD Vorerfassung'!$D$22:$D$36),1,0)*'ZD Vorerfassung'!$R$22:$R$36*IF(D217="FH",0.5,1)),
"prüfen")))</f>
        <v>0</v>
      </c>
      <c r="AX217" s="110">
        <f t="array" ref="AX217">IF(OR(D217="UU",D217="FT",D217="WE",E217="Ferien"),0,
IF(D217="NR",SUM(IF(B217&gt;=_xlfn.NUMBERVALUE('ZD Vorerfassung'!$C$22:$C$36),1,0)*IF(B217&lt;=_xlfn.NUMBERVALUE('ZD Vorerfassung'!$D$22:$D$36),1,0)*'ZD Vorerfassung'!$W$22:$W$36),
IF(OR(D217="SF",D217="FH"),SUM(IF(B217&gt;=_xlfn.NUMBERVALUE('ZD Vorerfassung'!$C$22:$C$36),1,0)*IF(B217&lt;=_xlfn.NUMBERVALUE('ZD Vorerfassung'!$D$22:$D$36),1,0)*'ZD Vorerfassung'!$X$22:$X$36*IF(D217="FH",0.5,1)),
"prüfen")))</f>
        <v>0</v>
      </c>
      <c r="AY217" s="110">
        <f t="array" ref="AY217">IF(OR(D217="UU",D217="FT",D217="WE",E217="Ferien"),0,
IF(D217="NR",SUM(IF(B217&gt;=_xlfn.NUMBERVALUE('ZD Vorerfassung'!$C$22:$C$36),1,0)*IF(B217&lt;=_xlfn.NUMBERVALUE('ZD Vorerfassung'!$D$22:$D$36),1,0)*'ZD Vorerfassung'!$U$22:$U$36),
IF(OR(D217="SF",D217="FH"),SUM(IF(B217&gt;=_xlfn.NUMBERVALUE('ZD Vorerfassung'!$C$22:$C$36),1,0)*IF(B217&lt;=_xlfn.NUMBERVALUE('ZD Vorerfassung'!$D$22:$D$36),1,0)*'ZD Vorerfassung'!$V$22:$V$36*IF(D217="FH",0.5,1)),
"prüfen")))</f>
        <v>0</v>
      </c>
      <c r="AZ217" s="110">
        <f t="array" ref="AZ217">IF(OR(D217="UU",D217="FT",D217="WE",E217="Ferien"),0,
IF(D217="NR",SUM(IF(B217&gt;=_xlfn.NUMBERVALUE('ZD Vorerfassung'!$C$22:$C$36),1,0)*IF(B217&lt;=_xlfn.NUMBERVALUE('ZD Vorerfassung'!$D$22:$D$36),1,0)*'ZD Vorerfassung'!$S$22:$S$36),
IF(OR(D217="SF",D217="FH"),SUM(IF(B217&gt;=_xlfn.NUMBERVALUE('ZD Vorerfassung'!$C$22:$C$36),1,0)*IF(B217&lt;=_xlfn.NUMBERVALUE('ZD Vorerfassung'!$D$22:$D$36),1,0)*'ZD Vorerfassung'!$T$22:$T$36*IF(D217="FH",0.5,1)),
"prüfen")))</f>
        <v>0</v>
      </c>
      <c r="BA217" s="112">
        <f t="shared" si="44"/>
        <v>2</v>
      </c>
    </row>
    <row r="218" spans="2:53" ht="19.5" thickTop="1" thickBot="1" x14ac:dyDescent="0.3">
      <c r="B218" s="99">
        <f t="shared" si="41"/>
        <v>44983</v>
      </c>
      <c r="C218" s="100">
        <f t="shared" si="45"/>
        <v>44983</v>
      </c>
      <c r="D218" s="101" t="str">
        <f t="shared" si="46"/>
        <v>WE</v>
      </c>
      <c r="E218" s="102" t="str">
        <f t="shared" si="42"/>
        <v>Wochenende</v>
      </c>
      <c r="F218" s="103" t="str">
        <f t="shared" si="47"/>
        <v/>
      </c>
      <c r="G218" s="104" t="str">
        <f t="shared" si="48"/>
        <v/>
      </c>
      <c r="H218" s="104">
        <f>IFERROR(IF('ZD Vorerfassung'!$E$11="manuell",SUM(I218),IF(OR(E218="Feiertag",E218="Wochenende"),0,IF('ZD Vorerfassung'!$E$11="automatisch",AX218,IF(D218="UU","UU",IF(E218=Param2,AX218/24,IF(E218=Param9,AX218/48,"")))))),0)</f>
        <v>0</v>
      </c>
      <c r="I218" s="105"/>
      <c r="J218" s="106">
        <f>IF('ZD Vorerfassung'!$E$12="manuell",SUM(K218:AI218),IF(OR(E218="Feiertag",E218="Wochenende"),0,IF('ZD Vorerfassung'!$E$12="automatisch",AY218,IF(D218="UU","UU",IF(E218=Param2,AY218/24,IF(E218=Param9,AY218/48,""))))))</f>
        <v>0</v>
      </c>
      <c r="K218" s="105"/>
      <c r="L218" s="105"/>
      <c r="M218" s="105"/>
      <c r="N218" s="105"/>
      <c r="O218" s="105"/>
      <c r="P218" s="105"/>
      <c r="Q218" s="105"/>
      <c r="R218" s="105"/>
      <c r="S218" s="105"/>
      <c r="T218" s="105"/>
      <c r="U218" s="105"/>
      <c r="V218" s="105"/>
      <c r="W218" s="105"/>
      <c r="X218" s="105"/>
      <c r="Y218" s="105"/>
      <c r="Z218" s="105"/>
      <c r="AA218" s="105"/>
      <c r="AB218" s="105"/>
      <c r="AC218" s="105"/>
      <c r="AD218" s="105"/>
      <c r="AE218" s="105"/>
      <c r="AF218" s="105"/>
      <c r="AG218" s="105"/>
      <c r="AH218" s="105"/>
      <c r="AI218" s="105"/>
      <c r="AJ218" s="107">
        <f t="shared" si="49"/>
        <v>0</v>
      </c>
      <c r="AK218" s="105"/>
      <c r="AL218" s="105"/>
      <c r="AM218" s="105"/>
      <c r="AN218" s="105"/>
      <c r="AO218" s="105"/>
      <c r="AP218" s="105"/>
      <c r="AQ218" s="108">
        <f t="shared" si="50"/>
        <v>0</v>
      </c>
      <c r="AR218" s="108">
        <f t="shared" si="51"/>
        <v>0</v>
      </c>
      <c r="AS218" s="109">
        <f t="shared" si="52"/>
        <v>0</v>
      </c>
      <c r="AU218" s="110">
        <f t="shared" si="43"/>
        <v>0</v>
      </c>
      <c r="AV218" s="111" t="str">
        <f>IF(D218="NR",
IF('ZD Vorerfassung'!$E$22="",0,IF(AND(B218&gt;='ZD Vorerfassung'!$C$22,B218&lt;='ZD Vorerfassung'!$D$22),HLOOKUP(TEXT(C218,"ttt"),'ZD Vorerfassung'!$H$21:$L$36,2,0),0))+
IF('ZD Vorerfassung'!$E$23="",0,IF(AND(B218&gt;='ZD Vorerfassung'!$C$23,B218&lt;='ZD Vorerfassung'!$D$23),HLOOKUP(TEXT(C218,"ttt"),'ZD Vorerfassung'!$H$21:$L$36,3,0),0))+
IF('ZD Vorerfassung'!$E$24="",0,IF(AND(B218&gt;='ZD Vorerfassung'!$C$24,B218&lt;='ZD Vorerfassung'!$D$24),HLOOKUP(TEXT(C218,"ttt"),'ZD Vorerfassung'!$H$21:$L$36,4,0),0))+
IF('ZD Vorerfassung'!$E$25="",0,IF(AND(B218&gt;='ZD Vorerfassung'!$C$25,B218&lt;='ZD Vorerfassung'!$D$25),HLOOKUP(TEXT(C218,"ttt"),'ZD Vorerfassung'!$H$21:$L$36,5,0),0))+
IF('ZD Vorerfassung'!$E$26="",0,IF(AND(B218&gt;='ZD Vorerfassung'!$C$26,B218&lt;='ZD Vorerfassung'!$D$26),HLOOKUP(TEXT(C218,"ttt"),'ZD Vorerfassung'!$H$21:$L$36,6,0),0))+
IF('ZD Vorerfassung'!$E$27="",0,IF(AND(B218&gt;='ZD Vorerfassung'!$C$27,B218&lt;='ZD Vorerfassung'!$D$27),HLOOKUP(TEXT(C218,"ttt"),'ZD Vorerfassung'!$H$21:$L$36,7,0),0))+
IF('ZD Vorerfassung'!$E$28="",0,IF(AND(B218&gt;='ZD Vorerfassung'!$C$28,B218&lt;='ZD Vorerfassung'!$D$28),HLOOKUP(TEXT(C218,"ttt"),'ZD Vorerfassung'!$H$21:$L$36,8,0),0))+
IF('ZD Vorerfassung'!$E$29="",0,IF(AND(B218&gt;='ZD Vorerfassung'!$C$29,B218&lt;='ZD Vorerfassung'!$D$29),HLOOKUP(TEXT(C218,"ttt"),'ZD Vorerfassung'!$H$21:$L$36,9,0),0))+
IF('ZD Vorerfassung'!$E$30="",0,IF(AND(B218&gt;='ZD Vorerfassung'!$C$30,B218&lt;='ZD Vorerfassung'!$D$30),HLOOKUP(TEXT(C218,"ttt"),'ZD Vorerfassung'!$H$21:$L$36,10,0),0))+
IF('ZD Vorerfassung'!$E$31="",0,IF(AND(B218&gt;='ZD Vorerfassung'!$C$31,B218&lt;='ZD Vorerfassung'!$D$31),HLOOKUP(TEXT(C218,"ttt"),'ZD Vorerfassung'!$H$21:$L$36,11,0),0))+
IF('ZD Vorerfassung'!$E$32="",0,IF(AND(B218&gt;='ZD Vorerfassung'!$C$32,B218&lt;='ZD Vorerfassung'!$D$32),HLOOKUP(TEXT(C218,"ttt"),'ZD Vorerfassung'!$H$21:$L$36,12,0),0))+
IF('ZD Vorerfassung'!$E$33="",0,IF(AND(B218&gt;='ZD Vorerfassung'!$C$33,B218&lt;='ZD Vorerfassung'!$D$33),HLOOKUP(TEXT(C218,"ttt"),'ZD Vorerfassung'!$H$21:$L$36,13,0),0))+
IF('ZD Vorerfassung'!$E$34="",0,IF(AND(B218&gt;='ZD Vorerfassung'!$C$34,B218&lt;='ZD Vorerfassung'!$D$34),HLOOKUP(TEXT(C218,"ttt"),'ZD Vorerfassung'!$H$21:$L$36,14,0),0))+
IF('ZD Vorerfassung'!$E$35="",0,IF(AND(B218&gt;='ZD Vorerfassung'!$C$35,B218&lt;='ZD Vorerfassung'!$D$35),HLOOKUP(TEXT(C218,"ttt"),'ZD Vorerfassung'!$H$21:$L$36,15,0),0))+
IF('ZD Vorerfassung'!$E$36="",0,IF(AND(B218&gt;='ZD Vorerfassung'!$C$36,B218&lt;='ZD Vorerfassung'!$D$36),HLOOKUP(TEXT(C218,"ttt"),'ZD Vorerfassung'!$H$21:$L$36,16,0),0)),"")</f>
        <v/>
      </c>
      <c r="AW218" s="110">
        <f t="array" ref="AW218">IF(OR(D218="UU",D218="FT",D218="WE"),0,
IF(D218="NR",SUM(IF(B218&gt;=_xlfn.NUMBERVALUE('ZD Vorerfassung'!$C$22:$C$36),1,0)*IF(B218&lt;=_xlfn.NUMBERVALUE('ZD Vorerfassung'!$D$22:$D$36),1,0)*'ZD Vorerfassung'!$Q$22:$Q$36),
IF(OR(D218="SF",D218="FH"),SUM(IF(B218&gt;=_xlfn.NUMBERVALUE('ZD Vorerfassung'!$C$22:$C$36),1,0)*IF(B218&lt;=_xlfn.NUMBERVALUE('ZD Vorerfassung'!$D$22:$D$36),1,0)*'ZD Vorerfassung'!$R$22:$R$36*IF(D218="FH",0.5,1)),
"prüfen")))</f>
        <v>0</v>
      </c>
      <c r="AX218" s="110">
        <f t="array" ref="AX218">IF(OR(D218="UU",D218="FT",D218="WE",E218="Ferien"),0,
IF(D218="NR",SUM(IF(B218&gt;=_xlfn.NUMBERVALUE('ZD Vorerfassung'!$C$22:$C$36),1,0)*IF(B218&lt;=_xlfn.NUMBERVALUE('ZD Vorerfassung'!$D$22:$D$36),1,0)*'ZD Vorerfassung'!$W$22:$W$36),
IF(OR(D218="SF",D218="FH"),SUM(IF(B218&gt;=_xlfn.NUMBERVALUE('ZD Vorerfassung'!$C$22:$C$36),1,0)*IF(B218&lt;=_xlfn.NUMBERVALUE('ZD Vorerfassung'!$D$22:$D$36),1,0)*'ZD Vorerfassung'!$X$22:$X$36*IF(D218="FH",0.5,1)),
"prüfen")))</f>
        <v>0</v>
      </c>
      <c r="AY218" s="110">
        <f t="array" ref="AY218">IF(OR(D218="UU",D218="FT",D218="WE",E218="Ferien"),0,
IF(D218="NR",SUM(IF(B218&gt;=_xlfn.NUMBERVALUE('ZD Vorerfassung'!$C$22:$C$36),1,0)*IF(B218&lt;=_xlfn.NUMBERVALUE('ZD Vorerfassung'!$D$22:$D$36),1,0)*'ZD Vorerfassung'!$U$22:$U$36),
IF(OR(D218="SF",D218="FH"),SUM(IF(B218&gt;=_xlfn.NUMBERVALUE('ZD Vorerfassung'!$C$22:$C$36),1,0)*IF(B218&lt;=_xlfn.NUMBERVALUE('ZD Vorerfassung'!$D$22:$D$36),1,0)*'ZD Vorerfassung'!$V$22:$V$36*IF(D218="FH",0.5,1)),
"prüfen")))</f>
        <v>0</v>
      </c>
      <c r="AZ218" s="110">
        <f t="array" ref="AZ218">IF(OR(D218="UU",D218="FT",D218="WE",E218="Ferien"),0,
IF(D218="NR",SUM(IF(B218&gt;=_xlfn.NUMBERVALUE('ZD Vorerfassung'!$C$22:$C$36),1,0)*IF(B218&lt;=_xlfn.NUMBERVALUE('ZD Vorerfassung'!$D$22:$D$36),1,0)*'ZD Vorerfassung'!$S$22:$S$36),
IF(OR(D218="SF",D218="FH"),SUM(IF(B218&gt;=_xlfn.NUMBERVALUE('ZD Vorerfassung'!$C$22:$C$36),1,0)*IF(B218&lt;=_xlfn.NUMBERVALUE('ZD Vorerfassung'!$D$22:$D$36),1,0)*'ZD Vorerfassung'!$T$22:$T$36*IF(D218="FH",0.5,1)),
"prüfen")))</f>
        <v>0</v>
      </c>
      <c r="BA218" s="112">
        <f t="shared" si="44"/>
        <v>2</v>
      </c>
    </row>
    <row r="219" spans="2:53" ht="19.5" thickTop="1" thickBot="1" x14ac:dyDescent="0.3">
      <c r="B219" s="99">
        <f t="shared" si="41"/>
        <v>44984</v>
      </c>
      <c r="C219" s="100">
        <f t="shared" si="45"/>
        <v>44984</v>
      </c>
      <c r="D219" s="101" t="str">
        <f t="shared" si="46"/>
        <v>WE</v>
      </c>
      <c r="E219" s="102" t="str">
        <f t="shared" si="42"/>
        <v>Wochenende</v>
      </c>
      <c r="F219" s="103" t="str">
        <f t="shared" si="47"/>
        <v/>
      </c>
      <c r="G219" s="104" t="str">
        <f t="shared" si="48"/>
        <v/>
      </c>
      <c r="H219" s="104">
        <f>IFERROR(IF('ZD Vorerfassung'!$E$11="manuell",SUM(I219),IF(OR(E219="Feiertag",E219="Wochenende"),0,IF('ZD Vorerfassung'!$E$11="automatisch",AX219,IF(D219="UU","UU",IF(E219=Param2,AX219/24,IF(E219=Param9,AX219/48,"")))))),0)</f>
        <v>0</v>
      </c>
      <c r="I219" s="105"/>
      <c r="J219" s="106">
        <f>IF('ZD Vorerfassung'!$E$12="manuell",SUM(K219:AI219),IF(OR(E219="Feiertag",E219="Wochenende"),0,IF('ZD Vorerfassung'!$E$12="automatisch",AY219,IF(D219="UU","UU",IF(E219=Param2,AY219/24,IF(E219=Param9,AY219/48,""))))))</f>
        <v>0</v>
      </c>
      <c r="K219" s="105"/>
      <c r="L219" s="105"/>
      <c r="M219" s="105"/>
      <c r="N219" s="105"/>
      <c r="O219" s="105"/>
      <c r="P219" s="105"/>
      <c r="Q219" s="105"/>
      <c r="R219" s="105"/>
      <c r="S219" s="105"/>
      <c r="T219" s="105"/>
      <c r="U219" s="105"/>
      <c r="V219" s="105"/>
      <c r="W219" s="105"/>
      <c r="X219" s="105"/>
      <c r="Y219" s="105"/>
      <c r="Z219" s="105"/>
      <c r="AA219" s="105"/>
      <c r="AB219" s="105"/>
      <c r="AC219" s="105"/>
      <c r="AD219" s="105"/>
      <c r="AE219" s="105"/>
      <c r="AF219" s="105"/>
      <c r="AG219" s="105"/>
      <c r="AH219" s="105"/>
      <c r="AI219" s="105"/>
      <c r="AJ219" s="107">
        <f t="shared" si="49"/>
        <v>0</v>
      </c>
      <c r="AK219" s="105"/>
      <c r="AL219" s="105"/>
      <c r="AM219" s="105"/>
      <c r="AN219" s="105"/>
      <c r="AO219" s="105"/>
      <c r="AP219" s="105"/>
      <c r="AQ219" s="108">
        <f t="shared" si="50"/>
        <v>0</v>
      </c>
      <c r="AR219" s="108">
        <f t="shared" si="51"/>
        <v>0</v>
      </c>
      <c r="AS219" s="109">
        <f t="shared" si="52"/>
        <v>0</v>
      </c>
      <c r="AU219" s="110">
        <f t="shared" si="43"/>
        <v>0</v>
      </c>
      <c r="AV219" s="111" t="str">
        <f>IF(D219="NR",
IF('ZD Vorerfassung'!$E$22="",0,IF(AND(B219&gt;='ZD Vorerfassung'!$C$22,B219&lt;='ZD Vorerfassung'!$D$22),HLOOKUP(TEXT(C219,"ttt"),'ZD Vorerfassung'!$H$21:$L$36,2,0),0))+
IF('ZD Vorerfassung'!$E$23="",0,IF(AND(B219&gt;='ZD Vorerfassung'!$C$23,B219&lt;='ZD Vorerfassung'!$D$23),HLOOKUP(TEXT(C219,"ttt"),'ZD Vorerfassung'!$H$21:$L$36,3,0),0))+
IF('ZD Vorerfassung'!$E$24="",0,IF(AND(B219&gt;='ZD Vorerfassung'!$C$24,B219&lt;='ZD Vorerfassung'!$D$24),HLOOKUP(TEXT(C219,"ttt"),'ZD Vorerfassung'!$H$21:$L$36,4,0),0))+
IF('ZD Vorerfassung'!$E$25="",0,IF(AND(B219&gt;='ZD Vorerfassung'!$C$25,B219&lt;='ZD Vorerfassung'!$D$25),HLOOKUP(TEXT(C219,"ttt"),'ZD Vorerfassung'!$H$21:$L$36,5,0),0))+
IF('ZD Vorerfassung'!$E$26="",0,IF(AND(B219&gt;='ZD Vorerfassung'!$C$26,B219&lt;='ZD Vorerfassung'!$D$26),HLOOKUP(TEXT(C219,"ttt"),'ZD Vorerfassung'!$H$21:$L$36,6,0),0))+
IF('ZD Vorerfassung'!$E$27="",0,IF(AND(B219&gt;='ZD Vorerfassung'!$C$27,B219&lt;='ZD Vorerfassung'!$D$27),HLOOKUP(TEXT(C219,"ttt"),'ZD Vorerfassung'!$H$21:$L$36,7,0),0))+
IF('ZD Vorerfassung'!$E$28="",0,IF(AND(B219&gt;='ZD Vorerfassung'!$C$28,B219&lt;='ZD Vorerfassung'!$D$28),HLOOKUP(TEXT(C219,"ttt"),'ZD Vorerfassung'!$H$21:$L$36,8,0),0))+
IF('ZD Vorerfassung'!$E$29="",0,IF(AND(B219&gt;='ZD Vorerfassung'!$C$29,B219&lt;='ZD Vorerfassung'!$D$29),HLOOKUP(TEXT(C219,"ttt"),'ZD Vorerfassung'!$H$21:$L$36,9,0),0))+
IF('ZD Vorerfassung'!$E$30="",0,IF(AND(B219&gt;='ZD Vorerfassung'!$C$30,B219&lt;='ZD Vorerfassung'!$D$30),HLOOKUP(TEXT(C219,"ttt"),'ZD Vorerfassung'!$H$21:$L$36,10,0),0))+
IF('ZD Vorerfassung'!$E$31="",0,IF(AND(B219&gt;='ZD Vorerfassung'!$C$31,B219&lt;='ZD Vorerfassung'!$D$31),HLOOKUP(TEXT(C219,"ttt"),'ZD Vorerfassung'!$H$21:$L$36,11,0),0))+
IF('ZD Vorerfassung'!$E$32="",0,IF(AND(B219&gt;='ZD Vorerfassung'!$C$32,B219&lt;='ZD Vorerfassung'!$D$32),HLOOKUP(TEXT(C219,"ttt"),'ZD Vorerfassung'!$H$21:$L$36,12,0),0))+
IF('ZD Vorerfassung'!$E$33="",0,IF(AND(B219&gt;='ZD Vorerfassung'!$C$33,B219&lt;='ZD Vorerfassung'!$D$33),HLOOKUP(TEXT(C219,"ttt"),'ZD Vorerfassung'!$H$21:$L$36,13,0),0))+
IF('ZD Vorerfassung'!$E$34="",0,IF(AND(B219&gt;='ZD Vorerfassung'!$C$34,B219&lt;='ZD Vorerfassung'!$D$34),HLOOKUP(TEXT(C219,"ttt"),'ZD Vorerfassung'!$H$21:$L$36,14,0),0))+
IF('ZD Vorerfassung'!$E$35="",0,IF(AND(B219&gt;='ZD Vorerfassung'!$C$35,B219&lt;='ZD Vorerfassung'!$D$35),HLOOKUP(TEXT(C219,"ttt"),'ZD Vorerfassung'!$H$21:$L$36,15,0),0))+
IF('ZD Vorerfassung'!$E$36="",0,IF(AND(B219&gt;='ZD Vorerfassung'!$C$36,B219&lt;='ZD Vorerfassung'!$D$36),HLOOKUP(TEXT(C219,"ttt"),'ZD Vorerfassung'!$H$21:$L$36,16,0),0)),"")</f>
        <v/>
      </c>
      <c r="AW219" s="110">
        <f t="array" ref="AW219">IF(OR(D219="UU",D219="FT",D219="WE"),0,
IF(D219="NR",SUM(IF(B219&gt;=_xlfn.NUMBERVALUE('ZD Vorerfassung'!$C$22:$C$36),1,0)*IF(B219&lt;=_xlfn.NUMBERVALUE('ZD Vorerfassung'!$D$22:$D$36),1,0)*'ZD Vorerfassung'!$Q$22:$Q$36),
IF(OR(D219="SF",D219="FH"),SUM(IF(B219&gt;=_xlfn.NUMBERVALUE('ZD Vorerfassung'!$C$22:$C$36),1,0)*IF(B219&lt;=_xlfn.NUMBERVALUE('ZD Vorerfassung'!$D$22:$D$36),1,0)*'ZD Vorerfassung'!$R$22:$R$36*IF(D219="FH",0.5,1)),
"prüfen")))</f>
        <v>0</v>
      </c>
      <c r="AX219" s="110">
        <f t="array" ref="AX219">IF(OR(D219="UU",D219="FT",D219="WE",E219="Ferien"),0,
IF(D219="NR",SUM(IF(B219&gt;=_xlfn.NUMBERVALUE('ZD Vorerfassung'!$C$22:$C$36),1,0)*IF(B219&lt;=_xlfn.NUMBERVALUE('ZD Vorerfassung'!$D$22:$D$36),1,0)*'ZD Vorerfassung'!$W$22:$W$36),
IF(OR(D219="SF",D219="FH"),SUM(IF(B219&gt;=_xlfn.NUMBERVALUE('ZD Vorerfassung'!$C$22:$C$36),1,0)*IF(B219&lt;=_xlfn.NUMBERVALUE('ZD Vorerfassung'!$D$22:$D$36),1,0)*'ZD Vorerfassung'!$X$22:$X$36*IF(D219="FH",0.5,1)),
"prüfen")))</f>
        <v>0</v>
      </c>
      <c r="AY219" s="110">
        <f t="array" ref="AY219">IF(OR(D219="UU",D219="FT",D219="WE",E219="Ferien"),0,
IF(D219="NR",SUM(IF(B219&gt;=_xlfn.NUMBERVALUE('ZD Vorerfassung'!$C$22:$C$36),1,0)*IF(B219&lt;=_xlfn.NUMBERVALUE('ZD Vorerfassung'!$D$22:$D$36),1,0)*'ZD Vorerfassung'!$U$22:$U$36),
IF(OR(D219="SF",D219="FH"),SUM(IF(B219&gt;=_xlfn.NUMBERVALUE('ZD Vorerfassung'!$C$22:$C$36),1,0)*IF(B219&lt;=_xlfn.NUMBERVALUE('ZD Vorerfassung'!$D$22:$D$36),1,0)*'ZD Vorerfassung'!$V$22:$V$36*IF(D219="FH",0.5,1)),
"prüfen")))</f>
        <v>0</v>
      </c>
      <c r="AZ219" s="110">
        <f t="array" ref="AZ219">IF(OR(D219="UU",D219="FT",D219="WE",E219="Ferien"),0,
IF(D219="NR",SUM(IF(B219&gt;=_xlfn.NUMBERVALUE('ZD Vorerfassung'!$C$22:$C$36),1,0)*IF(B219&lt;=_xlfn.NUMBERVALUE('ZD Vorerfassung'!$D$22:$D$36),1,0)*'ZD Vorerfassung'!$S$22:$S$36),
IF(OR(D219="SF",D219="FH"),SUM(IF(B219&gt;=_xlfn.NUMBERVALUE('ZD Vorerfassung'!$C$22:$C$36),1,0)*IF(B219&lt;=_xlfn.NUMBERVALUE('ZD Vorerfassung'!$D$22:$D$36),1,0)*'ZD Vorerfassung'!$T$22:$T$36*IF(D219="FH",0.5,1)),
"prüfen")))</f>
        <v>0</v>
      </c>
      <c r="BA219" s="112">
        <f t="shared" si="44"/>
        <v>2</v>
      </c>
    </row>
    <row r="220" spans="2:53" ht="19.5" thickTop="1" thickBot="1" x14ac:dyDescent="0.3">
      <c r="B220" s="99">
        <f t="shared" si="41"/>
        <v>44985</v>
      </c>
      <c r="C220" s="100">
        <f t="shared" si="45"/>
        <v>44985</v>
      </c>
      <c r="D220" s="101" t="str">
        <f t="shared" si="46"/>
        <v>NR</v>
      </c>
      <c r="E220" s="102" t="str">
        <f t="shared" si="42"/>
        <v>Unterrichtstag</v>
      </c>
      <c r="F220" s="103">
        <f t="shared" si="47"/>
        <v>0</v>
      </c>
      <c r="G220" s="104">
        <f t="shared" si="48"/>
        <v>0</v>
      </c>
      <c r="H220" s="104">
        <f>IFERROR(IF('ZD Vorerfassung'!$E$11="manuell",SUM(I220),IF(OR(E220="Feiertag",E220="Wochenende"),0,IF('ZD Vorerfassung'!$E$11="automatisch",AX220,IF(D220="UU","UU",IF(E220=Param2,AX220/24,IF(E220=Param9,AX220/48,"")))))),0)</f>
        <v>0</v>
      </c>
      <c r="I220" s="105"/>
      <c r="J220" s="106">
        <f>IF('ZD Vorerfassung'!$E$12="manuell",SUM(K220:AI220),IF(OR(E220="Feiertag",E220="Wochenende"),0,IF('ZD Vorerfassung'!$E$12="automatisch",AY220,IF(D220="UU","UU",IF(E220=Param2,AY220/24,IF(E220=Param9,AY220/48,""))))))</f>
        <v>0</v>
      </c>
      <c r="K220" s="105"/>
      <c r="L220" s="105"/>
      <c r="M220" s="105"/>
      <c r="N220" s="105"/>
      <c r="O220" s="105"/>
      <c r="P220" s="105"/>
      <c r="Q220" s="105"/>
      <c r="R220" s="105"/>
      <c r="S220" s="105"/>
      <c r="T220" s="105"/>
      <c r="U220" s="105"/>
      <c r="V220" s="105"/>
      <c r="W220" s="105"/>
      <c r="X220" s="105"/>
      <c r="Y220" s="105"/>
      <c r="Z220" s="105"/>
      <c r="AA220" s="105"/>
      <c r="AB220" s="105"/>
      <c r="AC220" s="105"/>
      <c r="AD220" s="105"/>
      <c r="AE220" s="105"/>
      <c r="AF220" s="105"/>
      <c r="AG220" s="105"/>
      <c r="AH220" s="105"/>
      <c r="AI220" s="105"/>
      <c r="AJ220" s="107">
        <f t="shared" si="49"/>
        <v>0</v>
      </c>
      <c r="AK220" s="105"/>
      <c r="AL220" s="105"/>
      <c r="AM220" s="105"/>
      <c r="AN220" s="105"/>
      <c r="AO220" s="105"/>
      <c r="AP220" s="105"/>
      <c r="AQ220" s="108">
        <f t="shared" si="50"/>
        <v>0</v>
      </c>
      <c r="AR220" s="108">
        <f t="shared" si="51"/>
        <v>0</v>
      </c>
      <c r="AS220" s="109">
        <f t="shared" si="52"/>
        <v>0</v>
      </c>
      <c r="AU220" s="110">
        <f t="shared" si="43"/>
        <v>0</v>
      </c>
      <c r="AV220" s="111">
        <f>IF(D220="NR",
IF('ZD Vorerfassung'!$E$22="",0,IF(AND(B220&gt;='ZD Vorerfassung'!$C$22,B220&lt;='ZD Vorerfassung'!$D$22),HLOOKUP(TEXT(C220,"ttt"),'ZD Vorerfassung'!$H$21:$L$36,2,0),0))+
IF('ZD Vorerfassung'!$E$23="",0,IF(AND(B220&gt;='ZD Vorerfassung'!$C$23,B220&lt;='ZD Vorerfassung'!$D$23),HLOOKUP(TEXT(C220,"ttt"),'ZD Vorerfassung'!$H$21:$L$36,3,0),0))+
IF('ZD Vorerfassung'!$E$24="",0,IF(AND(B220&gt;='ZD Vorerfassung'!$C$24,B220&lt;='ZD Vorerfassung'!$D$24),HLOOKUP(TEXT(C220,"ttt"),'ZD Vorerfassung'!$H$21:$L$36,4,0),0))+
IF('ZD Vorerfassung'!$E$25="",0,IF(AND(B220&gt;='ZD Vorerfassung'!$C$25,B220&lt;='ZD Vorerfassung'!$D$25),HLOOKUP(TEXT(C220,"ttt"),'ZD Vorerfassung'!$H$21:$L$36,5,0),0))+
IF('ZD Vorerfassung'!$E$26="",0,IF(AND(B220&gt;='ZD Vorerfassung'!$C$26,B220&lt;='ZD Vorerfassung'!$D$26),HLOOKUP(TEXT(C220,"ttt"),'ZD Vorerfassung'!$H$21:$L$36,6,0),0))+
IF('ZD Vorerfassung'!$E$27="",0,IF(AND(B220&gt;='ZD Vorerfassung'!$C$27,B220&lt;='ZD Vorerfassung'!$D$27),HLOOKUP(TEXT(C220,"ttt"),'ZD Vorerfassung'!$H$21:$L$36,7,0),0))+
IF('ZD Vorerfassung'!$E$28="",0,IF(AND(B220&gt;='ZD Vorerfassung'!$C$28,B220&lt;='ZD Vorerfassung'!$D$28),HLOOKUP(TEXT(C220,"ttt"),'ZD Vorerfassung'!$H$21:$L$36,8,0),0))+
IF('ZD Vorerfassung'!$E$29="",0,IF(AND(B220&gt;='ZD Vorerfassung'!$C$29,B220&lt;='ZD Vorerfassung'!$D$29),HLOOKUP(TEXT(C220,"ttt"),'ZD Vorerfassung'!$H$21:$L$36,9,0),0))+
IF('ZD Vorerfassung'!$E$30="",0,IF(AND(B220&gt;='ZD Vorerfassung'!$C$30,B220&lt;='ZD Vorerfassung'!$D$30),HLOOKUP(TEXT(C220,"ttt"),'ZD Vorerfassung'!$H$21:$L$36,10,0),0))+
IF('ZD Vorerfassung'!$E$31="",0,IF(AND(B220&gt;='ZD Vorerfassung'!$C$31,B220&lt;='ZD Vorerfassung'!$D$31),HLOOKUP(TEXT(C220,"ttt"),'ZD Vorerfassung'!$H$21:$L$36,11,0),0))+
IF('ZD Vorerfassung'!$E$32="",0,IF(AND(B220&gt;='ZD Vorerfassung'!$C$32,B220&lt;='ZD Vorerfassung'!$D$32),HLOOKUP(TEXT(C220,"ttt"),'ZD Vorerfassung'!$H$21:$L$36,12,0),0))+
IF('ZD Vorerfassung'!$E$33="",0,IF(AND(B220&gt;='ZD Vorerfassung'!$C$33,B220&lt;='ZD Vorerfassung'!$D$33),HLOOKUP(TEXT(C220,"ttt"),'ZD Vorerfassung'!$H$21:$L$36,13,0),0))+
IF('ZD Vorerfassung'!$E$34="",0,IF(AND(B220&gt;='ZD Vorerfassung'!$C$34,B220&lt;='ZD Vorerfassung'!$D$34),HLOOKUP(TEXT(C220,"ttt"),'ZD Vorerfassung'!$H$21:$L$36,14,0),0))+
IF('ZD Vorerfassung'!$E$35="",0,IF(AND(B220&gt;='ZD Vorerfassung'!$C$35,B220&lt;='ZD Vorerfassung'!$D$35),HLOOKUP(TEXT(C220,"ttt"),'ZD Vorerfassung'!$H$21:$L$36,15,0),0))+
IF('ZD Vorerfassung'!$E$36="",0,IF(AND(B220&gt;='ZD Vorerfassung'!$C$36,B220&lt;='ZD Vorerfassung'!$D$36),HLOOKUP(TEXT(C220,"ttt"),'ZD Vorerfassung'!$H$21:$L$36,16,0),0)),"")</f>
        <v>0</v>
      </c>
      <c r="AW220" s="110">
        <f t="array" ref="AW220">IF(OR(D220="UU",D220="FT",D220="WE"),0,
IF(D220="NR",SUM(IF(B220&gt;=_xlfn.NUMBERVALUE('ZD Vorerfassung'!$C$22:$C$36),1,0)*IF(B220&lt;=_xlfn.NUMBERVALUE('ZD Vorerfassung'!$D$22:$D$36),1,0)*'ZD Vorerfassung'!$Q$22:$Q$36),
IF(OR(D220="SF",D220="FH"),SUM(IF(B220&gt;=_xlfn.NUMBERVALUE('ZD Vorerfassung'!$C$22:$C$36),1,0)*IF(B220&lt;=_xlfn.NUMBERVALUE('ZD Vorerfassung'!$D$22:$D$36),1,0)*'ZD Vorerfassung'!$R$22:$R$36*IF(D220="FH",0.5,1)),
"prüfen")))</f>
        <v>0</v>
      </c>
      <c r="AX220" s="110">
        <f t="array" ref="AX220">IF(OR(D220="UU",D220="FT",D220="WE",E220="Ferien"),0,
IF(D220="NR",SUM(IF(B220&gt;=_xlfn.NUMBERVALUE('ZD Vorerfassung'!$C$22:$C$36),1,0)*IF(B220&lt;=_xlfn.NUMBERVALUE('ZD Vorerfassung'!$D$22:$D$36),1,0)*'ZD Vorerfassung'!$W$22:$W$36),
IF(OR(D220="SF",D220="FH"),SUM(IF(B220&gt;=_xlfn.NUMBERVALUE('ZD Vorerfassung'!$C$22:$C$36),1,0)*IF(B220&lt;=_xlfn.NUMBERVALUE('ZD Vorerfassung'!$D$22:$D$36),1,0)*'ZD Vorerfassung'!$X$22:$X$36*IF(D220="FH",0.5,1)),
"prüfen")))</f>
        <v>0</v>
      </c>
      <c r="AY220" s="110">
        <f t="array" ref="AY220">IF(OR(D220="UU",D220="FT",D220="WE",E220="Ferien"),0,
IF(D220="NR",SUM(IF(B220&gt;=_xlfn.NUMBERVALUE('ZD Vorerfassung'!$C$22:$C$36),1,0)*IF(B220&lt;=_xlfn.NUMBERVALUE('ZD Vorerfassung'!$D$22:$D$36),1,0)*'ZD Vorerfassung'!$U$22:$U$36),
IF(OR(D220="SF",D220="FH"),SUM(IF(B220&gt;=_xlfn.NUMBERVALUE('ZD Vorerfassung'!$C$22:$C$36),1,0)*IF(B220&lt;=_xlfn.NUMBERVALUE('ZD Vorerfassung'!$D$22:$D$36),1,0)*'ZD Vorerfassung'!$V$22:$V$36*IF(D220="FH",0.5,1)),
"prüfen")))</f>
        <v>0</v>
      </c>
      <c r="AZ220" s="110">
        <f t="array" ref="AZ220">IF(OR(D220="UU",D220="FT",D220="WE",E220="Ferien"),0,
IF(D220="NR",SUM(IF(B220&gt;=_xlfn.NUMBERVALUE('ZD Vorerfassung'!$C$22:$C$36),1,0)*IF(B220&lt;=_xlfn.NUMBERVALUE('ZD Vorerfassung'!$D$22:$D$36),1,0)*'ZD Vorerfassung'!$S$22:$S$36),
IF(OR(D220="SF",D220="FH"),SUM(IF(B220&gt;=_xlfn.NUMBERVALUE('ZD Vorerfassung'!$C$22:$C$36),1,0)*IF(B220&lt;=_xlfn.NUMBERVALUE('ZD Vorerfassung'!$D$22:$D$36),1,0)*'ZD Vorerfassung'!$T$22:$T$36*IF(D220="FH",0.5,1)),
"prüfen")))</f>
        <v>0</v>
      </c>
      <c r="BA220" s="112">
        <f t="shared" si="44"/>
        <v>3</v>
      </c>
    </row>
    <row r="221" spans="2:53" ht="19.5" thickTop="1" thickBot="1" x14ac:dyDescent="0.3">
      <c r="B221" s="99">
        <f t="shared" si="41"/>
        <v>44986</v>
      </c>
      <c r="C221" s="100">
        <f t="shared" si="45"/>
        <v>44986</v>
      </c>
      <c r="D221" s="101" t="str">
        <f t="shared" si="46"/>
        <v>NR</v>
      </c>
      <c r="E221" s="102" t="str">
        <f t="shared" si="42"/>
        <v>Unterrichtstag</v>
      </c>
      <c r="F221" s="103">
        <f t="shared" si="47"/>
        <v>0</v>
      </c>
      <c r="G221" s="104">
        <f t="shared" si="48"/>
        <v>0</v>
      </c>
      <c r="H221" s="104">
        <f>IFERROR(IF('ZD Vorerfassung'!$E$11="manuell",SUM(I221),IF(OR(E221="Feiertag",E221="Wochenende"),0,IF('ZD Vorerfassung'!$E$11="automatisch",AX221,IF(D221="UU","UU",IF(E221=Param2,AX221/24,IF(E221=Param9,AX221/48,"")))))),0)</f>
        <v>0</v>
      </c>
      <c r="I221" s="105"/>
      <c r="J221" s="106">
        <f>IF('ZD Vorerfassung'!$E$12="manuell",SUM(K221:AI221),IF(OR(E221="Feiertag",E221="Wochenende"),0,IF('ZD Vorerfassung'!$E$12="automatisch",AY221,IF(D221="UU","UU",IF(E221=Param2,AY221/24,IF(E221=Param9,AY221/48,""))))))</f>
        <v>0</v>
      </c>
      <c r="K221" s="105"/>
      <c r="L221" s="105"/>
      <c r="M221" s="105"/>
      <c r="N221" s="105"/>
      <c r="O221" s="105"/>
      <c r="P221" s="105"/>
      <c r="Q221" s="105"/>
      <c r="R221" s="105"/>
      <c r="S221" s="105"/>
      <c r="T221" s="105"/>
      <c r="U221" s="105"/>
      <c r="V221" s="105"/>
      <c r="W221" s="105"/>
      <c r="X221" s="105"/>
      <c r="Y221" s="105"/>
      <c r="Z221" s="105"/>
      <c r="AA221" s="105"/>
      <c r="AB221" s="105"/>
      <c r="AC221" s="105"/>
      <c r="AD221" s="105"/>
      <c r="AE221" s="105"/>
      <c r="AF221" s="105"/>
      <c r="AG221" s="105"/>
      <c r="AH221" s="105"/>
      <c r="AI221" s="105"/>
      <c r="AJ221" s="107">
        <f t="shared" si="49"/>
        <v>0</v>
      </c>
      <c r="AK221" s="105"/>
      <c r="AL221" s="105"/>
      <c r="AM221" s="105"/>
      <c r="AN221" s="105"/>
      <c r="AO221" s="105"/>
      <c r="AP221" s="105"/>
      <c r="AQ221" s="108">
        <f t="shared" si="50"/>
        <v>0</v>
      </c>
      <c r="AR221" s="108">
        <f t="shared" si="51"/>
        <v>0</v>
      </c>
      <c r="AS221" s="109">
        <f t="shared" si="52"/>
        <v>0</v>
      </c>
      <c r="AU221" s="110">
        <f t="shared" si="43"/>
        <v>0</v>
      </c>
      <c r="AV221" s="111">
        <f>IF(D221="NR",
IF('ZD Vorerfassung'!$E$22="",0,IF(AND(B221&gt;='ZD Vorerfassung'!$C$22,B221&lt;='ZD Vorerfassung'!$D$22),HLOOKUP(TEXT(C221,"ttt"),'ZD Vorerfassung'!$H$21:$L$36,2,0),0))+
IF('ZD Vorerfassung'!$E$23="",0,IF(AND(B221&gt;='ZD Vorerfassung'!$C$23,B221&lt;='ZD Vorerfassung'!$D$23),HLOOKUP(TEXT(C221,"ttt"),'ZD Vorerfassung'!$H$21:$L$36,3,0),0))+
IF('ZD Vorerfassung'!$E$24="",0,IF(AND(B221&gt;='ZD Vorerfassung'!$C$24,B221&lt;='ZD Vorerfassung'!$D$24),HLOOKUP(TEXT(C221,"ttt"),'ZD Vorerfassung'!$H$21:$L$36,4,0),0))+
IF('ZD Vorerfassung'!$E$25="",0,IF(AND(B221&gt;='ZD Vorerfassung'!$C$25,B221&lt;='ZD Vorerfassung'!$D$25),HLOOKUP(TEXT(C221,"ttt"),'ZD Vorerfassung'!$H$21:$L$36,5,0),0))+
IF('ZD Vorerfassung'!$E$26="",0,IF(AND(B221&gt;='ZD Vorerfassung'!$C$26,B221&lt;='ZD Vorerfassung'!$D$26),HLOOKUP(TEXT(C221,"ttt"),'ZD Vorerfassung'!$H$21:$L$36,6,0),0))+
IF('ZD Vorerfassung'!$E$27="",0,IF(AND(B221&gt;='ZD Vorerfassung'!$C$27,B221&lt;='ZD Vorerfassung'!$D$27),HLOOKUP(TEXT(C221,"ttt"),'ZD Vorerfassung'!$H$21:$L$36,7,0),0))+
IF('ZD Vorerfassung'!$E$28="",0,IF(AND(B221&gt;='ZD Vorerfassung'!$C$28,B221&lt;='ZD Vorerfassung'!$D$28),HLOOKUP(TEXT(C221,"ttt"),'ZD Vorerfassung'!$H$21:$L$36,8,0),0))+
IF('ZD Vorerfassung'!$E$29="",0,IF(AND(B221&gt;='ZD Vorerfassung'!$C$29,B221&lt;='ZD Vorerfassung'!$D$29),HLOOKUP(TEXT(C221,"ttt"),'ZD Vorerfassung'!$H$21:$L$36,9,0),0))+
IF('ZD Vorerfassung'!$E$30="",0,IF(AND(B221&gt;='ZD Vorerfassung'!$C$30,B221&lt;='ZD Vorerfassung'!$D$30),HLOOKUP(TEXT(C221,"ttt"),'ZD Vorerfassung'!$H$21:$L$36,10,0),0))+
IF('ZD Vorerfassung'!$E$31="",0,IF(AND(B221&gt;='ZD Vorerfassung'!$C$31,B221&lt;='ZD Vorerfassung'!$D$31),HLOOKUP(TEXT(C221,"ttt"),'ZD Vorerfassung'!$H$21:$L$36,11,0),0))+
IF('ZD Vorerfassung'!$E$32="",0,IF(AND(B221&gt;='ZD Vorerfassung'!$C$32,B221&lt;='ZD Vorerfassung'!$D$32),HLOOKUP(TEXT(C221,"ttt"),'ZD Vorerfassung'!$H$21:$L$36,12,0),0))+
IF('ZD Vorerfassung'!$E$33="",0,IF(AND(B221&gt;='ZD Vorerfassung'!$C$33,B221&lt;='ZD Vorerfassung'!$D$33),HLOOKUP(TEXT(C221,"ttt"),'ZD Vorerfassung'!$H$21:$L$36,13,0),0))+
IF('ZD Vorerfassung'!$E$34="",0,IF(AND(B221&gt;='ZD Vorerfassung'!$C$34,B221&lt;='ZD Vorerfassung'!$D$34),HLOOKUP(TEXT(C221,"ttt"),'ZD Vorerfassung'!$H$21:$L$36,14,0),0))+
IF('ZD Vorerfassung'!$E$35="",0,IF(AND(B221&gt;='ZD Vorerfassung'!$C$35,B221&lt;='ZD Vorerfassung'!$D$35),HLOOKUP(TEXT(C221,"ttt"),'ZD Vorerfassung'!$H$21:$L$36,15,0),0))+
IF('ZD Vorerfassung'!$E$36="",0,IF(AND(B221&gt;='ZD Vorerfassung'!$C$36,B221&lt;='ZD Vorerfassung'!$D$36),HLOOKUP(TEXT(C221,"ttt"),'ZD Vorerfassung'!$H$21:$L$36,16,0),0)),"")</f>
        <v>0</v>
      </c>
      <c r="AW221" s="110">
        <f t="array" ref="AW221">IF(OR(D221="UU",D221="FT",D221="WE"),0,
IF(D221="NR",SUM(IF(B221&gt;=_xlfn.NUMBERVALUE('ZD Vorerfassung'!$C$22:$C$36),1,0)*IF(B221&lt;=_xlfn.NUMBERVALUE('ZD Vorerfassung'!$D$22:$D$36),1,0)*'ZD Vorerfassung'!$Q$22:$Q$36),
IF(OR(D221="SF",D221="FH"),SUM(IF(B221&gt;=_xlfn.NUMBERVALUE('ZD Vorerfassung'!$C$22:$C$36),1,0)*IF(B221&lt;=_xlfn.NUMBERVALUE('ZD Vorerfassung'!$D$22:$D$36),1,0)*'ZD Vorerfassung'!$R$22:$R$36*IF(D221="FH",0.5,1)),
"prüfen")))</f>
        <v>0</v>
      </c>
      <c r="AX221" s="110">
        <f t="array" ref="AX221">IF(OR(D221="UU",D221="FT",D221="WE",E221="Ferien"),0,
IF(D221="NR",SUM(IF(B221&gt;=_xlfn.NUMBERVALUE('ZD Vorerfassung'!$C$22:$C$36),1,0)*IF(B221&lt;=_xlfn.NUMBERVALUE('ZD Vorerfassung'!$D$22:$D$36),1,0)*'ZD Vorerfassung'!$W$22:$W$36),
IF(OR(D221="SF",D221="FH"),SUM(IF(B221&gt;=_xlfn.NUMBERVALUE('ZD Vorerfassung'!$C$22:$C$36),1,0)*IF(B221&lt;=_xlfn.NUMBERVALUE('ZD Vorerfassung'!$D$22:$D$36),1,0)*'ZD Vorerfassung'!$X$22:$X$36*IF(D221="FH",0.5,1)),
"prüfen")))</f>
        <v>0</v>
      </c>
      <c r="AY221" s="110">
        <f t="array" ref="AY221">IF(OR(D221="UU",D221="FT",D221="WE",E221="Ferien"),0,
IF(D221="NR",SUM(IF(B221&gt;=_xlfn.NUMBERVALUE('ZD Vorerfassung'!$C$22:$C$36),1,0)*IF(B221&lt;=_xlfn.NUMBERVALUE('ZD Vorerfassung'!$D$22:$D$36),1,0)*'ZD Vorerfassung'!$U$22:$U$36),
IF(OR(D221="SF",D221="FH"),SUM(IF(B221&gt;=_xlfn.NUMBERVALUE('ZD Vorerfassung'!$C$22:$C$36),1,0)*IF(B221&lt;=_xlfn.NUMBERVALUE('ZD Vorerfassung'!$D$22:$D$36),1,0)*'ZD Vorerfassung'!$V$22:$V$36*IF(D221="FH",0.5,1)),
"prüfen")))</f>
        <v>0</v>
      </c>
      <c r="AZ221" s="110">
        <f t="array" ref="AZ221">IF(OR(D221="UU",D221="FT",D221="WE",E221="Ferien"),0,
IF(D221="NR",SUM(IF(B221&gt;=_xlfn.NUMBERVALUE('ZD Vorerfassung'!$C$22:$C$36),1,0)*IF(B221&lt;=_xlfn.NUMBERVALUE('ZD Vorerfassung'!$D$22:$D$36),1,0)*'ZD Vorerfassung'!$S$22:$S$36),
IF(OR(D221="SF",D221="FH"),SUM(IF(B221&gt;=_xlfn.NUMBERVALUE('ZD Vorerfassung'!$C$22:$C$36),1,0)*IF(B221&lt;=_xlfn.NUMBERVALUE('ZD Vorerfassung'!$D$22:$D$36),1,0)*'ZD Vorerfassung'!$T$22:$T$36*IF(D221="FH",0.5,1)),
"prüfen")))</f>
        <v>0</v>
      </c>
      <c r="BA221" s="112">
        <f t="shared" si="44"/>
        <v>3</v>
      </c>
    </row>
    <row r="222" spans="2:53" ht="19.5" thickTop="1" thickBot="1" x14ac:dyDescent="0.3">
      <c r="B222" s="99">
        <f t="shared" si="41"/>
        <v>44987</v>
      </c>
      <c r="C222" s="100">
        <f t="shared" si="45"/>
        <v>44987</v>
      </c>
      <c r="D222" s="101" t="str">
        <f t="shared" si="46"/>
        <v>NR</v>
      </c>
      <c r="E222" s="102" t="str">
        <f t="shared" si="42"/>
        <v>Unterrichtstag</v>
      </c>
      <c r="F222" s="103">
        <f t="shared" si="47"/>
        <v>0</v>
      </c>
      <c r="G222" s="104">
        <f t="shared" si="48"/>
        <v>0</v>
      </c>
      <c r="H222" s="104">
        <f>IFERROR(IF('ZD Vorerfassung'!$E$11="manuell",SUM(I222),IF(OR(E222="Feiertag",E222="Wochenende"),0,IF('ZD Vorerfassung'!$E$11="automatisch",AX222,IF(D222="UU","UU",IF(E222=Param2,AX222/24,IF(E222=Param9,AX222/48,"")))))),0)</f>
        <v>0</v>
      </c>
      <c r="I222" s="105"/>
      <c r="J222" s="106">
        <f>IF('ZD Vorerfassung'!$E$12="manuell",SUM(K222:AI222),IF(OR(E222="Feiertag",E222="Wochenende"),0,IF('ZD Vorerfassung'!$E$12="automatisch",AY222,IF(D222="UU","UU",IF(E222=Param2,AY222/24,IF(E222=Param9,AY222/48,""))))))</f>
        <v>0</v>
      </c>
      <c r="K222" s="105"/>
      <c r="L222" s="105"/>
      <c r="M222" s="105"/>
      <c r="N222" s="105"/>
      <c r="O222" s="105"/>
      <c r="P222" s="105"/>
      <c r="Q222" s="105"/>
      <c r="R222" s="105"/>
      <c r="S222" s="105"/>
      <c r="T222" s="105"/>
      <c r="U222" s="105"/>
      <c r="V222" s="105"/>
      <c r="W222" s="105"/>
      <c r="X222" s="105"/>
      <c r="Y222" s="105"/>
      <c r="Z222" s="105"/>
      <c r="AA222" s="105"/>
      <c r="AB222" s="105"/>
      <c r="AC222" s="105"/>
      <c r="AD222" s="105"/>
      <c r="AE222" s="105"/>
      <c r="AF222" s="105"/>
      <c r="AG222" s="105"/>
      <c r="AH222" s="105"/>
      <c r="AI222" s="105"/>
      <c r="AJ222" s="107">
        <f t="shared" si="49"/>
        <v>0</v>
      </c>
      <c r="AK222" s="105"/>
      <c r="AL222" s="105"/>
      <c r="AM222" s="105"/>
      <c r="AN222" s="105"/>
      <c r="AO222" s="105"/>
      <c r="AP222" s="105"/>
      <c r="AQ222" s="108">
        <f t="shared" si="50"/>
        <v>0</v>
      </c>
      <c r="AR222" s="108">
        <f t="shared" si="51"/>
        <v>0</v>
      </c>
      <c r="AS222" s="109">
        <f t="shared" si="52"/>
        <v>0</v>
      </c>
      <c r="AU222" s="110">
        <f t="shared" si="43"/>
        <v>0</v>
      </c>
      <c r="AV222" s="111">
        <f>IF(D222="NR",
IF('ZD Vorerfassung'!$E$22="",0,IF(AND(B222&gt;='ZD Vorerfassung'!$C$22,B222&lt;='ZD Vorerfassung'!$D$22),HLOOKUP(TEXT(C222,"ttt"),'ZD Vorerfassung'!$H$21:$L$36,2,0),0))+
IF('ZD Vorerfassung'!$E$23="",0,IF(AND(B222&gt;='ZD Vorerfassung'!$C$23,B222&lt;='ZD Vorerfassung'!$D$23),HLOOKUP(TEXT(C222,"ttt"),'ZD Vorerfassung'!$H$21:$L$36,3,0),0))+
IF('ZD Vorerfassung'!$E$24="",0,IF(AND(B222&gt;='ZD Vorerfassung'!$C$24,B222&lt;='ZD Vorerfassung'!$D$24),HLOOKUP(TEXT(C222,"ttt"),'ZD Vorerfassung'!$H$21:$L$36,4,0),0))+
IF('ZD Vorerfassung'!$E$25="",0,IF(AND(B222&gt;='ZD Vorerfassung'!$C$25,B222&lt;='ZD Vorerfassung'!$D$25),HLOOKUP(TEXT(C222,"ttt"),'ZD Vorerfassung'!$H$21:$L$36,5,0),0))+
IF('ZD Vorerfassung'!$E$26="",0,IF(AND(B222&gt;='ZD Vorerfassung'!$C$26,B222&lt;='ZD Vorerfassung'!$D$26),HLOOKUP(TEXT(C222,"ttt"),'ZD Vorerfassung'!$H$21:$L$36,6,0),0))+
IF('ZD Vorerfassung'!$E$27="",0,IF(AND(B222&gt;='ZD Vorerfassung'!$C$27,B222&lt;='ZD Vorerfassung'!$D$27),HLOOKUP(TEXT(C222,"ttt"),'ZD Vorerfassung'!$H$21:$L$36,7,0),0))+
IF('ZD Vorerfassung'!$E$28="",0,IF(AND(B222&gt;='ZD Vorerfassung'!$C$28,B222&lt;='ZD Vorerfassung'!$D$28),HLOOKUP(TEXT(C222,"ttt"),'ZD Vorerfassung'!$H$21:$L$36,8,0),0))+
IF('ZD Vorerfassung'!$E$29="",0,IF(AND(B222&gt;='ZD Vorerfassung'!$C$29,B222&lt;='ZD Vorerfassung'!$D$29),HLOOKUP(TEXT(C222,"ttt"),'ZD Vorerfassung'!$H$21:$L$36,9,0),0))+
IF('ZD Vorerfassung'!$E$30="",0,IF(AND(B222&gt;='ZD Vorerfassung'!$C$30,B222&lt;='ZD Vorerfassung'!$D$30),HLOOKUP(TEXT(C222,"ttt"),'ZD Vorerfassung'!$H$21:$L$36,10,0),0))+
IF('ZD Vorerfassung'!$E$31="",0,IF(AND(B222&gt;='ZD Vorerfassung'!$C$31,B222&lt;='ZD Vorerfassung'!$D$31),HLOOKUP(TEXT(C222,"ttt"),'ZD Vorerfassung'!$H$21:$L$36,11,0),0))+
IF('ZD Vorerfassung'!$E$32="",0,IF(AND(B222&gt;='ZD Vorerfassung'!$C$32,B222&lt;='ZD Vorerfassung'!$D$32),HLOOKUP(TEXT(C222,"ttt"),'ZD Vorerfassung'!$H$21:$L$36,12,0),0))+
IF('ZD Vorerfassung'!$E$33="",0,IF(AND(B222&gt;='ZD Vorerfassung'!$C$33,B222&lt;='ZD Vorerfassung'!$D$33),HLOOKUP(TEXT(C222,"ttt"),'ZD Vorerfassung'!$H$21:$L$36,13,0),0))+
IF('ZD Vorerfassung'!$E$34="",0,IF(AND(B222&gt;='ZD Vorerfassung'!$C$34,B222&lt;='ZD Vorerfassung'!$D$34),HLOOKUP(TEXT(C222,"ttt"),'ZD Vorerfassung'!$H$21:$L$36,14,0),0))+
IF('ZD Vorerfassung'!$E$35="",0,IF(AND(B222&gt;='ZD Vorerfassung'!$C$35,B222&lt;='ZD Vorerfassung'!$D$35),HLOOKUP(TEXT(C222,"ttt"),'ZD Vorerfassung'!$H$21:$L$36,15,0),0))+
IF('ZD Vorerfassung'!$E$36="",0,IF(AND(B222&gt;='ZD Vorerfassung'!$C$36,B222&lt;='ZD Vorerfassung'!$D$36),HLOOKUP(TEXT(C222,"ttt"),'ZD Vorerfassung'!$H$21:$L$36,16,0),0)),"")</f>
        <v>0</v>
      </c>
      <c r="AW222" s="110">
        <f t="array" ref="AW222">IF(OR(D222="UU",D222="FT",D222="WE"),0,
IF(D222="NR",SUM(IF(B222&gt;=_xlfn.NUMBERVALUE('ZD Vorerfassung'!$C$22:$C$36),1,0)*IF(B222&lt;=_xlfn.NUMBERVALUE('ZD Vorerfassung'!$D$22:$D$36),1,0)*'ZD Vorerfassung'!$Q$22:$Q$36),
IF(OR(D222="SF",D222="FH"),SUM(IF(B222&gt;=_xlfn.NUMBERVALUE('ZD Vorerfassung'!$C$22:$C$36),1,0)*IF(B222&lt;=_xlfn.NUMBERVALUE('ZD Vorerfassung'!$D$22:$D$36),1,0)*'ZD Vorerfassung'!$R$22:$R$36*IF(D222="FH",0.5,1)),
"prüfen")))</f>
        <v>0</v>
      </c>
      <c r="AX222" s="110">
        <f t="array" ref="AX222">IF(OR(D222="UU",D222="FT",D222="WE",E222="Ferien"),0,
IF(D222="NR",SUM(IF(B222&gt;=_xlfn.NUMBERVALUE('ZD Vorerfassung'!$C$22:$C$36),1,0)*IF(B222&lt;=_xlfn.NUMBERVALUE('ZD Vorerfassung'!$D$22:$D$36),1,0)*'ZD Vorerfassung'!$W$22:$W$36),
IF(OR(D222="SF",D222="FH"),SUM(IF(B222&gt;=_xlfn.NUMBERVALUE('ZD Vorerfassung'!$C$22:$C$36),1,0)*IF(B222&lt;=_xlfn.NUMBERVALUE('ZD Vorerfassung'!$D$22:$D$36),1,0)*'ZD Vorerfassung'!$X$22:$X$36*IF(D222="FH",0.5,1)),
"prüfen")))</f>
        <v>0</v>
      </c>
      <c r="AY222" s="110">
        <f t="array" ref="AY222">IF(OR(D222="UU",D222="FT",D222="WE",E222="Ferien"),0,
IF(D222="NR",SUM(IF(B222&gt;=_xlfn.NUMBERVALUE('ZD Vorerfassung'!$C$22:$C$36),1,0)*IF(B222&lt;=_xlfn.NUMBERVALUE('ZD Vorerfassung'!$D$22:$D$36),1,0)*'ZD Vorerfassung'!$U$22:$U$36),
IF(OR(D222="SF",D222="FH"),SUM(IF(B222&gt;=_xlfn.NUMBERVALUE('ZD Vorerfassung'!$C$22:$C$36),1,0)*IF(B222&lt;=_xlfn.NUMBERVALUE('ZD Vorerfassung'!$D$22:$D$36),1,0)*'ZD Vorerfassung'!$V$22:$V$36*IF(D222="FH",0.5,1)),
"prüfen")))</f>
        <v>0</v>
      </c>
      <c r="AZ222" s="110">
        <f t="array" ref="AZ222">IF(OR(D222="UU",D222="FT",D222="WE",E222="Ferien"),0,
IF(D222="NR",SUM(IF(B222&gt;=_xlfn.NUMBERVALUE('ZD Vorerfassung'!$C$22:$C$36),1,0)*IF(B222&lt;=_xlfn.NUMBERVALUE('ZD Vorerfassung'!$D$22:$D$36),1,0)*'ZD Vorerfassung'!$S$22:$S$36),
IF(OR(D222="SF",D222="FH"),SUM(IF(B222&gt;=_xlfn.NUMBERVALUE('ZD Vorerfassung'!$C$22:$C$36),1,0)*IF(B222&lt;=_xlfn.NUMBERVALUE('ZD Vorerfassung'!$D$22:$D$36),1,0)*'ZD Vorerfassung'!$T$22:$T$36*IF(D222="FH",0.5,1)),
"prüfen")))</f>
        <v>0</v>
      </c>
      <c r="BA222" s="112">
        <f t="shared" si="44"/>
        <v>3</v>
      </c>
    </row>
    <row r="223" spans="2:53" ht="19.5" thickTop="1" thickBot="1" x14ac:dyDescent="0.3">
      <c r="B223" s="99">
        <f t="shared" si="41"/>
        <v>44988</v>
      </c>
      <c r="C223" s="100">
        <f t="shared" si="45"/>
        <v>44988</v>
      </c>
      <c r="D223" s="101" t="str">
        <f t="shared" si="46"/>
        <v>NR</v>
      </c>
      <c r="E223" s="102" t="str">
        <f t="shared" si="42"/>
        <v>Unterrichtstag</v>
      </c>
      <c r="F223" s="103">
        <f t="shared" si="47"/>
        <v>0</v>
      </c>
      <c r="G223" s="104">
        <f t="shared" si="48"/>
        <v>0</v>
      </c>
      <c r="H223" s="104">
        <f>IFERROR(IF('ZD Vorerfassung'!$E$11="manuell",SUM(I223),IF(OR(E223="Feiertag",E223="Wochenende"),0,IF('ZD Vorerfassung'!$E$11="automatisch",AX223,IF(D223="UU","UU",IF(E223=Param2,AX223/24,IF(E223=Param9,AX223/48,"")))))),0)</f>
        <v>0</v>
      </c>
      <c r="I223" s="105"/>
      <c r="J223" s="106">
        <f>IF('ZD Vorerfassung'!$E$12="manuell",SUM(K223:AI223),IF(OR(E223="Feiertag",E223="Wochenende"),0,IF('ZD Vorerfassung'!$E$12="automatisch",AY223,IF(D223="UU","UU",IF(E223=Param2,AY223/24,IF(E223=Param9,AY223/48,""))))))</f>
        <v>0</v>
      </c>
      <c r="K223" s="105"/>
      <c r="L223" s="105"/>
      <c r="M223" s="105"/>
      <c r="N223" s="105"/>
      <c r="O223" s="105"/>
      <c r="P223" s="105"/>
      <c r="Q223" s="105"/>
      <c r="R223" s="105"/>
      <c r="S223" s="105"/>
      <c r="T223" s="105"/>
      <c r="U223" s="105"/>
      <c r="V223" s="105"/>
      <c r="W223" s="105"/>
      <c r="X223" s="105"/>
      <c r="Y223" s="105"/>
      <c r="Z223" s="105"/>
      <c r="AA223" s="105"/>
      <c r="AB223" s="105"/>
      <c r="AC223" s="105"/>
      <c r="AD223" s="105"/>
      <c r="AE223" s="105"/>
      <c r="AF223" s="105"/>
      <c r="AG223" s="105"/>
      <c r="AH223" s="105"/>
      <c r="AI223" s="105"/>
      <c r="AJ223" s="107">
        <f t="shared" si="49"/>
        <v>0</v>
      </c>
      <c r="AK223" s="105"/>
      <c r="AL223" s="105"/>
      <c r="AM223" s="105"/>
      <c r="AN223" s="105"/>
      <c r="AO223" s="105"/>
      <c r="AP223" s="105"/>
      <c r="AQ223" s="108">
        <f t="shared" si="50"/>
        <v>0</v>
      </c>
      <c r="AR223" s="108">
        <f t="shared" si="51"/>
        <v>0</v>
      </c>
      <c r="AS223" s="109">
        <f t="shared" si="52"/>
        <v>0</v>
      </c>
      <c r="AU223" s="110">
        <f t="shared" si="43"/>
        <v>0</v>
      </c>
      <c r="AV223" s="111">
        <f>IF(D223="NR",
IF('ZD Vorerfassung'!$E$22="",0,IF(AND(B223&gt;='ZD Vorerfassung'!$C$22,B223&lt;='ZD Vorerfassung'!$D$22),HLOOKUP(TEXT(C223,"ttt"),'ZD Vorerfassung'!$H$21:$L$36,2,0),0))+
IF('ZD Vorerfassung'!$E$23="",0,IF(AND(B223&gt;='ZD Vorerfassung'!$C$23,B223&lt;='ZD Vorerfassung'!$D$23),HLOOKUP(TEXT(C223,"ttt"),'ZD Vorerfassung'!$H$21:$L$36,3,0),0))+
IF('ZD Vorerfassung'!$E$24="",0,IF(AND(B223&gt;='ZD Vorerfassung'!$C$24,B223&lt;='ZD Vorerfassung'!$D$24),HLOOKUP(TEXT(C223,"ttt"),'ZD Vorerfassung'!$H$21:$L$36,4,0),0))+
IF('ZD Vorerfassung'!$E$25="",0,IF(AND(B223&gt;='ZD Vorerfassung'!$C$25,B223&lt;='ZD Vorerfassung'!$D$25),HLOOKUP(TEXT(C223,"ttt"),'ZD Vorerfassung'!$H$21:$L$36,5,0),0))+
IF('ZD Vorerfassung'!$E$26="",0,IF(AND(B223&gt;='ZD Vorerfassung'!$C$26,B223&lt;='ZD Vorerfassung'!$D$26),HLOOKUP(TEXT(C223,"ttt"),'ZD Vorerfassung'!$H$21:$L$36,6,0),0))+
IF('ZD Vorerfassung'!$E$27="",0,IF(AND(B223&gt;='ZD Vorerfassung'!$C$27,B223&lt;='ZD Vorerfassung'!$D$27),HLOOKUP(TEXT(C223,"ttt"),'ZD Vorerfassung'!$H$21:$L$36,7,0),0))+
IF('ZD Vorerfassung'!$E$28="",0,IF(AND(B223&gt;='ZD Vorerfassung'!$C$28,B223&lt;='ZD Vorerfassung'!$D$28),HLOOKUP(TEXT(C223,"ttt"),'ZD Vorerfassung'!$H$21:$L$36,8,0),0))+
IF('ZD Vorerfassung'!$E$29="",0,IF(AND(B223&gt;='ZD Vorerfassung'!$C$29,B223&lt;='ZD Vorerfassung'!$D$29),HLOOKUP(TEXT(C223,"ttt"),'ZD Vorerfassung'!$H$21:$L$36,9,0),0))+
IF('ZD Vorerfassung'!$E$30="",0,IF(AND(B223&gt;='ZD Vorerfassung'!$C$30,B223&lt;='ZD Vorerfassung'!$D$30),HLOOKUP(TEXT(C223,"ttt"),'ZD Vorerfassung'!$H$21:$L$36,10,0),0))+
IF('ZD Vorerfassung'!$E$31="",0,IF(AND(B223&gt;='ZD Vorerfassung'!$C$31,B223&lt;='ZD Vorerfassung'!$D$31),HLOOKUP(TEXT(C223,"ttt"),'ZD Vorerfassung'!$H$21:$L$36,11,0),0))+
IF('ZD Vorerfassung'!$E$32="",0,IF(AND(B223&gt;='ZD Vorerfassung'!$C$32,B223&lt;='ZD Vorerfassung'!$D$32),HLOOKUP(TEXT(C223,"ttt"),'ZD Vorerfassung'!$H$21:$L$36,12,0),0))+
IF('ZD Vorerfassung'!$E$33="",0,IF(AND(B223&gt;='ZD Vorerfassung'!$C$33,B223&lt;='ZD Vorerfassung'!$D$33),HLOOKUP(TEXT(C223,"ttt"),'ZD Vorerfassung'!$H$21:$L$36,13,0),0))+
IF('ZD Vorerfassung'!$E$34="",0,IF(AND(B223&gt;='ZD Vorerfassung'!$C$34,B223&lt;='ZD Vorerfassung'!$D$34),HLOOKUP(TEXT(C223,"ttt"),'ZD Vorerfassung'!$H$21:$L$36,14,0),0))+
IF('ZD Vorerfassung'!$E$35="",0,IF(AND(B223&gt;='ZD Vorerfassung'!$C$35,B223&lt;='ZD Vorerfassung'!$D$35),HLOOKUP(TEXT(C223,"ttt"),'ZD Vorerfassung'!$H$21:$L$36,15,0),0))+
IF('ZD Vorerfassung'!$E$36="",0,IF(AND(B223&gt;='ZD Vorerfassung'!$C$36,B223&lt;='ZD Vorerfassung'!$D$36),HLOOKUP(TEXT(C223,"ttt"),'ZD Vorerfassung'!$H$21:$L$36,16,0),0)),"")</f>
        <v>0</v>
      </c>
      <c r="AW223" s="110">
        <f t="array" ref="AW223">IF(OR(D223="UU",D223="FT",D223="WE"),0,
IF(D223="NR",SUM(IF(B223&gt;=_xlfn.NUMBERVALUE('ZD Vorerfassung'!$C$22:$C$36),1,0)*IF(B223&lt;=_xlfn.NUMBERVALUE('ZD Vorerfassung'!$D$22:$D$36),1,0)*'ZD Vorerfassung'!$Q$22:$Q$36),
IF(OR(D223="SF",D223="FH"),SUM(IF(B223&gt;=_xlfn.NUMBERVALUE('ZD Vorerfassung'!$C$22:$C$36),1,0)*IF(B223&lt;=_xlfn.NUMBERVALUE('ZD Vorerfassung'!$D$22:$D$36),1,0)*'ZD Vorerfassung'!$R$22:$R$36*IF(D223="FH",0.5,1)),
"prüfen")))</f>
        <v>0</v>
      </c>
      <c r="AX223" s="110">
        <f t="array" ref="AX223">IF(OR(D223="UU",D223="FT",D223="WE",E223="Ferien"),0,
IF(D223="NR",SUM(IF(B223&gt;=_xlfn.NUMBERVALUE('ZD Vorerfassung'!$C$22:$C$36),1,0)*IF(B223&lt;=_xlfn.NUMBERVALUE('ZD Vorerfassung'!$D$22:$D$36),1,0)*'ZD Vorerfassung'!$W$22:$W$36),
IF(OR(D223="SF",D223="FH"),SUM(IF(B223&gt;=_xlfn.NUMBERVALUE('ZD Vorerfassung'!$C$22:$C$36),1,0)*IF(B223&lt;=_xlfn.NUMBERVALUE('ZD Vorerfassung'!$D$22:$D$36),1,0)*'ZD Vorerfassung'!$X$22:$X$36*IF(D223="FH",0.5,1)),
"prüfen")))</f>
        <v>0</v>
      </c>
      <c r="AY223" s="110">
        <f t="array" ref="AY223">IF(OR(D223="UU",D223="FT",D223="WE",E223="Ferien"),0,
IF(D223="NR",SUM(IF(B223&gt;=_xlfn.NUMBERVALUE('ZD Vorerfassung'!$C$22:$C$36),1,0)*IF(B223&lt;=_xlfn.NUMBERVALUE('ZD Vorerfassung'!$D$22:$D$36),1,0)*'ZD Vorerfassung'!$U$22:$U$36),
IF(OR(D223="SF",D223="FH"),SUM(IF(B223&gt;=_xlfn.NUMBERVALUE('ZD Vorerfassung'!$C$22:$C$36),1,0)*IF(B223&lt;=_xlfn.NUMBERVALUE('ZD Vorerfassung'!$D$22:$D$36),1,0)*'ZD Vorerfassung'!$V$22:$V$36*IF(D223="FH",0.5,1)),
"prüfen")))</f>
        <v>0</v>
      </c>
      <c r="AZ223" s="110">
        <f t="array" ref="AZ223">IF(OR(D223="UU",D223="FT",D223="WE",E223="Ferien"),0,
IF(D223="NR",SUM(IF(B223&gt;=_xlfn.NUMBERVALUE('ZD Vorerfassung'!$C$22:$C$36),1,0)*IF(B223&lt;=_xlfn.NUMBERVALUE('ZD Vorerfassung'!$D$22:$D$36),1,0)*'ZD Vorerfassung'!$S$22:$S$36),
IF(OR(D223="SF",D223="FH"),SUM(IF(B223&gt;=_xlfn.NUMBERVALUE('ZD Vorerfassung'!$C$22:$C$36),1,0)*IF(B223&lt;=_xlfn.NUMBERVALUE('ZD Vorerfassung'!$D$22:$D$36),1,0)*'ZD Vorerfassung'!$T$22:$T$36*IF(D223="FH",0.5,1)),
"prüfen")))</f>
        <v>0</v>
      </c>
      <c r="BA223" s="112">
        <f t="shared" si="44"/>
        <v>3</v>
      </c>
    </row>
    <row r="224" spans="2:53" ht="19.5" thickTop="1" thickBot="1" x14ac:dyDescent="0.3">
      <c r="B224" s="99">
        <f t="shared" si="41"/>
        <v>44989</v>
      </c>
      <c r="C224" s="100">
        <f t="shared" si="45"/>
        <v>44989</v>
      </c>
      <c r="D224" s="101" t="str">
        <f t="shared" si="46"/>
        <v>NR</v>
      </c>
      <c r="E224" s="102" t="str">
        <f t="shared" si="42"/>
        <v>Unterrichtstag</v>
      </c>
      <c r="F224" s="103">
        <f t="shared" si="47"/>
        <v>0</v>
      </c>
      <c r="G224" s="104">
        <f t="shared" si="48"/>
        <v>0</v>
      </c>
      <c r="H224" s="104">
        <f>IFERROR(IF('ZD Vorerfassung'!$E$11="manuell",SUM(I224),IF(OR(E224="Feiertag",E224="Wochenende"),0,IF('ZD Vorerfassung'!$E$11="automatisch",AX224,IF(D224="UU","UU",IF(E224=Param2,AX224/24,IF(E224=Param9,AX224/48,"")))))),0)</f>
        <v>0</v>
      </c>
      <c r="I224" s="105"/>
      <c r="J224" s="106">
        <f>IF('ZD Vorerfassung'!$E$12="manuell",SUM(K224:AI224),IF(OR(E224="Feiertag",E224="Wochenende"),0,IF('ZD Vorerfassung'!$E$12="automatisch",AY224,IF(D224="UU","UU",IF(E224=Param2,AY224/24,IF(E224=Param9,AY224/48,""))))))</f>
        <v>0</v>
      </c>
      <c r="K224" s="105"/>
      <c r="L224" s="105"/>
      <c r="M224" s="105"/>
      <c r="N224" s="105"/>
      <c r="O224" s="105"/>
      <c r="P224" s="105"/>
      <c r="Q224" s="105"/>
      <c r="R224" s="105"/>
      <c r="S224" s="105"/>
      <c r="T224" s="105"/>
      <c r="U224" s="105"/>
      <c r="V224" s="105"/>
      <c r="W224" s="105"/>
      <c r="X224" s="105"/>
      <c r="Y224" s="105"/>
      <c r="Z224" s="105"/>
      <c r="AA224" s="105"/>
      <c r="AB224" s="105"/>
      <c r="AC224" s="105"/>
      <c r="AD224" s="105"/>
      <c r="AE224" s="105"/>
      <c r="AF224" s="105"/>
      <c r="AG224" s="105"/>
      <c r="AH224" s="105"/>
      <c r="AI224" s="105"/>
      <c r="AJ224" s="107">
        <f t="shared" si="49"/>
        <v>0</v>
      </c>
      <c r="AK224" s="105"/>
      <c r="AL224" s="105"/>
      <c r="AM224" s="105"/>
      <c r="AN224" s="105"/>
      <c r="AO224" s="105"/>
      <c r="AP224" s="105"/>
      <c r="AQ224" s="108">
        <f t="shared" si="50"/>
        <v>0</v>
      </c>
      <c r="AR224" s="108">
        <f t="shared" si="51"/>
        <v>0</v>
      </c>
      <c r="AS224" s="109">
        <f t="shared" si="52"/>
        <v>0</v>
      </c>
      <c r="AU224" s="110">
        <f t="shared" si="43"/>
        <v>0</v>
      </c>
      <c r="AV224" s="111">
        <f>IF(D224="NR",
IF('ZD Vorerfassung'!$E$22="",0,IF(AND(B224&gt;='ZD Vorerfassung'!$C$22,B224&lt;='ZD Vorerfassung'!$D$22),HLOOKUP(TEXT(C224,"ttt"),'ZD Vorerfassung'!$H$21:$L$36,2,0),0))+
IF('ZD Vorerfassung'!$E$23="",0,IF(AND(B224&gt;='ZD Vorerfassung'!$C$23,B224&lt;='ZD Vorerfassung'!$D$23),HLOOKUP(TEXT(C224,"ttt"),'ZD Vorerfassung'!$H$21:$L$36,3,0),0))+
IF('ZD Vorerfassung'!$E$24="",0,IF(AND(B224&gt;='ZD Vorerfassung'!$C$24,B224&lt;='ZD Vorerfassung'!$D$24),HLOOKUP(TEXT(C224,"ttt"),'ZD Vorerfassung'!$H$21:$L$36,4,0),0))+
IF('ZD Vorerfassung'!$E$25="",0,IF(AND(B224&gt;='ZD Vorerfassung'!$C$25,B224&lt;='ZD Vorerfassung'!$D$25),HLOOKUP(TEXT(C224,"ttt"),'ZD Vorerfassung'!$H$21:$L$36,5,0),0))+
IF('ZD Vorerfassung'!$E$26="",0,IF(AND(B224&gt;='ZD Vorerfassung'!$C$26,B224&lt;='ZD Vorerfassung'!$D$26),HLOOKUP(TEXT(C224,"ttt"),'ZD Vorerfassung'!$H$21:$L$36,6,0),0))+
IF('ZD Vorerfassung'!$E$27="",0,IF(AND(B224&gt;='ZD Vorerfassung'!$C$27,B224&lt;='ZD Vorerfassung'!$D$27),HLOOKUP(TEXT(C224,"ttt"),'ZD Vorerfassung'!$H$21:$L$36,7,0),0))+
IF('ZD Vorerfassung'!$E$28="",0,IF(AND(B224&gt;='ZD Vorerfassung'!$C$28,B224&lt;='ZD Vorerfassung'!$D$28),HLOOKUP(TEXT(C224,"ttt"),'ZD Vorerfassung'!$H$21:$L$36,8,0),0))+
IF('ZD Vorerfassung'!$E$29="",0,IF(AND(B224&gt;='ZD Vorerfassung'!$C$29,B224&lt;='ZD Vorerfassung'!$D$29),HLOOKUP(TEXT(C224,"ttt"),'ZD Vorerfassung'!$H$21:$L$36,9,0),0))+
IF('ZD Vorerfassung'!$E$30="",0,IF(AND(B224&gt;='ZD Vorerfassung'!$C$30,B224&lt;='ZD Vorerfassung'!$D$30),HLOOKUP(TEXT(C224,"ttt"),'ZD Vorerfassung'!$H$21:$L$36,10,0),0))+
IF('ZD Vorerfassung'!$E$31="",0,IF(AND(B224&gt;='ZD Vorerfassung'!$C$31,B224&lt;='ZD Vorerfassung'!$D$31),HLOOKUP(TEXT(C224,"ttt"),'ZD Vorerfassung'!$H$21:$L$36,11,0),0))+
IF('ZD Vorerfassung'!$E$32="",0,IF(AND(B224&gt;='ZD Vorerfassung'!$C$32,B224&lt;='ZD Vorerfassung'!$D$32),HLOOKUP(TEXT(C224,"ttt"),'ZD Vorerfassung'!$H$21:$L$36,12,0),0))+
IF('ZD Vorerfassung'!$E$33="",0,IF(AND(B224&gt;='ZD Vorerfassung'!$C$33,B224&lt;='ZD Vorerfassung'!$D$33),HLOOKUP(TEXT(C224,"ttt"),'ZD Vorerfassung'!$H$21:$L$36,13,0),0))+
IF('ZD Vorerfassung'!$E$34="",0,IF(AND(B224&gt;='ZD Vorerfassung'!$C$34,B224&lt;='ZD Vorerfassung'!$D$34),HLOOKUP(TEXT(C224,"ttt"),'ZD Vorerfassung'!$H$21:$L$36,14,0),0))+
IF('ZD Vorerfassung'!$E$35="",0,IF(AND(B224&gt;='ZD Vorerfassung'!$C$35,B224&lt;='ZD Vorerfassung'!$D$35),HLOOKUP(TEXT(C224,"ttt"),'ZD Vorerfassung'!$H$21:$L$36,15,0),0))+
IF('ZD Vorerfassung'!$E$36="",0,IF(AND(B224&gt;='ZD Vorerfassung'!$C$36,B224&lt;='ZD Vorerfassung'!$D$36),HLOOKUP(TEXT(C224,"ttt"),'ZD Vorerfassung'!$H$21:$L$36,16,0),0)),"")</f>
        <v>0</v>
      </c>
      <c r="AW224" s="110">
        <f t="array" ref="AW224">IF(OR(D224="UU",D224="FT",D224="WE"),0,
IF(D224="NR",SUM(IF(B224&gt;=_xlfn.NUMBERVALUE('ZD Vorerfassung'!$C$22:$C$36),1,0)*IF(B224&lt;=_xlfn.NUMBERVALUE('ZD Vorerfassung'!$D$22:$D$36),1,0)*'ZD Vorerfassung'!$Q$22:$Q$36),
IF(OR(D224="SF",D224="FH"),SUM(IF(B224&gt;=_xlfn.NUMBERVALUE('ZD Vorerfassung'!$C$22:$C$36),1,0)*IF(B224&lt;=_xlfn.NUMBERVALUE('ZD Vorerfassung'!$D$22:$D$36),1,0)*'ZD Vorerfassung'!$R$22:$R$36*IF(D224="FH",0.5,1)),
"prüfen")))</f>
        <v>0</v>
      </c>
      <c r="AX224" s="110">
        <f t="array" ref="AX224">IF(OR(D224="UU",D224="FT",D224="WE",E224="Ferien"),0,
IF(D224="NR",SUM(IF(B224&gt;=_xlfn.NUMBERVALUE('ZD Vorerfassung'!$C$22:$C$36),1,0)*IF(B224&lt;=_xlfn.NUMBERVALUE('ZD Vorerfassung'!$D$22:$D$36),1,0)*'ZD Vorerfassung'!$W$22:$W$36),
IF(OR(D224="SF",D224="FH"),SUM(IF(B224&gt;=_xlfn.NUMBERVALUE('ZD Vorerfassung'!$C$22:$C$36),1,0)*IF(B224&lt;=_xlfn.NUMBERVALUE('ZD Vorerfassung'!$D$22:$D$36),1,0)*'ZD Vorerfassung'!$X$22:$X$36*IF(D224="FH",0.5,1)),
"prüfen")))</f>
        <v>0</v>
      </c>
      <c r="AY224" s="110">
        <f t="array" ref="AY224">IF(OR(D224="UU",D224="FT",D224="WE",E224="Ferien"),0,
IF(D224="NR",SUM(IF(B224&gt;=_xlfn.NUMBERVALUE('ZD Vorerfassung'!$C$22:$C$36),1,0)*IF(B224&lt;=_xlfn.NUMBERVALUE('ZD Vorerfassung'!$D$22:$D$36),1,0)*'ZD Vorerfassung'!$U$22:$U$36),
IF(OR(D224="SF",D224="FH"),SUM(IF(B224&gt;=_xlfn.NUMBERVALUE('ZD Vorerfassung'!$C$22:$C$36),1,0)*IF(B224&lt;=_xlfn.NUMBERVALUE('ZD Vorerfassung'!$D$22:$D$36),1,0)*'ZD Vorerfassung'!$V$22:$V$36*IF(D224="FH",0.5,1)),
"prüfen")))</f>
        <v>0</v>
      </c>
      <c r="AZ224" s="110">
        <f t="array" ref="AZ224">IF(OR(D224="UU",D224="FT",D224="WE",E224="Ferien"),0,
IF(D224="NR",SUM(IF(B224&gt;=_xlfn.NUMBERVALUE('ZD Vorerfassung'!$C$22:$C$36),1,0)*IF(B224&lt;=_xlfn.NUMBERVALUE('ZD Vorerfassung'!$D$22:$D$36),1,0)*'ZD Vorerfassung'!$S$22:$S$36),
IF(OR(D224="SF",D224="FH"),SUM(IF(B224&gt;=_xlfn.NUMBERVALUE('ZD Vorerfassung'!$C$22:$C$36),1,0)*IF(B224&lt;=_xlfn.NUMBERVALUE('ZD Vorerfassung'!$D$22:$D$36),1,0)*'ZD Vorerfassung'!$T$22:$T$36*IF(D224="FH",0.5,1)),
"prüfen")))</f>
        <v>0</v>
      </c>
      <c r="BA224" s="112">
        <f t="shared" si="44"/>
        <v>3</v>
      </c>
    </row>
    <row r="225" spans="2:53" ht="19.5" thickTop="1" thickBot="1" x14ac:dyDescent="0.3">
      <c r="B225" s="99">
        <f t="shared" si="41"/>
        <v>44990</v>
      </c>
      <c r="C225" s="100">
        <f t="shared" si="45"/>
        <v>44990</v>
      </c>
      <c r="D225" s="101" t="str">
        <f t="shared" si="46"/>
        <v>WE</v>
      </c>
      <c r="E225" s="102" t="str">
        <f t="shared" si="42"/>
        <v>Wochenende</v>
      </c>
      <c r="F225" s="103" t="str">
        <f t="shared" si="47"/>
        <v/>
      </c>
      <c r="G225" s="104" t="str">
        <f t="shared" si="48"/>
        <v/>
      </c>
      <c r="H225" s="104">
        <f>IFERROR(IF('ZD Vorerfassung'!$E$11="manuell",SUM(I225),IF(OR(E225="Feiertag",E225="Wochenende"),0,IF('ZD Vorerfassung'!$E$11="automatisch",AX225,IF(D225="UU","UU",IF(E225=Param2,AX225/24,IF(E225=Param9,AX225/48,"")))))),0)</f>
        <v>0</v>
      </c>
      <c r="I225" s="105"/>
      <c r="J225" s="106">
        <f>IF('ZD Vorerfassung'!$E$12="manuell",SUM(K225:AI225),IF(OR(E225="Feiertag",E225="Wochenende"),0,IF('ZD Vorerfassung'!$E$12="automatisch",AY225,IF(D225="UU","UU",IF(E225=Param2,AY225/24,IF(E225=Param9,AY225/48,""))))))</f>
        <v>0</v>
      </c>
      <c r="K225" s="105"/>
      <c r="L225" s="105"/>
      <c r="M225" s="105"/>
      <c r="N225" s="105"/>
      <c r="O225" s="105"/>
      <c r="P225" s="105"/>
      <c r="Q225" s="105"/>
      <c r="R225" s="105"/>
      <c r="S225" s="105"/>
      <c r="T225" s="105"/>
      <c r="U225" s="105"/>
      <c r="V225" s="105"/>
      <c r="W225" s="105"/>
      <c r="X225" s="105"/>
      <c r="Y225" s="105"/>
      <c r="Z225" s="105"/>
      <c r="AA225" s="105"/>
      <c r="AB225" s="105"/>
      <c r="AC225" s="105"/>
      <c r="AD225" s="105"/>
      <c r="AE225" s="105"/>
      <c r="AF225" s="105"/>
      <c r="AG225" s="105"/>
      <c r="AH225" s="105"/>
      <c r="AI225" s="105"/>
      <c r="AJ225" s="107">
        <f t="shared" si="49"/>
        <v>0</v>
      </c>
      <c r="AK225" s="105"/>
      <c r="AL225" s="105"/>
      <c r="AM225" s="105"/>
      <c r="AN225" s="105"/>
      <c r="AO225" s="105"/>
      <c r="AP225" s="105"/>
      <c r="AQ225" s="108">
        <f t="shared" si="50"/>
        <v>0</v>
      </c>
      <c r="AR225" s="108">
        <f t="shared" si="51"/>
        <v>0</v>
      </c>
      <c r="AS225" s="109">
        <f t="shared" si="52"/>
        <v>0</v>
      </c>
      <c r="AU225" s="110">
        <f t="shared" si="43"/>
        <v>0</v>
      </c>
      <c r="AV225" s="111" t="str">
        <f>IF(D225="NR",
IF('ZD Vorerfassung'!$E$22="",0,IF(AND(B225&gt;='ZD Vorerfassung'!$C$22,B225&lt;='ZD Vorerfassung'!$D$22),HLOOKUP(TEXT(C225,"ttt"),'ZD Vorerfassung'!$H$21:$L$36,2,0),0))+
IF('ZD Vorerfassung'!$E$23="",0,IF(AND(B225&gt;='ZD Vorerfassung'!$C$23,B225&lt;='ZD Vorerfassung'!$D$23),HLOOKUP(TEXT(C225,"ttt"),'ZD Vorerfassung'!$H$21:$L$36,3,0),0))+
IF('ZD Vorerfassung'!$E$24="",0,IF(AND(B225&gt;='ZD Vorerfassung'!$C$24,B225&lt;='ZD Vorerfassung'!$D$24),HLOOKUP(TEXT(C225,"ttt"),'ZD Vorerfassung'!$H$21:$L$36,4,0),0))+
IF('ZD Vorerfassung'!$E$25="",0,IF(AND(B225&gt;='ZD Vorerfassung'!$C$25,B225&lt;='ZD Vorerfassung'!$D$25),HLOOKUP(TEXT(C225,"ttt"),'ZD Vorerfassung'!$H$21:$L$36,5,0),0))+
IF('ZD Vorerfassung'!$E$26="",0,IF(AND(B225&gt;='ZD Vorerfassung'!$C$26,B225&lt;='ZD Vorerfassung'!$D$26),HLOOKUP(TEXT(C225,"ttt"),'ZD Vorerfassung'!$H$21:$L$36,6,0),0))+
IF('ZD Vorerfassung'!$E$27="",0,IF(AND(B225&gt;='ZD Vorerfassung'!$C$27,B225&lt;='ZD Vorerfassung'!$D$27),HLOOKUP(TEXT(C225,"ttt"),'ZD Vorerfassung'!$H$21:$L$36,7,0),0))+
IF('ZD Vorerfassung'!$E$28="",0,IF(AND(B225&gt;='ZD Vorerfassung'!$C$28,B225&lt;='ZD Vorerfassung'!$D$28),HLOOKUP(TEXT(C225,"ttt"),'ZD Vorerfassung'!$H$21:$L$36,8,0),0))+
IF('ZD Vorerfassung'!$E$29="",0,IF(AND(B225&gt;='ZD Vorerfassung'!$C$29,B225&lt;='ZD Vorerfassung'!$D$29),HLOOKUP(TEXT(C225,"ttt"),'ZD Vorerfassung'!$H$21:$L$36,9,0),0))+
IF('ZD Vorerfassung'!$E$30="",0,IF(AND(B225&gt;='ZD Vorerfassung'!$C$30,B225&lt;='ZD Vorerfassung'!$D$30),HLOOKUP(TEXT(C225,"ttt"),'ZD Vorerfassung'!$H$21:$L$36,10,0),0))+
IF('ZD Vorerfassung'!$E$31="",0,IF(AND(B225&gt;='ZD Vorerfassung'!$C$31,B225&lt;='ZD Vorerfassung'!$D$31),HLOOKUP(TEXT(C225,"ttt"),'ZD Vorerfassung'!$H$21:$L$36,11,0),0))+
IF('ZD Vorerfassung'!$E$32="",0,IF(AND(B225&gt;='ZD Vorerfassung'!$C$32,B225&lt;='ZD Vorerfassung'!$D$32),HLOOKUP(TEXT(C225,"ttt"),'ZD Vorerfassung'!$H$21:$L$36,12,0),0))+
IF('ZD Vorerfassung'!$E$33="",0,IF(AND(B225&gt;='ZD Vorerfassung'!$C$33,B225&lt;='ZD Vorerfassung'!$D$33),HLOOKUP(TEXT(C225,"ttt"),'ZD Vorerfassung'!$H$21:$L$36,13,0),0))+
IF('ZD Vorerfassung'!$E$34="",0,IF(AND(B225&gt;='ZD Vorerfassung'!$C$34,B225&lt;='ZD Vorerfassung'!$D$34),HLOOKUP(TEXT(C225,"ttt"),'ZD Vorerfassung'!$H$21:$L$36,14,0),0))+
IF('ZD Vorerfassung'!$E$35="",0,IF(AND(B225&gt;='ZD Vorerfassung'!$C$35,B225&lt;='ZD Vorerfassung'!$D$35),HLOOKUP(TEXT(C225,"ttt"),'ZD Vorerfassung'!$H$21:$L$36,15,0),0))+
IF('ZD Vorerfassung'!$E$36="",0,IF(AND(B225&gt;='ZD Vorerfassung'!$C$36,B225&lt;='ZD Vorerfassung'!$D$36),HLOOKUP(TEXT(C225,"ttt"),'ZD Vorerfassung'!$H$21:$L$36,16,0),0)),"")</f>
        <v/>
      </c>
      <c r="AW225" s="110">
        <f t="array" ref="AW225">IF(OR(D225="UU",D225="FT",D225="WE"),0,
IF(D225="NR",SUM(IF(B225&gt;=_xlfn.NUMBERVALUE('ZD Vorerfassung'!$C$22:$C$36),1,0)*IF(B225&lt;=_xlfn.NUMBERVALUE('ZD Vorerfassung'!$D$22:$D$36),1,0)*'ZD Vorerfassung'!$Q$22:$Q$36),
IF(OR(D225="SF",D225="FH"),SUM(IF(B225&gt;=_xlfn.NUMBERVALUE('ZD Vorerfassung'!$C$22:$C$36),1,0)*IF(B225&lt;=_xlfn.NUMBERVALUE('ZD Vorerfassung'!$D$22:$D$36),1,0)*'ZD Vorerfassung'!$R$22:$R$36*IF(D225="FH",0.5,1)),
"prüfen")))</f>
        <v>0</v>
      </c>
      <c r="AX225" s="110">
        <f t="array" ref="AX225">IF(OR(D225="UU",D225="FT",D225="WE",E225="Ferien"),0,
IF(D225="NR",SUM(IF(B225&gt;=_xlfn.NUMBERVALUE('ZD Vorerfassung'!$C$22:$C$36),1,0)*IF(B225&lt;=_xlfn.NUMBERVALUE('ZD Vorerfassung'!$D$22:$D$36),1,0)*'ZD Vorerfassung'!$W$22:$W$36),
IF(OR(D225="SF",D225="FH"),SUM(IF(B225&gt;=_xlfn.NUMBERVALUE('ZD Vorerfassung'!$C$22:$C$36),1,0)*IF(B225&lt;=_xlfn.NUMBERVALUE('ZD Vorerfassung'!$D$22:$D$36),1,0)*'ZD Vorerfassung'!$X$22:$X$36*IF(D225="FH",0.5,1)),
"prüfen")))</f>
        <v>0</v>
      </c>
      <c r="AY225" s="110">
        <f t="array" ref="AY225">IF(OR(D225="UU",D225="FT",D225="WE",E225="Ferien"),0,
IF(D225="NR",SUM(IF(B225&gt;=_xlfn.NUMBERVALUE('ZD Vorerfassung'!$C$22:$C$36),1,0)*IF(B225&lt;=_xlfn.NUMBERVALUE('ZD Vorerfassung'!$D$22:$D$36),1,0)*'ZD Vorerfassung'!$U$22:$U$36),
IF(OR(D225="SF",D225="FH"),SUM(IF(B225&gt;=_xlfn.NUMBERVALUE('ZD Vorerfassung'!$C$22:$C$36),1,0)*IF(B225&lt;=_xlfn.NUMBERVALUE('ZD Vorerfassung'!$D$22:$D$36),1,0)*'ZD Vorerfassung'!$V$22:$V$36*IF(D225="FH",0.5,1)),
"prüfen")))</f>
        <v>0</v>
      </c>
      <c r="AZ225" s="110">
        <f t="array" ref="AZ225">IF(OR(D225="UU",D225="FT",D225="WE",E225="Ferien"),0,
IF(D225="NR",SUM(IF(B225&gt;=_xlfn.NUMBERVALUE('ZD Vorerfassung'!$C$22:$C$36),1,0)*IF(B225&lt;=_xlfn.NUMBERVALUE('ZD Vorerfassung'!$D$22:$D$36),1,0)*'ZD Vorerfassung'!$S$22:$S$36),
IF(OR(D225="SF",D225="FH"),SUM(IF(B225&gt;=_xlfn.NUMBERVALUE('ZD Vorerfassung'!$C$22:$C$36),1,0)*IF(B225&lt;=_xlfn.NUMBERVALUE('ZD Vorerfassung'!$D$22:$D$36),1,0)*'ZD Vorerfassung'!$T$22:$T$36*IF(D225="FH",0.5,1)),
"prüfen")))</f>
        <v>0</v>
      </c>
      <c r="BA225" s="112">
        <f t="shared" si="44"/>
        <v>3</v>
      </c>
    </row>
    <row r="226" spans="2:53" ht="19.5" thickTop="1" thickBot="1" x14ac:dyDescent="0.3">
      <c r="B226" s="99">
        <f t="shared" si="41"/>
        <v>44991</v>
      </c>
      <c r="C226" s="100">
        <f t="shared" si="45"/>
        <v>44991</v>
      </c>
      <c r="D226" s="101" t="str">
        <f t="shared" si="46"/>
        <v>WE</v>
      </c>
      <c r="E226" s="102" t="str">
        <f t="shared" si="42"/>
        <v>Wochenende</v>
      </c>
      <c r="F226" s="103" t="str">
        <f t="shared" si="47"/>
        <v/>
      </c>
      <c r="G226" s="104" t="str">
        <f t="shared" si="48"/>
        <v/>
      </c>
      <c r="H226" s="104">
        <f>IFERROR(IF('ZD Vorerfassung'!$E$11="manuell",SUM(I226),IF(OR(E226="Feiertag",E226="Wochenende"),0,IF('ZD Vorerfassung'!$E$11="automatisch",AX226,IF(D226="UU","UU",IF(E226=Param2,AX226/24,IF(E226=Param9,AX226/48,"")))))),0)</f>
        <v>0</v>
      </c>
      <c r="I226" s="105"/>
      <c r="J226" s="106">
        <f>IF('ZD Vorerfassung'!$E$12="manuell",SUM(K226:AI226),IF(OR(E226="Feiertag",E226="Wochenende"),0,IF('ZD Vorerfassung'!$E$12="automatisch",AY226,IF(D226="UU","UU",IF(E226=Param2,AY226/24,IF(E226=Param9,AY226/48,""))))))</f>
        <v>0</v>
      </c>
      <c r="K226" s="105"/>
      <c r="L226" s="105"/>
      <c r="M226" s="105"/>
      <c r="N226" s="105"/>
      <c r="O226" s="105"/>
      <c r="P226" s="105"/>
      <c r="Q226" s="105"/>
      <c r="R226" s="105"/>
      <c r="S226" s="105"/>
      <c r="T226" s="105"/>
      <c r="U226" s="105"/>
      <c r="V226" s="105"/>
      <c r="W226" s="105"/>
      <c r="X226" s="105"/>
      <c r="Y226" s="105"/>
      <c r="Z226" s="105"/>
      <c r="AA226" s="105"/>
      <c r="AB226" s="105"/>
      <c r="AC226" s="105"/>
      <c r="AD226" s="105"/>
      <c r="AE226" s="105"/>
      <c r="AF226" s="105"/>
      <c r="AG226" s="105"/>
      <c r="AH226" s="105"/>
      <c r="AI226" s="105"/>
      <c r="AJ226" s="107">
        <f t="shared" si="49"/>
        <v>0</v>
      </c>
      <c r="AK226" s="105"/>
      <c r="AL226" s="105"/>
      <c r="AM226" s="105"/>
      <c r="AN226" s="105"/>
      <c r="AO226" s="105"/>
      <c r="AP226" s="105"/>
      <c r="AQ226" s="108">
        <f t="shared" si="50"/>
        <v>0</v>
      </c>
      <c r="AR226" s="108">
        <f t="shared" si="51"/>
        <v>0</v>
      </c>
      <c r="AS226" s="109">
        <f t="shared" si="52"/>
        <v>0</v>
      </c>
      <c r="AU226" s="110">
        <f t="shared" si="43"/>
        <v>0</v>
      </c>
      <c r="AV226" s="111" t="str">
        <f>IF(D226="NR",
IF('ZD Vorerfassung'!$E$22="",0,IF(AND(B226&gt;='ZD Vorerfassung'!$C$22,B226&lt;='ZD Vorerfassung'!$D$22),HLOOKUP(TEXT(C226,"ttt"),'ZD Vorerfassung'!$H$21:$L$36,2,0),0))+
IF('ZD Vorerfassung'!$E$23="",0,IF(AND(B226&gt;='ZD Vorerfassung'!$C$23,B226&lt;='ZD Vorerfassung'!$D$23),HLOOKUP(TEXT(C226,"ttt"),'ZD Vorerfassung'!$H$21:$L$36,3,0),0))+
IF('ZD Vorerfassung'!$E$24="",0,IF(AND(B226&gt;='ZD Vorerfassung'!$C$24,B226&lt;='ZD Vorerfassung'!$D$24),HLOOKUP(TEXT(C226,"ttt"),'ZD Vorerfassung'!$H$21:$L$36,4,0),0))+
IF('ZD Vorerfassung'!$E$25="",0,IF(AND(B226&gt;='ZD Vorerfassung'!$C$25,B226&lt;='ZD Vorerfassung'!$D$25),HLOOKUP(TEXT(C226,"ttt"),'ZD Vorerfassung'!$H$21:$L$36,5,0),0))+
IF('ZD Vorerfassung'!$E$26="",0,IF(AND(B226&gt;='ZD Vorerfassung'!$C$26,B226&lt;='ZD Vorerfassung'!$D$26),HLOOKUP(TEXT(C226,"ttt"),'ZD Vorerfassung'!$H$21:$L$36,6,0),0))+
IF('ZD Vorerfassung'!$E$27="",0,IF(AND(B226&gt;='ZD Vorerfassung'!$C$27,B226&lt;='ZD Vorerfassung'!$D$27),HLOOKUP(TEXT(C226,"ttt"),'ZD Vorerfassung'!$H$21:$L$36,7,0),0))+
IF('ZD Vorerfassung'!$E$28="",0,IF(AND(B226&gt;='ZD Vorerfassung'!$C$28,B226&lt;='ZD Vorerfassung'!$D$28),HLOOKUP(TEXT(C226,"ttt"),'ZD Vorerfassung'!$H$21:$L$36,8,0),0))+
IF('ZD Vorerfassung'!$E$29="",0,IF(AND(B226&gt;='ZD Vorerfassung'!$C$29,B226&lt;='ZD Vorerfassung'!$D$29),HLOOKUP(TEXT(C226,"ttt"),'ZD Vorerfassung'!$H$21:$L$36,9,0),0))+
IF('ZD Vorerfassung'!$E$30="",0,IF(AND(B226&gt;='ZD Vorerfassung'!$C$30,B226&lt;='ZD Vorerfassung'!$D$30),HLOOKUP(TEXT(C226,"ttt"),'ZD Vorerfassung'!$H$21:$L$36,10,0),0))+
IF('ZD Vorerfassung'!$E$31="",0,IF(AND(B226&gt;='ZD Vorerfassung'!$C$31,B226&lt;='ZD Vorerfassung'!$D$31),HLOOKUP(TEXT(C226,"ttt"),'ZD Vorerfassung'!$H$21:$L$36,11,0),0))+
IF('ZD Vorerfassung'!$E$32="",0,IF(AND(B226&gt;='ZD Vorerfassung'!$C$32,B226&lt;='ZD Vorerfassung'!$D$32),HLOOKUP(TEXT(C226,"ttt"),'ZD Vorerfassung'!$H$21:$L$36,12,0),0))+
IF('ZD Vorerfassung'!$E$33="",0,IF(AND(B226&gt;='ZD Vorerfassung'!$C$33,B226&lt;='ZD Vorerfassung'!$D$33),HLOOKUP(TEXT(C226,"ttt"),'ZD Vorerfassung'!$H$21:$L$36,13,0),0))+
IF('ZD Vorerfassung'!$E$34="",0,IF(AND(B226&gt;='ZD Vorerfassung'!$C$34,B226&lt;='ZD Vorerfassung'!$D$34),HLOOKUP(TEXT(C226,"ttt"),'ZD Vorerfassung'!$H$21:$L$36,14,0),0))+
IF('ZD Vorerfassung'!$E$35="",0,IF(AND(B226&gt;='ZD Vorerfassung'!$C$35,B226&lt;='ZD Vorerfassung'!$D$35),HLOOKUP(TEXT(C226,"ttt"),'ZD Vorerfassung'!$H$21:$L$36,15,0),0))+
IF('ZD Vorerfassung'!$E$36="",0,IF(AND(B226&gt;='ZD Vorerfassung'!$C$36,B226&lt;='ZD Vorerfassung'!$D$36),HLOOKUP(TEXT(C226,"ttt"),'ZD Vorerfassung'!$H$21:$L$36,16,0),0)),"")</f>
        <v/>
      </c>
      <c r="AW226" s="110">
        <f t="array" ref="AW226">IF(OR(D226="UU",D226="FT",D226="WE"),0,
IF(D226="NR",SUM(IF(B226&gt;=_xlfn.NUMBERVALUE('ZD Vorerfassung'!$C$22:$C$36),1,0)*IF(B226&lt;=_xlfn.NUMBERVALUE('ZD Vorerfassung'!$D$22:$D$36),1,0)*'ZD Vorerfassung'!$Q$22:$Q$36),
IF(OR(D226="SF",D226="FH"),SUM(IF(B226&gt;=_xlfn.NUMBERVALUE('ZD Vorerfassung'!$C$22:$C$36),1,0)*IF(B226&lt;=_xlfn.NUMBERVALUE('ZD Vorerfassung'!$D$22:$D$36),1,0)*'ZD Vorerfassung'!$R$22:$R$36*IF(D226="FH",0.5,1)),
"prüfen")))</f>
        <v>0</v>
      </c>
      <c r="AX226" s="110">
        <f t="array" ref="AX226">IF(OR(D226="UU",D226="FT",D226="WE",E226="Ferien"),0,
IF(D226="NR",SUM(IF(B226&gt;=_xlfn.NUMBERVALUE('ZD Vorerfassung'!$C$22:$C$36),1,0)*IF(B226&lt;=_xlfn.NUMBERVALUE('ZD Vorerfassung'!$D$22:$D$36),1,0)*'ZD Vorerfassung'!$W$22:$W$36),
IF(OR(D226="SF",D226="FH"),SUM(IF(B226&gt;=_xlfn.NUMBERVALUE('ZD Vorerfassung'!$C$22:$C$36),1,0)*IF(B226&lt;=_xlfn.NUMBERVALUE('ZD Vorerfassung'!$D$22:$D$36),1,0)*'ZD Vorerfassung'!$X$22:$X$36*IF(D226="FH",0.5,1)),
"prüfen")))</f>
        <v>0</v>
      </c>
      <c r="AY226" s="110">
        <f t="array" ref="AY226">IF(OR(D226="UU",D226="FT",D226="WE",E226="Ferien"),0,
IF(D226="NR",SUM(IF(B226&gt;=_xlfn.NUMBERVALUE('ZD Vorerfassung'!$C$22:$C$36),1,0)*IF(B226&lt;=_xlfn.NUMBERVALUE('ZD Vorerfassung'!$D$22:$D$36),1,0)*'ZD Vorerfassung'!$U$22:$U$36),
IF(OR(D226="SF",D226="FH"),SUM(IF(B226&gt;=_xlfn.NUMBERVALUE('ZD Vorerfassung'!$C$22:$C$36),1,0)*IF(B226&lt;=_xlfn.NUMBERVALUE('ZD Vorerfassung'!$D$22:$D$36),1,0)*'ZD Vorerfassung'!$V$22:$V$36*IF(D226="FH",0.5,1)),
"prüfen")))</f>
        <v>0</v>
      </c>
      <c r="AZ226" s="110">
        <f t="array" ref="AZ226">IF(OR(D226="UU",D226="FT",D226="WE",E226="Ferien"),0,
IF(D226="NR",SUM(IF(B226&gt;=_xlfn.NUMBERVALUE('ZD Vorerfassung'!$C$22:$C$36),1,0)*IF(B226&lt;=_xlfn.NUMBERVALUE('ZD Vorerfassung'!$D$22:$D$36),1,0)*'ZD Vorerfassung'!$S$22:$S$36),
IF(OR(D226="SF",D226="FH"),SUM(IF(B226&gt;=_xlfn.NUMBERVALUE('ZD Vorerfassung'!$C$22:$C$36),1,0)*IF(B226&lt;=_xlfn.NUMBERVALUE('ZD Vorerfassung'!$D$22:$D$36),1,0)*'ZD Vorerfassung'!$T$22:$T$36*IF(D226="FH",0.5,1)),
"prüfen")))</f>
        <v>0</v>
      </c>
      <c r="BA226" s="112">
        <f t="shared" si="44"/>
        <v>3</v>
      </c>
    </row>
    <row r="227" spans="2:53" ht="19.5" thickTop="1" thickBot="1" x14ac:dyDescent="0.3">
      <c r="B227" s="99">
        <f t="shared" si="41"/>
        <v>44992</v>
      </c>
      <c r="C227" s="100">
        <f t="shared" si="45"/>
        <v>44992</v>
      </c>
      <c r="D227" s="101" t="str">
        <f t="shared" si="46"/>
        <v>NR</v>
      </c>
      <c r="E227" s="102" t="str">
        <f t="shared" si="42"/>
        <v>Unterrichtstag</v>
      </c>
      <c r="F227" s="103">
        <f t="shared" si="47"/>
        <v>0</v>
      </c>
      <c r="G227" s="104">
        <f t="shared" si="48"/>
        <v>0</v>
      </c>
      <c r="H227" s="104">
        <f>IFERROR(IF('ZD Vorerfassung'!$E$11="manuell",SUM(I227),IF(OR(E227="Feiertag",E227="Wochenende"),0,IF('ZD Vorerfassung'!$E$11="automatisch",AX227,IF(D227="UU","UU",IF(E227=Param2,AX227/24,IF(E227=Param9,AX227/48,"")))))),0)</f>
        <v>0</v>
      </c>
      <c r="I227" s="105"/>
      <c r="J227" s="106">
        <f>IF('ZD Vorerfassung'!$E$12="manuell",SUM(K227:AI227),IF(OR(E227="Feiertag",E227="Wochenende"),0,IF('ZD Vorerfassung'!$E$12="automatisch",AY227,IF(D227="UU","UU",IF(E227=Param2,AY227/24,IF(E227=Param9,AY227/48,""))))))</f>
        <v>0</v>
      </c>
      <c r="K227" s="105"/>
      <c r="L227" s="105"/>
      <c r="M227" s="105"/>
      <c r="N227" s="105"/>
      <c r="O227" s="105"/>
      <c r="P227" s="105"/>
      <c r="Q227" s="105"/>
      <c r="R227" s="105"/>
      <c r="S227" s="105"/>
      <c r="T227" s="105"/>
      <c r="U227" s="105"/>
      <c r="V227" s="105"/>
      <c r="W227" s="105"/>
      <c r="X227" s="105"/>
      <c r="Y227" s="105"/>
      <c r="Z227" s="105"/>
      <c r="AA227" s="105"/>
      <c r="AB227" s="105"/>
      <c r="AC227" s="105"/>
      <c r="AD227" s="105"/>
      <c r="AE227" s="105"/>
      <c r="AF227" s="105"/>
      <c r="AG227" s="105"/>
      <c r="AH227" s="105"/>
      <c r="AI227" s="105"/>
      <c r="AJ227" s="107">
        <f t="shared" si="49"/>
        <v>0</v>
      </c>
      <c r="AK227" s="105"/>
      <c r="AL227" s="105"/>
      <c r="AM227" s="105"/>
      <c r="AN227" s="105"/>
      <c r="AO227" s="105"/>
      <c r="AP227" s="105"/>
      <c r="AQ227" s="108">
        <f t="shared" si="50"/>
        <v>0</v>
      </c>
      <c r="AR227" s="108">
        <f t="shared" si="51"/>
        <v>0</v>
      </c>
      <c r="AS227" s="109">
        <f t="shared" si="52"/>
        <v>0</v>
      </c>
      <c r="AU227" s="110">
        <f t="shared" si="43"/>
        <v>0</v>
      </c>
      <c r="AV227" s="111">
        <f>IF(D227="NR",
IF('ZD Vorerfassung'!$E$22="",0,IF(AND(B227&gt;='ZD Vorerfassung'!$C$22,B227&lt;='ZD Vorerfassung'!$D$22),HLOOKUP(TEXT(C227,"ttt"),'ZD Vorerfassung'!$H$21:$L$36,2,0),0))+
IF('ZD Vorerfassung'!$E$23="",0,IF(AND(B227&gt;='ZD Vorerfassung'!$C$23,B227&lt;='ZD Vorerfassung'!$D$23),HLOOKUP(TEXT(C227,"ttt"),'ZD Vorerfassung'!$H$21:$L$36,3,0),0))+
IF('ZD Vorerfassung'!$E$24="",0,IF(AND(B227&gt;='ZD Vorerfassung'!$C$24,B227&lt;='ZD Vorerfassung'!$D$24),HLOOKUP(TEXT(C227,"ttt"),'ZD Vorerfassung'!$H$21:$L$36,4,0),0))+
IF('ZD Vorerfassung'!$E$25="",0,IF(AND(B227&gt;='ZD Vorerfassung'!$C$25,B227&lt;='ZD Vorerfassung'!$D$25),HLOOKUP(TEXT(C227,"ttt"),'ZD Vorerfassung'!$H$21:$L$36,5,0),0))+
IF('ZD Vorerfassung'!$E$26="",0,IF(AND(B227&gt;='ZD Vorerfassung'!$C$26,B227&lt;='ZD Vorerfassung'!$D$26),HLOOKUP(TEXT(C227,"ttt"),'ZD Vorerfassung'!$H$21:$L$36,6,0),0))+
IF('ZD Vorerfassung'!$E$27="",0,IF(AND(B227&gt;='ZD Vorerfassung'!$C$27,B227&lt;='ZD Vorerfassung'!$D$27),HLOOKUP(TEXT(C227,"ttt"),'ZD Vorerfassung'!$H$21:$L$36,7,0),0))+
IF('ZD Vorerfassung'!$E$28="",0,IF(AND(B227&gt;='ZD Vorerfassung'!$C$28,B227&lt;='ZD Vorerfassung'!$D$28),HLOOKUP(TEXT(C227,"ttt"),'ZD Vorerfassung'!$H$21:$L$36,8,0),0))+
IF('ZD Vorerfassung'!$E$29="",0,IF(AND(B227&gt;='ZD Vorerfassung'!$C$29,B227&lt;='ZD Vorerfassung'!$D$29),HLOOKUP(TEXT(C227,"ttt"),'ZD Vorerfassung'!$H$21:$L$36,9,0),0))+
IF('ZD Vorerfassung'!$E$30="",0,IF(AND(B227&gt;='ZD Vorerfassung'!$C$30,B227&lt;='ZD Vorerfassung'!$D$30),HLOOKUP(TEXT(C227,"ttt"),'ZD Vorerfassung'!$H$21:$L$36,10,0),0))+
IF('ZD Vorerfassung'!$E$31="",0,IF(AND(B227&gt;='ZD Vorerfassung'!$C$31,B227&lt;='ZD Vorerfassung'!$D$31),HLOOKUP(TEXT(C227,"ttt"),'ZD Vorerfassung'!$H$21:$L$36,11,0),0))+
IF('ZD Vorerfassung'!$E$32="",0,IF(AND(B227&gt;='ZD Vorerfassung'!$C$32,B227&lt;='ZD Vorerfassung'!$D$32),HLOOKUP(TEXT(C227,"ttt"),'ZD Vorerfassung'!$H$21:$L$36,12,0),0))+
IF('ZD Vorerfassung'!$E$33="",0,IF(AND(B227&gt;='ZD Vorerfassung'!$C$33,B227&lt;='ZD Vorerfassung'!$D$33),HLOOKUP(TEXT(C227,"ttt"),'ZD Vorerfassung'!$H$21:$L$36,13,0),0))+
IF('ZD Vorerfassung'!$E$34="",0,IF(AND(B227&gt;='ZD Vorerfassung'!$C$34,B227&lt;='ZD Vorerfassung'!$D$34),HLOOKUP(TEXT(C227,"ttt"),'ZD Vorerfassung'!$H$21:$L$36,14,0),0))+
IF('ZD Vorerfassung'!$E$35="",0,IF(AND(B227&gt;='ZD Vorerfassung'!$C$35,B227&lt;='ZD Vorerfassung'!$D$35),HLOOKUP(TEXT(C227,"ttt"),'ZD Vorerfassung'!$H$21:$L$36,15,0),0))+
IF('ZD Vorerfassung'!$E$36="",0,IF(AND(B227&gt;='ZD Vorerfassung'!$C$36,B227&lt;='ZD Vorerfassung'!$D$36),HLOOKUP(TEXT(C227,"ttt"),'ZD Vorerfassung'!$H$21:$L$36,16,0),0)),"")</f>
        <v>0</v>
      </c>
      <c r="AW227" s="110">
        <f t="array" ref="AW227">IF(OR(D227="UU",D227="FT",D227="WE"),0,
IF(D227="NR",SUM(IF(B227&gt;=_xlfn.NUMBERVALUE('ZD Vorerfassung'!$C$22:$C$36),1,0)*IF(B227&lt;=_xlfn.NUMBERVALUE('ZD Vorerfassung'!$D$22:$D$36),1,0)*'ZD Vorerfassung'!$Q$22:$Q$36),
IF(OR(D227="SF",D227="FH"),SUM(IF(B227&gt;=_xlfn.NUMBERVALUE('ZD Vorerfassung'!$C$22:$C$36),1,0)*IF(B227&lt;=_xlfn.NUMBERVALUE('ZD Vorerfassung'!$D$22:$D$36),1,0)*'ZD Vorerfassung'!$R$22:$R$36*IF(D227="FH",0.5,1)),
"prüfen")))</f>
        <v>0</v>
      </c>
      <c r="AX227" s="110">
        <f t="array" ref="AX227">IF(OR(D227="UU",D227="FT",D227="WE",E227="Ferien"),0,
IF(D227="NR",SUM(IF(B227&gt;=_xlfn.NUMBERVALUE('ZD Vorerfassung'!$C$22:$C$36),1,0)*IF(B227&lt;=_xlfn.NUMBERVALUE('ZD Vorerfassung'!$D$22:$D$36),1,0)*'ZD Vorerfassung'!$W$22:$W$36),
IF(OR(D227="SF",D227="FH"),SUM(IF(B227&gt;=_xlfn.NUMBERVALUE('ZD Vorerfassung'!$C$22:$C$36),1,0)*IF(B227&lt;=_xlfn.NUMBERVALUE('ZD Vorerfassung'!$D$22:$D$36),1,0)*'ZD Vorerfassung'!$X$22:$X$36*IF(D227="FH",0.5,1)),
"prüfen")))</f>
        <v>0</v>
      </c>
      <c r="AY227" s="110">
        <f t="array" ref="AY227">IF(OR(D227="UU",D227="FT",D227="WE",E227="Ferien"),0,
IF(D227="NR",SUM(IF(B227&gt;=_xlfn.NUMBERVALUE('ZD Vorerfassung'!$C$22:$C$36),1,0)*IF(B227&lt;=_xlfn.NUMBERVALUE('ZD Vorerfassung'!$D$22:$D$36),1,0)*'ZD Vorerfassung'!$U$22:$U$36),
IF(OR(D227="SF",D227="FH"),SUM(IF(B227&gt;=_xlfn.NUMBERVALUE('ZD Vorerfassung'!$C$22:$C$36),1,0)*IF(B227&lt;=_xlfn.NUMBERVALUE('ZD Vorerfassung'!$D$22:$D$36),1,0)*'ZD Vorerfassung'!$V$22:$V$36*IF(D227="FH",0.5,1)),
"prüfen")))</f>
        <v>0</v>
      </c>
      <c r="AZ227" s="110">
        <f t="array" ref="AZ227">IF(OR(D227="UU",D227="FT",D227="WE",E227="Ferien"),0,
IF(D227="NR",SUM(IF(B227&gt;=_xlfn.NUMBERVALUE('ZD Vorerfassung'!$C$22:$C$36),1,0)*IF(B227&lt;=_xlfn.NUMBERVALUE('ZD Vorerfassung'!$D$22:$D$36),1,0)*'ZD Vorerfassung'!$S$22:$S$36),
IF(OR(D227="SF",D227="FH"),SUM(IF(B227&gt;=_xlfn.NUMBERVALUE('ZD Vorerfassung'!$C$22:$C$36),1,0)*IF(B227&lt;=_xlfn.NUMBERVALUE('ZD Vorerfassung'!$D$22:$D$36),1,0)*'ZD Vorerfassung'!$T$22:$T$36*IF(D227="FH",0.5,1)),
"prüfen")))</f>
        <v>0</v>
      </c>
      <c r="BA227" s="112">
        <f t="shared" si="44"/>
        <v>3</v>
      </c>
    </row>
    <row r="228" spans="2:53" ht="19.5" thickTop="1" thickBot="1" x14ac:dyDescent="0.3">
      <c r="B228" s="99">
        <f t="shared" si="41"/>
        <v>44993</v>
      </c>
      <c r="C228" s="100">
        <f t="shared" si="45"/>
        <v>44993</v>
      </c>
      <c r="D228" s="101" t="str">
        <f t="shared" si="46"/>
        <v>NR</v>
      </c>
      <c r="E228" s="102" t="str">
        <f t="shared" si="42"/>
        <v>Unterrichtstag</v>
      </c>
      <c r="F228" s="103">
        <f t="shared" si="47"/>
        <v>0</v>
      </c>
      <c r="G228" s="104">
        <f t="shared" si="48"/>
        <v>0</v>
      </c>
      <c r="H228" s="104">
        <f>IFERROR(IF('ZD Vorerfassung'!$E$11="manuell",SUM(I228),IF(OR(E228="Feiertag",E228="Wochenende"),0,IF('ZD Vorerfassung'!$E$11="automatisch",AX228,IF(D228="UU","UU",IF(E228=Param2,AX228/24,IF(E228=Param9,AX228/48,"")))))),0)</f>
        <v>0</v>
      </c>
      <c r="I228" s="105"/>
      <c r="J228" s="106">
        <f>IF('ZD Vorerfassung'!$E$12="manuell",SUM(K228:AI228),IF(OR(E228="Feiertag",E228="Wochenende"),0,IF('ZD Vorerfassung'!$E$12="automatisch",AY228,IF(D228="UU","UU",IF(E228=Param2,AY228/24,IF(E228=Param9,AY228/48,""))))))</f>
        <v>0</v>
      </c>
      <c r="K228" s="105"/>
      <c r="L228" s="105"/>
      <c r="M228" s="105"/>
      <c r="N228" s="105"/>
      <c r="O228" s="105"/>
      <c r="P228" s="105"/>
      <c r="Q228" s="105"/>
      <c r="R228" s="105"/>
      <c r="S228" s="105"/>
      <c r="T228" s="105"/>
      <c r="U228" s="105"/>
      <c r="V228" s="105"/>
      <c r="W228" s="105"/>
      <c r="X228" s="105"/>
      <c r="Y228" s="105"/>
      <c r="Z228" s="105"/>
      <c r="AA228" s="105"/>
      <c r="AB228" s="105"/>
      <c r="AC228" s="105"/>
      <c r="AD228" s="105"/>
      <c r="AE228" s="105"/>
      <c r="AF228" s="105"/>
      <c r="AG228" s="105"/>
      <c r="AH228" s="105"/>
      <c r="AI228" s="105"/>
      <c r="AJ228" s="107">
        <f t="shared" si="49"/>
        <v>0</v>
      </c>
      <c r="AK228" s="105"/>
      <c r="AL228" s="105"/>
      <c r="AM228" s="105"/>
      <c r="AN228" s="105"/>
      <c r="AO228" s="105"/>
      <c r="AP228" s="105"/>
      <c r="AQ228" s="108">
        <f t="shared" si="50"/>
        <v>0</v>
      </c>
      <c r="AR228" s="108">
        <f t="shared" si="51"/>
        <v>0</v>
      </c>
      <c r="AS228" s="109">
        <f t="shared" si="52"/>
        <v>0</v>
      </c>
      <c r="AU228" s="110">
        <f t="shared" si="43"/>
        <v>0</v>
      </c>
      <c r="AV228" s="111">
        <f>IF(D228="NR",
IF('ZD Vorerfassung'!$E$22="",0,IF(AND(B228&gt;='ZD Vorerfassung'!$C$22,B228&lt;='ZD Vorerfassung'!$D$22),HLOOKUP(TEXT(C228,"ttt"),'ZD Vorerfassung'!$H$21:$L$36,2,0),0))+
IF('ZD Vorerfassung'!$E$23="",0,IF(AND(B228&gt;='ZD Vorerfassung'!$C$23,B228&lt;='ZD Vorerfassung'!$D$23),HLOOKUP(TEXT(C228,"ttt"),'ZD Vorerfassung'!$H$21:$L$36,3,0),0))+
IF('ZD Vorerfassung'!$E$24="",0,IF(AND(B228&gt;='ZD Vorerfassung'!$C$24,B228&lt;='ZD Vorerfassung'!$D$24),HLOOKUP(TEXT(C228,"ttt"),'ZD Vorerfassung'!$H$21:$L$36,4,0),0))+
IF('ZD Vorerfassung'!$E$25="",0,IF(AND(B228&gt;='ZD Vorerfassung'!$C$25,B228&lt;='ZD Vorerfassung'!$D$25),HLOOKUP(TEXT(C228,"ttt"),'ZD Vorerfassung'!$H$21:$L$36,5,0),0))+
IF('ZD Vorerfassung'!$E$26="",0,IF(AND(B228&gt;='ZD Vorerfassung'!$C$26,B228&lt;='ZD Vorerfassung'!$D$26),HLOOKUP(TEXT(C228,"ttt"),'ZD Vorerfassung'!$H$21:$L$36,6,0),0))+
IF('ZD Vorerfassung'!$E$27="",0,IF(AND(B228&gt;='ZD Vorerfassung'!$C$27,B228&lt;='ZD Vorerfassung'!$D$27),HLOOKUP(TEXT(C228,"ttt"),'ZD Vorerfassung'!$H$21:$L$36,7,0),0))+
IF('ZD Vorerfassung'!$E$28="",0,IF(AND(B228&gt;='ZD Vorerfassung'!$C$28,B228&lt;='ZD Vorerfassung'!$D$28),HLOOKUP(TEXT(C228,"ttt"),'ZD Vorerfassung'!$H$21:$L$36,8,0),0))+
IF('ZD Vorerfassung'!$E$29="",0,IF(AND(B228&gt;='ZD Vorerfassung'!$C$29,B228&lt;='ZD Vorerfassung'!$D$29),HLOOKUP(TEXT(C228,"ttt"),'ZD Vorerfassung'!$H$21:$L$36,9,0),0))+
IF('ZD Vorerfassung'!$E$30="",0,IF(AND(B228&gt;='ZD Vorerfassung'!$C$30,B228&lt;='ZD Vorerfassung'!$D$30),HLOOKUP(TEXT(C228,"ttt"),'ZD Vorerfassung'!$H$21:$L$36,10,0),0))+
IF('ZD Vorerfassung'!$E$31="",0,IF(AND(B228&gt;='ZD Vorerfassung'!$C$31,B228&lt;='ZD Vorerfassung'!$D$31),HLOOKUP(TEXT(C228,"ttt"),'ZD Vorerfassung'!$H$21:$L$36,11,0),0))+
IF('ZD Vorerfassung'!$E$32="",0,IF(AND(B228&gt;='ZD Vorerfassung'!$C$32,B228&lt;='ZD Vorerfassung'!$D$32),HLOOKUP(TEXT(C228,"ttt"),'ZD Vorerfassung'!$H$21:$L$36,12,0),0))+
IF('ZD Vorerfassung'!$E$33="",0,IF(AND(B228&gt;='ZD Vorerfassung'!$C$33,B228&lt;='ZD Vorerfassung'!$D$33),HLOOKUP(TEXT(C228,"ttt"),'ZD Vorerfassung'!$H$21:$L$36,13,0),0))+
IF('ZD Vorerfassung'!$E$34="",0,IF(AND(B228&gt;='ZD Vorerfassung'!$C$34,B228&lt;='ZD Vorerfassung'!$D$34),HLOOKUP(TEXT(C228,"ttt"),'ZD Vorerfassung'!$H$21:$L$36,14,0),0))+
IF('ZD Vorerfassung'!$E$35="",0,IF(AND(B228&gt;='ZD Vorerfassung'!$C$35,B228&lt;='ZD Vorerfassung'!$D$35),HLOOKUP(TEXT(C228,"ttt"),'ZD Vorerfassung'!$H$21:$L$36,15,0),0))+
IF('ZD Vorerfassung'!$E$36="",0,IF(AND(B228&gt;='ZD Vorerfassung'!$C$36,B228&lt;='ZD Vorerfassung'!$D$36),HLOOKUP(TEXT(C228,"ttt"),'ZD Vorerfassung'!$H$21:$L$36,16,0),0)),"")</f>
        <v>0</v>
      </c>
      <c r="AW228" s="110">
        <f t="array" ref="AW228">IF(OR(D228="UU",D228="FT",D228="WE"),0,
IF(D228="NR",SUM(IF(B228&gt;=_xlfn.NUMBERVALUE('ZD Vorerfassung'!$C$22:$C$36),1,0)*IF(B228&lt;=_xlfn.NUMBERVALUE('ZD Vorerfassung'!$D$22:$D$36),1,0)*'ZD Vorerfassung'!$Q$22:$Q$36),
IF(OR(D228="SF",D228="FH"),SUM(IF(B228&gt;=_xlfn.NUMBERVALUE('ZD Vorerfassung'!$C$22:$C$36),1,0)*IF(B228&lt;=_xlfn.NUMBERVALUE('ZD Vorerfassung'!$D$22:$D$36),1,0)*'ZD Vorerfassung'!$R$22:$R$36*IF(D228="FH",0.5,1)),
"prüfen")))</f>
        <v>0</v>
      </c>
      <c r="AX228" s="110">
        <f t="array" ref="AX228">IF(OR(D228="UU",D228="FT",D228="WE",E228="Ferien"),0,
IF(D228="NR",SUM(IF(B228&gt;=_xlfn.NUMBERVALUE('ZD Vorerfassung'!$C$22:$C$36),1,0)*IF(B228&lt;=_xlfn.NUMBERVALUE('ZD Vorerfassung'!$D$22:$D$36),1,0)*'ZD Vorerfassung'!$W$22:$W$36),
IF(OR(D228="SF",D228="FH"),SUM(IF(B228&gt;=_xlfn.NUMBERVALUE('ZD Vorerfassung'!$C$22:$C$36),1,0)*IF(B228&lt;=_xlfn.NUMBERVALUE('ZD Vorerfassung'!$D$22:$D$36),1,0)*'ZD Vorerfassung'!$X$22:$X$36*IF(D228="FH",0.5,1)),
"prüfen")))</f>
        <v>0</v>
      </c>
      <c r="AY228" s="110">
        <f t="array" ref="AY228">IF(OR(D228="UU",D228="FT",D228="WE",E228="Ferien"),0,
IF(D228="NR",SUM(IF(B228&gt;=_xlfn.NUMBERVALUE('ZD Vorerfassung'!$C$22:$C$36),1,0)*IF(B228&lt;=_xlfn.NUMBERVALUE('ZD Vorerfassung'!$D$22:$D$36),1,0)*'ZD Vorerfassung'!$U$22:$U$36),
IF(OR(D228="SF",D228="FH"),SUM(IF(B228&gt;=_xlfn.NUMBERVALUE('ZD Vorerfassung'!$C$22:$C$36),1,0)*IF(B228&lt;=_xlfn.NUMBERVALUE('ZD Vorerfassung'!$D$22:$D$36),1,0)*'ZD Vorerfassung'!$V$22:$V$36*IF(D228="FH",0.5,1)),
"prüfen")))</f>
        <v>0</v>
      </c>
      <c r="AZ228" s="110">
        <f t="array" ref="AZ228">IF(OR(D228="UU",D228="FT",D228="WE",E228="Ferien"),0,
IF(D228="NR",SUM(IF(B228&gt;=_xlfn.NUMBERVALUE('ZD Vorerfassung'!$C$22:$C$36),1,0)*IF(B228&lt;=_xlfn.NUMBERVALUE('ZD Vorerfassung'!$D$22:$D$36),1,0)*'ZD Vorerfassung'!$S$22:$S$36),
IF(OR(D228="SF",D228="FH"),SUM(IF(B228&gt;=_xlfn.NUMBERVALUE('ZD Vorerfassung'!$C$22:$C$36),1,0)*IF(B228&lt;=_xlfn.NUMBERVALUE('ZD Vorerfassung'!$D$22:$D$36),1,0)*'ZD Vorerfassung'!$T$22:$T$36*IF(D228="FH",0.5,1)),
"prüfen")))</f>
        <v>0</v>
      </c>
      <c r="BA228" s="112">
        <f t="shared" si="44"/>
        <v>3</v>
      </c>
    </row>
    <row r="229" spans="2:53" ht="19.5" thickTop="1" thickBot="1" x14ac:dyDescent="0.3">
      <c r="B229" s="99">
        <f t="shared" si="41"/>
        <v>44994</v>
      </c>
      <c r="C229" s="100">
        <f t="shared" si="45"/>
        <v>44994</v>
      </c>
      <c r="D229" s="101" t="str">
        <f t="shared" si="46"/>
        <v>NR</v>
      </c>
      <c r="E229" s="102" t="str">
        <f t="shared" si="42"/>
        <v>Unterrichtstag</v>
      </c>
      <c r="F229" s="103">
        <f t="shared" si="47"/>
        <v>0</v>
      </c>
      <c r="G229" s="104">
        <f t="shared" si="48"/>
        <v>0</v>
      </c>
      <c r="H229" s="104">
        <f>IFERROR(IF('ZD Vorerfassung'!$E$11="manuell",SUM(I229),IF(OR(E229="Feiertag",E229="Wochenende"),0,IF('ZD Vorerfassung'!$E$11="automatisch",AX229,IF(D229="UU","UU",IF(E229=Param2,AX229/24,IF(E229=Param9,AX229/48,"")))))),0)</f>
        <v>0</v>
      </c>
      <c r="I229" s="105"/>
      <c r="J229" s="106">
        <f>IF('ZD Vorerfassung'!$E$12="manuell",SUM(K229:AI229),IF(OR(E229="Feiertag",E229="Wochenende"),0,IF('ZD Vorerfassung'!$E$12="automatisch",AY229,IF(D229="UU","UU",IF(E229=Param2,AY229/24,IF(E229=Param9,AY229/48,""))))))</f>
        <v>0</v>
      </c>
      <c r="K229" s="105"/>
      <c r="L229" s="105"/>
      <c r="M229" s="105"/>
      <c r="N229" s="105"/>
      <c r="O229" s="105"/>
      <c r="P229" s="105"/>
      <c r="Q229" s="105"/>
      <c r="R229" s="105"/>
      <c r="S229" s="105"/>
      <c r="T229" s="105"/>
      <c r="U229" s="105"/>
      <c r="V229" s="105"/>
      <c r="W229" s="105"/>
      <c r="X229" s="105"/>
      <c r="Y229" s="105"/>
      <c r="Z229" s="105"/>
      <c r="AA229" s="105"/>
      <c r="AB229" s="105"/>
      <c r="AC229" s="105"/>
      <c r="AD229" s="105"/>
      <c r="AE229" s="105"/>
      <c r="AF229" s="105"/>
      <c r="AG229" s="105"/>
      <c r="AH229" s="105"/>
      <c r="AI229" s="105"/>
      <c r="AJ229" s="107">
        <f t="shared" si="49"/>
        <v>0</v>
      </c>
      <c r="AK229" s="105"/>
      <c r="AL229" s="105"/>
      <c r="AM229" s="105"/>
      <c r="AN229" s="105"/>
      <c r="AO229" s="105"/>
      <c r="AP229" s="105"/>
      <c r="AQ229" s="108">
        <f t="shared" si="50"/>
        <v>0</v>
      </c>
      <c r="AR229" s="108">
        <f t="shared" si="51"/>
        <v>0</v>
      </c>
      <c r="AS229" s="109">
        <f t="shared" si="52"/>
        <v>0</v>
      </c>
      <c r="AU229" s="110">
        <f t="shared" si="43"/>
        <v>0</v>
      </c>
      <c r="AV229" s="111">
        <f>IF(D229="NR",
IF('ZD Vorerfassung'!$E$22="",0,IF(AND(B229&gt;='ZD Vorerfassung'!$C$22,B229&lt;='ZD Vorerfassung'!$D$22),HLOOKUP(TEXT(C229,"ttt"),'ZD Vorerfassung'!$H$21:$L$36,2,0),0))+
IF('ZD Vorerfassung'!$E$23="",0,IF(AND(B229&gt;='ZD Vorerfassung'!$C$23,B229&lt;='ZD Vorerfassung'!$D$23),HLOOKUP(TEXT(C229,"ttt"),'ZD Vorerfassung'!$H$21:$L$36,3,0),0))+
IF('ZD Vorerfassung'!$E$24="",0,IF(AND(B229&gt;='ZD Vorerfassung'!$C$24,B229&lt;='ZD Vorerfassung'!$D$24),HLOOKUP(TEXT(C229,"ttt"),'ZD Vorerfassung'!$H$21:$L$36,4,0),0))+
IF('ZD Vorerfassung'!$E$25="",0,IF(AND(B229&gt;='ZD Vorerfassung'!$C$25,B229&lt;='ZD Vorerfassung'!$D$25),HLOOKUP(TEXT(C229,"ttt"),'ZD Vorerfassung'!$H$21:$L$36,5,0),0))+
IF('ZD Vorerfassung'!$E$26="",0,IF(AND(B229&gt;='ZD Vorerfassung'!$C$26,B229&lt;='ZD Vorerfassung'!$D$26),HLOOKUP(TEXT(C229,"ttt"),'ZD Vorerfassung'!$H$21:$L$36,6,0),0))+
IF('ZD Vorerfassung'!$E$27="",0,IF(AND(B229&gt;='ZD Vorerfassung'!$C$27,B229&lt;='ZD Vorerfassung'!$D$27),HLOOKUP(TEXT(C229,"ttt"),'ZD Vorerfassung'!$H$21:$L$36,7,0),0))+
IF('ZD Vorerfassung'!$E$28="",0,IF(AND(B229&gt;='ZD Vorerfassung'!$C$28,B229&lt;='ZD Vorerfassung'!$D$28),HLOOKUP(TEXT(C229,"ttt"),'ZD Vorerfassung'!$H$21:$L$36,8,0),0))+
IF('ZD Vorerfassung'!$E$29="",0,IF(AND(B229&gt;='ZD Vorerfassung'!$C$29,B229&lt;='ZD Vorerfassung'!$D$29),HLOOKUP(TEXT(C229,"ttt"),'ZD Vorerfassung'!$H$21:$L$36,9,0),0))+
IF('ZD Vorerfassung'!$E$30="",0,IF(AND(B229&gt;='ZD Vorerfassung'!$C$30,B229&lt;='ZD Vorerfassung'!$D$30),HLOOKUP(TEXT(C229,"ttt"),'ZD Vorerfassung'!$H$21:$L$36,10,0),0))+
IF('ZD Vorerfassung'!$E$31="",0,IF(AND(B229&gt;='ZD Vorerfassung'!$C$31,B229&lt;='ZD Vorerfassung'!$D$31),HLOOKUP(TEXT(C229,"ttt"),'ZD Vorerfassung'!$H$21:$L$36,11,0),0))+
IF('ZD Vorerfassung'!$E$32="",0,IF(AND(B229&gt;='ZD Vorerfassung'!$C$32,B229&lt;='ZD Vorerfassung'!$D$32),HLOOKUP(TEXT(C229,"ttt"),'ZD Vorerfassung'!$H$21:$L$36,12,0),0))+
IF('ZD Vorerfassung'!$E$33="",0,IF(AND(B229&gt;='ZD Vorerfassung'!$C$33,B229&lt;='ZD Vorerfassung'!$D$33),HLOOKUP(TEXT(C229,"ttt"),'ZD Vorerfassung'!$H$21:$L$36,13,0),0))+
IF('ZD Vorerfassung'!$E$34="",0,IF(AND(B229&gt;='ZD Vorerfassung'!$C$34,B229&lt;='ZD Vorerfassung'!$D$34),HLOOKUP(TEXT(C229,"ttt"),'ZD Vorerfassung'!$H$21:$L$36,14,0),0))+
IF('ZD Vorerfassung'!$E$35="",0,IF(AND(B229&gt;='ZD Vorerfassung'!$C$35,B229&lt;='ZD Vorerfassung'!$D$35),HLOOKUP(TEXT(C229,"ttt"),'ZD Vorerfassung'!$H$21:$L$36,15,0),0))+
IF('ZD Vorerfassung'!$E$36="",0,IF(AND(B229&gt;='ZD Vorerfassung'!$C$36,B229&lt;='ZD Vorerfassung'!$D$36),HLOOKUP(TEXT(C229,"ttt"),'ZD Vorerfassung'!$H$21:$L$36,16,0),0)),"")</f>
        <v>0</v>
      </c>
      <c r="AW229" s="110">
        <f t="array" ref="AW229">IF(OR(D229="UU",D229="FT",D229="WE"),0,
IF(D229="NR",SUM(IF(B229&gt;=_xlfn.NUMBERVALUE('ZD Vorerfassung'!$C$22:$C$36),1,0)*IF(B229&lt;=_xlfn.NUMBERVALUE('ZD Vorerfassung'!$D$22:$D$36),1,0)*'ZD Vorerfassung'!$Q$22:$Q$36),
IF(OR(D229="SF",D229="FH"),SUM(IF(B229&gt;=_xlfn.NUMBERVALUE('ZD Vorerfassung'!$C$22:$C$36),1,0)*IF(B229&lt;=_xlfn.NUMBERVALUE('ZD Vorerfassung'!$D$22:$D$36),1,0)*'ZD Vorerfassung'!$R$22:$R$36*IF(D229="FH",0.5,1)),
"prüfen")))</f>
        <v>0</v>
      </c>
      <c r="AX229" s="110">
        <f t="array" ref="AX229">IF(OR(D229="UU",D229="FT",D229="WE",E229="Ferien"),0,
IF(D229="NR",SUM(IF(B229&gt;=_xlfn.NUMBERVALUE('ZD Vorerfassung'!$C$22:$C$36),1,0)*IF(B229&lt;=_xlfn.NUMBERVALUE('ZD Vorerfassung'!$D$22:$D$36),1,0)*'ZD Vorerfassung'!$W$22:$W$36),
IF(OR(D229="SF",D229="FH"),SUM(IF(B229&gt;=_xlfn.NUMBERVALUE('ZD Vorerfassung'!$C$22:$C$36),1,0)*IF(B229&lt;=_xlfn.NUMBERVALUE('ZD Vorerfassung'!$D$22:$D$36),1,0)*'ZD Vorerfassung'!$X$22:$X$36*IF(D229="FH",0.5,1)),
"prüfen")))</f>
        <v>0</v>
      </c>
      <c r="AY229" s="110">
        <f t="array" ref="AY229">IF(OR(D229="UU",D229="FT",D229="WE",E229="Ferien"),0,
IF(D229="NR",SUM(IF(B229&gt;=_xlfn.NUMBERVALUE('ZD Vorerfassung'!$C$22:$C$36),1,0)*IF(B229&lt;=_xlfn.NUMBERVALUE('ZD Vorerfassung'!$D$22:$D$36),1,0)*'ZD Vorerfassung'!$U$22:$U$36),
IF(OR(D229="SF",D229="FH"),SUM(IF(B229&gt;=_xlfn.NUMBERVALUE('ZD Vorerfassung'!$C$22:$C$36),1,0)*IF(B229&lt;=_xlfn.NUMBERVALUE('ZD Vorerfassung'!$D$22:$D$36),1,0)*'ZD Vorerfassung'!$V$22:$V$36*IF(D229="FH",0.5,1)),
"prüfen")))</f>
        <v>0</v>
      </c>
      <c r="AZ229" s="110">
        <f t="array" ref="AZ229">IF(OR(D229="UU",D229="FT",D229="WE",E229="Ferien"),0,
IF(D229="NR",SUM(IF(B229&gt;=_xlfn.NUMBERVALUE('ZD Vorerfassung'!$C$22:$C$36),1,0)*IF(B229&lt;=_xlfn.NUMBERVALUE('ZD Vorerfassung'!$D$22:$D$36),1,0)*'ZD Vorerfassung'!$S$22:$S$36),
IF(OR(D229="SF",D229="FH"),SUM(IF(B229&gt;=_xlfn.NUMBERVALUE('ZD Vorerfassung'!$C$22:$C$36),1,0)*IF(B229&lt;=_xlfn.NUMBERVALUE('ZD Vorerfassung'!$D$22:$D$36),1,0)*'ZD Vorerfassung'!$T$22:$T$36*IF(D229="FH",0.5,1)),
"prüfen")))</f>
        <v>0</v>
      </c>
      <c r="BA229" s="112">
        <f t="shared" si="44"/>
        <v>3</v>
      </c>
    </row>
    <row r="230" spans="2:53" ht="19.5" thickTop="1" thickBot="1" x14ac:dyDescent="0.3">
      <c r="B230" s="99">
        <f t="shared" si="41"/>
        <v>44995</v>
      </c>
      <c r="C230" s="100">
        <f t="shared" si="45"/>
        <v>44995</v>
      </c>
      <c r="D230" s="101" t="str">
        <f t="shared" si="46"/>
        <v>NR</v>
      </c>
      <c r="E230" s="102" t="str">
        <f t="shared" si="42"/>
        <v>Unterrichtstag</v>
      </c>
      <c r="F230" s="103">
        <f t="shared" si="47"/>
        <v>0</v>
      </c>
      <c r="G230" s="104">
        <f t="shared" si="48"/>
        <v>0</v>
      </c>
      <c r="H230" s="104">
        <f>IFERROR(IF('ZD Vorerfassung'!$E$11="manuell",SUM(I230),IF(OR(E230="Feiertag",E230="Wochenende"),0,IF('ZD Vorerfassung'!$E$11="automatisch",AX230,IF(D230="UU","UU",IF(E230=Param2,AX230/24,IF(E230=Param9,AX230/48,"")))))),0)</f>
        <v>0</v>
      </c>
      <c r="I230" s="105"/>
      <c r="J230" s="106">
        <f>IF('ZD Vorerfassung'!$E$12="manuell",SUM(K230:AI230),IF(OR(E230="Feiertag",E230="Wochenende"),0,IF('ZD Vorerfassung'!$E$12="automatisch",AY230,IF(D230="UU","UU",IF(E230=Param2,AY230/24,IF(E230=Param9,AY230/48,""))))))</f>
        <v>0</v>
      </c>
      <c r="K230" s="105"/>
      <c r="L230" s="105"/>
      <c r="M230" s="105"/>
      <c r="N230" s="105"/>
      <c r="O230" s="105"/>
      <c r="P230" s="105"/>
      <c r="Q230" s="105"/>
      <c r="R230" s="105"/>
      <c r="S230" s="105"/>
      <c r="T230" s="105"/>
      <c r="U230" s="105"/>
      <c r="V230" s="105"/>
      <c r="W230" s="105"/>
      <c r="X230" s="105"/>
      <c r="Y230" s="105"/>
      <c r="Z230" s="105"/>
      <c r="AA230" s="105"/>
      <c r="AB230" s="105"/>
      <c r="AC230" s="105"/>
      <c r="AD230" s="105"/>
      <c r="AE230" s="105"/>
      <c r="AF230" s="105"/>
      <c r="AG230" s="105"/>
      <c r="AH230" s="105"/>
      <c r="AI230" s="105"/>
      <c r="AJ230" s="107">
        <f t="shared" si="49"/>
        <v>0</v>
      </c>
      <c r="AK230" s="105"/>
      <c r="AL230" s="105"/>
      <c r="AM230" s="105"/>
      <c r="AN230" s="105"/>
      <c r="AO230" s="105"/>
      <c r="AP230" s="105"/>
      <c r="AQ230" s="108">
        <f t="shared" si="50"/>
        <v>0</v>
      </c>
      <c r="AR230" s="108">
        <f t="shared" si="51"/>
        <v>0</v>
      </c>
      <c r="AS230" s="109">
        <f t="shared" si="52"/>
        <v>0</v>
      </c>
      <c r="AU230" s="110">
        <f t="shared" si="43"/>
        <v>0</v>
      </c>
      <c r="AV230" s="111">
        <f>IF(D230="NR",
IF('ZD Vorerfassung'!$E$22="",0,IF(AND(B230&gt;='ZD Vorerfassung'!$C$22,B230&lt;='ZD Vorerfassung'!$D$22),HLOOKUP(TEXT(C230,"ttt"),'ZD Vorerfassung'!$H$21:$L$36,2,0),0))+
IF('ZD Vorerfassung'!$E$23="",0,IF(AND(B230&gt;='ZD Vorerfassung'!$C$23,B230&lt;='ZD Vorerfassung'!$D$23),HLOOKUP(TEXT(C230,"ttt"),'ZD Vorerfassung'!$H$21:$L$36,3,0),0))+
IF('ZD Vorerfassung'!$E$24="",0,IF(AND(B230&gt;='ZD Vorerfassung'!$C$24,B230&lt;='ZD Vorerfassung'!$D$24),HLOOKUP(TEXT(C230,"ttt"),'ZD Vorerfassung'!$H$21:$L$36,4,0),0))+
IF('ZD Vorerfassung'!$E$25="",0,IF(AND(B230&gt;='ZD Vorerfassung'!$C$25,B230&lt;='ZD Vorerfassung'!$D$25),HLOOKUP(TEXT(C230,"ttt"),'ZD Vorerfassung'!$H$21:$L$36,5,0),0))+
IF('ZD Vorerfassung'!$E$26="",0,IF(AND(B230&gt;='ZD Vorerfassung'!$C$26,B230&lt;='ZD Vorerfassung'!$D$26),HLOOKUP(TEXT(C230,"ttt"),'ZD Vorerfassung'!$H$21:$L$36,6,0),0))+
IF('ZD Vorerfassung'!$E$27="",0,IF(AND(B230&gt;='ZD Vorerfassung'!$C$27,B230&lt;='ZD Vorerfassung'!$D$27),HLOOKUP(TEXT(C230,"ttt"),'ZD Vorerfassung'!$H$21:$L$36,7,0),0))+
IF('ZD Vorerfassung'!$E$28="",0,IF(AND(B230&gt;='ZD Vorerfassung'!$C$28,B230&lt;='ZD Vorerfassung'!$D$28),HLOOKUP(TEXT(C230,"ttt"),'ZD Vorerfassung'!$H$21:$L$36,8,0),0))+
IF('ZD Vorerfassung'!$E$29="",0,IF(AND(B230&gt;='ZD Vorerfassung'!$C$29,B230&lt;='ZD Vorerfassung'!$D$29),HLOOKUP(TEXT(C230,"ttt"),'ZD Vorerfassung'!$H$21:$L$36,9,0),0))+
IF('ZD Vorerfassung'!$E$30="",0,IF(AND(B230&gt;='ZD Vorerfassung'!$C$30,B230&lt;='ZD Vorerfassung'!$D$30),HLOOKUP(TEXT(C230,"ttt"),'ZD Vorerfassung'!$H$21:$L$36,10,0),0))+
IF('ZD Vorerfassung'!$E$31="",0,IF(AND(B230&gt;='ZD Vorerfassung'!$C$31,B230&lt;='ZD Vorerfassung'!$D$31),HLOOKUP(TEXT(C230,"ttt"),'ZD Vorerfassung'!$H$21:$L$36,11,0),0))+
IF('ZD Vorerfassung'!$E$32="",0,IF(AND(B230&gt;='ZD Vorerfassung'!$C$32,B230&lt;='ZD Vorerfassung'!$D$32),HLOOKUP(TEXT(C230,"ttt"),'ZD Vorerfassung'!$H$21:$L$36,12,0),0))+
IF('ZD Vorerfassung'!$E$33="",0,IF(AND(B230&gt;='ZD Vorerfassung'!$C$33,B230&lt;='ZD Vorerfassung'!$D$33),HLOOKUP(TEXT(C230,"ttt"),'ZD Vorerfassung'!$H$21:$L$36,13,0),0))+
IF('ZD Vorerfassung'!$E$34="",0,IF(AND(B230&gt;='ZD Vorerfassung'!$C$34,B230&lt;='ZD Vorerfassung'!$D$34),HLOOKUP(TEXT(C230,"ttt"),'ZD Vorerfassung'!$H$21:$L$36,14,0),0))+
IF('ZD Vorerfassung'!$E$35="",0,IF(AND(B230&gt;='ZD Vorerfassung'!$C$35,B230&lt;='ZD Vorerfassung'!$D$35),HLOOKUP(TEXT(C230,"ttt"),'ZD Vorerfassung'!$H$21:$L$36,15,0),0))+
IF('ZD Vorerfassung'!$E$36="",0,IF(AND(B230&gt;='ZD Vorerfassung'!$C$36,B230&lt;='ZD Vorerfassung'!$D$36),HLOOKUP(TEXT(C230,"ttt"),'ZD Vorerfassung'!$H$21:$L$36,16,0),0)),"")</f>
        <v>0</v>
      </c>
      <c r="AW230" s="110">
        <f t="array" ref="AW230">IF(OR(D230="UU",D230="FT",D230="WE"),0,
IF(D230="NR",SUM(IF(B230&gt;=_xlfn.NUMBERVALUE('ZD Vorerfassung'!$C$22:$C$36),1,0)*IF(B230&lt;=_xlfn.NUMBERVALUE('ZD Vorerfassung'!$D$22:$D$36),1,0)*'ZD Vorerfassung'!$Q$22:$Q$36),
IF(OR(D230="SF",D230="FH"),SUM(IF(B230&gt;=_xlfn.NUMBERVALUE('ZD Vorerfassung'!$C$22:$C$36),1,0)*IF(B230&lt;=_xlfn.NUMBERVALUE('ZD Vorerfassung'!$D$22:$D$36),1,0)*'ZD Vorerfassung'!$R$22:$R$36*IF(D230="FH",0.5,1)),
"prüfen")))</f>
        <v>0</v>
      </c>
      <c r="AX230" s="110">
        <f t="array" ref="AX230">IF(OR(D230="UU",D230="FT",D230="WE",E230="Ferien"),0,
IF(D230="NR",SUM(IF(B230&gt;=_xlfn.NUMBERVALUE('ZD Vorerfassung'!$C$22:$C$36),1,0)*IF(B230&lt;=_xlfn.NUMBERVALUE('ZD Vorerfassung'!$D$22:$D$36),1,0)*'ZD Vorerfassung'!$W$22:$W$36),
IF(OR(D230="SF",D230="FH"),SUM(IF(B230&gt;=_xlfn.NUMBERVALUE('ZD Vorerfassung'!$C$22:$C$36),1,0)*IF(B230&lt;=_xlfn.NUMBERVALUE('ZD Vorerfassung'!$D$22:$D$36),1,0)*'ZD Vorerfassung'!$X$22:$X$36*IF(D230="FH",0.5,1)),
"prüfen")))</f>
        <v>0</v>
      </c>
      <c r="AY230" s="110">
        <f t="array" ref="AY230">IF(OR(D230="UU",D230="FT",D230="WE",E230="Ferien"),0,
IF(D230="NR",SUM(IF(B230&gt;=_xlfn.NUMBERVALUE('ZD Vorerfassung'!$C$22:$C$36),1,0)*IF(B230&lt;=_xlfn.NUMBERVALUE('ZD Vorerfassung'!$D$22:$D$36),1,0)*'ZD Vorerfassung'!$U$22:$U$36),
IF(OR(D230="SF",D230="FH"),SUM(IF(B230&gt;=_xlfn.NUMBERVALUE('ZD Vorerfassung'!$C$22:$C$36),1,0)*IF(B230&lt;=_xlfn.NUMBERVALUE('ZD Vorerfassung'!$D$22:$D$36),1,0)*'ZD Vorerfassung'!$V$22:$V$36*IF(D230="FH",0.5,1)),
"prüfen")))</f>
        <v>0</v>
      </c>
      <c r="AZ230" s="110">
        <f t="array" ref="AZ230">IF(OR(D230="UU",D230="FT",D230="WE",E230="Ferien"),0,
IF(D230="NR",SUM(IF(B230&gt;=_xlfn.NUMBERVALUE('ZD Vorerfassung'!$C$22:$C$36),1,0)*IF(B230&lt;=_xlfn.NUMBERVALUE('ZD Vorerfassung'!$D$22:$D$36),1,0)*'ZD Vorerfassung'!$S$22:$S$36),
IF(OR(D230="SF",D230="FH"),SUM(IF(B230&gt;=_xlfn.NUMBERVALUE('ZD Vorerfassung'!$C$22:$C$36),1,0)*IF(B230&lt;=_xlfn.NUMBERVALUE('ZD Vorerfassung'!$D$22:$D$36),1,0)*'ZD Vorerfassung'!$T$22:$T$36*IF(D230="FH",0.5,1)),
"prüfen")))</f>
        <v>0</v>
      </c>
      <c r="BA230" s="112">
        <f t="shared" si="44"/>
        <v>3</v>
      </c>
    </row>
    <row r="231" spans="2:53" ht="19.5" thickTop="1" thickBot="1" x14ac:dyDescent="0.3">
      <c r="B231" s="99">
        <f t="shared" si="41"/>
        <v>44996</v>
      </c>
      <c r="C231" s="100">
        <f t="shared" si="45"/>
        <v>44996</v>
      </c>
      <c r="D231" s="101" t="str">
        <f t="shared" si="46"/>
        <v>NR</v>
      </c>
      <c r="E231" s="102" t="str">
        <f t="shared" si="42"/>
        <v>Unterrichtstag</v>
      </c>
      <c r="F231" s="103">
        <f t="shared" si="47"/>
        <v>0</v>
      </c>
      <c r="G231" s="104">
        <f t="shared" si="48"/>
        <v>0</v>
      </c>
      <c r="H231" s="104">
        <f>IFERROR(IF('ZD Vorerfassung'!$E$11="manuell",SUM(I231),IF(OR(E231="Feiertag",E231="Wochenende"),0,IF('ZD Vorerfassung'!$E$11="automatisch",AX231,IF(D231="UU","UU",IF(E231=Param2,AX231/24,IF(E231=Param9,AX231/48,"")))))),0)</f>
        <v>0</v>
      </c>
      <c r="I231" s="105"/>
      <c r="J231" s="106">
        <f>IF('ZD Vorerfassung'!$E$12="manuell",SUM(K231:AI231),IF(OR(E231="Feiertag",E231="Wochenende"),0,IF('ZD Vorerfassung'!$E$12="automatisch",AY231,IF(D231="UU","UU",IF(E231=Param2,AY231/24,IF(E231=Param9,AY231/48,""))))))</f>
        <v>0</v>
      </c>
      <c r="K231" s="105"/>
      <c r="L231" s="105"/>
      <c r="M231" s="105"/>
      <c r="N231" s="105"/>
      <c r="O231" s="105"/>
      <c r="P231" s="105"/>
      <c r="Q231" s="105"/>
      <c r="R231" s="105"/>
      <c r="S231" s="105"/>
      <c r="T231" s="105"/>
      <c r="U231" s="105"/>
      <c r="V231" s="105"/>
      <c r="W231" s="105"/>
      <c r="X231" s="105"/>
      <c r="Y231" s="105"/>
      <c r="Z231" s="105"/>
      <c r="AA231" s="105"/>
      <c r="AB231" s="105"/>
      <c r="AC231" s="105"/>
      <c r="AD231" s="105"/>
      <c r="AE231" s="105"/>
      <c r="AF231" s="105"/>
      <c r="AG231" s="105"/>
      <c r="AH231" s="105"/>
      <c r="AI231" s="105"/>
      <c r="AJ231" s="107">
        <f t="shared" si="49"/>
        <v>0</v>
      </c>
      <c r="AK231" s="105"/>
      <c r="AL231" s="105"/>
      <c r="AM231" s="105"/>
      <c r="AN231" s="105"/>
      <c r="AO231" s="105"/>
      <c r="AP231" s="105"/>
      <c r="AQ231" s="108">
        <f t="shared" si="50"/>
        <v>0</v>
      </c>
      <c r="AR231" s="108">
        <f t="shared" si="51"/>
        <v>0</v>
      </c>
      <c r="AS231" s="109">
        <f t="shared" si="52"/>
        <v>0</v>
      </c>
      <c r="AU231" s="110">
        <f t="shared" si="43"/>
        <v>0</v>
      </c>
      <c r="AV231" s="111">
        <f>IF(D231="NR",
IF('ZD Vorerfassung'!$E$22="",0,IF(AND(B231&gt;='ZD Vorerfassung'!$C$22,B231&lt;='ZD Vorerfassung'!$D$22),HLOOKUP(TEXT(C231,"ttt"),'ZD Vorerfassung'!$H$21:$L$36,2,0),0))+
IF('ZD Vorerfassung'!$E$23="",0,IF(AND(B231&gt;='ZD Vorerfassung'!$C$23,B231&lt;='ZD Vorerfassung'!$D$23),HLOOKUP(TEXT(C231,"ttt"),'ZD Vorerfassung'!$H$21:$L$36,3,0),0))+
IF('ZD Vorerfassung'!$E$24="",0,IF(AND(B231&gt;='ZD Vorerfassung'!$C$24,B231&lt;='ZD Vorerfassung'!$D$24),HLOOKUP(TEXT(C231,"ttt"),'ZD Vorerfassung'!$H$21:$L$36,4,0),0))+
IF('ZD Vorerfassung'!$E$25="",0,IF(AND(B231&gt;='ZD Vorerfassung'!$C$25,B231&lt;='ZD Vorerfassung'!$D$25),HLOOKUP(TEXT(C231,"ttt"),'ZD Vorerfassung'!$H$21:$L$36,5,0),0))+
IF('ZD Vorerfassung'!$E$26="",0,IF(AND(B231&gt;='ZD Vorerfassung'!$C$26,B231&lt;='ZD Vorerfassung'!$D$26),HLOOKUP(TEXT(C231,"ttt"),'ZD Vorerfassung'!$H$21:$L$36,6,0),0))+
IF('ZD Vorerfassung'!$E$27="",0,IF(AND(B231&gt;='ZD Vorerfassung'!$C$27,B231&lt;='ZD Vorerfassung'!$D$27),HLOOKUP(TEXT(C231,"ttt"),'ZD Vorerfassung'!$H$21:$L$36,7,0),0))+
IF('ZD Vorerfassung'!$E$28="",0,IF(AND(B231&gt;='ZD Vorerfassung'!$C$28,B231&lt;='ZD Vorerfassung'!$D$28),HLOOKUP(TEXT(C231,"ttt"),'ZD Vorerfassung'!$H$21:$L$36,8,0),0))+
IF('ZD Vorerfassung'!$E$29="",0,IF(AND(B231&gt;='ZD Vorerfassung'!$C$29,B231&lt;='ZD Vorerfassung'!$D$29),HLOOKUP(TEXT(C231,"ttt"),'ZD Vorerfassung'!$H$21:$L$36,9,0),0))+
IF('ZD Vorerfassung'!$E$30="",0,IF(AND(B231&gt;='ZD Vorerfassung'!$C$30,B231&lt;='ZD Vorerfassung'!$D$30),HLOOKUP(TEXT(C231,"ttt"),'ZD Vorerfassung'!$H$21:$L$36,10,0),0))+
IF('ZD Vorerfassung'!$E$31="",0,IF(AND(B231&gt;='ZD Vorerfassung'!$C$31,B231&lt;='ZD Vorerfassung'!$D$31),HLOOKUP(TEXT(C231,"ttt"),'ZD Vorerfassung'!$H$21:$L$36,11,0),0))+
IF('ZD Vorerfassung'!$E$32="",0,IF(AND(B231&gt;='ZD Vorerfassung'!$C$32,B231&lt;='ZD Vorerfassung'!$D$32),HLOOKUP(TEXT(C231,"ttt"),'ZD Vorerfassung'!$H$21:$L$36,12,0),0))+
IF('ZD Vorerfassung'!$E$33="",0,IF(AND(B231&gt;='ZD Vorerfassung'!$C$33,B231&lt;='ZD Vorerfassung'!$D$33),HLOOKUP(TEXT(C231,"ttt"),'ZD Vorerfassung'!$H$21:$L$36,13,0),0))+
IF('ZD Vorerfassung'!$E$34="",0,IF(AND(B231&gt;='ZD Vorerfassung'!$C$34,B231&lt;='ZD Vorerfassung'!$D$34),HLOOKUP(TEXT(C231,"ttt"),'ZD Vorerfassung'!$H$21:$L$36,14,0),0))+
IF('ZD Vorerfassung'!$E$35="",0,IF(AND(B231&gt;='ZD Vorerfassung'!$C$35,B231&lt;='ZD Vorerfassung'!$D$35),HLOOKUP(TEXT(C231,"ttt"),'ZD Vorerfassung'!$H$21:$L$36,15,0),0))+
IF('ZD Vorerfassung'!$E$36="",0,IF(AND(B231&gt;='ZD Vorerfassung'!$C$36,B231&lt;='ZD Vorerfassung'!$D$36),HLOOKUP(TEXT(C231,"ttt"),'ZD Vorerfassung'!$H$21:$L$36,16,0),0)),"")</f>
        <v>0</v>
      </c>
      <c r="AW231" s="110">
        <f t="array" ref="AW231">IF(OR(D231="UU",D231="FT",D231="WE"),0,
IF(D231="NR",SUM(IF(B231&gt;=_xlfn.NUMBERVALUE('ZD Vorerfassung'!$C$22:$C$36),1,0)*IF(B231&lt;=_xlfn.NUMBERVALUE('ZD Vorerfassung'!$D$22:$D$36),1,0)*'ZD Vorerfassung'!$Q$22:$Q$36),
IF(OR(D231="SF",D231="FH"),SUM(IF(B231&gt;=_xlfn.NUMBERVALUE('ZD Vorerfassung'!$C$22:$C$36),1,0)*IF(B231&lt;=_xlfn.NUMBERVALUE('ZD Vorerfassung'!$D$22:$D$36),1,0)*'ZD Vorerfassung'!$R$22:$R$36*IF(D231="FH",0.5,1)),
"prüfen")))</f>
        <v>0</v>
      </c>
      <c r="AX231" s="110">
        <f t="array" ref="AX231">IF(OR(D231="UU",D231="FT",D231="WE",E231="Ferien"),0,
IF(D231="NR",SUM(IF(B231&gt;=_xlfn.NUMBERVALUE('ZD Vorerfassung'!$C$22:$C$36),1,0)*IF(B231&lt;=_xlfn.NUMBERVALUE('ZD Vorerfassung'!$D$22:$D$36),1,0)*'ZD Vorerfassung'!$W$22:$W$36),
IF(OR(D231="SF",D231="FH"),SUM(IF(B231&gt;=_xlfn.NUMBERVALUE('ZD Vorerfassung'!$C$22:$C$36),1,0)*IF(B231&lt;=_xlfn.NUMBERVALUE('ZD Vorerfassung'!$D$22:$D$36),1,0)*'ZD Vorerfassung'!$X$22:$X$36*IF(D231="FH",0.5,1)),
"prüfen")))</f>
        <v>0</v>
      </c>
      <c r="AY231" s="110">
        <f t="array" ref="AY231">IF(OR(D231="UU",D231="FT",D231="WE",E231="Ferien"),0,
IF(D231="NR",SUM(IF(B231&gt;=_xlfn.NUMBERVALUE('ZD Vorerfassung'!$C$22:$C$36),1,0)*IF(B231&lt;=_xlfn.NUMBERVALUE('ZD Vorerfassung'!$D$22:$D$36),1,0)*'ZD Vorerfassung'!$U$22:$U$36),
IF(OR(D231="SF",D231="FH"),SUM(IF(B231&gt;=_xlfn.NUMBERVALUE('ZD Vorerfassung'!$C$22:$C$36),1,0)*IF(B231&lt;=_xlfn.NUMBERVALUE('ZD Vorerfassung'!$D$22:$D$36),1,0)*'ZD Vorerfassung'!$V$22:$V$36*IF(D231="FH",0.5,1)),
"prüfen")))</f>
        <v>0</v>
      </c>
      <c r="AZ231" s="110">
        <f t="array" ref="AZ231">IF(OR(D231="UU",D231="FT",D231="WE",E231="Ferien"),0,
IF(D231="NR",SUM(IF(B231&gt;=_xlfn.NUMBERVALUE('ZD Vorerfassung'!$C$22:$C$36),1,0)*IF(B231&lt;=_xlfn.NUMBERVALUE('ZD Vorerfassung'!$D$22:$D$36),1,0)*'ZD Vorerfassung'!$S$22:$S$36),
IF(OR(D231="SF",D231="FH"),SUM(IF(B231&gt;=_xlfn.NUMBERVALUE('ZD Vorerfassung'!$C$22:$C$36),1,0)*IF(B231&lt;=_xlfn.NUMBERVALUE('ZD Vorerfassung'!$D$22:$D$36),1,0)*'ZD Vorerfassung'!$T$22:$T$36*IF(D231="FH",0.5,1)),
"prüfen")))</f>
        <v>0</v>
      </c>
      <c r="BA231" s="112">
        <f t="shared" si="44"/>
        <v>3</v>
      </c>
    </row>
    <row r="232" spans="2:53" ht="19.5" thickTop="1" thickBot="1" x14ac:dyDescent="0.3">
      <c r="B232" s="99">
        <f t="shared" si="41"/>
        <v>44997</v>
      </c>
      <c r="C232" s="100">
        <f t="shared" si="45"/>
        <v>44997</v>
      </c>
      <c r="D232" s="101" t="str">
        <f t="shared" si="46"/>
        <v>WE</v>
      </c>
      <c r="E232" s="102" t="str">
        <f t="shared" si="42"/>
        <v>Wochenende</v>
      </c>
      <c r="F232" s="103" t="str">
        <f t="shared" si="47"/>
        <v/>
      </c>
      <c r="G232" s="104" t="str">
        <f t="shared" si="48"/>
        <v/>
      </c>
      <c r="H232" s="104">
        <f>IFERROR(IF('ZD Vorerfassung'!$E$11="manuell",SUM(I232),IF(OR(E232="Feiertag",E232="Wochenende"),0,IF('ZD Vorerfassung'!$E$11="automatisch",AX232,IF(D232="UU","UU",IF(E232=Param2,AX232/24,IF(E232=Param9,AX232/48,"")))))),0)</f>
        <v>0</v>
      </c>
      <c r="I232" s="105"/>
      <c r="J232" s="106">
        <f>IF('ZD Vorerfassung'!$E$12="manuell",SUM(K232:AI232),IF(OR(E232="Feiertag",E232="Wochenende"),0,IF('ZD Vorerfassung'!$E$12="automatisch",AY232,IF(D232="UU","UU",IF(E232=Param2,AY232/24,IF(E232=Param9,AY232/48,""))))))</f>
        <v>0</v>
      </c>
      <c r="K232" s="105"/>
      <c r="L232" s="105"/>
      <c r="M232" s="105"/>
      <c r="N232" s="105"/>
      <c r="O232" s="105"/>
      <c r="P232" s="105"/>
      <c r="Q232" s="105"/>
      <c r="R232" s="105"/>
      <c r="S232" s="105"/>
      <c r="T232" s="105"/>
      <c r="U232" s="105"/>
      <c r="V232" s="105"/>
      <c r="W232" s="105"/>
      <c r="X232" s="105"/>
      <c r="Y232" s="105"/>
      <c r="Z232" s="105"/>
      <c r="AA232" s="105"/>
      <c r="AB232" s="105"/>
      <c r="AC232" s="105"/>
      <c r="AD232" s="105"/>
      <c r="AE232" s="105"/>
      <c r="AF232" s="105"/>
      <c r="AG232" s="105"/>
      <c r="AH232" s="105"/>
      <c r="AI232" s="105"/>
      <c r="AJ232" s="107">
        <f t="shared" si="49"/>
        <v>0</v>
      </c>
      <c r="AK232" s="105"/>
      <c r="AL232" s="105"/>
      <c r="AM232" s="105"/>
      <c r="AN232" s="105"/>
      <c r="AO232" s="105"/>
      <c r="AP232" s="105"/>
      <c r="AQ232" s="108">
        <f t="shared" si="50"/>
        <v>0</v>
      </c>
      <c r="AR232" s="108">
        <f t="shared" si="51"/>
        <v>0</v>
      </c>
      <c r="AS232" s="109">
        <f t="shared" si="52"/>
        <v>0</v>
      </c>
      <c r="AU232" s="110">
        <f t="shared" si="43"/>
        <v>0</v>
      </c>
      <c r="AV232" s="111" t="str">
        <f>IF(D232="NR",
IF('ZD Vorerfassung'!$E$22="",0,IF(AND(B232&gt;='ZD Vorerfassung'!$C$22,B232&lt;='ZD Vorerfassung'!$D$22),HLOOKUP(TEXT(C232,"ttt"),'ZD Vorerfassung'!$H$21:$L$36,2,0),0))+
IF('ZD Vorerfassung'!$E$23="",0,IF(AND(B232&gt;='ZD Vorerfassung'!$C$23,B232&lt;='ZD Vorerfassung'!$D$23),HLOOKUP(TEXT(C232,"ttt"),'ZD Vorerfassung'!$H$21:$L$36,3,0),0))+
IF('ZD Vorerfassung'!$E$24="",0,IF(AND(B232&gt;='ZD Vorerfassung'!$C$24,B232&lt;='ZD Vorerfassung'!$D$24),HLOOKUP(TEXT(C232,"ttt"),'ZD Vorerfassung'!$H$21:$L$36,4,0),0))+
IF('ZD Vorerfassung'!$E$25="",0,IF(AND(B232&gt;='ZD Vorerfassung'!$C$25,B232&lt;='ZD Vorerfassung'!$D$25),HLOOKUP(TEXT(C232,"ttt"),'ZD Vorerfassung'!$H$21:$L$36,5,0),0))+
IF('ZD Vorerfassung'!$E$26="",0,IF(AND(B232&gt;='ZD Vorerfassung'!$C$26,B232&lt;='ZD Vorerfassung'!$D$26),HLOOKUP(TEXT(C232,"ttt"),'ZD Vorerfassung'!$H$21:$L$36,6,0),0))+
IF('ZD Vorerfassung'!$E$27="",0,IF(AND(B232&gt;='ZD Vorerfassung'!$C$27,B232&lt;='ZD Vorerfassung'!$D$27),HLOOKUP(TEXT(C232,"ttt"),'ZD Vorerfassung'!$H$21:$L$36,7,0),0))+
IF('ZD Vorerfassung'!$E$28="",0,IF(AND(B232&gt;='ZD Vorerfassung'!$C$28,B232&lt;='ZD Vorerfassung'!$D$28),HLOOKUP(TEXT(C232,"ttt"),'ZD Vorerfassung'!$H$21:$L$36,8,0),0))+
IF('ZD Vorerfassung'!$E$29="",0,IF(AND(B232&gt;='ZD Vorerfassung'!$C$29,B232&lt;='ZD Vorerfassung'!$D$29),HLOOKUP(TEXT(C232,"ttt"),'ZD Vorerfassung'!$H$21:$L$36,9,0),0))+
IF('ZD Vorerfassung'!$E$30="",0,IF(AND(B232&gt;='ZD Vorerfassung'!$C$30,B232&lt;='ZD Vorerfassung'!$D$30),HLOOKUP(TEXT(C232,"ttt"),'ZD Vorerfassung'!$H$21:$L$36,10,0),0))+
IF('ZD Vorerfassung'!$E$31="",0,IF(AND(B232&gt;='ZD Vorerfassung'!$C$31,B232&lt;='ZD Vorerfassung'!$D$31),HLOOKUP(TEXT(C232,"ttt"),'ZD Vorerfassung'!$H$21:$L$36,11,0),0))+
IF('ZD Vorerfassung'!$E$32="",0,IF(AND(B232&gt;='ZD Vorerfassung'!$C$32,B232&lt;='ZD Vorerfassung'!$D$32),HLOOKUP(TEXT(C232,"ttt"),'ZD Vorerfassung'!$H$21:$L$36,12,0),0))+
IF('ZD Vorerfassung'!$E$33="",0,IF(AND(B232&gt;='ZD Vorerfassung'!$C$33,B232&lt;='ZD Vorerfassung'!$D$33),HLOOKUP(TEXT(C232,"ttt"),'ZD Vorerfassung'!$H$21:$L$36,13,0),0))+
IF('ZD Vorerfassung'!$E$34="",0,IF(AND(B232&gt;='ZD Vorerfassung'!$C$34,B232&lt;='ZD Vorerfassung'!$D$34),HLOOKUP(TEXT(C232,"ttt"),'ZD Vorerfassung'!$H$21:$L$36,14,0),0))+
IF('ZD Vorerfassung'!$E$35="",0,IF(AND(B232&gt;='ZD Vorerfassung'!$C$35,B232&lt;='ZD Vorerfassung'!$D$35),HLOOKUP(TEXT(C232,"ttt"),'ZD Vorerfassung'!$H$21:$L$36,15,0),0))+
IF('ZD Vorerfassung'!$E$36="",0,IF(AND(B232&gt;='ZD Vorerfassung'!$C$36,B232&lt;='ZD Vorerfassung'!$D$36),HLOOKUP(TEXT(C232,"ttt"),'ZD Vorerfassung'!$H$21:$L$36,16,0),0)),"")</f>
        <v/>
      </c>
      <c r="AW232" s="110">
        <f t="array" ref="AW232">IF(OR(D232="UU",D232="FT",D232="WE"),0,
IF(D232="NR",SUM(IF(B232&gt;=_xlfn.NUMBERVALUE('ZD Vorerfassung'!$C$22:$C$36),1,0)*IF(B232&lt;=_xlfn.NUMBERVALUE('ZD Vorerfassung'!$D$22:$D$36),1,0)*'ZD Vorerfassung'!$Q$22:$Q$36),
IF(OR(D232="SF",D232="FH"),SUM(IF(B232&gt;=_xlfn.NUMBERVALUE('ZD Vorerfassung'!$C$22:$C$36),1,0)*IF(B232&lt;=_xlfn.NUMBERVALUE('ZD Vorerfassung'!$D$22:$D$36),1,0)*'ZD Vorerfassung'!$R$22:$R$36*IF(D232="FH",0.5,1)),
"prüfen")))</f>
        <v>0</v>
      </c>
      <c r="AX232" s="110">
        <f t="array" ref="AX232">IF(OR(D232="UU",D232="FT",D232="WE",E232="Ferien"),0,
IF(D232="NR",SUM(IF(B232&gt;=_xlfn.NUMBERVALUE('ZD Vorerfassung'!$C$22:$C$36),1,0)*IF(B232&lt;=_xlfn.NUMBERVALUE('ZD Vorerfassung'!$D$22:$D$36),1,0)*'ZD Vorerfassung'!$W$22:$W$36),
IF(OR(D232="SF",D232="FH"),SUM(IF(B232&gt;=_xlfn.NUMBERVALUE('ZD Vorerfassung'!$C$22:$C$36),1,0)*IF(B232&lt;=_xlfn.NUMBERVALUE('ZD Vorerfassung'!$D$22:$D$36),1,0)*'ZD Vorerfassung'!$X$22:$X$36*IF(D232="FH",0.5,1)),
"prüfen")))</f>
        <v>0</v>
      </c>
      <c r="AY232" s="110">
        <f t="array" ref="AY232">IF(OR(D232="UU",D232="FT",D232="WE",E232="Ferien"),0,
IF(D232="NR",SUM(IF(B232&gt;=_xlfn.NUMBERVALUE('ZD Vorerfassung'!$C$22:$C$36),1,0)*IF(B232&lt;=_xlfn.NUMBERVALUE('ZD Vorerfassung'!$D$22:$D$36),1,0)*'ZD Vorerfassung'!$U$22:$U$36),
IF(OR(D232="SF",D232="FH"),SUM(IF(B232&gt;=_xlfn.NUMBERVALUE('ZD Vorerfassung'!$C$22:$C$36),1,0)*IF(B232&lt;=_xlfn.NUMBERVALUE('ZD Vorerfassung'!$D$22:$D$36),1,0)*'ZD Vorerfassung'!$V$22:$V$36*IF(D232="FH",0.5,1)),
"prüfen")))</f>
        <v>0</v>
      </c>
      <c r="AZ232" s="110">
        <f t="array" ref="AZ232">IF(OR(D232="UU",D232="FT",D232="WE",E232="Ferien"),0,
IF(D232="NR",SUM(IF(B232&gt;=_xlfn.NUMBERVALUE('ZD Vorerfassung'!$C$22:$C$36),1,0)*IF(B232&lt;=_xlfn.NUMBERVALUE('ZD Vorerfassung'!$D$22:$D$36),1,0)*'ZD Vorerfassung'!$S$22:$S$36),
IF(OR(D232="SF",D232="FH"),SUM(IF(B232&gt;=_xlfn.NUMBERVALUE('ZD Vorerfassung'!$C$22:$C$36),1,0)*IF(B232&lt;=_xlfn.NUMBERVALUE('ZD Vorerfassung'!$D$22:$D$36),1,0)*'ZD Vorerfassung'!$T$22:$T$36*IF(D232="FH",0.5,1)),
"prüfen")))</f>
        <v>0</v>
      </c>
      <c r="BA232" s="112">
        <f t="shared" si="44"/>
        <v>3</v>
      </c>
    </row>
    <row r="233" spans="2:53" ht="19.5" thickTop="1" thickBot="1" x14ac:dyDescent="0.3">
      <c r="B233" s="99">
        <f t="shared" si="41"/>
        <v>44998</v>
      </c>
      <c r="C233" s="100">
        <f t="shared" si="45"/>
        <v>44998</v>
      </c>
      <c r="D233" s="101" t="str">
        <f t="shared" si="46"/>
        <v>WE</v>
      </c>
      <c r="E233" s="102" t="str">
        <f t="shared" si="42"/>
        <v>Wochenende</v>
      </c>
      <c r="F233" s="103" t="str">
        <f t="shared" si="47"/>
        <v/>
      </c>
      <c r="G233" s="104" t="str">
        <f t="shared" si="48"/>
        <v/>
      </c>
      <c r="H233" s="104">
        <f>IFERROR(IF('ZD Vorerfassung'!$E$11="manuell",SUM(I233),IF(OR(E233="Feiertag",E233="Wochenende"),0,IF('ZD Vorerfassung'!$E$11="automatisch",AX233,IF(D233="UU","UU",IF(E233=Param2,AX233/24,IF(E233=Param9,AX233/48,"")))))),0)</f>
        <v>0</v>
      </c>
      <c r="I233" s="105"/>
      <c r="J233" s="106">
        <f>IF('ZD Vorerfassung'!$E$12="manuell",SUM(K233:AI233),IF(OR(E233="Feiertag",E233="Wochenende"),0,IF('ZD Vorerfassung'!$E$12="automatisch",AY233,IF(D233="UU","UU",IF(E233=Param2,AY233/24,IF(E233=Param9,AY233/48,""))))))</f>
        <v>0</v>
      </c>
      <c r="K233" s="105"/>
      <c r="L233" s="105"/>
      <c r="M233" s="105"/>
      <c r="N233" s="105"/>
      <c r="O233" s="105"/>
      <c r="P233" s="105"/>
      <c r="Q233" s="105"/>
      <c r="R233" s="105"/>
      <c r="S233" s="105"/>
      <c r="T233" s="105"/>
      <c r="U233" s="105"/>
      <c r="V233" s="105"/>
      <c r="W233" s="105"/>
      <c r="X233" s="105"/>
      <c r="Y233" s="105"/>
      <c r="Z233" s="105"/>
      <c r="AA233" s="105"/>
      <c r="AB233" s="105"/>
      <c r="AC233" s="105"/>
      <c r="AD233" s="105"/>
      <c r="AE233" s="105"/>
      <c r="AF233" s="105"/>
      <c r="AG233" s="105"/>
      <c r="AH233" s="105"/>
      <c r="AI233" s="105"/>
      <c r="AJ233" s="107">
        <f t="shared" si="49"/>
        <v>0</v>
      </c>
      <c r="AK233" s="105"/>
      <c r="AL233" s="105"/>
      <c r="AM233" s="105"/>
      <c r="AN233" s="105"/>
      <c r="AO233" s="105"/>
      <c r="AP233" s="105"/>
      <c r="AQ233" s="108">
        <f t="shared" si="50"/>
        <v>0</v>
      </c>
      <c r="AR233" s="108">
        <f t="shared" si="51"/>
        <v>0</v>
      </c>
      <c r="AS233" s="109">
        <f t="shared" si="52"/>
        <v>0</v>
      </c>
      <c r="AU233" s="110">
        <f t="shared" si="43"/>
        <v>0</v>
      </c>
      <c r="AV233" s="111" t="str">
        <f>IF(D233="NR",
IF('ZD Vorerfassung'!$E$22="",0,IF(AND(B233&gt;='ZD Vorerfassung'!$C$22,B233&lt;='ZD Vorerfassung'!$D$22),HLOOKUP(TEXT(C233,"ttt"),'ZD Vorerfassung'!$H$21:$L$36,2,0),0))+
IF('ZD Vorerfassung'!$E$23="",0,IF(AND(B233&gt;='ZD Vorerfassung'!$C$23,B233&lt;='ZD Vorerfassung'!$D$23),HLOOKUP(TEXT(C233,"ttt"),'ZD Vorerfassung'!$H$21:$L$36,3,0),0))+
IF('ZD Vorerfassung'!$E$24="",0,IF(AND(B233&gt;='ZD Vorerfassung'!$C$24,B233&lt;='ZD Vorerfassung'!$D$24),HLOOKUP(TEXT(C233,"ttt"),'ZD Vorerfassung'!$H$21:$L$36,4,0),0))+
IF('ZD Vorerfassung'!$E$25="",0,IF(AND(B233&gt;='ZD Vorerfassung'!$C$25,B233&lt;='ZD Vorerfassung'!$D$25),HLOOKUP(TEXT(C233,"ttt"),'ZD Vorerfassung'!$H$21:$L$36,5,0),0))+
IF('ZD Vorerfassung'!$E$26="",0,IF(AND(B233&gt;='ZD Vorerfassung'!$C$26,B233&lt;='ZD Vorerfassung'!$D$26),HLOOKUP(TEXT(C233,"ttt"),'ZD Vorerfassung'!$H$21:$L$36,6,0),0))+
IF('ZD Vorerfassung'!$E$27="",0,IF(AND(B233&gt;='ZD Vorerfassung'!$C$27,B233&lt;='ZD Vorerfassung'!$D$27),HLOOKUP(TEXT(C233,"ttt"),'ZD Vorerfassung'!$H$21:$L$36,7,0),0))+
IF('ZD Vorerfassung'!$E$28="",0,IF(AND(B233&gt;='ZD Vorerfassung'!$C$28,B233&lt;='ZD Vorerfassung'!$D$28),HLOOKUP(TEXT(C233,"ttt"),'ZD Vorerfassung'!$H$21:$L$36,8,0),0))+
IF('ZD Vorerfassung'!$E$29="",0,IF(AND(B233&gt;='ZD Vorerfassung'!$C$29,B233&lt;='ZD Vorerfassung'!$D$29),HLOOKUP(TEXT(C233,"ttt"),'ZD Vorerfassung'!$H$21:$L$36,9,0),0))+
IF('ZD Vorerfassung'!$E$30="",0,IF(AND(B233&gt;='ZD Vorerfassung'!$C$30,B233&lt;='ZD Vorerfassung'!$D$30),HLOOKUP(TEXT(C233,"ttt"),'ZD Vorerfassung'!$H$21:$L$36,10,0),0))+
IF('ZD Vorerfassung'!$E$31="",0,IF(AND(B233&gt;='ZD Vorerfassung'!$C$31,B233&lt;='ZD Vorerfassung'!$D$31),HLOOKUP(TEXT(C233,"ttt"),'ZD Vorerfassung'!$H$21:$L$36,11,0),0))+
IF('ZD Vorerfassung'!$E$32="",0,IF(AND(B233&gt;='ZD Vorerfassung'!$C$32,B233&lt;='ZD Vorerfassung'!$D$32),HLOOKUP(TEXT(C233,"ttt"),'ZD Vorerfassung'!$H$21:$L$36,12,0),0))+
IF('ZD Vorerfassung'!$E$33="",0,IF(AND(B233&gt;='ZD Vorerfassung'!$C$33,B233&lt;='ZD Vorerfassung'!$D$33),HLOOKUP(TEXT(C233,"ttt"),'ZD Vorerfassung'!$H$21:$L$36,13,0),0))+
IF('ZD Vorerfassung'!$E$34="",0,IF(AND(B233&gt;='ZD Vorerfassung'!$C$34,B233&lt;='ZD Vorerfassung'!$D$34),HLOOKUP(TEXT(C233,"ttt"),'ZD Vorerfassung'!$H$21:$L$36,14,0),0))+
IF('ZD Vorerfassung'!$E$35="",0,IF(AND(B233&gt;='ZD Vorerfassung'!$C$35,B233&lt;='ZD Vorerfassung'!$D$35),HLOOKUP(TEXT(C233,"ttt"),'ZD Vorerfassung'!$H$21:$L$36,15,0),0))+
IF('ZD Vorerfassung'!$E$36="",0,IF(AND(B233&gt;='ZD Vorerfassung'!$C$36,B233&lt;='ZD Vorerfassung'!$D$36),HLOOKUP(TEXT(C233,"ttt"),'ZD Vorerfassung'!$H$21:$L$36,16,0),0)),"")</f>
        <v/>
      </c>
      <c r="AW233" s="110">
        <f t="array" ref="AW233">IF(OR(D233="UU",D233="FT",D233="WE"),0,
IF(D233="NR",SUM(IF(B233&gt;=_xlfn.NUMBERVALUE('ZD Vorerfassung'!$C$22:$C$36),1,0)*IF(B233&lt;=_xlfn.NUMBERVALUE('ZD Vorerfassung'!$D$22:$D$36),1,0)*'ZD Vorerfassung'!$Q$22:$Q$36),
IF(OR(D233="SF",D233="FH"),SUM(IF(B233&gt;=_xlfn.NUMBERVALUE('ZD Vorerfassung'!$C$22:$C$36),1,0)*IF(B233&lt;=_xlfn.NUMBERVALUE('ZD Vorerfassung'!$D$22:$D$36),1,0)*'ZD Vorerfassung'!$R$22:$R$36*IF(D233="FH",0.5,1)),
"prüfen")))</f>
        <v>0</v>
      </c>
      <c r="AX233" s="110">
        <f t="array" ref="AX233">IF(OR(D233="UU",D233="FT",D233="WE",E233="Ferien"),0,
IF(D233="NR",SUM(IF(B233&gt;=_xlfn.NUMBERVALUE('ZD Vorerfassung'!$C$22:$C$36),1,0)*IF(B233&lt;=_xlfn.NUMBERVALUE('ZD Vorerfassung'!$D$22:$D$36),1,0)*'ZD Vorerfassung'!$W$22:$W$36),
IF(OR(D233="SF",D233="FH"),SUM(IF(B233&gt;=_xlfn.NUMBERVALUE('ZD Vorerfassung'!$C$22:$C$36),1,0)*IF(B233&lt;=_xlfn.NUMBERVALUE('ZD Vorerfassung'!$D$22:$D$36),1,0)*'ZD Vorerfassung'!$X$22:$X$36*IF(D233="FH",0.5,1)),
"prüfen")))</f>
        <v>0</v>
      </c>
      <c r="AY233" s="110">
        <f t="array" ref="AY233">IF(OR(D233="UU",D233="FT",D233="WE",E233="Ferien"),0,
IF(D233="NR",SUM(IF(B233&gt;=_xlfn.NUMBERVALUE('ZD Vorerfassung'!$C$22:$C$36),1,0)*IF(B233&lt;=_xlfn.NUMBERVALUE('ZD Vorerfassung'!$D$22:$D$36),1,0)*'ZD Vorerfassung'!$U$22:$U$36),
IF(OR(D233="SF",D233="FH"),SUM(IF(B233&gt;=_xlfn.NUMBERVALUE('ZD Vorerfassung'!$C$22:$C$36),1,0)*IF(B233&lt;=_xlfn.NUMBERVALUE('ZD Vorerfassung'!$D$22:$D$36),1,0)*'ZD Vorerfassung'!$V$22:$V$36*IF(D233="FH",0.5,1)),
"prüfen")))</f>
        <v>0</v>
      </c>
      <c r="AZ233" s="110">
        <f t="array" ref="AZ233">IF(OR(D233="UU",D233="FT",D233="WE",E233="Ferien"),0,
IF(D233="NR",SUM(IF(B233&gt;=_xlfn.NUMBERVALUE('ZD Vorerfassung'!$C$22:$C$36),1,0)*IF(B233&lt;=_xlfn.NUMBERVALUE('ZD Vorerfassung'!$D$22:$D$36),1,0)*'ZD Vorerfassung'!$S$22:$S$36),
IF(OR(D233="SF",D233="FH"),SUM(IF(B233&gt;=_xlfn.NUMBERVALUE('ZD Vorerfassung'!$C$22:$C$36),1,0)*IF(B233&lt;=_xlfn.NUMBERVALUE('ZD Vorerfassung'!$D$22:$D$36),1,0)*'ZD Vorerfassung'!$T$22:$T$36*IF(D233="FH",0.5,1)),
"prüfen")))</f>
        <v>0</v>
      </c>
      <c r="BA233" s="112">
        <f t="shared" si="44"/>
        <v>3</v>
      </c>
    </row>
    <row r="234" spans="2:53" ht="19.5" thickTop="1" thickBot="1" x14ac:dyDescent="0.3">
      <c r="B234" s="99">
        <f t="shared" si="41"/>
        <v>44999</v>
      </c>
      <c r="C234" s="100">
        <f t="shared" si="45"/>
        <v>44999</v>
      </c>
      <c r="D234" s="101" t="str">
        <f t="shared" si="46"/>
        <v>NR</v>
      </c>
      <c r="E234" s="102" t="str">
        <f t="shared" si="42"/>
        <v>Unterrichtstag</v>
      </c>
      <c r="F234" s="103">
        <f t="shared" si="47"/>
        <v>0</v>
      </c>
      <c r="G234" s="104">
        <f t="shared" si="48"/>
        <v>0</v>
      </c>
      <c r="H234" s="104">
        <f>IFERROR(IF('ZD Vorerfassung'!$E$11="manuell",SUM(I234),IF(OR(E234="Feiertag",E234="Wochenende"),0,IF('ZD Vorerfassung'!$E$11="automatisch",AX234,IF(D234="UU","UU",IF(E234=Param2,AX234/24,IF(E234=Param9,AX234/48,"")))))),0)</f>
        <v>0</v>
      </c>
      <c r="I234" s="105"/>
      <c r="J234" s="106">
        <f>IF('ZD Vorerfassung'!$E$12="manuell",SUM(K234:AI234),IF(OR(E234="Feiertag",E234="Wochenende"),0,IF('ZD Vorerfassung'!$E$12="automatisch",AY234,IF(D234="UU","UU",IF(E234=Param2,AY234/24,IF(E234=Param9,AY234/48,""))))))</f>
        <v>0</v>
      </c>
      <c r="K234" s="105"/>
      <c r="L234" s="105"/>
      <c r="M234" s="105"/>
      <c r="N234" s="105"/>
      <c r="O234" s="105"/>
      <c r="P234" s="105"/>
      <c r="Q234" s="105"/>
      <c r="R234" s="105"/>
      <c r="S234" s="105"/>
      <c r="T234" s="105"/>
      <c r="U234" s="105"/>
      <c r="V234" s="105"/>
      <c r="W234" s="105"/>
      <c r="X234" s="105"/>
      <c r="Y234" s="105"/>
      <c r="Z234" s="105"/>
      <c r="AA234" s="105"/>
      <c r="AB234" s="105"/>
      <c r="AC234" s="105"/>
      <c r="AD234" s="105"/>
      <c r="AE234" s="105"/>
      <c r="AF234" s="105"/>
      <c r="AG234" s="105"/>
      <c r="AH234" s="105"/>
      <c r="AI234" s="105"/>
      <c r="AJ234" s="107">
        <f t="shared" si="49"/>
        <v>0</v>
      </c>
      <c r="AK234" s="105"/>
      <c r="AL234" s="105"/>
      <c r="AM234" s="105"/>
      <c r="AN234" s="105"/>
      <c r="AO234" s="105"/>
      <c r="AP234" s="105"/>
      <c r="AQ234" s="108">
        <f t="shared" si="50"/>
        <v>0</v>
      </c>
      <c r="AR234" s="108">
        <f t="shared" si="51"/>
        <v>0</v>
      </c>
      <c r="AS234" s="109">
        <f t="shared" si="52"/>
        <v>0</v>
      </c>
      <c r="AU234" s="110">
        <f t="shared" si="43"/>
        <v>0</v>
      </c>
      <c r="AV234" s="111">
        <f>IF(D234="NR",
IF('ZD Vorerfassung'!$E$22="",0,IF(AND(B234&gt;='ZD Vorerfassung'!$C$22,B234&lt;='ZD Vorerfassung'!$D$22),HLOOKUP(TEXT(C234,"ttt"),'ZD Vorerfassung'!$H$21:$L$36,2,0),0))+
IF('ZD Vorerfassung'!$E$23="",0,IF(AND(B234&gt;='ZD Vorerfassung'!$C$23,B234&lt;='ZD Vorerfassung'!$D$23),HLOOKUP(TEXT(C234,"ttt"),'ZD Vorerfassung'!$H$21:$L$36,3,0),0))+
IF('ZD Vorerfassung'!$E$24="",0,IF(AND(B234&gt;='ZD Vorerfassung'!$C$24,B234&lt;='ZD Vorerfassung'!$D$24),HLOOKUP(TEXT(C234,"ttt"),'ZD Vorerfassung'!$H$21:$L$36,4,0),0))+
IF('ZD Vorerfassung'!$E$25="",0,IF(AND(B234&gt;='ZD Vorerfassung'!$C$25,B234&lt;='ZD Vorerfassung'!$D$25),HLOOKUP(TEXT(C234,"ttt"),'ZD Vorerfassung'!$H$21:$L$36,5,0),0))+
IF('ZD Vorerfassung'!$E$26="",0,IF(AND(B234&gt;='ZD Vorerfassung'!$C$26,B234&lt;='ZD Vorerfassung'!$D$26),HLOOKUP(TEXT(C234,"ttt"),'ZD Vorerfassung'!$H$21:$L$36,6,0),0))+
IF('ZD Vorerfassung'!$E$27="",0,IF(AND(B234&gt;='ZD Vorerfassung'!$C$27,B234&lt;='ZD Vorerfassung'!$D$27),HLOOKUP(TEXT(C234,"ttt"),'ZD Vorerfassung'!$H$21:$L$36,7,0),0))+
IF('ZD Vorerfassung'!$E$28="",0,IF(AND(B234&gt;='ZD Vorerfassung'!$C$28,B234&lt;='ZD Vorerfassung'!$D$28),HLOOKUP(TEXT(C234,"ttt"),'ZD Vorerfassung'!$H$21:$L$36,8,0),0))+
IF('ZD Vorerfassung'!$E$29="",0,IF(AND(B234&gt;='ZD Vorerfassung'!$C$29,B234&lt;='ZD Vorerfassung'!$D$29),HLOOKUP(TEXT(C234,"ttt"),'ZD Vorerfassung'!$H$21:$L$36,9,0),0))+
IF('ZD Vorerfassung'!$E$30="",0,IF(AND(B234&gt;='ZD Vorerfassung'!$C$30,B234&lt;='ZD Vorerfassung'!$D$30),HLOOKUP(TEXT(C234,"ttt"),'ZD Vorerfassung'!$H$21:$L$36,10,0),0))+
IF('ZD Vorerfassung'!$E$31="",0,IF(AND(B234&gt;='ZD Vorerfassung'!$C$31,B234&lt;='ZD Vorerfassung'!$D$31),HLOOKUP(TEXT(C234,"ttt"),'ZD Vorerfassung'!$H$21:$L$36,11,0),0))+
IF('ZD Vorerfassung'!$E$32="",0,IF(AND(B234&gt;='ZD Vorerfassung'!$C$32,B234&lt;='ZD Vorerfassung'!$D$32),HLOOKUP(TEXT(C234,"ttt"),'ZD Vorerfassung'!$H$21:$L$36,12,0),0))+
IF('ZD Vorerfassung'!$E$33="",0,IF(AND(B234&gt;='ZD Vorerfassung'!$C$33,B234&lt;='ZD Vorerfassung'!$D$33),HLOOKUP(TEXT(C234,"ttt"),'ZD Vorerfassung'!$H$21:$L$36,13,0),0))+
IF('ZD Vorerfassung'!$E$34="",0,IF(AND(B234&gt;='ZD Vorerfassung'!$C$34,B234&lt;='ZD Vorerfassung'!$D$34),HLOOKUP(TEXT(C234,"ttt"),'ZD Vorerfassung'!$H$21:$L$36,14,0),0))+
IF('ZD Vorerfassung'!$E$35="",0,IF(AND(B234&gt;='ZD Vorerfassung'!$C$35,B234&lt;='ZD Vorerfassung'!$D$35),HLOOKUP(TEXT(C234,"ttt"),'ZD Vorerfassung'!$H$21:$L$36,15,0),0))+
IF('ZD Vorerfassung'!$E$36="",0,IF(AND(B234&gt;='ZD Vorerfassung'!$C$36,B234&lt;='ZD Vorerfassung'!$D$36),HLOOKUP(TEXT(C234,"ttt"),'ZD Vorerfassung'!$H$21:$L$36,16,0),0)),"")</f>
        <v>0</v>
      </c>
      <c r="AW234" s="110">
        <f t="array" ref="AW234">IF(OR(D234="UU",D234="FT",D234="WE"),0,
IF(D234="NR",SUM(IF(B234&gt;=_xlfn.NUMBERVALUE('ZD Vorerfassung'!$C$22:$C$36),1,0)*IF(B234&lt;=_xlfn.NUMBERVALUE('ZD Vorerfassung'!$D$22:$D$36),1,0)*'ZD Vorerfassung'!$Q$22:$Q$36),
IF(OR(D234="SF",D234="FH"),SUM(IF(B234&gt;=_xlfn.NUMBERVALUE('ZD Vorerfassung'!$C$22:$C$36),1,0)*IF(B234&lt;=_xlfn.NUMBERVALUE('ZD Vorerfassung'!$D$22:$D$36),1,0)*'ZD Vorerfassung'!$R$22:$R$36*IF(D234="FH",0.5,1)),
"prüfen")))</f>
        <v>0</v>
      </c>
      <c r="AX234" s="110">
        <f t="array" ref="AX234">IF(OR(D234="UU",D234="FT",D234="WE",E234="Ferien"),0,
IF(D234="NR",SUM(IF(B234&gt;=_xlfn.NUMBERVALUE('ZD Vorerfassung'!$C$22:$C$36),1,0)*IF(B234&lt;=_xlfn.NUMBERVALUE('ZD Vorerfassung'!$D$22:$D$36),1,0)*'ZD Vorerfassung'!$W$22:$W$36),
IF(OR(D234="SF",D234="FH"),SUM(IF(B234&gt;=_xlfn.NUMBERVALUE('ZD Vorerfassung'!$C$22:$C$36),1,0)*IF(B234&lt;=_xlfn.NUMBERVALUE('ZD Vorerfassung'!$D$22:$D$36),1,0)*'ZD Vorerfassung'!$X$22:$X$36*IF(D234="FH",0.5,1)),
"prüfen")))</f>
        <v>0</v>
      </c>
      <c r="AY234" s="110">
        <f t="array" ref="AY234">IF(OR(D234="UU",D234="FT",D234="WE",E234="Ferien"),0,
IF(D234="NR",SUM(IF(B234&gt;=_xlfn.NUMBERVALUE('ZD Vorerfassung'!$C$22:$C$36),1,0)*IF(B234&lt;=_xlfn.NUMBERVALUE('ZD Vorerfassung'!$D$22:$D$36),1,0)*'ZD Vorerfassung'!$U$22:$U$36),
IF(OR(D234="SF",D234="FH"),SUM(IF(B234&gt;=_xlfn.NUMBERVALUE('ZD Vorerfassung'!$C$22:$C$36),1,0)*IF(B234&lt;=_xlfn.NUMBERVALUE('ZD Vorerfassung'!$D$22:$D$36),1,0)*'ZD Vorerfassung'!$V$22:$V$36*IF(D234="FH",0.5,1)),
"prüfen")))</f>
        <v>0</v>
      </c>
      <c r="AZ234" s="110">
        <f t="array" ref="AZ234">IF(OR(D234="UU",D234="FT",D234="WE",E234="Ferien"),0,
IF(D234="NR",SUM(IF(B234&gt;=_xlfn.NUMBERVALUE('ZD Vorerfassung'!$C$22:$C$36),1,0)*IF(B234&lt;=_xlfn.NUMBERVALUE('ZD Vorerfassung'!$D$22:$D$36),1,0)*'ZD Vorerfassung'!$S$22:$S$36),
IF(OR(D234="SF",D234="FH"),SUM(IF(B234&gt;=_xlfn.NUMBERVALUE('ZD Vorerfassung'!$C$22:$C$36),1,0)*IF(B234&lt;=_xlfn.NUMBERVALUE('ZD Vorerfassung'!$D$22:$D$36),1,0)*'ZD Vorerfassung'!$T$22:$T$36*IF(D234="FH",0.5,1)),
"prüfen")))</f>
        <v>0</v>
      </c>
      <c r="BA234" s="112">
        <f t="shared" si="44"/>
        <v>3</v>
      </c>
    </row>
    <row r="235" spans="2:53" ht="19.5" thickTop="1" thickBot="1" x14ac:dyDescent="0.3">
      <c r="B235" s="99">
        <f t="shared" si="41"/>
        <v>45000</v>
      </c>
      <c r="C235" s="100">
        <f t="shared" si="45"/>
        <v>45000</v>
      </c>
      <c r="D235" s="101" t="str">
        <f t="shared" si="46"/>
        <v>NR</v>
      </c>
      <c r="E235" s="102" t="str">
        <f t="shared" si="42"/>
        <v>Unterrichtstag</v>
      </c>
      <c r="F235" s="103">
        <f t="shared" si="47"/>
        <v>0</v>
      </c>
      <c r="G235" s="104">
        <f t="shared" si="48"/>
        <v>0</v>
      </c>
      <c r="H235" s="104">
        <f>IFERROR(IF('ZD Vorerfassung'!$E$11="manuell",SUM(I235),IF(OR(E235="Feiertag",E235="Wochenende"),0,IF('ZD Vorerfassung'!$E$11="automatisch",AX235,IF(D235="UU","UU",IF(E235=Param2,AX235/24,IF(E235=Param9,AX235/48,"")))))),0)</f>
        <v>0</v>
      </c>
      <c r="I235" s="105"/>
      <c r="J235" s="106">
        <f>IF('ZD Vorerfassung'!$E$12="manuell",SUM(K235:AI235),IF(OR(E235="Feiertag",E235="Wochenende"),0,IF('ZD Vorerfassung'!$E$12="automatisch",AY235,IF(D235="UU","UU",IF(E235=Param2,AY235/24,IF(E235=Param9,AY235/48,""))))))</f>
        <v>0</v>
      </c>
      <c r="K235" s="105"/>
      <c r="L235" s="105"/>
      <c r="M235" s="105"/>
      <c r="N235" s="105"/>
      <c r="O235" s="105"/>
      <c r="P235" s="105"/>
      <c r="Q235" s="105"/>
      <c r="R235" s="105"/>
      <c r="S235" s="105"/>
      <c r="T235" s="105"/>
      <c r="U235" s="105"/>
      <c r="V235" s="105"/>
      <c r="W235" s="105"/>
      <c r="X235" s="105"/>
      <c r="Y235" s="105"/>
      <c r="Z235" s="105"/>
      <c r="AA235" s="105"/>
      <c r="AB235" s="105"/>
      <c r="AC235" s="105"/>
      <c r="AD235" s="105"/>
      <c r="AE235" s="105"/>
      <c r="AF235" s="105"/>
      <c r="AG235" s="105"/>
      <c r="AH235" s="105"/>
      <c r="AI235" s="105"/>
      <c r="AJ235" s="107">
        <f t="shared" si="49"/>
        <v>0</v>
      </c>
      <c r="AK235" s="105"/>
      <c r="AL235" s="105"/>
      <c r="AM235" s="105"/>
      <c r="AN235" s="105"/>
      <c r="AO235" s="105"/>
      <c r="AP235" s="105"/>
      <c r="AQ235" s="108">
        <f t="shared" si="50"/>
        <v>0</v>
      </c>
      <c r="AR235" s="108">
        <f t="shared" si="51"/>
        <v>0</v>
      </c>
      <c r="AS235" s="109">
        <f t="shared" si="52"/>
        <v>0</v>
      </c>
      <c r="AU235" s="110">
        <f t="shared" si="43"/>
        <v>0</v>
      </c>
      <c r="AV235" s="111">
        <f>IF(D235="NR",
IF('ZD Vorerfassung'!$E$22="",0,IF(AND(B235&gt;='ZD Vorerfassung'!$C$22,B235&lt;='ZD Vorerfassung'!$D$22),HLOOKUP(TEXT(C235,"ttt"),'ZD Vorerfassung'!$H$21:$L$36,2,0),0))+
IF('ZD Vorerfassung'!$E$23="",0,IF(AND(B235&gt;='ZD Vorerfassung'!$C$23,B235&lt;='ZD Vorerfassung'!$D$23),HLOOKUP(TEXT(C235,"ttt"),'ZD Vorerfassung'!$H$21:$L$36,3,0),0))+
IF('ZD Vorerfassung'!$E$24="",0,IF(AND(B235&gt;='ZD Vorerfassung'!$C$24,B235&lt;='ZD Vorerfassung'!$D$24),HLOOKUP(TEXT(C235,"ttt"),'ZD Vorerfassung'!$H$21:$L$36,4,0),0))+
IF('ZD Vorerfassung'!$E$25="",0,IF(AND(B235&gt;='ZD Vorerfassung'!$C$25,B235&lt;='ZD Vorerfassung'!$D$25),HLOOKUP(TEXT(C235,"ttt"),'ZD Vorerfassung'!$H$21:$L$36,5,0),0))+
IF('ZD Vorerfassung'!$E$26="",0,IF(AND(B235&gt;='ZD Vorerfassung'!$C$26,B235&lt;='ZD Vorerfassung'!$D$26),HLOOKUP(TEXT(C235,"ttt"),'ZD Vorerfassung'!$H$21:$L$36,6,0),0))+
IF('ZD Vorerfassung'!$E$27="",0,IF(AND(B235&gt;='ZD Vorerfassung'!$C$27,B235&lt;='ZD Vorerfassung'!$D$27),HLOOKUP(TEXT(C235,"ttt"),'ZD Vorerfassung'!$H$21:$L$36,7,0),0))+
IF('ZD Vorerfassung'!$E$28="",0,IF(AND(B235&gt;='ZD Vorerfassung'!$C$28,B235&lt;='ZD Vorerfassung'!$D$28),HLOOKUP(TEXT(C235,"ttt"),'ZD Vorerfassung'!$H$21:$L$36,8,0),0))+
IF('ZD Vorerfassung'!$E$29="",0,IF(AND(B235&gt;='ZD Vorerfassung'!$C$29,B235&lt;='ZD Vorerfassung'!$D$29),HLOOKUP(TEXT(C235,"ttt"),'ZD Vorerfassung'!$H$21:$L$36,9,0),0))+
IF('ZD Vorerfassung'!$E$30="",0,IF(AND(B235&gt;='ZD Vorerfassung'!$C$30,B235&lt;='ZD Vorerfassung'!$D$30),HLOOKUP(TEXT(C235,"ttt"),'ZD Vorerfassung'!$H$21:$L$36,10,0),0))+
IF('ZD Vorerfassung'!$E$31="",0,IF(AND(B235&gt;='ZD Vorerfassung'!$C$31,B235&lt;='ZD Vorerfassung'!$D$31),HLOOKUP(TEXT(C235,"ttt"),'ZD Vorerfassung'!$H$21:$L$36,11,0),0))+
IF('ZD Vorerfassung'!$E$32="",0,IF(AND(B235&gt;='ZD Vorerfassung'!$C$32,B235&lt;='ZD Vorerfassung'!$D$32),HLOOKUP(TEXT(C235,"ttt"),'ZD Vorerfassung'!$H$21:$L$36,12,0),0))+
IF('ZD Vorerfassung'!$E$33="",0,IF(AND(B235&gt;='ZD Vorerfassung'!$C$33,B235&lt;='ZD Vorerfassung'!$D$33),HLOOKUP(TEXT(C235,"ttt"),'ZD Vorerfassung'!$H$21:$L$36,13,0),0))+
IF('ZD Vorerfassung'!$E$34="",0,IF(AND(B235&gt;='ZD Vorerfassung'!$C$34,B235&lt;='ZD Vorerfassung'!$D$34),HLOOKUP(TEXT(C235,"ttt"),'ZD Vorerfassung'!$H$21:$L$36,14,0),0))+
IF('ZD Vorerfassung'!$E$35="",0,IF(AND(B235&gt;='ZD Vorerfassung'!$C$35,B235&lt;='ZD Vorerfassung'!$D$35),HLOOKUP(TEXT(C235,"ttt"),'ZD Vorerfassung'!$H$21:$L$36,15,0),0))+
IF('ZD Vorerfassung'!$E$36="",0,IF(AND(B235&gt;='ZD Vorerfassung'!$C$36,B235&lt;='ZD Vorerfassung'!$D$36),HLOOKUP(TEXT(C235,"ttt"),'ZD Vorerfassung'!$H$21:$L$36,16,0),0)),"")</f>
        <v>0</v>
      </c>
      <c r="AW235" s="110">
        <f t="array" ref="AW235">IF(OR(D235="UU",D235="FT",D235="WE"),0,
IF(D235="NR",SUM(IF(B235&gt;=_xlfn.NUMBERVALUE('ZD Vorerfassung'!$C$22:$C$36),1,0)*IF(B235&lt;=_xlfn.NUMBERVALUE('ZD Vorerfassung'!$D$22:$D$36),1,0)*'ZD Vorerfassung'!$Q$22:$Q$36),
IF(OR(D235="SF",D235="FH"),SUM(IF(B235&gt;=_xlfn.NUMBERVALUE('ZD Vorerfassung'!$C$22:$C$36),1,0)*IF(B235&lt;=_xlfn.NUMBERVALUE('ZD Vorerfassung'!$D$22:$D$36),1,0)*'ZD Vorerfassung'!$R$22:$R$36*IF(D235="FH",0.5,1)),
"prüfen")))</f>
        <v>0</v>
      </c>
      <c r="AX235" s="110">
        <f t="array" ref="AX235">IF(OR(D235="UU",D235="FT",D235="WE",E235="Ferien"),0,
IF(D235="NR",SUM(IF(B235&gt;=_xlfn.NUMBERVALUE('ZD Vorerfassung'!$C$22:$C$36),1,0)*IF(B235&lt;=_xlfn.NUMBERVALUE('ZD Vorerfassung'!$D$22:$D$36),1,0)*'ZD Vorerfassung'!$W$22:$W$36),
IF(OR(D235="SF",D235="FH"),SUM(IF(B235&gt;=_xlfn.NUMBERVALUE('ZD Vorerfassung'!$C$22:$C$36),1,0)*IF(B235&lt;=_xlfn.NUMBERVALUE('ZD Vorerfassung'!$D$22:$D$36),1,0)*'ZD Vorerfassung'!$X$22:$X$36*IF(D235="FH",0.5,1)),
"prüfen")))</f>
        <v>0</v>
      </c>
      <c r="AY235" s="110">
        <f t="array" ref="AY235">IF(OR(D235="UU",D235="FT",D235="WE",E235="Ferien"),0,
IF(D235="NR",SUM(IF(B235&gt;=_xlfn.NUMBERVALUE('ZD Vorerfassung'!$C$22:$C$36),1,0)*IF(B235&lt;=_xlfn.NUMBERVALUE('ZD Vorerfassung'!$D$22:$D$36),1,0)*'ZD Vorerfassung'!$U$22:$U$36),
IF(OR(D235="SF",D235="FH"),SUM(IF(B235&gt;=_xlfn.NUMBERVALUE('ZD Vorerfassung'!$C$22:$C$36),1,0)*IF(B235&lt;=_xlfn.NUMBERVALUE('ZD Vorerfassung'!$D$22:$D$36),1,0)*'ZD Vorerfassung'!$V$22:$V$36*IF(D235="FH",0.5,1)),
"prüfen")))</f>
        <v>0</v>
      </c>
      <c r="AZ235" s="110">
        <f t="array" ref="AZ235">IF(OR(D235="UU",D235="FT",D235="WE",E235="Ferien"),0,
IF(D235="NR",SUM(IF(B235&gt;=_xlfn.NUMBERVALUE('ZD Vorerfassung'!$C$22:$C$36),1,0)*IF(B235&lt;=_xlfn.NUMBERVALUE('ZD Vorerfassung'!$D$22:$D$36),1,0)*'ZD Vorerfassung'!$S$22:$S$36),
IF(OR(D235="SF",D235="FH"),SUM(IF(B235&gt;=_xlfn.NUMBERVALUE('ZD Vorerfassung'!$C$22:$C$36),1,0)*IF(B235&lt;=_xlfn.NUMBERVALUE('ZD Vorerfassung'!$D$22:$D$36),1,0)*'ZD Vorerfassung'!$T$22:$T$36*IF(D235="FH",0.5,1)),
"prüfen")))</f>
        <v>0</v>
      </c>
      <c r="BA235" s="112">
        <f t="shared" si="44"/>
        <v>3</v>
      </c>
    </row>
    <row r="236" spans="2:53" ht="19.5" thickTop="1" thickBot="1" x14ac:dyDescent="0.3">
      <c r="B236" s="99">
        <f t="shared" si="41"/>
        <v>45001</v>
      </c>
      <c r="C236" s="100">
        <f t="shared" si="45"/>
        <v>45001</v>
      </c>
      <c r="D236" s="101" t="str">
        <f t="shared" si="46"/>
        <v>NR</v>
      </c>
      <c r="E236" s="102" t="str">
        <f t="shared" si="42"/>
        <v>Unterrichtstag</v>
      </c>
      <c r="F236" s="103">
        <f t="shared" si="47"/>
        <v>0</v>
      </c>
      <c r="G236" s="104">
        <f t="shared" si="48"/>
        <v>0</v>
      </c>
      <c r="H236" s="104">
        <f>IFERROR(IF('ZD Vorerfassung'!$E$11="manuell",SUM(I236),IF(OR(E236="Feiertag",E236="Wochenende"),0,IF('ZD Vorerfassung'!$E$11="automatisch",AX236,IF(D236="UU","UU",IF(E236=Param2,AX236/24,IF(E236=Param9,AX236/48,"")))))),0)</f>
        <v>0</v>
      </c>
      <c r="I236" s="105"/>
      <c r="J236" s="106">
        <f>IF('ZD Vorerfassung'!$E$12="manuell",SUM(K236:AI236),IF(OR(E236="Feiertag",E236="Wochenende"),0,IF('ZD Vorerfassung'!$E$12="automatisch",AY236,IF(D236="UU","UU",IF(E236=Param2,AY236/24,IF(E236=Param9,AY236/48,""))))))</f>
        <v>0</v>
      </c>
      <c r="K236" s="105"/>
      <c r="L236" s="105"/>
      <c r="M236" s="105"/>
      <c r="N236" s="105"/>
      <c r="O236" s="105"/>
      <c r="P236" s="105"/>
      <c r="Q236" s="105"/>
      <c r="R236" s="105"/>
      <c r="S236" s="105"/>
      <c r="T236" s="105"/>
      <c r="U236" s="105"/>
      <c r="V236" s="105"/>
      <c r="W236" s="105"/>
      <c r="X236" s="105"/>
      <c r="Y236" s="105"/>
      <c r="Z236" s="105"/>
      <c r="AA236" s="105"/>
      <c r="AB236" s="105"/>
      <c r="AC236" s="105"/>
      <c r="AD236" s="105"/>
      <c r="AE236" s="105"/>
      <c r="AF236" s="105"/>
      <c r="AG236" s="105"/>
      <c r="AH236" s="105"/>
      <c r="AI236" s="105"/>
      <c r="AJ236" s="107">
        <f t="shared" si="49"/>
        <v>0</v>
      </c>
      <c r="AK236" s="105"/>
      <c r="AL236" s="105"/>
      <c r="AM236" s="105"/>
      <c r="AN236" s="105"/>
      <c r="AO236" s="105"/>
      <c r="AP236" s="105"/>
      <c r="AQ236" s="108">
        <f t="shared" si="50"/>
        <v>0</v>
      </c>
      <c r="AR236" s="108">
        <f t="shared" si="51"/>
        <v>0</v>
      </c>
      <c r="AS236" s="109">
        <f t="shared" si="52"/>
        <v>0</v>
      </c>
      <c r="AU236" s="110">
        <f t="shared" si="43"/>
        <v>0</v>
      </c>
      <c r="AV236" s="111">
        <f>IF(D236="NR",
IF('ZD Vorerfassung'!$E$22="",0,IF(AND(B236&gt;='ZD Vorerfassung'!$C$22,B236&lt;='ZD Vorerfassung'!$D$22),HLOOKUP(TEXT(C236,"ttt"),'ZD Vorerfassung'!$H$21:$L$36,2,0),0))+
IF('ZD Vorerfassung'!$E$23="",0,IF(AND(B236&gt;='ZD Vorerfassung'!$C$23,B236&lt;='ZD Vorerfassung'!$D$23),HLOOKUP(TEXT(C236,"ttt"),'ZD Vorerfassung'!$H$21:$L$36,3,0),0))+
IF('ZD Vorerfassung'!$E$24="",0,IF(AND(B236&gt;='ZD Vorerfassung'!$C$24,B236&lt;='ZD Vorerfassung'!$D$24),HLOOKUP(TEXT(C236,"ttt"),'ZD Vorerfassung'!$H$21:$L$36,4,0),0))+
IF('ZD Vorerfassung'!$E$25="",0,IF(AND(B236&gt;='ZD Vorerfassung'!$C$25,B236&lt;='ZD Vorerfassung'!$D$25),HLOOKUP(TEXT(C236,"ttt"),'ZD Vorerfassung'!$H$21:$L$36,5,0),0))+
IF('ZD Vorerfassung'!$E$26="",0,IF(AND(B236&gt;='ZD Vorerfassung'!$C$26,B236&lt;='ZD Vorerfassung'!$D$26),HLOOKUP(TEXT(C236,"ttt"),'ZD Vorerfassung'!$H$21:$L$36,6,0),0))+
IF('ZD Vorerfassung'!$E$27="",0,IF(AND(B236&gt;='ZD Vorerfassung'!$C$27,B236&lt;='ZD Vorerfassung'!$D$27),HLOOKUP(TEXT(C236,"ttt"),'ZD Vorerfassung'!$H$21:$L$36,7,0),0))+
IF('ZD Vorerfassung'!$E$28="",0,IF(AND(B236&gt;='ZD Vorerfassung'!$C$28,B236&lt;='ZD Vorerfassung'!$D$28),HLOOKUP(TEXT(C236,"ttt"),'ZD Vorerfassung'!$H$21:$L$36,8,0),0))+
IF('ZD Vorerfassung'!$E$29="",0,IF(AND(B236&gt;='ZD Vorerfassung'!$C$29,B236&lt;='ZD Vorerfassung'!$D$29),HLOOKUP(TEXT(C236,"ttt"),'ZD Vorerfassung'!$H$21:$L$36,9,0),0))+
IF('ZD Vorerfassung'!$E$30="",0,IF(AND(B236&gt;='ZD Vorerfassung'!$C$30,B236&lt;='ZD Vorerfassung'!$D$30),HLOOKUP(TEXT(C236,"ttt"),'ZD Vorerfassung'!$H$21:$L$36,10,0),0))+
IF('ZD Vorerfassung'!$E$31="",0,IF(AND(B236&gt;='ZD Vorerfassung'!$C$31,B236&lt;='ZD Vorerfassung'!$D$31),HLOOKUP(TEXT(C236,"ttt"),'ZD Vorerfassung'!$H$21:$L$36,11,0),0))+
IF('ZD Vorerfassung'!$E$32="",0,IF(AND(B236&gt;='ZD Vorerfassung'!$C$32,B236&lt;='ZD Vorerfassung'!$D$32),HLOOKUP(TEXT(C236,"ttt"),'ZD Vorerfassung'!$H$21:$L$36,12,0),0))+
IF('ZD Vorerfassung'!$E$33="",0,IF(AND(B236&gt;='ZD Vorerfassung'!$C$33,B236&lt;='ZD Vorerfassung'!$D$33),HLOOKUP(TEXT(C236,"ttt"),'ZD Vorerfassung'!$H$21:$L$36,13,0),0))+
IF('ZD Vorerfassung'!$E$34="",0,IF(AND(B236&gt;='ZD Vorerfassung'!$C$34,B236&lt;='ZD Vorerfassung'!$D$34),HLOOKUP(TEXT(C236,"ttt"),'ZD Vorerfassung'!$H$21:$L$36,14,0),0))+
IF('ZD Vorerfassung'!$E$35="",0,IF(AND(B236&gt;='ZD Vorerfassung'!$C$35,B236&lt;='ZD Vorerfassung'!$D$35),HLOOKUP(TEXT(C236,"ttt"),'ZD Vorerfassung'!$H$21:$L$36,15,0),0))+
IF('ZD Vorerfassung'!$E$36="",0,IF(AND(B236&gt;='ZD Vorerfassung'!$C$36,B236&lt;='ZD Vorerfassung'!$D$36),HLOOKUP(TEXT(C236,"ttt"),'ZD Vorerfassung'!$H$21:$L$36,16,0),0)),"")</f>
        <v>0</v>
      </c>
      <c r="AW236" s="110">
        <f t="array" ref="AW236">IF(OR(D236="UU",D236="FT",D236="WE"),0,
IF(D236="NR",SUM(IF(B236&gt;=_xlfn.NUMBERVALUE('ZD Vorerfassung'!$C$22:$C$36),1,0)*IF(B236&lt;=_xlfn.NUMBERVALUE('ZD Vorerfassung'!$D$22:$D$36),1,0)*'ZD Vorerfassung'!$Q$22:$Q$36),
IF(OR(D236="SF",D236="FH"),SUM(IF(B236&gt;=_xlfn.NUMBERVALUE('ZD Vorerfassung'!$C$22:$C$36),1,0)*IF(B236&lt;=_xlfn.NUMBERVALUE('ZD Vorerfassung'!$D$22:$D$36),1,0)*'ZD Vorerfassung'!$R$22:$R$36*IF(D236="FH",0.5,1)),
"prüfen")))</f>
        <v>0</v>
      </c>
      <c r="AX236" s="110">
        <f t="array" ref="AX236">IF(OR(D236="UU",D236="FT",D236="WE",E236="Ferien"),0,
IF(D236="NR",SUM(IF(B236&gt;=_xlfn.NUMBERVALUE('ZD Vorerfassung'!$C$22:$C$36),1,0)*IF(B236&lt;=_xlfn.NUMBERVALUE('ZD Vorerfassung'!$D$22:$D$36),1,0)*'ZD Vorerfassung'!$W$22:$W$36),
IF(OR(D236="SF",D236="FH"),SUM(IF(B236&gt;=_xlfn.NUMBERVALUE('ZD Vorerfassung'!$C$22:$C$36),1,0)*IF(B236&lt;=_xlfn.NUMBERVALUE('ZD Vorerfassung'!$D$22:$D$36),1,0)*'ZD Vorerfassung'!$X$22:$X$36*IF(D236="FH",0.5,1)),
"prüfen")))</f>
        <v>0</v>
      </c>
      <c r="AY236" s="110">
        <f t="array" ref="AY236">IF(OR(D236="UU",D236="FT",D236="WE",E236="Ferien"),0,
IF(D236="NR",SUM(IF(B236&gt;=_xlfn.NUMBERVALUE('ZD Vorerfassung'!$C$22:$C$36),1,0)*IF(B236&lt;=_xlfn.NUMBERVALUE('ZD Vorerfassung'!$D$22:$D$36),1,0)*'ZD Vorerfassung'!$U$22:$U$36),
IF(OR(D236="SF",D236="FH"),SUM(IF(B236&gt;=_xlfn.NUMBERVALUE('ZD Vorerfassung'!$C$22:$C$36),1,0)*IF(B236&lt;=_xlfn.NUMBERVALUE('ZD Vorerfassung'!$D$22:$D$36),1,0)*'ZD Vorerfassung'!$V$22:$V$36*IF(D236="FH",0.5,1)),
"prüfen")))</f>
        <v>0</v>
      </c>
      <c r="AZ236" s="110">
        <f t="array" ref="AZ236">IF(OR(D236="UU",D236="FT",D236="WE",E236="Ferien"),0,
IF(D236="NR",SUM(IF(B236&gt;=_xlfn.NUMBERVALUE('ZD Vorerfassung'!$C$22:$C$36),1,0)*IF(B236&lt;=_xlfn.NUMBERVALUE('ZD Vorerfassung'!$D$22:$D$36),1,0)*'ZD Vorerfassung'!$S$22:$S$36),
IF(OR(D236="SF",D236="FH"),SUM(IF(B236&gt;=_xlfn.NUMBERVALUE('ZD Vorerfassung'!$C$22:$C$36),1,0)*IF(B236&lt;=_xlfn.NUMBERVALUE('ZD Vorerfassung'!$D$22:$D$36),1,0)*'ZD Vorerfassung'!$T$22:$T$36*IF(D236="FH",0.5,1)),
"prüfen")))</f>
        <v>0</v>
      </c>
      <c r="BA236" s="112">
        <f t="shared" si="44"/>
        <v>3</v>
      </c>
    </row>
    <row r="237" spans="2:53" ht="19.5" thickTop="1" thickBot="1" x14ac:dyDescent="0.3">
      <c r="B237" s="99">
        <f t="shared" si="41"/>
        <v>45002</v>
      </c>
      <c r="C237" s="100">
        <f t="shared" si="45"/>
        <v>45002</v>
      </c>
      <c r="D237" s="101" t="str">
        <f t="shared" si="46"/>
        <v>NR</v>
      </c>
      <c r="E237" s="102" t="str">
        <f t="shared" si="42"/>
        <v>Unterrichtstag</v>
      </c>
      <c r="F237" s="103">
        <f t="shared" si="47"/>
        <v>0</v>
      </c>
      <c r="G237" s="104">
        <f t="shared" si="48"/>
        <v>0</v>
      </c>
      <c r="H237" s="104">
        <f>IFERROR(IF('ZD Vorerfassung'!$E$11="manuell",SUM(I237),IF(OR(E237="Feiertag",E237="Wochenende"),0,IF('ZD Vorerfassung'!$E$11="automatisch",AX237,IF(D237="UU","UU",IF(E237=Param2,AX237/24,IF(E237=Param9,AX237/48,"")))))),0)</f>
        <v>0</v>
      </c>
      <c r="I237" s="105"/>
      <c r="J237" s="106">
        <f>IF('ZD Vorerfassung'!$E$12="manuell",SUM(K237:AI237),IF(OR(E237="Feiertag",E237="Wochenende"),0,IF('ZD Vorerfassung'!$E$12="automatisch",AY237,IF(D237="UU","UU",IF(E237=Param2,AY237/24,IF(E237=Param9,AY237/48,""))))))</f>
        <v>0</v>
      </c>
      <c r="K237" s="105"/>
      <c r="L237" s="105"/>
      <c r="M237" s="105"/>
      <c r="N237" s="105"/>
      <c r="O237" s="105"/>
      <c r="P237" s="105"/>
      <c r="Q237" s="105"/>
      <c r="R237" s="105"/>
      <c r="S237" s="105"/>
      <c r="T237" s="105"/>
      <c r="U237" s="105"/>
      <c r="V237" s="105"/>
      <c r="W237" s="105"/>
      <c r="X237" s="105"/>
      <c r="Y237" s="105"/>
      <c r="Z237" s="105"/>
      <c r="AA237" s="105"/>
      <c r="AB237" s="105"/>
      <c r="AC237" s="105"/>
      <c r="AD237" s="105"/>
      <c r="AE237" s="105"/>
      <c r="AF237" s="105"/>
      <c r="AG237" s="105"/>
      <c r="AH237" s="105"/>
      <c r="AI237" s="105"/>
      <c r="AJ237" s="107">
        <f t="shared" si="49"/>
        <v>0</v>
      </c>
      <c r="AK237" s="105"/>
      <c r="AL237" s="105"/>
      <c r="AM237" s="105"/>
      <c r="AN237" s="105"/>
      <c r="AO237" s="105"/>
      <c r="AP237" s="105"/>
      <c r="AQ237" s="108">
        <f t="shared" si="50"/>
        <v>0</v>
      </c>
      <c r="AR237" s="108">
        <f t="shared" si="51"/>
        <v>0</v>
      </c>
      <c r="AS237" s="109">
        <f t="shared" si="52"/>
        <v>0</v>
      </c>
      <c r="AU237" s="110">
        <f t="shared" si="43"/>
        <v>0</v>
      </c>
      <c r="AV237" s="111">
        <f>IF(D237="NR",
IF('ZD Vorerfassung'!$E$22="",0,IF(AND(B237&gt;='ZD Vorerfassung'!$C$22,B237&lt;='ZD Vorerfassung'!$D$22),HLOOKUP(TEXT(C237,"ttt"),'ZD Vorerfassung'!$H$21:$L$36,2,0),0))+
IF('ZD Vorerfassung'!$E$23="",0,IF(AND(B237&gt;='ZD Vorerfassung'!$C$23,B237&lt;='ZD Vorerfassung'!$D$23),HLOOKUP(TEXT(C237,"ttt"),'ZD Vorerfassung'!$H$21:$L$36,3,0),0))+
IF('ZD Vorerfassung'!$E$24="",0,IF(AND(B237&gt;='ZD Vorerfassung'!$C$24,B237&lt;='ZD Vorerfassung'!$D$24),HLOOKUP(TEXT(C237,"ttt"),'ZD Vorerfassung'!$H$21:$L$36,4,0),0))+
IF('ZD Vorerfassung'!$E$25="",0,IF(AND(B237&gt;='ZD Vorerfassung'!$C$25,B237&lt;='ZD Vorerfassung'!$D$25),HLOOKUP(TEXT(C237,"ttt"),'ZD Vorerfassung'!$H$21:$L$36,5,0),0))+
IF('ZD Vorerfassung'!$E$26="",0,IF(AND(B237&gt;='ZD Vorerfassung'!$C$26,B237&lt;='ZD Vorerfassung'!$D$26),HLOOKUP(TEXT(C237,"ttt"),'ZD Vorerfassung'!$H$21:$L$36,6,0),0))+
IF('ZD Vorerfassung'!$E$27="",0,IF(AND(B237&gt;='ZD Vorerfassung'!$C$27,B237&lt;='ZD Vorerfassung'!$D$27),HLOOKUP(TEXT(C237,"ttt"),'ZD Vorerfassung'!$H$21:$L$36,7,0),0))+
IF('ZD Vorerfassung'!$E$28="",0,IF(AND(B237&gt;='ZD Vorerfassung'!$C$28,B237&lt;='ZD Vorerfassung'!$D$28),HLOOKUP(TEXT(C237,"ttt"),'ZD Vorerfassung'!$H$21:$L$36,8,0),0))+
IF('ZD Vorerfassung'!$E$29="",0,IF(AND(B237&gt;='ZD Vorerfassung'!$C$29,B237&lt;='ZD Vorerfassung'!$D$29),HLOOKUP(TEXT(C237,"ttt"),'ZD Vorerfassung'!$H$21:$L$36,9,0),0))+
IF('ZD Vorerfassung'!$E$30="",0,IF(AND(B237&gt;='ZD Vorerfassung'!$C$30,B237&lt;='ZD Vorerfassung'!$D$30),HLOOKUP(TEXT(C237,"ttt"),'ZD Vorerfassung'!$H$21:$L$36,10,0),0))+
IF('ZD Vorerfassung'!$E$31="",0,IF(AND(B237&gt;='ZD Vorerfassung'!$C$31,B237&lt;='ZD Vorerfassung'!$D$31),HLOOKUP(TEXT(C237,"ttt"),'ZD Vorerfassung'!$H$21:$L$36,11,0),0))+
IF('ZD Vorerfassung'!$E$32="",0,IF(AND(B237&gt;='ZD Vorerfassung'!$C$32,B237&lt;='ZD Vorerfassung'!$D$32),HLOOKUP(TEXT(C237,"ttt"),'ZD Vorerfassung'!$H$21:$L$36,12,0),0))+
IF('ZD Vorerfassung'!$E$33="",0,IF(AND(B237&gt;='ZD Vorerfassung'!$C$33,B237&lt;='ZD Vorerfassung'!$D$33),HLOOKUP(TEXT(C237,"ttt"),'ZD Vorerfassung'!$H$21:$L$36,13,0),0))+
IF('ZD Vorerfassung'!$E$34="",0,IF(AND(B237&gt;='ZD Vorerfassung'!$C$34,B237&lt;='ZD Vorerfassung'!$D$34),HLOOKUP(TEXT(C237,"ttt"),'ZD Vorerfassung'!$H$21:$L$36,14,0),0))+
IF('ZD Vorerfassung'!$E$35="",0,IF(AND(B237&gt;='ZD Vorerfassung'!$C$35,B237&lt;='ZD Vorerfassung'!$D$35),HLOOKUP(TEXT(C237,"ttt"),'ZD Vorerfassung'!$H$21:$L$36,15,0),0))+
IF('ZD Vorerfassung'!$E$36="",0,IF(AND(B237&gt;='ZD Vorerfassung'!$C$36,B237&lt;='ZD Vorerfassung'!$D$36),HLOOKUP(TEXT(C237,"ttt"),'ZD Vorerfassung'!$H$21:$L$36,16,0),0)),"")</f>
        <v>0</v>
      </c>
      <c r="AW237" s="110">
        <f t="array" ref="AW237">IF(OR(D237="UU",D237="FT",D237="WE"),0,
IF(D237="NR",SUM(IF(B237&gt;=_xlfn.NUMBERVALUE('ZD Vorerfassung'!$C$22:$C$36),1,0)*IF(B237&lt;=_xlfn.NUMBERVALUE('ZD Vorerfassung'!$D$22:$D$36),1,0)*'ZD Vorerfassung'!$Q$22:$Q$36),
IF(OR(D237="SF",D237="FH"),SUM(IF(B237&gt;=_xlfn.NUMBERVALUE('ZD Vorerfassung'!$C$22:$C$36),1,0)*IF(B237&lt;=_xlfn.NUMBERVALUE('ZD Vorerfassung'!$D$22:$D$36),1,0)*'ZD Vorerfassung'!$R$22:$R$36*IF(D237="FH",0.5,1)),
"prüfen")))</f>
        <v>0</v>
      </c>
      <c r="AX237" s="110">
        <f t="array" ref="AX237">IF(OR(D237="UU",D237="FT",D237="WE",E237="Ferien"),0,
IF(D237="NR",SUM(IF(B237&gt;=_xlfn.NUMBERVALUE('ZD Vorerfassung'!$C$22:$C$36),1,0)*IF(B237&lt;=_xlfn.NUMBERVALUE('ZD Vorerfassung'!$D$22:$D$36),1,0)*'ZD Vorerfassung'!$W$22:$W$36),
IF(OR(D237="SF",D237="FH"),SUM(IF(B237&gt;=_xlfn.NUMBERVALUE('ZD Vorerfassung'!$C$22:$C$36),1,0)*IF(B237&lt;=_xlfn.NUMBERVALUE('ZD Vorerfassung'!$D$22:$D$36),1,0)*'ZD Vorerfassung'!$X$22:$X$36*IF(D237="FH",0.5,1)),
"prüfen")))</f>
        <v>0</v>
      </c>
      <c r="AY237" s="110">
        <f t="array" ref="AY237">IF(OR(D237="UU",D237="FT",D237="WE",E237="Ferien"),0,
IF(D237="NR",SUM(IF(B237&gt;=_xlfn.NUMBERVALUE('ZD Vorerfassung'!$C$22:$C$36),1,0)*IF(B237&lt;=_xlfn.NUMBERVALUE('ZD Vorerfassung'!$D$22:$D$36),1,0)*'ZD Vorerfassung'!$U$22:$U$36),
IF(OR(D237="SF",D237="FH"),SUM(IF(B237&gt;=_xlfn.NUMBERVALUE('ZD Vorerfassung'!$C$22:$C$36),1,0)*IF(B237&lt;=_xlfn.NUMBERVALUE('ZD Vorerfassung'!$D$22:$D$36),1,0)*'ZD Vorerfassung'!$V$22:$V$36*IF(D237="FH",0.5,1)),
"prüfen")))</f>
        <v>0</v>
      </c>
      <c r="AZ237" s="110">
        <f t="array" ref="AZ237">IF(OR(D237="UU",D237="FT",D237="WE",E237="Ferien"),0,
IF(D237="NR",SUM(IF(B237&gt;=_xlfn.NUMBERVALUE('ZD Vorerfassung'!$C$22:$C$36),1,0)*IF(B237&lt;=_xlfn.NUMBERVALUE('ZD Vorerfassung'!$D$22:$D$36),1,0)*'ZD Vorerfassung'!$S$22:$S$36),
IF(OR(D237="SF",D237="FH"),SUM(IF(B237&gt;=_xlfn.NUMBERVALUE('ZD Vorerfassung'!$C$22:$C$36),1,0)*IF(B237&lt;=_xlfn.NUMBERVALUE('ZD Vorerfassung'!$D$22:$D$36),1,0)*'ZD Vorerfassung'!$T$22:$T$36*IF(D237="FH",0.5,1)),
"prüfen")))</f>
        <v>0</v>
      </c>
      <c r="BA237" s="112">
        <f t="shared" si="44"/>
        <v>3</v>
      </c>
    </row>
    <row r="238" spans="2:53" ht="19.5" thickTop="1" thickBot="1" x14ac:dyDescent="0.3">
      <c r="B238" s="99">
        <f t="shared" si="41"/>
        <v>45003</v>
      </c>
      <c r="C238" s="100">
        <f t="shared" si="45"/>
        <v>45003</v>
      </c>
      <c r="D238" s="101" t="str">
        <f t="shared" si="46"/>
        <v>NR</v>
      </c>
      <c r="E238" s="102" t="str">
        <f t="shared" si="42"/>
        <v>Unterrichtstag</v>
      </c>
      <c r="F238" s="103">
        <f t="shared" si="47"/>
        <v>0</v>
      </c>
      <c r="G238" s="104">
        <f t="shared" si="48"/>
        <v>0</v>
      </c>
      <c r="H238" s="104">
        <f>IFERROR(IF('ZD Vorerfassung'!$E$11="manuell",SUM(I238),IF(OR(E238="Feiertag",E238="Wochenende"),0,IF('ZD Vorerfassung'!$E$11="automatisch",AX238,IF(D238="UU","UU",IF(E238=Param2,AX238/24,IF(E238=Param9,AX238/48,"")))))),0)</f>
        <v>0</v>
      </c>
      <c r="I238" s="105"/>
      <c r="J238" s="106">
        <f>IF('ZD Vorerfassung'!$E$12="manuell",SUM(K238:AI238),IF(OR(E238="Feiertag",E238="Wochenende"),0,IF('ZD Vorerfassung'!$E$12="automatisch",AY238,IF(D238="UU","UU",IF(E238=Param2,AY238/24,IF(E238=Param9,AY238/48,""))))))</f>
        <v>0</v>
      </c>
      <c r="K238" s="105"/>
      <c r="L238" s="105"/>
      <c r="M238" s="105"/>
      <c r="N238" s="105"/>
      <c r="O238" s="105"/>
      <c r="P238" s="105"/>
      <c r="Q238" s="105"/>
      <c r="R238" s="105"/>
      <c r="S238" s="105"/>
      <c r="T238" s="105"/>
      <c r="U238" s="105"/>
      <c r="V238" s="105"/>
      <c r="W238" s="105"/>
      <c r="X238" s="105"/>
      <c r="Y238" s="105"/>
      <c r="Z238" s="105"/>
      <c r="AA238" s="105"/>
      <c r="AB238" s="105"/>
      <c r="AC238" s="105"/>
      <c r="AD238" s="105"/>
      <c r="AE238" s="105"/>
      <c r="AF238" s="105"/>
      <c r="AG238" s="105"/>
      <c r="AH238" s="105"/>
      <c r="AI238" s="105"/>
      <c r="AJ238" s="107">
        <f t="shared" si="49"/>
        <v>0</v>
      </c>
      <c r="AK238" s="105"/>
      <c r="AL238" s="105"/>
      <c r="AM238" s="105"/>
      <c r="AN238" s="105"/>
      <c r="AO238" s="105"/>
      <c r="AP238" s="105"/>
      <c r="AQ238" s="108">
        <f t="shared" si="50"/>
        <v>0</v>
      </c>
      <c r="AR238" s="108">
        <f t="shared" si="51"/>
        <v>0</v>
      </c>
      <c r="AS238" s="109">
        <f t="shared" si="52"/>
        <v>0</v>
      </c>
      <c r="AU238" s="110">
        <f t="shared" si="43"/>
        <v>0</v>
      </c>
      <c r="AV238" s="111">
        <f>IF(D238="NR",
IF('ZD Vorerfassung'!$E$22="",0,IF(AND(B238&gt;='ZD Vorerfassung'!$C$22,B238&lt;='ZD Vorerfassung'!$D$22),HLOOKUP(TEXT(C238,"ttt"),'ZD Vorerfassung'!$H$21:$L$36,2,0),0))+
IF('ZD Vorerfassung'!$E$23="",0,IF(AND(B238&gt;='ZD Vorerfassung'!$C$23,B238&lt;='ZD Vorerfassung'!$D$23),HLOOKUP(TEXT(C238,"ttt"),'ZD Vorerfassung'!$H$21:$L$36,3,0),0))+
IF('ZD Vorerfassung'!$E$24="",0,IF(AND(B238&gt;='ZD Vorerfassung'!$C$24,B238&lt;='ZD Vorerfassung'!$D$24),HLOOKUP(TEXT(C238,"ttt"),'ZD Vorerfassung'!$H$21:$L$36,4,0),0))+
IF('ZD Vorerfassung'!$E$25="",0,IF(AND(B238&gt;='ZD Vorerfassung'!$C$25,B238&lt;='ZD Vorerfassung'!$D$25),HLOOKUP(TEXT(C238,"ttt"),'ZD Vorerfassung'!$H$21:$L$36,5,0),0))+
IF('ZD Vorerfassung'!$E$26="",0,IF(AND(B238&gt;='ZD Vorerfassung'!$C$26,B238&lt;='ZD Vorerfassung'!$D$26),HLOOKUP(TEXT(C238,"ttt"),'ZD Vorerfassung'!$H$21:$L$36,6,0),0))+
IF('ZD Vorerfassung'!$E$27="",0,IF(AND(B238&gt;='ZD Vorerfassung'!$C$27,B238&lt;='ZD Vorerfassung'!$D$27),HLOOKUP(TEXT(C238,"ttt"),'ZD Vorerfassung'!$H$21:$L$36,7,0),0))+
IF('ZD Vorerfassung'!$E$28="",0,IF(AND(B238&gt;='ZD Vorerfassung'!$C$28,B238&lt;='ZD Vorerfassung'!$D$28),HLOOKUP(TEXT(C238,"ttt"),'ZD Vorerfassung'!$H$21:$L$36,8,0),0))+
IF('ZD Vorerfassung'!$E$29="",0,IF(AND(B238&gt;='ZD Vorerfassung'!$C$29,B238&lt;='ZD Vorerfassung'!$D$29),HLOOKUP(TEXT(C238,"ttt"),'ZD Vorerfassung'!$H$21:$L$36,9,0),0))+
IF('ZD Vorerfassung'!$E$30="",0,IF(AND(B238&gt;='ZD Vorerfassung'!$C$30,B238&lt;='ZD Vorerfassung'!$D$30),HLOOKUP(TEXT(C238,"ttt"),'ZD Vorerfassung'!$H$21:$L$36,10,0),0))+
IF('ZD Vorerfassung'!$E$31="",0,IF(AND(B238&gt;='ZD Vorerfassung'!$C$31,B238&lt;='ZD Vorerfassung'!$D$31),HLOOKUP(TEXT(C238,"ttt"),'ZD Vorerfassung'!$H$21:$L$36,11,0),0))+
IF('ZD Vorerfassung'!$E$32="",0,IF(AND(B238&gt;='ZD Vorerfassung'!$C$32,B238&lt;='ZD Vorerfassung'!$D$32),HLOOKUP(TEXT(C238,"ttt"),'ZD Vorerfassung'!$H$21:$L$36,12,0),0))+
IF('ZD Vorerfassung'!$E$33="",0,IF(AND(B238&gt;='ZD Vorerfassung'!$C$33,B238&lt;='ZD Vorerfassung'!$D$33),HLOOKUP(TEXT(C238,"ttt"),'ZD Vorerfassung'!$H$21:$L$36,13,0),0))+
IF('ZD Vorerfassung'!$E$34="",0,IF(AND(B238&gt;='ZD Vorerfassung'!$C$34,B238&lt;='ZD Vorerfassung'!$D$34),HLOOKUP(TEXT(C238,"ttt"),'ZD Vorerfassung'!$H$21:$L$36,14,0),0))+
IF('ZD Vorerfassung'!$E$35="",0,IF(AND(B238&gt;='ZD Vorerfassung'!$C$35,B238&lt;='ZD Vorerfassung'!$D$35),HLOOKUP(TEXT(C238,"ttt"),'ZD Vorerfassung'!$H$21:$L$36,15,0),0))+
IF('ZD Vorerfassung'!$E$36="",0,IF(AND(B238&gt;='ZD Vorerfassung'!$C$36,B238&lt;='ZD Vorerfassung'!$D$36),HLOOKUP(TEXT(C238,"ttt"),'ZD Vorerfassung'!$H$21:$L$36,16,0),0)),"")</f>
        <v>0</v>
      </c>
      <c r="AW238" s="110">
        <f t="array" ref="AW238">IF(OR(D238="UU",D238="FT",D238="WE"),0,
IF(D238="NR",SUM(IF(B238&gt;=_xlfn.NUMBERVALUE('ZD Vorerfassung'!$C$22:$C$36),1,0)*IF(B238&lt;=_xlfn.NUMBERVALUE('ZD Vorerfassung'!$D$22:$D$36),1,0)*'ZD Vorerfassung'!$Q$22:$Q$36),
IF(OR(D238="SF",D238="FH"),SUM(IF(B238&gt;=_xlfn.NUMBERVALUE('ZD Vorerfassung'!$C$22:$C$36),1,0)*IF(B238&lt;=_xlfn.NUMBERVALUE('ZD Vorerfassung'!$D$22:$D$36),1,0)*'ZD Vorerfassung'!$R$22:$R$36*IF(D238="FH",0.5,1)),
"prüfen")))</f>
        <v>0</v>
      </c>
      <c r="AX238" s="110">
        <f t="array" ref="AX238">IF(OR(D238="UU",D238="FT",D238="WE",E238="Ferien"),0,
IF(D238="NR",SUM(IF(B238&gt;=_xlfn.NUMBERVALUE('ZD Vorerfassung'!$C$22:$C$36),1,0)*IF(B238&lt;=_xlfn.NUMBERVALUE('ZD Vorerfassung'!$D$22:$D$36),1,0)*'ZD Vorerfassung'!$W$22:$W$36),
IF(OR(D238="SF",D238="FH"),SUM(IF(B238&gt;=_xlfn.NUMBERVALUE('ZD Vorerfassung'!$C$22:$C$36),1,0)*IF(B238&lt;=_xlfn.NUMBERVALUE('ZD Vorerfassung'!$D$22:$D$36),1,0)*'ZD Vorerfassung'!$X$22:$X$36*IF(D238="FH",0.5,1)),
"prüfen")))</f>
        <v>0</v>
      </c>
      <c r="AY238" s="110">
        <f t="array" ref="AY238">IF(OR(D238="UU",D238="FT",D238="WE",E238="Ferien"),0,
IF(D238="NR",SUM(IF(B238&gt;=_xlfn.NUMBERVALUE('ZD Vorerfassung'!$C$22:$C$36),1,0)*IF(B238&lt;=_xlfn.NUMBERVALUE('ZD Vorerfassung'!$D$22:$D$36),1,0)*'ZD Vorerfassung'!$U$22:$U$36),
IF(OR(D238="SF",D238="FH"),SUM(IF(B238&gt;=_xlfn.NUMBERVALUE('ZD Vorerfassung'!$C$22:$C$36),1,0)*IF(B238&lt;=_xlfn.NUMBERVALUE('ZD Vorerfassung'!$D$22:$D$36),1,0)*'ZD Vorerfassung'!$V$22:$V$36*IF(D238="FH",0.5,1)),
"prüfen")))</f>
        <v>0</v>
      </c>
      <c r="AZ238" s="110">
        <f t="array" ref="AZ238">IF(OR(D238="UU",D238="FT",D238="WE",E238="Ferien"),0,
IF(D238="NR",SUM(IF(B238&gt;=_xlfn.NUMBERVALUE('ZD Vorerfassung'!$C$22:$C$36),1,0)*IF(B238&lt;=_xlfn.NUMBERVALUE('ZD Vorerfassung'!$D$22:$D$36),1,0)*'ZD Vorerfassung'!$S$22:$S$36),
IF(OR(D238="SF",D238="FH"),SUM(IF(B238&gt;=_xlfn.NUMBERVALUE('ZD Vorerfassung'!$C$22:$C$36),1,0)*IF(B238&lt;=_xlfn.NUMBERVALUE('ZD Vorerfassung'!$D$22:$D$36),1,0)*'ZD Vorerfassung'!$T$22:$T$36*IF(D238="FH",0.5,1)),
"prüfen")))</f>
        <v>0</v>
      </c>
      <c r="BA238" s="112">
        <f t="shared" si="44"/>
        <v>3</v>
      </c>
    </row>
    <row r="239" spans="2:53" ht="19.5" thickTop="1" thickBot="1" x14ac:dyDescent="0.3">
      <c r="B239" s="99">
        <f t="shared" si="41"/>
        <v>45004</v>
      </c>
      <c r="C239" s="100">
        <f t="shared" si="45"/>
        <v>45004</v>
      </c>
      <c r="D239" s="101" t="str">
        <f t="shared" si="46"/>
        <v>WE</v>
      </c>
      <c r="E239" s="102" t="str">
        <f t="shared" si="42"/>
        <v>Wochenende</v>
      </c>
      <c r="F239" s="103" t="str">
        <f t="shared" si="47"/>
        <v/>
      </c>
      <c r="G239" s="104" t="str">
        <f t="shared" si="48"/>
        <v/>
      </c>
      <c r="H239" s="104">
        <f>IFERROR(IF('ZD Vorerfassung'!$E$11="manuell",SUM(I239),IF(OR(E239="Feiertag",E239="Wochenende"),0,IF('ZD Vorerfassung'!$E$11="automatisch",AX239,IF(D239="UU","UU",IF(E239=Param2,AX239/24,IF(E239=Param9,AX239/48,"")))))),0)</f>
        <v>0</v>
      </c>
      <c r="I239" s="105"/>
      <c r="J239" s="106">
        <f>IF('ZD Vorerfassung'!$E$12="manuell",SUM(K239:AI239),IF(OR(E239="Feiertag",E239="Wochenende"),0,IF('ZD Vorerfassung'!$E$12="automatisch",AY239,IF(D239="UU","UU",IF(E239=Param2,AY239/24,IF(E239=Param9,AY239/48,""))))))</f>
        <v>0</v>
      </c>
      <c r="K239" s="105"/>
      <c r="L239" s="105"/>
      <c r="M239" s="105"/>
      <c r="N239" s="105"/>
      <c r="O239" s="105"/>
      <c r="P239" s="105"/>
      <c r="Q239" s="105"/>
      <c r="R239" s="105"/>
      <c r="S239" s="105"/>
      <c r="T239" s="105"/>
      <c r="U239" s="105"/>
      <c r="V239" s="105"/>
      <c r="W239" s="105"/>
      <c r="X239" s="105"/>
      <c r="Y239" s="105"/>
      <c r="Z239" s="105"/>
      <c r="AA239" s="105"/>
      <c r="AB239" s="105"/>
      <c r="AC239" s="105"/>
      <c r="AD239" s="105"/>
      <c r="AE239" s="105"/>
      <c r="AF239" s="105"/>
      <c r="AG239" s="105"/>
      <c r="AH239" s="105"/>
      <c r="AI239" s="105"/>
      <c r="AJ239" s="107">
        <f t="shared" si="49"/>
        <v>0</v>
      </c>
      <c r="AK239" s="105"/>
      <c r="AL239" s="105"/>
      <c r="AM239" s="105"/>
      <c r="AN239" s="105"/>
      <c r="AO239" s="105"/>
      <c r="AP239" s="105"/>
      <c r="AQ239" s="108">
        <f t="shared" si="50"/>
        <v>0</v>
      </c>
      <c r="AR239" s="108">
        <f t="shared" si="51"/>
        <v>0</v>
      </c>
      <c r="AS239" s="109">
        <f t="shared" si="52"/>
        <v>0</v>
      </c>
      <c r="AU239" s="110">
        <f t="shared" si="43"/>
        <v>0</v>
      </c>
      <c r="AV239" s="111" t="str">
        <f>IF(D239="NR",
IF('ZD Vorerfassung'!$E$22="",0,IF(AND(B239&gt;='ZD Vorerfassung'!$C$22,B239&lt;='ZD Vorerfassung'!$D$22),HLOOKUP(TEXT(C239,"ttt"),'ZD Vorerfassung'!$H$21:$L$36,2,0),0))+
IF('ZD Vorerfassung'!$E$23="",0,IF(AND(B239&gt;='ZD Vorerfassung'!$C$23,B239&lt;='ZD Vorerfassung'!$D$23),HLOOKUP(TEXT(C239,"ttt"),'ZD Vorerfassung'!$H$21:$L$36,3,0),0))+
IF('ZD Vorerfassung'!$E$24="",0,IF(AND(B239&gt;='ZD Vorerfassung'!$C$24,B239&lt;='ZD Vorerfassung'!$D$24),HLOOKUP(TEXT(C239,"ttt"),'ZD Vorerfassung'!$H$21:$L$36,4,0),0))+
IF('ZD Vorerfassung'!$E$25="",0,IF(AND(B239&gt;='ZD Vorerfassung'!$C$25,B239&lt;='ZD Vorerfassung'!$D$25),HLOOKUP(TEXT(C239,"ttt"),'ZD Vorerfassung'!$H$21:$L$36,5,0),0))+
IF('ZD Vorerfassung'!$E$26="",0,IF(AND(B239&gt;='ZD Vorerfassung'!$C$26,B239&lt;='ZD Vorerfassung'!$D$26),HLOOKUP(TEXT(C239,"ttt"),'ZD Vorerfassung'!$H$21:$L$36,6,0),0))+
IF('ZD Vorerfassung'!$E$27="",0,IF(AND(B239&gt;='ZD Vorerfassung'!$C$27,B239&lt;='ZD Vorerfassung'!$D$27),HLOOKUP(TEXT(C239,"ttt"),'ZD Vorerfassung'!$H$21:$L$36,7,0),0))+
IF('ZD Vorerfassung'!$E$28="",0,IF(AND(B239&gt;='ZD Vorerfassung'!$C$28,B239&lt;='ZD Vorerfassung'!$D$28),HLOOKUP(TEXT(C239,"ttt"),'ZD Vorerfassung'!$H$21:$L$36,8,0),0))+
IF('ZD Vorerfassung'!$E$29="",0,IF(AND(B239&gt;='ZD Vorerfassung'!$C$29,B239&lt;='ZD Vorerfassung'!$D$29),HLOOKUP(TEXT(C239,"ttt"),'ZD Vorerfassung'!$H$21:$L$36,9,0),0))+
IF('ZD Vorerfassung'!$E$30="",0,IF(AND(B239&gt;='ZD Vorerfassung'!$C$30,B239&lt;='ZD Vorerfassung'!$D$30),HLOOKUP(TEXT(C239,"ttt"),'ZD Vorerfassung'!$H$21:$L$36,10,0),0))+
IF('ZD Vorerfassung'!$E$31="",0,IF(AND(B239&gt;='ZD Vorerfassung'!$C$31,B239&lt;='ZD Vorerfassung'!$D$31),HLOOKUP(TEXT(C239,"ttt"),'ZD Vorerfassung'!$H$21:$L$36,11,0),0))+
IF('ZD Vorerfassung'!$E$32="",0,IF(AND(B239&gt;='ZD Vorerfassung'!$C$32,B239&lt;='ZD Vorerfassung'!$D$32),HLOOKUP(TEXT(C239,"ttt"),'ZD Vorerfassung'!$H$21:$L$36,12,0),0))+
IF('ZD Vorerfassung'!$E$33="",0,IF(AND(B239&gt;='ZD Vorerfassung'!$C$33,B239&lt;='ZD Vorerfassung'!$D$33),HLOOKUP(TEXT(C239,"ttt"),'ZD Vorerfassung'!$H$21:$L$36,13,0),0))+
IF('ZD Vorerfassung'!$E$34="",0,IF(AND(B239&gt;='ZD Vorerfassung'!$C$34,B239&lt;='ZD Vorerfassung'!$D$34),HLOOKUP(TEXT(C239,"ttt"),'ZD Vorerfassung'!$H$21:$L$36,14,0),0))+
IF('ZD Vorerfassung'!$E$35="",0,IF(AND(B239&gt;='ZD Vorerfassung'!$C$35,B239&lt;='ZD Vorerfassung'!$D$35),HLOOKUP(TEXT(C239,"ttt"),'ZD Vorerfassung'!$H$21:$L$36,15,0),0))+
IF('ZD Vorerfassung'!$E$36="",0,IF(AND(B239&gt;='ZD Vorerfassung'!$C$36,B239&lt;='ZD Vorerfassung'!$D$36),HLOOKUP(TEXT(C239,"ttt"),'ZD Vorerfassung'!$H$21:$L$36,16,0),0)),"")</f>
        <v/>
      </c>
      <c r="AW239" s="110">
        <f t="array" ref="AW239">IF(OR(D239="UU",D239="FT",D239="WE"),0,
IF(D239="NR",SUM(IF(B239&gt;=_xlfn.NUMBERVALUE('ZD Vorerfassung'!$C$22:$C$36),1,0)*IF(B239&lt;=_xlfn.NUMBERVALUE('ZD Vorerfassung'!$D$22:$D$36),1,0)*'ZD Vorerfassung'!$Q$22:$Q$36),
IF(OR(D239="SF",D239="FH"),SUM(IF(B239&gt;=_xlfn.NUMBERVALUE('ZD Vorerfassung'!$C$22:$C$36),1,0)*IF(B239&lt;=_xlfn.NUMBERVALUE('ZD Vorerfassung'!$D$22:$D$36),1,0)*'ZD Vorerfassung'!$R$22:$R$36*IF(D239="FH",0.5,1)),
"prüfen")))</f>
        <v>0</v>
      </c>
      <c r="AX239" s="110">
        <f t="array" ref="AX239">IF(OR(D239="UU",D239="FT",D239="WE",E239="Ferien"),0,
IF(D239="NR",SUM(IF(B239&gt;=_xlfn.NUMBERVALUE('ZD Vorerfassung'!$C$22:$C$36),1,0)*IF(B239&lt;=_xlfn.NUMBERVALUE('ZD Vorerfassung'!$D$22:$D$36),1,0)*'ZD Vorerfassung'!$W$22:$W$36),
IF(OR(D239="SF",D239="FH"),SUM(IF(B239&gt;=_xlfn.NUMBERVALUE('ZD Vorerfassung'!$C$22:$C$36),1,0)*IF(B239&lt;=_xlfn.NUMBERVALUE('ZD Vorerfassung'!$D$22:$D$36),1,0)*'ZD Vorerfassung'!$X$22:$X$36*IF(D239="FH",0.5,1)),
"prüfen")))</f>
        <v>0</v>
      </c>
      <c r="AY239" s="110">
        <f t="array" ref="AY239">IF(OR(D239="UU",D239="FT",D239="WE",E239="Ferien"),0,
IF(D239="NR",SUM(IF(B239&gt;=_xlfn.NUMBERVALUE('ZD Vorerfassung'!$C$22:$C$36),1,0)*IF(B239&lt;=_xlfn.NUMBERVALUE('ZD Vorerfassung'!$D$22:$D$36),1,0)*'ZD Vorerfassung'!$U$22:$U$36),
IF(OR(D239="SF",D239="FH"),SUM(IF(B239&gt;=_xlfn.NUMBERVALUE('ZD Vorerfassung'!$C$22:$C$36),1,0)*IF(B239&lt;=_xlfn.NUMBERVALUE('ZD Vorerfassung'!$D$22:$D$36),1,0)*'ZD Vorerfassung'!$V$22:$V$36*IF(D239="FH",0.5,1)),
"prüfen")))</f>
        <v>0</v>
      </c>
      <c r="AZ239" s="110">
        <f t="array" ref="AZ239">IF(OR(D239="UU",D239="FT",D239="WE",E239="Ferien"),0,
IF(D239="NR",SUM(IF(B239&gt;=_xlfn.NUMBERVALUE('ZD Vorerfassung'!$C$22:$C$36),1,0)*IF(B239&lt;=_xlfn.NUMBERVALUE('ZD Vorerfassung'!$D$22:$D$36),1,0)*'ZD Vorerfassung'!$S$22:$S$36),
IF(OR(D239="SF",D239="FH"),SUM(IF(B239&gt;=_xlfn.NUMBERVALUE('ZD Vorerfassung'!$C$22:$C$36),1,0)*IF(B239&lt;=_xlfn.NUMBERVALUE('ZD Vorerfassung'!$D$22:$D$36),1,0)*'ZD Vorerfassung'!$T$22:$T$36*IF(D239="FH",0.5,1)),
"prüfen")))</f>
        <v>0</v>
      </c>
      <c r="BA239" s="112">
        <f t="shared" si="44"/>
        <v>3</v>
      </c>
    </row>
    <row r="240" spans="2:53" ht="19.5" thickTop="1" thickBot="1" x14ac:dyDescent="0.3">
      <c r="B240" s="99">
        <f t="shared" si="41"/>
        <v>45005</v>
      </c>
      <c r="C240" s="100">
        <f t="shared" si="45"/>
        <v>45005</v>
      </c>
      <c r="D240" s="101" t="str">
        <f t="shared" si="46"/>
        <v>WE</v>
      </c>
      <c r="E240" s="102" t="str">
        <f t="shared" si="42"/>
        <v>Wochenende</v>
      </c>
      <c r="F240" s="103" t="str">
        <f t="shared" si="47"/>
        <v/>
      </c>
      <c r="G240" s="104" t="str">
        <f t="shared" si="48"/>
        <v/>
      </c>
      <c r="H240" s="104">
        <f>IFERROR(IF('ZD Vorerfassung'!$E$11="manuell",SUM(I240),IF(OR(E240="Feiertag",E240="Wochenende"),0,IF('ZD Vorerfassung'!$E$11="automatisch",AX240,IF(D240="UU","UU",IF(E240=Param2,AX240/24,IF(E240=Param9,AX240/48,"")))))),0)</f>
        <v>0</v>
      </c>
      <c r="I240" s="105"/>
      <c r="J240" s="106">
        <f>IF('ZD Vorerfassung'!$E$12="manuell",SUM(K240:AI240),IF(OR(E240="Feiertag",E240="Wochenende"),0,IF('ZD Vorerfassung'!$E$12="automatisch",AY240,IF(D240="UU","UU",IF(E240=Param2,AY240/24,IF(E240=Param9,AY240/48,""))))))</f>
        <v>0</v>
      </c>
      <c r="K240" s="105"/>
      <c r="L240" s="105"/>
      <c r="M240" s="105"/>
      <c r="N240" s="105"/>
      <c r="O240" s="105"/>
      <c r="P240" s="105"/>
      <c r="Q240" s="105"/>
      <c r="R240" s="105"/>
      <c r="S240" s="105"/>
      <c r="T240" s="105"/>
      <c r="U240" s="105"/>
      <c r="V240" s="105"/>
      <c r="W240" s="105"/>
      <c r="X240" s="105"/>
      <c r="Y240" s="105"/>
      <c r="Z240" s="105"/>
      <c r="AA240" s="105"/>
      <c r="AB240" s="105"/>
      <c r="AC240" s="105"/>
      <c r="AD240" s="105"/>
      <c r="AE240" s="105"/>
      <c r="AF240" s="105"/>
      <c r="AG240" s="105"/>
      <c r="AH240" s="105"/>
      <c r="AI240" s="105"/>
      <c r="AJ240" s="107">
        <f t="shared" si="49"/>
        <v>0</v>
      </c>
      <c r="AK240" s="105"/>
      <c r="AL240" s="105"/>
      <c r="AM240" s="105"/>
      <c r="AN240" s="105"/>
      <c r="AO240" s="105"/>
      <c r="AP240" s="105"/>
      <c r="AQ240" s="108">
        <f t="shared" si="50"/>
        <v>0</v>
      </c>
      <c r="AR240" s="108">
        <f t="shared" si="51"/>
        <v>0</v>
      </c>
      <c r="AS240" s="109">
        <f t="shared" si="52"/>
        <v>0</v>
      </c>
      <c r="AU240" s="110">
        <f t="shared" si="43"/>
        <v>0</v>
      </c>
      <c r="AV240" s="111" t="str">
        <f>IF(D240="NR",
IF('ZD Vorerfassung'!$E$22="",0,IF(AND(B240&gt;='ZD Vorerfassung'!$C$22,B240&lt;='ZD Vorerfassung'!$D$22),HLOOKUP(TEXT(C240,"ttt"),'ZD Vorerfassung'!$H$21:$L$36,2,0),0))+
IF('ZD Vorerfassung'!$E$23="",0,IF(AND(B240&gt;='ZD Vorerfassung'!$C$23,B240&lt;='ZD Vorerfassung'!$D$23),HLOOKUP(TEXT(C240,"ttt"),'ZD Vorerfassung'!$H$21:$L$36,3,0),0))+
IF('ZD Vorerfassung'!$E$24="",0,IF(AND(B240&gt;='ZD Vorerfassung'!$C$24,B240&lt;='ZD Vorerfassung'!$D$24),HLOOKUP(TEXT(C240,"ttt"),'ZD Vorerfassung'!$H$21:$L$36,4,0),0))+
IF('ZD Vorerfassung'!$E$25="",0,IF(AND(B240&gt;='ZD Vorerfassung'!$C$25,B240&lt;='ZD Vorerfassung'!$D$25),HLOOKUP(TEXT(C240,"ttt"),'ZD Vorerfassung'!$H$21:$L$36,5,0),0))+
IF('ZD Vorerfassung'!$E$26="",0,IF(AND(B240&gt;='ZD Vorerfassung'!$C$26,B240&lt;='ZD Vorerfassung'!$D$26),HLOOKUP(TEXT(C240,"ttt"),'ZD Vorerfassung'!$H$21:$L$36,6,0),0))+
IF('ZD Vorerfassung'!$E$27="",0,IF(AND(B240&gt;='ZD Vorerfassung'!$C$27,B240&lt;='ZD Vorerfassung'!$D$27),HLOOKUP(TEXT(C240,"ttt"),'ZD Vorerfassung'!$H$21:$L$36,7,0),0))+
IF('ZD Vorerfassung'!$E$28="",0,IF(AND(B240&gt;='ZD Vorerfassung'!$C$28,B240&lt;='ZD Vorerfassung'!$D$28),HLOOKUP(TEXT(C240,"ttt"),'ZD Vorerfassung'!$H$21:$L$36,8,0),0))+
IF('ZD Vorerfassung'!$E$29="",0,IF(AND(B240&gt;='ZD Vorerfassung'!$C$29,B240&lt;='ZD Vorerfassung'!$D$29),HLOOKUP(TEXT(C240,"ttt"),'ZD Vorerfassung'!$H$21:$L$36,9,0),0))+
IF('ZD Vorerfassung'!$E$30="",0,IF(AND(B240&gt;='ZD Vorerfassung'!$C$30,B240&lt;='ZD Vorerfassung'!$D$30),HLOOKUP(TEXT(C240,"ttt"),'ZD Vorerfassung'!$H$21:$L$36,10,0),0))+
IF('ZD Vorerfassung'!$E$31="",0,IF(AND(B240&gt;='ZD Vorerfassung'!$C$31,B240&lt;='ZD Vorerfassung'!$D$31),HLOOKUP(TEXT(C240,"ttt"),'ZD Vorerfassung'!$H$21:$L$36,11,0),0))+
IF('ZD Vorerfassung'!$E$32="",0,IF(AND(B240&gt;='ZD Vorerfassung'!$C$32,B240&lt;='ZD Vorerfassung'!$D$32),HLOOKUP(TEXT(C240,"ttt"),'ZD Vorerfassung'!$H$21:$L$36,12,0),0))+
IF('ZD Vorerfassung'!$E$33="",0,IF(AND(B240&gt;='ZD Vorerfassung'!$C$33,B240&lt;='ZD Vorerfassung'!$D$33),HLOOKUP(TEXT(C240,"ttt"),'ZD Vorerfassung'!$H$21:$L$36,13,0),0))+
IF('ZD Vorerfassung'!$E$34="",0,IF(AND(B240&gt;='ZD Vorerfassung'!$C$34,B240&lt;='ZD Vorerfassung'!$D$34),HLOOKUP(TEXT(C240,"ttt"),'ZD Vorerfassung'!$H$21:$L$36,14,0),0))+
IF('ZD Vorerfassung'!$E$35="",0,IF(AND(B240&gt;='ZD Vorerfassung'!$C$35,B240&lt;='ZD Vorerfassung'!$D$35),HLOOKUP(TEXT(C240,"ttt"),'ZD Vorerfassung'!$H$21:$L$36,15,0),0))+
IF('ZD Vorerfassung'!$E$36="",0,IF(AND(B240&gt;='ZD Vorerfassung'!$C$36,B240&lt;='ZD Vorerfassung'!$D$36),HLOOKUP(TEXT(C240,"ttt"),'ZD Vorerfassung'!$H$21:$L$36,16,0),0)),"")</f>
        <v/>
      </c>
      <c r="AW240" s="110">
        <f t="array" ref="AW240">IF(OR(D240="UU",D240="FT",D240="WE"),0,
IF(D240="NR",SUM(IF(B240&gt;=_xlfn.NUMBERVALUE('ZD Vorerfassung'!$C$22:$C$36),1,0)*IF(B240&lt;=_xlfn.NUMBERVALUE('ZD Vorerfassung'!$D$22:$D$36),1,0)*'ZD Vorerfassung'!$Q$22:$Q$36),
IF(OR(D240="SF",D240="FH"),SUM(IF(B240&gt;=_xlfn.NUMBERVALUE('ZD Vorerfassung'!$C$22:$C$36),1,0)*IF(B240&lt;=_xlfn.NUMBERVALUE('ZD Vorerfassung'!$D$22:$D$36),1,0)*'ZD Vorerfassung'!$R$22:$R$36*IF(D240="FH",0.5,1)),
"prüfen")))</f>
        <v>0</v>
      </c>
      <c r="AX240" s="110">
        <f t="array" ref="AX240">IF(OR(D240="UU",D240="FT",D240="WE",E240="Ferien"),0,
IF(D240="NR",SUM(IF(B240&gt;=_xlfn.NUMBERVALUE('ZD Vorerfassung'!$C$22:$C$36),1,0)*IF(B240&lt;=_xlfn.NUMBERVALUE('ZD Vorerfassung'!$D$22:$D$36),1,0)*'ZD Vorerfassung'!$W$22:$W$36),
IF(OR(D240="SF",D240="FH"),SUM(IF(B240&gt;=_xlfn.NUMBERVALUE('ZD Vorerfassung'!$C$22:$C$36),1,0)*IF(B240&lt;=_xlfn.NUMBERVALUE('ZD Vorerfassung'!$D$22:$D$36),1,0)*'ZD Vorerfassung'!$X$22:$X$36*IF(D240="FH",0.5,1)),
"prüfen")))</f>
        <v>0</v>
      </c>
      <c r="AY240" s="110">
        <f t="array" ref="AY240">IF(OR(D240="UU",D240="FT",D240="WE",E240="Ferien"),0,
IF(D240="NR",SUM(IF(B240&gt;=_xlfn.NUMBERVALUE('ZD Vorerfassung'!$C$22:$C$36),1,0)*IF(B240&lt;=_xlfn.NUMBERVALUE('ZD Vorerfassung'!$D$22:$D$36),1,0)*'ZD Vorerfassung'!$U$22:$U$36),
IF(OR(D240="SF",D240="FH"),SUM(IF(B240&gt;=_xlfn.NUMBERVALUE('ZD Vorerfassung'!$C$22:$C$36),1,0)*IF(B240&lt;=_xlfn.NUMBERVALUE('ZD Vorerfassung'!$D$22:$D$36),1,0)*'ZD Vorerfassung'!$V$22:$V$36*IF(D240="FH",0.5,1)),
"prüfen")))</f>
        <v>0</v>
      </c>
      <c r="AZ240" s="110">
        <f t="array" ref="AZ240">IF(OR(D240="UU",D240="FT",D240="WE",E240="Ferien"),0,
IF(D240="NR",SUM(IF(B240&gt;=_xlfn.NUMBERVALUE('ZD Vorerfassung'!$C$22:$C$36),1,0)*IF(B240&lt;=_xlfn.NUMBERVALUE('ZD Vorerfassung'!$D$22:$D$36),1,0)*'ZD Vorerfassung'!$S$22:$S$36),
IF(OR(D240="SF",D240="FH"),SUM(IF(B240&gt;=_xlfn.NUMBERVALUE('ZD Vorerfassung'!$C$22:$C$36),1,0)*IF(B240&lt;=_xlfn.NUMBERVALUE('ZD Vorerfassung'!$D$22:$D$36),1,0)*'ZD Vorerfassung'!$T$22:$T$36*IF(D240="FH",0.5,1)),
"prüfen")))</f>
        <v>0</v>
      </c>
      <c r="BA240" s="112">
        <f t="shared" si="44"/>
        <v>3</v>
      </c>
    </row>
    <row r="241" spans="2:53" ht="19.5" thickTop="1" thickBot="1" x14ac:dyDescent="0.3">
      <c r="B241" s="99">
        <f t="shared" si="41"/>
        <v>45006</v>
      </c>
      <c r="C241" s="100">
        <f t="shared" si="45"/>
        <v>45006</v>
      </c>
      <c r="D241" s="101" t="str">
        <f t="shared" si="46"/>
        <v>SF</v>
      </c>
      <c r="E241" s="102" t="str">
        <f t="shared" si="42"/>
        <v>unterrichtsfreie Arbeitszeit</v>
      </c>
      <c r="F241" s="103" t="str">
        <f t="shared" si="47"/>
        <v/>
      </c>
      <c r="G241" s="104" t="str">
        <f t="shared" si="48"/>
        <v/>
      </c>
      <c r="H241" s="104">
        <f>IFERROR(IF('ZD Vorerfassung'!$E$11="manuell",SUM(I241),IF(OR(E241="Feiertag",E241="Wochenende"),0,IF('ZD Vorerfassung'!$E$11="automatisch",AX241,IF(D241="UU","UU",IF(E241=Param2,AX241/24,IF(E241=Param9,AX241/48,"")))))),0)</f>
        <v>0</v>
      </c>
      <c r="I241" s="105"/>
      <c r="J241" s="106">
        <f>IF('ZD Vorerfassung'!$E$12="manuell",SUM(K241:AI241),IF(OR(E241="Feiertag",E241="Wochenende"),0,IF('ZD Vorerfassung'!$E$12="automatisch",AY241,IF(D241="UU","UU",IF(E241=Param2,AY241/24,IF(E241=Param9,AY241/48,""))))))</f>
        <v>0</v>
      </c>
      <c r="K241" s="105"/>
      <c r="L241" s="105"/>
      <c r="M241" s="105"/>
      <c r="N241" s="105"/>
      <c r="O241" s="105"/>
      <c r="P241" s="105"/>
      <c r="Q241" s="105"/>
      <c r="R241" s="105"/>
      <c r="S241" s="105"/>
      <c r="T241" s="105"/>
      <c r="U241" s="105"/>
      <c r="V241" s="105"/>
      <c r="W241" s="105"/>
      <c r="X241" s="105"/>
      <c r="Y241" s="105"/>
      <c r="Z241" s="105"/>
      <c r="AA241" s="105"/>
      <c r="AB241" s="105"/>
      <c r="AC241" s="105"/>
      <c r="AD241" s="105"/>
      <c r="AE241" s="105"/>
      <c r="AF241" s="105"/>
      <c r="AG241" s="105"/>
      <c r="AH241" s="105"/>
      <c r="AI241" s="105"/>
      <c r="AJ241" s="107">
        <f t="shared" si="49"/>
        <v>0</v>
      </c>
      <c r="AK241" s="105"/>
      <c r="AL241" s="105"/>
      <c r="AM241" s="105"/>
      <c r="AN241" s="105"/>
      <c r="AO241" s="105"/>
      <c r="AP241" s="105"/>
      <c r="AQ241" s="108">
        <f t="shared" si="50"/>
        <v>0</v>
      </c>
      <c r="AR241" s="108">
        <f t="shared" si="51"/>
        <v>0</v>
      </c>
      <c r="AS241" s="109">
        <f t="shared" si="52"/>
        <v>0</v>
      </c>
      <c r="AU241" s="110">
        <f t="shared" si="43"/>
        <v>0</v>
      </c>
      <c r="AV241" s="111" t="str">
        <f>IF(D241="NR",
IF('ZD Vorerfassung'!$E$22="",0,IF(AND(B241&gt;='ZD Vorerfassung'!$C$22,B241&lt;='ZD Vorerfassung'!$D$22),HLOOKUP(TEXT(C241,"ttt"),'ZD Vorerfassung'!$H$21:$L$36,2,0),0))+
IF('ZD Vorerfassung'!$E$23="",0,IF(AND(B241&gt;='ZD Vorerfassung'!$C$23,B241&lt;='ZD Vorerfassung'!$D$23),HLOOKUP(TEXT(C241,"ttt"),'ZD Vorerfassung'!$H$21:$L$36,3,0),0))+
IF('ZD Vorerfassung'!$E$24="",0,IF(AND(B241&gt;='ZD Vorerfassung'!$C$24,B241&lt;='ZD Vorerfassung'!$D$24),HLOOKUP(TEXT(C241,"ttt"),'ZD Vorerfassung'!$H$21:$L$36,4,0),0))+
IF('ZD Vorerfassung'!$E$25="",0,IF(AND(B241&gt;='ZD Vorerfassung'!$C$25,B241&lt;='ZD Vorerfassung'!$D$25),HLOOKUP(TEXT(C241,"ttt"),'ZD Vorerfassung'!$H$21:$L$36,5,0),0))+
IF('ZD Vorerfassung'!$E$26="",0,IF(AND(B241&gt;='ZD Vorerfassung'!$C$26,B241&lt;='ZD Vorerfassung'!$D$26),HLOOKUP(TEXT(C241,"ttt"),'ZD Vorerfassung'!$H$21:$L$36,6,0),0))+
IF('ZD Vorerfassung'!$E$27="",0,IF(AND(B241&gt;='ZD Vorerfassung'!$C$27,B241&lt;='ZD Vorerfassung'!$D$27),HLOOKUP(TEXT(C241,"ttt"),'ZD Vorerfassung'!$H$21:$L$36,7,0),0))+
IF('ZD Vorerfassung'!$E$28="",0,IF(AND(B241&gt;='ZD Vorerfassung'!$C$28,B241&lt;='ZD Vorerfassung'!$D$28),HLOOKUP(TEXT(C241,"ttt"),'ZD Vorerfassung'!$H$21:$L$36,8,0),0))+
IF('ZD Vorerfassung'!$E$29="",0,IF(AND(B241&gt;='ZD Vorerfassung'!$C$29,B241&lt;='ZD Vorerfassung'!$D$29),HLOOKUP(TEXT(C241,"ttt"),'ZD Vorerfassung'!$H$21:$L$36,9,0),0))+
IF('ZD Vorerfassung'!$E$30="",0,IF(AND(B241&gt;='ZD Vorerfassung'!$C$30,B241&lt;='ZD Vorerfassung'!$D$30),HLOOKUP(TEXT(C241,"ttt"),'ZD Vorerfassung'!$H$21:$L$36,10,0),0))+
IF('ZD Vorerfassung'!$E$31="",0,IF(AND(B241&gt;='ZD Vorerfassung'!$C$31,B241&lt;='ZD Vorerfassung'!$D$31),HLOOKUP(TEXT(C241,"ttt"),'ZD Vorerfassung'!$H$21:$L$36,11,0),0))+
IF('ZD Vorerfassung'!$E$32="",0,IF(AND(B241&gt;='ZD Vorerfassung'!$C$32,B241&lt;='ZD Vorerfassung'!$D$32),HLOOKUP(TEXT(C241,"ttt"),'ZD Vorerfassung'!$H$21:$L$36,12,0),0))+
IF('ZD Vorerfassung'!$E$33="",0,IF(AND(B241&gt;='ZD Vorerfassung'!$C$33,B241&lt;='ZD Vorerfassung'!$D$33),HLOOKUP(TEXT(C241,"ttt"),'ZD Vorerfassung'!$H$21:$L$36,13,0),0))+
IF('ZD Vorerfassung'!$E$34="",0,IF(AND(B241&gt;='ZD Vorerfassung'!$C$34,B241&lt;='ZD Vorerfassung'!$D$34),HLOOKUP(TEXT(C241,"ttt"),'ZD Vorerfassung'!$H$21:$L$36,14,0),0))+
IF('ZD Vorerfassung'!$E$35="",0,IF(AND(B241&gt;='ZD Vorerfassung'!$C$35,B241&lt;='ZD Vorerfassung'!$D$35),HLOOKUP(TEXT(C241,"ttt"),'ZD Vorerfassung'!$H$21:$L$36,15,0),0))+
IF('ZD Vorerfassung'!$E$36="",0,IF(AND(B241&gt;='ZD Vorerfassung'!$C$36,B241&lt;='ZD Vorerfassung'!$D$36),HLOOKUP(TEXT(C241,"ttt"),'ZD Vorerfassung'!$H$21:$L$36,16,0),0)),"")</f>
        <v/>
      </c>
      <c r="AW241" s="110">
        <f t="array" ref="AW241">IF(OR(D241="UU",D241="FT",D241="WE"),0,
IF(D241="NR",SUM(IF(B241&gt;=_xlfn.NUMBERVALUE('ZD Vorerfassung'!$C$22:$C$36),1,0)*IF(B241&lt;=_xlfn.NUMBERVALUE('ZD Vorerfassung'!$D$22:$D$36),1,0)*'ZD Vorerfassung'!$Q$22:$Q$36),
IF(OR(D241="SF",D241="FH"),SUM(IF(B241&gt;=_xlfn.NUMBERVALUE('ZD Vorerfassung'!$C$22:$C$36),1,0)*IF(B241&lt;=_xlfn.NUMBERVALUE('ZD Vorerfassung'!$D$22:$D$36),1,0)*'ZD Vorerfassung'!$R$22:$R$36*IF(D241="FH",0.5,1)),
"prüfen")))</f>
        <v>0</v>
      </c>
      <c r="AX241" s="110">
        <f t="array" ref="AX241">IF(OR(D241="UU",D241="FT",D241="WE",E241="Ferien"),0,
IF(D241="NR",SUM(IF(B241&gt;=_xlfn.NUMBERVALUE('ZD Vorerfassung'!$C$22:$C$36),1,0)*IF(B241&lt;=_xlfn.NUMBERVALUE('ZD Vorerfassung'!$D$22:$D$36),1,0)*'ZD Vorerfassung'!$W$22:$W$36),
IF(OR(D241="SF",D241="FH"),SUM(IF(B241&gt;=_xlfn.NUMBERVALUE('ZD Vorerfassung'!$C$22:$C$36),1,0)*IF(B241&lt;=_xlfn.NUMBERVALUE('ZD Vorerfassung'!$D$22:$D$36),1,0)*'ZD Vorerfassung'!$X$22:$X$36*IF(D241="FH",0.5,1)),
"prüfen")))</f>
        <v>0</v>
      </c>
      <c r="AY241" s="110">
        <f t="array" ref="AY241">IF(OR(D241="UU",D241="FT",D241="WE",E241="Ferien"),0,
IF(D241="NR",SUM(IF(B241&gt;=_xlfn.NUMBERVALUE('ZD Vorerfassung'!$C$22:$C$36),1,0)*IF(B241&lt;=_xlfn.NUMBERVALUE('ZD Vorerfassung'!$D$22:$D$36),1,0)*'ZD Vorerfassung'!$U$22:$U$36),
IF(OR(D241="SF",D241="FH"),SUM(IF(B241&gt;=_xlfn.NUMBERVALUE('ZD Vorerfassung'!$C$22:$C$36),1,0)*IF(B241&lt;=_xlfn.NUMBERVALUE('ZD Vorerfassung'!$D$22:$D$36),1,0)*'ZD Vorerfassung'!$V$22:$V$36*IF(D241="FH",0.5,1)),
"prüfen")))</f>
        <v>0</v>
      </c>
      <c r="AZ241" s="110">
        <f t="array" ref="AZ241">IF(OR(D241="UU",D241="FT",D241="WE",E241="Ferien"),0,
IF(D241="NR",SUM(IF(B241&gt;=_xlfn.NUMBERVALUE('ZD Vorerfassung'!$C$22:$C$36),1,0)*IF(B241&lt;=_xlfn.NUMBERVALUE('ZD Vorerfassung'!$D$22:$D$36),1,0)*'ZD Vorerfassung'!$S$22:$S$36),
IF(OR(D241="SF",D241="FH"),SUM(IF(B241&gt;=_xlfn.NUMBERVALUE('ZD Vorerfassung'!$C$22:$C$36),1,0)*IF(B241&lt;=_xlfn.NUMBERVALUE('ZD Vorerfassung'!$D$22:$D$36),1,0)*'ZD Vorerfassung'!$T$22:$T$36*IF(D241="FH",0.5,1)),
"prüfen")))</f>
        <v>0</v>
      </c>
      <c r="BA241" s="112">
        <f t="shared" si="44"/>
        <v>3</v>
      </c>
    </row>
    <row r="242" spans="2:53" ht="19.5" thickTop="1" thickBot="1" x14ac:dyDescent="0.3">
      <c r="B242" s="99">
        <f t="shared" si="41"/>
        <v>45007</v>
      </c>
      <c r="C242" s="100">
        <f t="shared" si="45"/>
        <v>45007</v>
      </c>
      <c r="D242" s="101" t="str">
        <f t="shared" si="46"/>
        <v>SF</v>
      </c>
      <c r="E242" s="102" t="str">
        <f t="shared" si="42"/>
        <v>unterrichtsfreie Arbeitszeit</v>
      </c>
      <c r="F242" s="103" t="str">
        <f t="shared" si="47"/>
        <v/>
      </c>
      <c r="G242" s="104" t="str">
        <f t="shared" si="48"/>
        <v/>
      </c>
      <c r="H242" s="104">
        <f>IFERROR(IF('ZD Vorerfassung'!$E$11="manuell",SUM(I242),IF(OR(E242="Feiertag",E242="Wochenende"),0,IF('ZD Vorerfassung'!$E$11="automatisch",AX242,IF(D242="UU","UU",IF(E242=Param2,AX242/24,IF(E242=Param9,AX242/48,"")))))),0)</f>
        <v>0</v>
      </c>
      <c r="I242" s="105"/>
      <c r="J242" s="106">
        <f>IF('ZD Vorerfassung'!$E$12="manuell",SUM(K242:AI242),IF(OR(E242="Feiertag",E242="Wochenende"),0,IF('ZD Vorerfassung'!$E$12="automatisch",AY242,IF(D242="UU","UU",IF(E242=Param2,AY242/24,IF(E242=Param9,AY242/48,""))))))</f>
        <v>0</v>
      </c>
      <c r="K242" s="105"/>
      <c r="L242" s="105"/>
      <c r="M242" s="105"/>
      <c r="N242" s="105"/>
      <c r="O242" s="105"/>
      <c r="P242" s="105"/>
      <c r="Q242" s="105"/>
      <c r="R242" s="105"/>
      <c r="S242" s="105"/>
      <c r="T242" s="105"/>
      <c r="U242" s="105"/>
      <c r="V242" s="105"/>
      <c r="W242" s="105"/>
      <c r="X242" s="105"/>
      <c r="Y242" s="105"/>
      <c r="Z242" s="105"/>
      <c r="AA242" s="105"/>
      <c r="AB242" s="105"/>
      <c r="AC242" s="105"/>
      <c r="AD242" s="105"/>
      <c r="AE242" s="105"/>
      <c r="AF242" s="105"/>
      <c r="AG242" s="105"/>
      <c r="AH242" s="105"/>
      <c r="AI242" s="105"/>
      <c r="AJ242" s="107">
        <f t="shared" si="49"/>
        <v>0</v>
      </c>
      <c r="AK242" s="105"/>
      <c r="AL242" s="105"/>
      <c r="AM242" s="105"/>
      <c r="AN242" s="105"/>
      <c r="AO242" s="105"/>
      <c r="AP242" s="105"/>
      <c r="AQ242" s="108">
        <f t="shared" si="50"/>
        <v>0</v>
      </c>
      <c r="AR242" s="108">
        <f t="shared" si="51"/>
        <v>0</v>
      </c>
      <c r="AS242" s="109">
        <f t="shared" si="52"/>
        <v>0</v>
      </c>
      <c r="AU242" s="110">
        <f t="shared" si="43"/>
        <v>0</v>
      </c>
      <c r="AV242" s="111" t="str">
        <f>IF(D242="NR",
IF('ZD Vorerfassung'!$E$22="",0,IF(AND(B242&gt;='ZD Vorerfassung'!$C$22,B242&lt;='ZD Vorerfassung'!$D$22),HLOOKUP(TEXT(C242,"ttt"),'ZD Vorerfassung'!$H$21:$L$36,2,0),0))+
IF('ZD Vorerfassung'!$E$23="",0,IF(AND(B242&gt;='ZD Vorerfassung'!$C$23,B242&lt;='ZD Vorerfassung'!$D$23),HLOOKUP(TEXT(C242,"ttt"),'ZD Vorerfassung'!$H$21:$L$36,3,0),0))+
IF('ZD Vorerfassung'!$E$24="",0,IF(AND(B242&gt;='ZD Vorerfassung'!$C$24,B242&lt;='ZD Vorerfassung'!$D$24),HLOOKUP(TEXT(C242,"ttt"),'ZD Vorerfassung'!$H$21:$L$36,4,0),0))+
IF('ZD Vorerfassung'!$E$25="",0,IF(AND(B242&gt;='ZD Vorerfassung'!$C$25,B242&lt;='ZD Vorerfassung'!$D$25),HLOOKUP(TEXT(C242,"ttt"),'ZD Vorerfassung'!$H$21:$L$36,5,0),0))+
IF('ZD Vorerfassung'!$E$26="",0,IF(AND(B242&gt;='ZD Vorerfassung'!$C$26,B242&lt;='ZD Vorerfassung'!$D$26),HLOOKUP(TEXT(C242,"ttt"),'ZD Vorerfassung'!$H$21:$L$36,6,0),0))+
IF('ZD Vorerfassung'!$E$27="",0,IF(AND(B242&gt;='ZD Vorerfassung'!$C$27,B242&lt;='ZD Vorerfassung'!$D$27),HLOOKUP(TEXT(C242,"ttt"),'ZD Vorerfassung'!$H$21:$L$36,7,0),0))+
IF('ZD Vorerfassung'!$E$28="",0,IF(AND(B242&gt;='ZD Vorerfassung'!$C$28,B242&lt;='ZD Vorerfassung'!$D$28),HLOOKUP(TEXT(C242,"ttt"),'ZD Vorerfassung'!$H$21:$L$36,8,0),0))+
IF('ZD Vorerfassung'!$E$29="",0,IF(AND(B242&gt;='ZD Vorerfassung'!$C$29,B242&lt;='ZD Vorerfassung'!$D$29),HLOOKUP(TEXT(C242,"ttt"),'ZD Vorerfassung'!$H$21:$L$36,9,0),0))+
IF('ZD Vorerfassung'!$E$30="",0,IF(AND(B242&gt;='ZD Vorerfassung'!$C$30,B242&lt;='ZD Vorerfassung'!$D$30),HLOOKUP(TEXT(C242,"ttt"),'ZD Vorerfassung'!$H$21:$L$36,10,0),0))+
IF('ZD Vorerfassung'!$E$31="",0,IF(AND(B242&gt;='ZD Vorerfassung'!$C$31,B242&lt;='ZD Vorerfassung'!$D$31),HLOOKUP(TEXT(C242,"ttt"),'ZD Vorerfassung'!$H$21:$L$36,11,0),0))+
IF('ZD Vorerfassung'!$E$32="",0,IF(AND(B242&gt;='ZD Vorerfassung'!$C$32,B242&lt;='ZD Vorerfassung'!$D$32),HLOOKUP(TEXT(C242,"ttt"),'ZD Vorerfassung'!$H$21:$L$36,12,0),0))+
IF('ZD Vorerfassung'!$E$33="",0,IF(AND(B242&gt;='ZD Vorerfassung'!$C$33,B242&lt;='ZD Vorerfassung'!$D$33),HLOOKUP(TEXT(C242,"ttt"),'ZD Vorerfassung'!$H$21:$L$36,13,0),0))+
IF('ZD Vorerfassung'!$E$34="",0,IF(AND(B242&gt;='ZD Vorerfassung'!$C$34,B242&lt;='ZD Vorerfassung'!$D$34),HLOOKUP(TEXT(C242,"ttt"),'ZD Vorerfassung'!$H$21:$L$36,14,0),0))+
IF('ZD Vorerfassung'!$E$35="",0,IF(AND(B242&gt;='ZD Vorerfassung'!$C$35,B242&lt;='ZD Vorerfassung'!$D$35),HLOOKUP(TEXT(C242,"ttt"),'ZD Vorerfassung'!$H$21:$L$36,15,0),0))+
IF('ZD Vorerfassung'!$E$36="",0,IF(AND(B242&gt;='ZD Vorerfassung'!$C$36,B242&lt;='ZD Vorerfassung'!$D$36),HLOOKUP(TEXT(C242,"ttt"),'ZD Vorerfassung'!$H$21:$L$36,16,0),0)),"")</f>
        <v/>
      </c>
      <c r="AW242" s="110">
        <f t="array" ref="AW242">IF(OR(D242="UU",D242="FT",D242="WE"),0,
IF(D242="NR",SUM(IF(B242&gt;=_xlfn.NUMBERVALUE('ZD Vorerfassung'!$C$22:$C$36),1,0)*IF(B242&lt;=_xlfn.NUMBERVALUE('ZD Vorerfassung'!$D$22:$D$36),1,0)*'ZD Vorerfassung'!$Q$22:$Q$36),
IF(OR(D242="SF",D242="FH"),SUM(IF(B242&gt;=_xlfn.NUMBERVALUE('ZD Vorerfassung'!$C$22:$C$36),1,0)*IF(B242&lt;=_xlfn.NUMBERVALUE('ZD Vorerfassung'!$D$22:$D$36),1,0)*'ZD Vorerfassung'!$R$22:$R$36*IF(D242="FH",0.5,1)),
"prüfen")))</f>
        <v>0</v>
      </c>
      <c r="AX242" s="110">
        <f t="array" ref="AX242">IF(OR(D242="UU",D242="FT",D242="WE",E242="Ferien"),0,
IF(D242="NR",SUM(IF(B242&gt;=_xlfn.NUMBERVALUE('ZD Vorerfassung'!$C$22:$C$36),1,0)*IF(B242&lt;=_xlfn.NUMBERVALUE('ZD Vorerfassung'!$D$22:$D$36),1,0)*'ZD Vorerfassung'!$W$22:$W$36),
IF(OR(D242="SF",D242="FH"),SUM(IF(B242&gt;=_xlfn.NUMBERVALUE('ZD Vorerfassung'!$C$22:$C$36),1,0)*IF(B242&lt;=_xlfn.NUMBERVALUE('ZD Vorerfassung'!$D$22:$D$36),1,0)*'ZD Vorerfassung'!$X$22:$X$36*IF(D242="FH",0.5,1)),
"prüfen")))</f>
        <v>0</v>
      </c>
      <c r="AY242" s="110">
        <f t="array" ref="AY242">IF(OR(D242="UU",D242="FT",D242="WE",E242="Ferien"),0,
IF(D242="NR",SUM(IF(B242&gt;=_xlfn.NUMBERVALUE('ZD Vorerfassung'!$C$22:$C$36),1,0)*IF(B242&lt;=_xlfn.NUMBERVALUE('ZD Vorerfassung'!$D$22:$D$36),1,0)*'ZD Vorerfassung'!$U$22:$U$36),
IF(OR(D242="SF",D242="FH"),SUM(IF(B242&gt;=_xlfn.NUMBERVALUE('ZD Vorerfassung'!$C$22:$C$36),1,0)*IF(B242&lt;=_xlfn.NUMBERVALUE('ZD Vorerfassung'!$D$22:$D$36),1,0)*'ZD Vorerfassung'!$V$22:$V$36*IF(D242="FH",0.5,1)),
"prüfen")))</f>
        <v>0</v>
      </c>
      <c r="AZ242" s="110">
        <f t="array" ref="AZ242">IF(OR(D242="UU",D242="FT",D242="WE",E242="Ferien"),0,
IF(D242="NR",SUM(IF(B242&gt;=_xlfn.NUMBERVALUE('ZD Vorerfassung'!$C$22:$C$36),1,0)*IF(B242&lt;=_xlfn.NUMBERVALUE('ZD Vorerfassung'!$D$22:$D$36),1,0)*'ZD Vorerfassung'!$S$22:$S$36),
IF(OR(D242="SF",D242="FH"),SUM(IF(B242&gt;=_xlfn.NUMBERVALUE('ZD Vorerfassung'!$C$22:$C$36),1,0)*IF(B242&lt;=_xlfn.NUMBERVALUE('ZD Vorerfassung'!$D$22:$D$36),1,0)*'ZD Vorerfassung'!$T$22:$T$36*IF(D242="FH",0.5,1)),
"prüfen")))</f>
        <v>0</v>
      </c>
      <c r="BA242" s="112">
        <f t="shared" si="44"/>
        <v>3</v>
      </c>
    </row>
    <row r="243" spans="2:53" ht="19.5" thickTop="1" thickBot="1" x14ac:dyDescent="0.3">
      <c r="B243" s="99">
        <f t="shared" si="41"/>
        <v>45008</v>
      </c>
      <c r="C243" s="100">
        <f t="shared" si="45"/>
        <v>45008</v>
      </c>
      <c r="D243" s="101" t="str">
        <f t="shared" si="46"/>
        <v>SF</v>
      </c>
      <c r="E243" s="102" t="str">
        <f t="shared" si="42"/>
        <v>unterrichtsfreie Arbeitszeit</v>
      </c>
      <c r="F243" s="103" t="str">
        <f t="shared" si="47"/>
        <v/>
      </c>
      <c r="G243" s="104" t="str">
        <f t="shared" si="48"/>
        <v/>
      </c>
      <c r="H243" s="104">
        <f>IFERROR(IF('ZD Vorerfassung'!$E$11="manuell",SUM(I243),IF(OR(E243="Feiertag",E243="Wochenende"),0,IF('ZD Vorerfassung'!$E$11="automatisch",AX243,IF(D243="UU","UU",IF(E243=Param2,AX243/24,IF(E243=Param9,AX243/48,"")))))),0)</f>
        <v>0</v>
      </c>
      <c r="I243" s="105"/>
      <c r="J243" s="106">
        <f>IF('ZD Vorerfassung'!$E$12="manuell",SUM(K243:AI243),IF(OR(E243="Feiertag",E243="Wochenende"),0,IF('ZD Vorerfassung'!$E$12="automatisch",AY243,IF(D243="UU","UU",IF(E243=Param2,AY243/24,IF(E243=Param9,AY243/48,""))))))</f>
        <v>0</v>
      </c>
      <c r="K243" s="105"/>
      <c r="L243" s="105"/>
      <c r="M243" s="105"/>
      <c r="N243" s="105"/>
      <c r="O243" s="105"/>
      <c r="P243" s="105"/>
      <c r="Q243" s="105"/>
      <c r="R243" s="105"/>
      <c r="S243" s="105"/>
      <c r="T243" s="105"/>
      <c r="U243" s="105"/>
      <c r="V243" s="105"/>
      <c r="W243" s="105"/>
      <c r="X243" s="105"/>
      <c r="Y243" s="105"/>
      <c r="Z243" s="105"/>
      <c r="AA243" s="105"/>
      <c r="AB243" s="105"/>
      <c r="AC243" s="105"/>
      <c r="AD243" s="105"/>
      <c r="AE243" s="105"/>
      <c r="AF243" s="105"/>
      <c r="AG243" s="105"/>
      <c r="AH243" s="105"/>
      <c r="AI243" s="105"/>
      <c r="AJ243" s="107">
        <f t="shared" si="49"/>
        <v>0</v>
      </c>
      <c r="AK243" s="105"/>
      <c r="AL243" s="105"/>
      <c r="AM243" s="105"/>
      <c r="AN243" s="105"/>
      <c r="AO243" s="105"/>
      <c r="AP243" s="105"/>
      <c r="AQ243" s="108">
        <f t="shared" si="50"/>
        <v>0</v>
      </c>
      <c r="AR243" s="108">
        <f t="shared" si="51"/>
        <v>0</v>
      </c>
      <c r="AS243" s="109">
        <f t="shared" si="52"/>
        <v>0</v>
      </c>
      <c r="AU243" s="110">
        <f t="shared" si="43"/>
        <v>0</v>
      </c>
      <c r="AV243" s="111" t="str">
        <f>IF(D243="NR",
IF('ZD Vorerfassung'!$E$22="",0,IF(AND(B243&gt;='ZD Vorerfassung'!$C$22,B243&lt;='ZD Vorerfassung'!$D$22),HLOOKUP(TEXT(C243,"ttt"),'ZD Vorerfassung'!$H$21:$L$36,2,0),0))+
IF('ZD Vorerfassung'!$E$23="",0,IF(AND(B243&gt;='ZD Vorerfassung'!$C$23,B243&lt;='ZD Vorerfassung'!$D$23),HLOOKUP(TEXT(C243,"ttt"),'ZD Vorerfassung'!$H$21:$L$36,3,0),0))+
IF('ZD Vorerfassung'!$E$24="",0,IF(AND(B243&gt;='ZD Vorerfassung'!$C$24,B243&lt;='ZD Vorerfassung'!$D$24),HLOOKUP(TEXT(C243,"ttt"),'ZD Vorerfassung'!$H$21:$L$36,4,0),0))+
IF('ZD Vorerfassung'!$E$25="",0,IF(AND(B243&gt;='ZD Vorerfassung'!$C$25,B243&lt;='ZD Vorerfassung'!$D$25),HLOOKUP(TEXT(C243,"ttt"),'ZD Vorerfassung'!$H$21:$L$36,5,0),0))+
IF('ZD Vorerfassung'!$E$26="",0,IF(AND(B243&gt;='ZD Vorerfassung'!$C$26,B243&lt;='ZD Vorerfassung'!$D$26),HLOOKUP(TEXT(C243,"ttt"),'ZD Vorerfassung'!$H$21:$L$36,6,0),0))+
IF('ZD Vorerfassung'!$E$27="",0,IF(AND(B243&gt;='ZD Vorerfassung'!$C$27,B243&lt;='ZD Vorerfassung'!$D$27),HLOOKUP(TEXT(C243,"ttt"),'ZD Vorerfassung'!$H$21:$L$36,7,0),0))+
IF('ZD Vorerfassung'!$E$28="",0,IF(AND(B243&gt;='ZD Vorerfassung'!$C$28,B243&lt;='ZD Vorerfassung'!$D$28),HLOOKUP(TEXT(C243,"ttt"),'ZD Vorerfassung'!$H$21:$L$36,8,0),0))+
IF('ZD Vorerfassung'!$E$29="",0,IF(AND(B243&gt;='ZD Vorerfassung'!$C$29,B243&lt;='ZD Vorerfassung'!$D$29),HLOOKUP(TEXT(C243,"ttt"),'ZD Vorerfassung'!$H$21:$L$36,9,0),0))+
IF('ZD Vorerfassung'!$E$30="",0,IF(AND(B243&gt;='ZD Vorerfassung'!$C$30,B243&lt;='ZD Vorerfassung'!$D$30),HLOOKUP(TEXT(C243,"ttt"),'ZD Vorerfassung'!$H$21:$L$36,10,0),0))+
IF('ZD Vorerfassung'!$E$31="",0,IF(AND(B243&gt;='ZD Vorerfassung'!$C$31,B243&lt;='ZD Vorerfassung'!$D$31),HLOOKUP(TEXT(C243,"ttt"),'ZD Vorerfassung'!$H$21:$L$36,11,0),0))+
IF('ZD Vorerfassung'!$E$32="",0,IF(AND(B243&gt;='ZD Vorerfassung'!$C$32,B243&lt;='ZD Vorerfassung'!$D$32),HLOOKUP(TEXT(C243,"ttt"),'ZD Vorerfassung'!$H$21:$L$36,12,0),0))+
IF('ZD Vorerfassung'!$E$33="",0,IF(AND(B243&gt;='ZD Vorerfassung'!$C$33,B243&lt;='ZD Vorerfassung'!$D$33),HLOOKUP(TEXT(C243,"ttt"),'ZD Vorerfassung'!$H$21:$L$36,13,0),0))+
IF('ZD Vorerfassung'!$E$34="",0,IF(AND(B243&gt;='ZD Vorerfassung'!$C$34,B243&lt;='ZD Vorerfassung'!$D$34),HLOOKUP(TEXT(C243,"ttt"),'ZD Vorerfassung'!$H$21:$L$36,14,0),0))+
IF('ZD Vorerfassung'!$E$35="",0,IF(AND(B243&gt;='ZD Vorerfassung'!$C$35,B243&lt;='ZD Vorerfassung'!$D$35),HLOOKUP(TEXT(C243,"ttt"),'ZD Vorerfassung'!$H$21:$L$36,15,0),0))+
IF('ZD Vorerfassung'!$E$36="",0,IF(AND(B243&gt;='ZD Vorerfassung'!$C$36,B243&lt;='ZD Vorerfassung'!$D$36),HLOOKUP(TEXT(C243,"ttt"),'ZD Vorerfassung'!$H$21:$L$36,16,0),0)),"")</f>
        <v/>
      </c>
      <c r="AW243" s="110">
        <f t="array" ref="AW243">IF(OR(D243="UU",D243="FT",D243="WE"),0,
IF(D243="NR",SUM(IF(B243&gt;=_xlfn.NUMBERVALUE('ZD Vorerfassung'!$C$22:$C$36),1,0)*IF(B243&lt;=_xlfn.NUMBERVALUE('ZD Vorerfassung'!$D$22:$D$36),1,0)*'ZD Vorerfassung'!$Q$22:$Q$36),
IF(OR(D243="SF",D243="FH"),SUM(IF(B243&gt;=_xlfn.NUMBERVALUE('ZD Vorerfassung'!$C$22:$C$36),1,0)*IF(B243&lt;=_xlfn.NUMBERVALUE('ZD Vorerfassung'!$D$22:$D$36),1,0)*'ZD Vorerfassung'!$R$22:$R$36*IF(D243="FH",0.5,1)),
"prüfen")))</f>
        <v>0</v>
      </c>
      <c r="AX243" s="110">
        <f t="array" ref="AX243">IF(OR(D243="UU",D243="FT",D243="WE",E243="Ferien"),0,
IF(D243="NR",SUM(IF(B243&gt;=_xlfn.NUMBERVALUE('ZD Vorerfassung'!$C$22:$C$36),1,0)*IF(B243&lt;=_xlfn.NUMBERVALUE('ZD Vorerfassung'!$D$22:$D$36),1,0)*'ZD Vorerfassung'!$W$22:$W$36),
IF(OR(D243="SF",D243="FH"),SUM(IF(B243&gt;=_xlfn.NUMBERVALUE('ZD Vorerfassung'!$C$22:$C$36),1,0)*IF(B243&lt;=_xlfn.NUMBERVALUE('ZD Vorerfassung'!$D$22:$D$36),1,0)*'ZD Vorerfassung'!$X$22:$X$36*IF(D243="FH",0.5,1)),
"prüfen")))</f>
        <v>0</v>
      </c>
      <c r="AY243" s="110">
        <f t="array" ref="AY243">IF(OR(D243="UU",D243="FT",D243="WE",E243="Ferien"),0,
IF(D243="NR",SUM(IF(B243&gt;=_xlfn.NUMBERVALUE('ZD Vorerfassung'!$C$22:$C$36),1,0)*IF(B243&lt;=_xlfn.NUMBERVALUE('ZD Vorerfassung'!$D$22:$D$36),1,0)*'ZD Vorerfassung'!$U$22:$U$36),
IF(OR(D243="SF",D243="FH"),SUM(IF(B243&gt;=_xlfn.NUMBERVALUE('ZD Vorerfassung'!$C$22:$C$36),1,0)*IF(B243&lt;=_xlfn.NUMBERVALUE('ZD Vorerfassung'!$D$22:$D$36),1,0)*'ZD Vorerfassung'!$V$22:$V$36*IF(D243="FH",0.5,1)),
"prüfen")))</f>
        <v>0</v>
      </c>
      <c r="AZ243" s="110">
        <f t="array" ref="AZ243">IF(OR(D243="UU",D243="FT",D243="WE",E243="Ferien"),0,
IF(D243="NR",SUM(IF(B243&gt;=_xlfn.NUMBERVALUE('ZD Vorerfassung'!$C$22:$C$36),1,0)*IF(B243&lt;=_xlfn.NUMBERVALUE('ZD Vorerfassung'!$D$22:$D$36),1,0)*'ZD Vorerfassung'!$S$22:$S$36),
IF(OR(D243="SF",D243="FH"),SUM(IF(B243&gt;=_xlfn.NUMBERVALUE('ZD Vorerfassung'!$C$22:$C$36),1,0)*IF(B243&lt;=_xlfn.NUMBERVALUE('ZD Vorerfassung'!$D$22:$D$36),1,0)*'ZD Vorerfassung'!$T$22:$T$36*IF(D243="FH",0.5,1)),
"prüfen")))</f>
        <v>0</v>
      </c>
      <c r="BA243" s="112">
        <f t="shared" si="44"/>
        <v>3</v>
      </c>
    </row>
    <row r="244" spans="2:53" ht="19.5" thickTop="1" thickBot="1" x14ac:dyDescent="0.3">
      <c r="B244" s="99">
        <f t="shared" si="41"/>
        <v>45009</v>
      </c>
      <c r="C244" s="100">
        <f t="shared" si="45"/>
        <v>45009</v>
      </c>
      <c r="D244" s="101" t="str">
        <f t="shared" si="46"/>
        <v>SF</v>
      </c>
      <c r="E244" s="102" t="str">
        <f t="shared" si="42"/>
        <v>unterrichtsfreie Arbeitszeit</v>
      </c>
      <c r="F244" s="103" t="str">
        <f t="shared" si="47"/>
        <v/>
      </c>
      <c r="G244" s="104" t="str">
        <f t="shared" si="48"/>
        <v/>
      </c>
      <c r="H244" s="104">
        <f>IFERROR(IF('ZD Vorerfassung'!$E$11="manuell",SUM(I244),IF(OR(E244="Feiertag",E244="Wochenende"),0,IF('ZD Vorerfassung'!$E$11="automatisch",AX244,IF(D244="UU","UU",IF(E244=Param2,AX244/24,IF(E244=Param9,AX244/48,"")))))),0)</f>
        <v>0</v>
      </c>
      <c r="I244" s="105"/>
      <c r="J244" s="106">
        <f>IF('ZD Vorerfassung'!$E$12="manuell",SUM(K244:AI244),IF(OR(E244="Feiertag",E244="Wochenende"),0,IF('ZD Vorerfassung'!$E$12="automatisch",AY244,IF(D244="UU","UU",IF(E244=Param2,AY244/24,IF(E244=Param9,AY244/48,""))))))</f>
        <v>0</v>
      </c>
      <c r="K244" s="105"/>
      <c r="L244" s="105"/>
      <c r="M244" s="105"/>
      <c r="N244" s="105"/>
      <c r="O244" s="105"/>
      <c r="P244" s="105"/>
      <c r="Q244" s="105"/>
      <c r="R244" s="105"/>
      <c r="S244" s="105"/>
      <c r="T244" s="105"/>
      <c r="U244" s="105"/>
      <c r="V244" s="105"/>
      <c r="W244" s="105"/>
      <c r="X244" s="105"/>
      <c r="Y244" s="105"/>
      <c r="Z244" s="105"/>
      <c r="AA244" s="105"/>
      <c r="AB244" s="105"/>
      <c r="AC244" s="105"/>
      <c r="AD244" s="105"/>
      <c r="AE244" s="105"/>
      <c r="AF244" s="105"/>
      <c r="AG244" s="105"/>
      <c r="AH244" s="105"/>
      <c r="AI244" s="105"/>
      <c r="AJ244" s="107">
        <f t="shared" si="49"/>
        <v>0</v>
      </c>
      <c r="AK244" s="105"/>
      <c r="AL244" s="105"/>
      <c r="AM244" s="105"/>
      <c r="AN244" s="105"/>
      <c r="AO244" s="105"/>
      <c r="AP244" s="105"/>
      <c r="AQ244" s="108">
        <f t="shared" si="50"/>
        <v>0</v>
      </c>
      <c r="AR244" s="108">
        <f t="shared" si="51"/>
        <v>0</v>
      </c>
      <c r="AS244" s="109">
        <f t="shared" si="52"/>
        <v>0</v>
      </c>
      <c r="AU244" s="110">
        <f t="shared" si="43"/>
        <v>0</v>
      </c>
      <c r="AV244" s="111" t="str">
        <f>IF(D244="NR",
IF('ZD Vorerfassung'!$E$22="",0,IF(AND(B244&gt;='ZD Vorerfassung'!$C$22,B244&lt;='ZD Vorerfassung'!$D$22),HLOOKUP(TEXT(C244,"ttt"),'ZD Vorerfassung'!$H$21:$L$36,2,0),0))+
IF('ZD Vorerfassung'!$E$23="",0,IF(AND(B244&gt;='ZD Vorerfassung'!$C$23,B244&lt;='ZD Vorerfassung'!$D$23),HLOOKUP(TEXT(C244,"ttt"),'ZD Vorerfassung'!$H$21:$L$36,3,0),0))+
IF('ZD Vorerfassung'!$E$24="",0,IF(AND(B244&gt;='ZD Vorerfassung'!$C$24,B244&lt;='ZD Vorerfassung'!$D$24),HLOOKUP(TEXT(C244,"ttt"),'ZD Vorerfassung'!$H$21:$L$36,4,0),0))+
IF('ZD Vorerfassung'!$E$25="",0,IF(AND(B244&gt;='ZD Vorerfassung'!$C$25,B244&lt;='ZD Vorerfassung'!$D$25),HLOOKUP(TEXT(C244,"ttt"),'ZD Vorerfassung'!$H$21:$L$36,5,0),0))+
IF('ZD Vorerfassung'!$E$26="",0,IF(AND(B244&gt;='ZD Vorerfassung'!$C$26,B244&lt;='ZD Vorerfassung'!$D$26),HLOOKUP(TEXT(C244,"ttt"),'ZD Vorerfassung'!$H$21:$L$36,6,0),0))+
IF('ZD Vorerfassung'!$E$27="",0,IF(AND(B244&gt;='ZD Vorerfassung'!$C$27,B244&lt;='ZD Vorerfassung'!$D$27),HLOOKUP(TEXT(C244,"ttt"),'ZD Vorerfassung'!$H$21:$L$36,7,0),0))+
IF('ZD Vorerfassung'!$E$28="",0,IF(AND(B244&gt;='ZD Vorerfassung'!$C$28,B244&lt;='ZD Vorerfassung'!$D$28),HLOOKUP(TEXT(C244,"ttt"),'ZD Vorerfassung'!$H$21:$L$36,8,0),0))+
IF('ZD Vorerfassung'!$E$29="",0,IF(AND(B244&gt;='ZD Vorerfassung'!$C$29,B244&lt;='ZD Vorerfassung'!$D$29),HLOOKUP(TEXT(C244,"ttt"),'ZD Vorerfassung'!$H$21:$L$36,9,0),0))+
IF('ZD Vorerfassung'!$E$30="",0,IF(AND(B244&gt;='ZD Vorerfassung'!$C$30,B244&lt;='ZD Vorerfassung'!$D$30),HLOOKUP(TEXT(C244,"ttt"),'ZD Vorerfassung'!$H$21:$L$36,10,0),0))+
IF('ZD Vorerfassung'!$E$31="",0,IF(AND(B244&gt;='ZD Vorerfassung'!$C$31,B244&lt;='ZD Vorerfassung'!$D$31),HLOOKUP(TEXT(C244,"ttt"),'ZD Vorerfassung'!$H$21:$L$36,11,0),0))+
IF('ZD Vorerfassung'!$E$32="",0,IF(AND(B244&gt;='ZD Vorerfassung'!$C$32,B244&lt;='ZD Vorerfassung'!$D$32),HLOOKUP(TEXT(C244,"ttt"),'ZD Vorerfassung'!$H$21:$L$36,12,0),0))+
IF('ZD Vorerfassung'!$E$33="",0,IF(AND(B244&gt;='ZD Vorerfassung'!$C$33,B244&lt;='ZD Vorerfassung'!$D$33),HLOOKUP(TEXT(C244,"ttt"),'ZD Vorerfassung'!$H$21:$L$36,13,0),0))+
IF('ZD Vorerfassung'!$E$34="",0,IF(AND(B244&gt;='ZD Vorerfassung'!$C$34,B244&lt;='ZD Vorerfassung'!$D$34),HLOOKUP(TEXT(C244,"ttt"),'ZD Vorerfassung'!$H$21:$L$36,14,0),0))+
IF('ZD Vorerfassung'!$E$35="",0,IF(AND(B244&gt;='ZD Vorerfassung'!$C$35,B244&lt;='ZD Vorerfassung'!$D$35),HLOOKUP(TEXT(C244,"ttt"),'ZD Vorerfassung'!$H$21:$L$36,15,0),0))+
IF('ZD Vorerfassung'!$E$36="",0,IF(AND(B244&gt;='ZD Vorerfassung'!$C$36,B244&lt;='ZD Vorerfassung'!$D$36),HLOOKUP(TEXT(C244,"ttt"),'ZD Vorerfassung'!$H$21:$L$36,16,0),0)),"")</f>
        <v/>
      </c>
      <c r="AW244" s="110">
        <f t="array" ref="AW244">IF(OR(D244="UU",D244="FT",D244="WE"),0,
IF(D244="NR",SUM(IF(B244&gt;=_xlfn.NUMBERVALUE('ZD Vorerfassung'!$C$22:$C$36),1,0)*IF(B244&lt;=_xlfn.NUMBERVALUE('ZD Vorerfassung'!$D$22:$D$36),1,0)*'ZD Vorerfassung'!$Q$22:$Q$36),
IF(OR(D244="SF",D244="FH"),SUM(IF(B244&gt;=_xlfn.NUMBERVALUE('ZD Vorerfassung'!$C$22:$C$36),1,0)*IF(B244&lt;=_xlfn.NUMBERVALUE('ZD Vorerfassung'!$D$22:$D$36),1,0)*'ZD Vorerfassung'!$R$22:$R$36*IF(D244="FH",0.5,1)),
"prüfen")))</f>
        <v>0</v>
      </c>
      <c r="AX244" s="110">
        <f t="array" ref="AX244">IF(OR(D244="UU",D244="FT",D244="WE",E244="Ferien"),0,
IF(D244="NR",SUM(IF(B244&gt;=_xlfn.NUMBERVALUE('ZD Vorerfassung'!$C$22:$C$36),1,0)*IF(B244&lt;=_xlfn.NUMBERVALUE('ZD Vorerfassung'!$D$22:$D$36),1,0)*'ZD Vorerfassung'!$W$22:$W$36),
IF(OR(D244="SF",D244="FH"),SUM(IF(B244&gt;=_xlfn.NUMBERVALUE('ZD Vorerfassung'!$C$22:$C$36),1,0)*IF(B244&lt;=_xlfn.NUMBERVALUE('ZD Vorerfassung'!$D$22:$D$36),1,0)*'ZD Vorerfassung'!$X$22:$X$36*IF(D244="FH",0.5,1)),
"prüfen")))</f>
        <v>0</v>
      </c>
      <c r="AY244" s="110">
        <f t="array" ref="AY244">IF(OR(D244="UU",D244="FT",D244="WE",E244="Ferien"),0,
IF(D244="NR",SUM(IF(B244&gt;=_xlfn.NUMBERVALUE('ZD Vorerfassung'!$C$22:$C$36),1,0)*IF(B244&lt;=_xlfn.NUMBERVALUE('ZD Vorerfassung'!$D$22:$D$36),1,0)*'ZD Vorerfassung'!$U$22:$U$36),
IF(OR(D244="SF",D244="FH"),SUM(IF(B244&gt;=_xlfn.NUMBERVALUE('ZD Vorerfassung'!$C$22:$C$36),1,0)*IF(B244&lt;=_xlfn.NUMBERVALUE('ZD Vorerfassung'!$D$22:$D$36),1,0)*'ZD Vorerfassung'!$V$22:$V$36*IF(D244="FH",0.5,1)),
"prüfen")))</f>
        <v>0</v>
      </c>
      <c r="AZ244" s="110">
        <f t="array" ref="AZ244">IF(OR(D244="UU",D244="FT",D244="WE",E244="Ferien"),0,
IF(D244="NR",SUM(IF(B244&gt;=_xlfn.NUMBERVALUE('ZD Vorerfassung'!$C$22:$C$36),1,0)*IF(B244&lt;=_xlfn.NUMBERVALUE('ZD Vorerfassung'!$D$22:$D$36),1,0)*'ZD Vorerfassung'!$S$22:$S$36),
IF(OR(D244="SF",D244="FH"),SUM(IF(B244&gt;=_xlfn.NUMBERVALUE('ZD Vorerfassung'!$C$22:$C$36),1,0)*IF(B244&lt;=_xlfn.NUMBERVALUE('ZD Vorerfassung'!$D$22:$D$36),1,0)*'ZD Vorerfassung'!$T$22:$T$36*IF(D244="FH",0.5,1)),
"prüfen")))</f>
        <v>0</v>
      </c>
      <c r="BA244" s="112">
        <f t="shared" si="44"/>
        <v>3</v>
      </c>
    </row>
    <row r="245" spans="2:53" ht="19.5" thickTop="1" thickBot="1" x14ac:dyDescent="0.3">
      <c r="B245" s="99">
        <f t="shared" si="41"/>
        <v>45010</v>
      </c>
      <c r="C245" s="100">
        <f t="shared" si="45"/>
        <v>45010</v>
      </c>
      <c r="D245" s="101" t="str">
        <f t="shared" si="46"/>
        <v>FT</v>
      </c>
      <c r="E245" s="102" t="str">
        <f t="shared" si="42"/>
        <v>Feiertag</v>
      </c>
      <c r="F245" s="103" t="str">
        <f t="shared" si="47"/>
        <v/>
      </c>
      <c r="G245" s="104" t="str">
        <f t="shared" si="48"/>
        <v/>
      </c>
      <c r="H245" s="104">
        <f>IFERROR(IF('ZD Vorerfassung'!$E$11="manuell",SUM(I245),IF(OR(E245="Feiertag",E245="Wochenende"),0,IF('ZD Vorerfassung'!$E$11="automatisch",AX245,IF(D245="UU","UU",IF(E245=Param2,AX245/24,IF(E245=Param9,AX245/48,"")))))),0)</f>
        <v>0</v>
      </c>
      <c r="I245" s="105"/>
      <c r="J245" s="106">
        <f>IF('ZD Vorerfassung'!$E$12="manuell",SUM(K245:AI245),IF(OR(E245="Feiertag",E245="Wochenende"),0,IF('ZD Vorerfassung'!$E$12="automatisch",AY245,IF(D245="UU","UU",IF(E245=Param2,AY245/24,IF(E245=Param9,AY245/48,""))))))</f>
        <v>0</v>
      </c>
      <c r="K245" s="105"/>
      <c r="L245" s="105"/>
      <c r="M245" s="105"/>
      <c r="N245" s="105"/>
      <c r="O245" s="105"/>
      <c r="P245" s="105"/>
      <c r="Q245" s="105"/>
      <c r="R245" s="105"/>
      <c r="S245" s="105"/>
      <c r="T245" s="105"/>
      <c r="U245" s="105"/>
      <c r="V245" s="105"/>
      <c r="W245" s="105"/>
      <c r="X245" s="105"/>
      <c r="Y245" s="105"/>
      <c r="Z245" s="105"/>
      <c r="AA245" s="105"/>
      <c r="AB245" s="105"/>
      <c r="AC245" s="105"/>
      <c r="AD245" s="105"/>
      <c r="AE245" s="105"/>
      <c r="AF245" s="105"/>
      <c r="AG245" s="105"/>
      <c r="AH245" s="105"/>
      <c r="AI245" s="105"/>
      <c r="AJ245" s="107">
        <f t="shared" si="49"/>
        <v>0</v>
      </c>
      <c r="AK245" s="105"/>
      <c r="AL245" s="105"/>
      <c r="AM245" s="105"/>
      <c r="AN245" s="105"/>
      <c r="AO245" s="105"/>
      <c r="AP245" s="105"/>
      <c r="AQ245" s="108">
        <f t="shared" si="50"/>
        <v>0</v>
      </c>
      <c r="AR245" s="108">
        <f t="shared" si="51"/>
        <v>0</v>
      </c>
      <c r="AS245" s="109">
        <f t="shared" si="52"/>
        <v>0</v>
      </c>
      <c r="AU245" s="110">
        <f t="shared" si="43"/>
        <v>0</v>
      </c>
      <c r="AV245" s="111" t="str">
        <f>IF(D245="NR",
IF('ZD Vorerfassung'!$E$22="",0,IF(AND(B245&gt;='ZD Vorerfassung'!$C$22,B245&lt;='ZD Vorerfassung'!$D$22),HLOOKUP(TEXT(C245,"ttt"),'ZD Vorerfassung'!$H$21:$L$36,2,0),0))+
IF('ZD Vorerfassung'!$E$23="",0,IF(AND(B245&gt;='ZD Vorerfassung'!$C$23,B245&lt;='ZD Vorerfassung'!$D$23),HLOOKUP(TEXT(C245,"ttt"),'ZD Vorerfassung'!$H$21:$L$36,3,0),0))+
IF('ZD Vorerfassung'!$E$24="",0,IF(AND(B245&gt;='ZD Vorerfassung'!$C$24,B245&lt;='ZD Vorerfassung'!$D$24),HLOOKUP(TEXT(C245,"ttt"),'ZD Vorerfassung'!$H$21:$L$36,4,0),0))+
IF('ZD Vorerfassung'!$E$25="",0,IF(AND(B245&gt;='ZD Vorerfassung'!$C$25,B245&lt;='ZD Vorerfassung'!$D$25),HLOOKUP(TEXT(C245,"ttt"),'ZD Vorerfassung'!$H$21:$L$36,5,0),0))+
IF('ZD Vorerfassung'!$E$26="",0,IF(AND(B245&gt;='ZD Vorerfassung'!$C$26,B245&lt;='ZD Vorerfassung'!$D$26),HLOOKUP(TEXT(C245,"ttt"),'ZD Vorerfassung'!$H$21:$L$36,6,0),0))+
IF('ZD Vorerfassung'!$E$27="",0,IF(AND(B245&gt;='ZD Vorerfassung'!$C$27,B245&lt;='ZD Vorerfassung'!$D$27),HLOOKUP(TEXT(C245,"ttt"),'ZD Vorerfassung'!$H$21:$L$36,7,0),0))+
IF('ZD Vorerfassung'!$E$28="",0,IF(AND(B245&gt;='ZD Vorerfassung'!$C$28,B245&lt;='ZD Vorerfassung'!$D$28),HLOOKUP(TEXT(C245,"ttt"),'ZD Vorerfassung'!$H$21:$L$36,8,0),0))+
IF('ZD Vorerfassung'!$E$29="",0,IF(AND(B245&gt;='ZD Vorerfassung'!$C$29,B245&lt;='ZD Vorerfassung'!$D$29),HLOOKUP(TEXT(C245,"ttt"),'ZD Vorerfassung'!$H$21:$L$36,9,0),0))+
IF('ZD Vorerfassung'!$E$30="",0,IF(AND(B245&gt;='ZD Vorerfassung'!$C$30,B245&lt;='ZD Vorerfassung'!$D$30),HLOOKUP(TEXT(C245,"ttt"),'ZD Vorerfassung'!$H$21:$L$36,10,0),0))+
IF('ZD Vorerfassung'!$E$31="",0,IF(AND(B245&gt;='ZD Vorerfassung'!$C$31,B245&lt;='ZD Vorerfassung'!$D$31),HLOOKUP(TEXT(C245,"ttt"),'ZD Vorerfassung'!$H$21:$L$36,11,0),0))+
IF('ZD Vorerfassung'!$E$32="",0,IF(AND(B245&gt;='ZD Vorerfassung'!$C$32,B245&lt;='ZD Vorerfassung'!$D$32),HLOOKUP(TEXT(C245,"ttt"),'ZD Vorerfassung'!$H$21:$L$36,12,0),0))+
IF('ZD Vorerfassung'!$E$33="",0,IF(AND(B245&gt;='ZD Vorerfassung'!$C$33,B245&lt;='ZD Vorerfassung'!$D$33),HLOOKUP(TEXT(C245,"ttt"),'ZD Vorerfassung'!$H$21:$L$36,13,0),0))+
IF('ZD Vorerfassung'!$E$34="",0,IF(AND(B245&gt;='ZD Vorerfassung'!$C$34,B245&lt;='ZD Vorerfassung'!$D$34),HLOOKUP(TEXT(C245,"ttt"),'ZD Vorerfassung'!$H$21:$L$36,14,0),0))+
IF('ZD Vorerfassung'!$E$35="",0,IF(AND(B245&gt;='ZD Vorerfassung'!$C$35,B245&lt;='ZD Vorerfassung'!$D$35),HLOOKUP(TEXT(C245,"ttt"),'ZD Vorerfassung'!$H$21:$L$36,15,0),0))+
IF('ZD Vorerfassung'!$E$36="",0,IF(AND(B245&gt;='ZD Vorerfassung'!$C$36,B245&lt;='ZD Vorerfassung'!$D$36),HLOOKUP(TEXT(C245,"ttt"),'ZD Vorerfassung'!$H$21:$L$36,16,0),0)),"")</f>
        <v/>
      </c>
      <c r="AW245" s="110">
        <f t="array" ref="AW245">IF(OR(D245="UU",D245="FT",D245="WE"),0,
IF(D245="NR",SUM(IF(B245&gt;=_xlfn.NUMBERVALUE('ZD Vorerfassung'!$C$22:$C$36),1,0)*IF(B245&lt;=_xlfn.NUMBERVALUE('ZD Vorerfassung'!$D$22:$D$36),1,0)*'ZD Vorerfassung'!$Q$22:$Q$36),
IF(OR(D245="SF",D245="FH"),SUM(IF(B245&gt;=_xlfn.NUMBERVALUE('ZD Vorerfassung'!$C$22:$C$36),1,0)*IF(B245&lt;=_xlfn.NUMBERVALUE('ZD Vorerfassung'!$D$22:$D$36),1,0)*'ZD Vorerfassung'!$R$22:$R$36*IF(D245="FH",0.5,1)),
"prüfen")))</f>
        <v>0</v>
      </c>
      <c r="AX245" s="110">
        <f t="array" ref="AX245">IF(OR(D245="UU",D245="FT",D245="WE",E245="Ferien"),0,
IF(D245="NR",SUM(IF(B245&gt;=_xlfn.NUMBERVALUE('ZD Vorerfassung'!$C$22:$C$36),1,0)*IF(B245&lt;=_xlfn.NUMBERVALUE('ZD Vorerfassung'!$D$22:$D$36),1,0)*'ZD Vorerfassung'!$W$22:$W$36),
IF(OR(D245="SF",D245="FH"),SUM(IF(B245&gt;=_xlfn.NUMBERVALUE('ZD Vorerfassung'!$C$22:$C$36),1,0)*IF(B245&lt;=_xlfn.NUMBERVALUE('ZD Vorerfassung'!$D$22:$D$36),1,0)*'ZD Vorerfassung'!$X$22:$X$36*IF(D245="FH",0.5,1)),
"prüfen")))</f>
        <v>0</v>
      </c>
      <c r="AY245" s="110">
        <f t="array" ref="AY245">IF(OR(D245="UU",D245="FT",D245="WE",E245="Ferien"),0,
IF(D245="NR",SUM(IF(B245&gt;=_xlfn.NUMBERVALUE('ZD Vorerfassung'!$C$22:$C$36),1,0)*IF(B245&lt;=_xlfn.NUMBERVALUE('ZD Vorerfassung'!$D$22:$D$36),1,0)*'ZD Vorerfassung'!$U$22:$U$36),
IF(OR(D245="SF",D245="FH"),SUM(IF(B245&gt;=_xlfn.NUMBERVALUE('ZD Vorerfassung'!$C$22:$C$36),1,0)*IF(B245&lt;=_xlfn.NUMBERVALUE('ZD Vorerfassung'!$D$22:$D$36),1,0)*'ZD Vorerfassung'!$V$22:$V$36*IF(D245="FH",0.5,1)),
"prüfen")))</f>
        <v>0</v>
      </c>
      <c r="AZ245" s="110">
        <f t="array" ref="AZ245">IF(OR(D245="UU",D245="FT",D245="WE",E245="Ferien"),0,
IF(D245="NR",SUM(IF(B245&gt;=_xlfn.NUMBERVALUE('ZD Vorerfassung'!$C$22:$C$36),1,0)*IF(B245&lt;=_xlfn.NUMBERVALUE('ZD Vorerfassung'!$D$22:$D$36),1,0)*'ZD Vorerfassung'!$S$22:$S$36),
IF(OR(D245="SF",D245="FH"),SUM(IF(B245&gt;=_xlfn.NUMBERVALUE('ZD Vorerfassung'!$C$22:$C$36),1,0)*IF(B245&lt;=_xlfn.NUMBERVALUE('ZD Vorerfassung'!$D$22:$D$36),1,0)*'ZD Vorerfassung'!$T$22:$T$36*IF(D245="FH",0.5,1)),
"prüfen")))</f>
        <v>0</v>
      </c>
      <c r="BA245" s="112">
        <f t="shared" si="44"/>
        <v>3</v>
      </c>
    </row>
    <row r="246" spans="2:53" ht="19.5" thickTop="1" thickBot="1" x14ac:dyDescent="0.3">
      <c r="B246" s="99">
        <f t="shared" si="41"/>
        <v>45011</v>
      </c>
      <c r="C246" s="100">
        <f t="shared" si="45"/>
        <v>45011</v>
      </c>
      <c r="D246" s="101" t="str">
        <f t="shared" si="46"/>
        <v>WE</v>
      </c>
      <c r="E246" s="102" t="str">
        <f t="shared" si="42"/>
        <v>Wochenende</v>
      </c>
      <c r="F246" s="103" t="str">
        <f t="shared" si="47"/>
        <v/>
      </c>
      <c r="G246" s="104" t="str">
        <f t="shared" si="48"/>
        <v/>
      </c>
      <c r="H246" s="104">
        <f>IFERROR(IF('ZD Vorerfassung'!$E$11="manuell",SUM(I246),IF(OR(E246="Feiertag",E246="Wochenende"),0,IF('ZD Vorerfassung'!$E$11="automatisch",AX246,IF(D246="UU","UU",IF(E246=Param2,AX246/24,IF(E246=Param9,AX246/48,"")))))),0)</f>
        <v>0</v>
      </c>
      <c r="I246" s="105"/>
      <c r="J246" s="106">
        <f>IF('ZD Vorerfassung'!$E$12="manuell",SUM(K246:AI246),IF(OR(E246="Feiertag",E246="Wochenende"),0,IF('ZD Vorerfassung'!$E$12="automatisch",AY246,IF(D246="UU","UU",IF(E246=Param2,AY246/24,IF(E246=Param9,AY246/48,""))))))</f>
        <v>0</v>
      </c>
      <c r="K246" s="105"/>
      <c r="L246" s="105"/>
      <c r="M246" s="105"/>
      <c r="N246" s="105"/>
      <c r="O246" s="105"/>
      <c r="P246" s="105"/>
      <c r="Q246" s="105"/>
      <c r="R246" s="105"/>
      <c r="S246" s="105"/>
      <c r="T246" s="105"/>
      <c r="U246" s="105"/>
      <c r="V246" s="105"/>
      <c r="W246" s="105"/>
      <c r="X246" s="105"/>
      <c r="Y246" s="105"/>
      <c r="Z246" s="105"/>
      <c r="AA246" s="105"/>
      <c r="AB246" s="105"/>
      <c r="AC246" s="105"/>
      <c r="AD246" s="105"/>
      <c r="AE246" s="105"/>
      <c r="AF246" s="105"/>
      <c r="AG246" s="105"/>
      <c r="AH246" s="105"/>
      <c r="AI246" s="105"/>
      <c r="AJ246" s="107">
        <f t="shared" si="49"/>
        <v>0</v>
      </c>
      <c r="AK246" s="105"/>
      <c r="AL246" s="105"/>
      <c r="AM246" s="105"/>
      <c r="AN246" s="105"/>
      <c r="AO246" s="105"/>
      <c r="AP246" s="105"/>
      <c r="AQ246" s="108">
        <f t="shared" si="50"/>
        <v>0</v>
      </c>
      <c r="AR246" s="108">
        <f t="shared" si="51"/>
        <v>0</v>
      </c>
      <c r="AS246" s="109">
        <f t="shared" si="52"/>
        <v>0</v>
      </c>
      <c r="AU246" s="110">
        <f t="shared" si="43"/>
        <v>0</v>
      </c>
      <c r="AV246" s="111" t="str">
        <f>IF(D246="NR",
IF('ZD Vorerfassung'!$E$22="",0,IF(AND(B246&gt;='ZD Vorerfassung'!$C$22,B246&lt;='ZD Vorerfassung'!$D$22),HLOOKUP(TEXT(C246,"ttt"),'ZD Vorerfassung'!$H$21:$L$36,2,0),0))+
IF('ZD Vorerfassung'!$E$23="",0,IF(AND(B246&gt;='ZD Vorerfassung'!$C$23,B246&lt;='ZD Vorerfassung'!$D$23),HLOOKUP(TEXT(C246,"ttt"),'ZD Vorerfassung'!$H$21:$L$36,3,0),0))+
IF('ZD Vorerfassung'!$E$24="",0,IF(AND(B246&gt;='ZD Vorerfassung'!$C$24,B246&lt;='ZD Vorerfassung'!$D$24),HLOOKUP(TEXT(C246,"ttt"),'ZD Vorerfassung'!$H$21:$L$36,4,0),0))+
IF('ZD Vorerfassung'!$E$25="",0,IF(AND(B246&gt;='ZD Vorerfassung'!$C$25,B246&lt;='ZD Vorerfassung'!$D$25),HLOOKUP(TEXT(C246,"ttt"),'ZD Vorerfassung'!$H$21:$L$36,5,0),0))+
IF('ZD Vorerfassung'!$E$26="",0,IF(AND(B246&gt;='ZD Vorerfassung'!$C$26,B246&lt;='ZD Vorerfassung'!$D$26),HLOOKUP(TEXT(C246,"ttt"),'ZD Vorerfassung'!$H$21:$L$36,6,0),0))+
IF('ZD Vorerfassung'!$E$27="",0,IF(AND(B246&gt;='ZD Vorerfassung'!$C$27,B246&lt;='ZD Vorerfassung'!$D$27),HLOOKUP(TEXT(C246,"ttt"),'ZD Vorerfassung'!$H$21:$L$36,7,0),0))+
IF('ZD Vorerfassung'!$E$28="",0,IF(AND(B246&gt;='ZD Vorerfassung'!$C$28,B246&lt;='ZD Vorerfassung'!$D$28),HLOOKUP(TEXT(C246,"ttt"),'ZD Vorerfassung'!$H$21:$L$36,8,0),0))+
IF('ZD Vorerfassung'!$E$29="",0,IF(AND(B246&gt;='ZD Vorerfassung'!$C$29,B246&lt;='ZD Vorerfassung'!$D$29),HLOOKUP(TEXT(C246,"ttt"),'ZD Vorerfassung'!$H$21:$L$36,9,0),0))+
IF('ZD Vorerfassung'!$E$30="",0,IF(AND(B246&gt;='ZD Vorerfassung'!$C$30,B246&lt;='ZD Vorerfassung'!$D$30),HLOOKUP(TEXT(C246,"ttt"),'ZD Vorerfassung'!$H$21:$L$36,10,0),0))+
IF('ZD Vorerfassung'!$E$31="",0,IF(AND(B246&gt;='ZD Vorerfassung'!$C$31,B246&lt;='ZD Vorerfassung'!$D$31),HLOOKUP(TEXT(C246,"ttt"),'ZD Vorerfassung'!$H$21:$L$36,11,0),0))+
IF('ZD Vorerfassung'!$E$32="",0,IF(AND(B246&gt;='ZD Vorerfassung'!$C$32,B246&lt;='ZD Vorerfassung'!$D$32),HLOOKUP(TEXT(C246,"ttt"),'ZD Vorerfassung'!$H$21:$L$36,12,0),0))+
IF('ZD Vorerfassung'!$E$33="",0,IF(AND(B246&gt;='ZD Vorerfassung'!$C$33,B246&lt;='ZD Vorerfassung'!$D$33),HLOOKUP(TEXT(C246,"ttt"),'ZD Vorerfassung'!$H$21:$L$36,13,0),0))+
IF('ZD Vorerfassung'!$E$34="",0,IF(AND(B246&gt;='ZD Vorerfassung'!$C$34,B246&lt;='ZD Vorerfassung'!$D$34),HLOOKUP(TEXT(C246,"ttt"),'ZD Vorerfassung'!$H$21:$L$36,14,0),0))+
IF('ZD Vorerfassung'!$E$35="",0,IF(AND(B246&gt;='ZD Vorerfassung'!$C$35,B246&lt;='ZD Vorerfassung'!$D$35),HLOOKUP(TEXT(C246,"ttt"),'ZD Vorerfassung'!$H$21:$L$36,15,0),0))+
IF('ZD Vorerfassung'!$E$36="",0,IF(AND(B246&gt;='ZD Vorerfassung'!$C$36,B246&lt;='ZD Vorerfassung'!$D$36),HLOOKUP(TEXT(C246,"ttt"),'ZD Vorerfassung'!$H$21:$L$36,16,0),0)),"")</f>
        <v/>
      </c>
      <c r="AW246" s="110">
        <f t="array" ref="AW246">IF(OR(D246="UU",D246="FT",D246="WE"),0,
IF(D246="NR",SUM(IF(B246&gt;=_xlfn.NUMBERVALUE('ZD Vorerfassung'!$C$22:$C$36),1,0)*IF(B246&lt;=_xlfn.NUMBERVALUE('ZD Vorerfassung'!$D$22:$D$36),1,0)*'ZD Vorerfassung'!$Q$22:$Q$36),
IF(OR(D246="SF",D246="FH"),SUM(IF(B246&gt;=_xlfn.NUMBERVALUE('ZD Vorerfassung'!$C$22:$C$36),1,0)*IF(B246&lt;=_xlfn.NUMBERVALUE('ZD Vorerfassung'!$D$22:$D$36),1,0)*'ZD Vorerfassung'!$R$22:$R$36*IF(D246="FH",0.5,1)),
"prüfen")))</f>
        <v>0</v>
      </c>
      <c r="AX246" s="110">
        <f t="array" ref="AX246">IF(OR(D246="UU",D246="FT",D246="WE",E246="Ferien"),0,
IF(D246="NR",SUM(IF(B246&gt;=_xlfn.NUMBERVALUE('ZD Vorerfassung'!$C$22:$C$36),1,0)*IF(B246&lt;=_xlfn.NUMBERVALUE('ZD Vorerfassung'!$D$22:$D$36),1,0)*'ZD Vorerfassung'!$W$22:$W$36),
IF(OR(D246="SF",D246="FH"),SUM(IF(B246&gt;=_xlfn.NUMBERVALUE('ZD Vorerfassung'!$C$22:$C$36),1,0)*IF(B246&lt;=_xlfn.NUMBERVALUE('ZD Vorerfassung'!$D$22:$D$36),1,0)*'ZD Vorerfassung'!$X$22:$X$36*IF(D246="FH",0.5,1)),
"prüfen")))</f>
        <v>0</v>
      </c>
      <c r="AY246" s="110">
        <f t="array" ref="AY246">IF(OR(D246="UU",D246="FT",D246="WE",E246="Ferien"),0,
IF(D246="NR",SUM(IF(B246&gt;=_xlfn.NUMBERVALUE('ZD Vorerfassung'!$C$22:$C$36),1,0)*IF(B246&lt;=_xlfn.NUMBERVALUE('ZD Vorerfassung'!$D$22:$D$36),1,0)*'ZD Vorerfassung'!$U$22:$U$36),
IF(OR(D246="SF",D246="FH"),SUM(IF(B246&gt;=_xlfn.NUMBERVALUE('ZD Vorerfassung'!$C$22:$C$36),1,0)*IF(B246&lt;=_xlfn.NUMBERVALUE('ZD Vorerfassung'!$D$22:$D$36),1,0)*'ZD Vorerfassung'!$V$22:$V$36*IF(D246="FH",0.5,1)),
"prüfen")))</f>
        <v>0</v>
      </c>
      <c r="AZ246" s="110">
        <f t="array" ref="AZ246">IF(OR(D246="UU",D246="FT",D246="WE",E246="Ferien"),0,
IF(D246="NR",SUM(IF(B246&gt;=_xlfn.NUMBERVALUE('ZD Vorerfassung'!$C$22:$C$36),1,0)*IF(B246&lt;=_xlfn.NUMBERVALUE('ZD Vorerfassung'!$D$22:$D$36),1,0)*'ZD Vorerfassung'!$S$22:$S$36),
IF(OR(D246="SF",D246="FH"),SUM(IF(B246&gt;=_xlfn.NUMBERVALUE('ZD Vorerfassung'!$C$22:$C$36),1,0)*IF(B246&lt;=_xlfn.NUMBERVALUE('ZD Vorerfassung'!$D$22:$D$36),1,0)*'ZD Vorerfassung'!$T$22:$T$36*IF(D246="FH",0.5,1)),
"prüfen")))</f>
        <v>0</v>
      </c>
      <c r="BA246" s="112">
        <f t="shared" si="44"/>
        <v>3</v>
      </c>
    </row>
    <row r="247" spans="2:53" ht="19.5" thickTop="1" thickBot="1" x14ac:dyDescent="0.3">
      <c r="B247" s="99">
        <f t="shared" si="41"/>
        <v>45012</v>
      </c>
      <c r="C247" s="100">
        <f t="shared" si="45"/>
        <v>45012</v>
      </c>
      <c r="D247" s="101" t="str">
        <f t="shared" si="46"/>
        <v>WE</v>
      </c>
      <c r="E247" s="102" t="str">
        <f t="shared" si="42"/>
        <v>Wochenende</v>
      </c>
      <c r="F247" s="103" t="str">
        <f t="shared" si="47"/>
        <v/>
      </c>
      <c r="G247" s="104" t="str">
        <f t="shared" si="48"/>
        <v/>
      </c>
      <c r="H247" s="104">
        <f>IFERROR(IF('ZD Vorerfassung'!$E$11="manuell",SUM(I247),IF(OR(E247="Feiertag",E247="Wochenende"),0,IF('ZD Vorerfassung'!$E$11="automatisch",AX247,IF(D247="UU","UU",IF(E247=Param2,AX247/24,IF(E247=Param9,AX247/48,"")))))),0)</f>
        <v>0</v>
      </c>
      <c r="I247" s="105"/>
      <c r="J247" s="106">
        <f>IF('ZD Vorerfassung'!$E$12="manuell",SUM(K247:AI247),IF(OR(E247="Feiertag",E247="Wochenende"),0,IF('ZD Vorerfassung'!$E$12="automatisch",AY247,IF(D247="UU","UU",IF(E247=Param2,AY247/24,IF(E247=Param9,AY247/48,""))))))</f>
        <v>0</v>
      </c>
      <c r="K247" s="105"/>
      <c r="L247" s="105"/>
      <c r="M247" s="105"/>
      <c r="N247" s="105"/>
      <c r="O247" s="105"/>
      <c r="P247" s="105"/>
      <c r="Q247" s="105"/>
      <c r="R247" s="105"/>
      <c r="S247" s="105"/>
      <c r="T247" s="105"/>
      <c r="U247" s="105"/>
      <c r="V247" s="105"/>
      <c r="W247" s="105"/>
      <c r="X247" s="105"/>
      <c r="Y247" s="105"/>
      <c r="Z247" s="105"/>
      <c r="AA247" s="105"/>
      <c r="AB247" s="105"/>
      <c r="AC247" s="105"/>
      <c r="AD247" s="105"/>
      <c r="AE247" s="105"/>
      <c r="AF247" s="105"/>
      <c r="AG247" s="105"/>
      <c r="AH247" s="105"/>
      <c r="AI247" s="105"/>
      <c r="AJ247" s="107">
        <f t="shared" si="49"/>
        <v>0</v>
      </c>
      <c r="AK247" s="105"/>
      <c r="AL247" s="105"/>
      <c r="AM247" s="105"/>
      <c r="AN247" s="105"/>
      <c r="AO247" s="105"/>
      <c r="AP247" s="105"/>
      <c r="AQ247" s="108">
        <f t="shared" si="50"/>
        <v>0</v>
      </c>
      <c r="AR247" s="108">
        <f t="shared" si="51"/>
        <v>0</v>
      </c>
      <c r="AS247" s="109">
        <f t="shared" si="52"/>
        <v>0</v>
      </c>
      <c r="AU247" s="110">
        <f t="shared" si="43"/>
        <v>0</v>
      </c>
      <c r="AV247" s="111" t="str">
        <f>IF(D247="NR",
IF('ZD Vorerfassung'!$E$22="",0,IF(AND(B247&gt;='ZD Vorerfassung'!$C$22,B247&lt;='ZD Vorerfassung'!$D$22),HLOOKUP(TEXT(C247,"ttt"),'ZD Vorerfassung'!$H$21:$L$36,2,0),0))+
IF('ZD Vorerfassung'!$E$23="",0,IF(AND(B247&gt;='ZD Vorerfassung'!$C$23,B247&lt;='ZD Vorerfassung'!$D$23),HLOOKUP(TEXT(C247,"ttt"),'ZD Vorerfassung'!$H$21:$L$36,3,0),0))+
IF('ZD Vorerfassung'!$E$24="",0,IF(AND(B247&gt;='ZD Vorerfassung'!$C$24,B247&lt;='ZD Vorerfassung'!$D$24),HLOOKUP(TEXT(C247,"ttt"),'ZD Vorerfassung'!$H$21:$L$36,4,0),0))+
IF('ZD Vorerfassung'!$E$25="",0,IF(AND(B247&gt;='ZD Vorerfassung'!$C$25,B247&lt;='ZD Vorerfassung'!$D$25),HLOOKUP(TEXT(C247,"ttt"),'ZD Vorerfassung'!$H$21:$L$36,5,0),0))+
IF('ZD Vorerfassung'!$E$26="",0,IF(AND(B247&gt;='ZD Vorerfassung'!$C$26,B247&lt;='ZD Vorerfassung'!$D$26),HLOOKUP(TEXT(C247,"ttt"),'ZD Vorerfassung'!$H$21:$L$36,6,0),0))+
IF('ZD Vorerfassung'!$E$27="",0,IF(AND(B247&gt;='ZD Vorerfassung'!$C$27,B247&lt;='ZD Vorerfassung'!$D$27),HLOOKUP(TEXT(C247,"ttt"),'ZD Vorerfassung'!$H$21:$L$36,7,0),0))+
IF('ZD Vorerfassung'!$E$28="",0,IF(AND(B247&gt;='ZD Vorerfassung'!$C$28,B247&lt;='ZD Vorerfassung'!$D$28),HLOOKUP(TEXT(C247,"ttt"),'ZD Vorerfassung'!$H$21:$L$36,8,0),0))+
IF('ZD Vorerfassung'!$E$29="",0,IF(AND(B247&gt;='ZD Vorerfassung'!$C$29,B247&lt;='ZD Vorerfassung'!$D$29),HLOOKUP(TEXT(C247,"ttt"),'ZD Vorerfassung'!$H$21:$L$36,9,0),0))+
IF('ZD Vorerfassung'!$E$30="",0,IF(AND(B247&gt;='ZD Vorerfassung'!$C$30,B247&lt;='ZD Vorerfassung'!$D$30),HLOOKUP(TEXT(C247,"ttt"),'ZD Vorerfassung'!$H$21:$L$36,10,0),0))+
IF('ZD Vorerfassung'!$E$31="",0,IF(AND(B247&gt;='ZD Vorerfassung'!$C$31,B247&lt;='ZD Vorerfassung'!$D$31),HLOOKUP(TEXT(C247,"ttt"),'ZD Vorerfassung'!$H$21:$L$36,11,0),0))+
IF('ZD Vorerfassung'!$E$32="",0,IF(AND(B247&gt;='ZD Vorerfassung'!$C$32,B247&lt;='ZD Vorerfassung'!$D$32),HLOOKUP(TEXT(C247,"ttt"),'ZD Vorerfassung'!$H$21:$L$36,12,0),0))+
IF('ZD Vorerfassung'!$E$33="",0,IF(AND(B247&gt;='ZD Vorerfassung'!$C$33,B247&lt;='ZD Vorerfassung'!$D$33),HLOOKUP(TEXT(C247,"ttt"),'ZD Vorerfassung'!$H$21:$L$36,13,0),0))+
IF('ZD Vorerfassung'!$E$34="",0,IF(AND(B247&gt;='ZD Vorerfassung'!$C$34,B247&lt;='ZD Vorerfassung'!$D$34),HLOOKUP(TEXT(C247,"ttt"),'ZD Vorerfassung'!$H$21:$L$36,14,0),0))+
IF('ZD Vorerfassung'!$E$35="",0,IF(AND(B247&gt;='ZD Vorerfassung'!$C$35,B247&lt;='ZD Vorerfassung'!$D$35),HLOOKUP(TEXT(C247,"ttt"),'ZD Vorerfassung'!$H$21:$L$36,15,0),0))+
IF('ZD Vorerfassung'!$E$36="",0,IF(AND(B247&gt;='ZD Vorerfassung'!$C$36,B247&lt;='ZD Vorerfassung'!$D$36),HLOOKUP(TEXT(C247,"ttt"),'ZD Vorerfassung'!$H$21:$L$36,16,0),0)),"")</f>
        <v/>
      </c>
      <c r="AW247" s="110">
        <f t="array" ref="AW247">IF(OR(D247="UU",D247="FT",D247="WE"),0,
IF(D247="NR",SUM(IF(B247&gt;=_xlfn.NUMBERVALUE('ZD Vorerfassung'!$C$22:$C$36),1,0)*IF(B247&lt;=_xlfn.NUMBERVALUE('ZD Vorerfassung'!$D$22:$D$36),1,0)*'ZD Vorerfassung'!$Q$22:$Q$36),
IF(OR(D247="SF",D247="FH"),SUM(IF(B247&gt;=_xlfn.NUMBERVALUE('ZD Vorerfassung'!$C$22:$C$36),1,0)*IF(B247&lt;=_xlfn.NUMBERVALUE('ZD Vorerfassung'!$D$22:$D$36),1,0)*'ZD Vorerfassung'!$R$22:$R$36*IF(D247="FH",0.5,1)),
"prüfen")))</f>
        <v>0</v>
      </c>
      <c r="AX247" s="110">
        <f t="array" ref="AX247">IF(OR(D247="UU",D247="FT",D247="WE",E247="Ferien"),0,
IF(D247="NR",SUM(IF(B247&gt;=_xlfn.NUMBERVALUE('ZD Vorerfassung'!$C$22:$C$36),1,0)*IF(B247&lt;=_xlfn.NUMBERVALUE('ZD Vorerfassung'!$D$22:$D$36),1,0)*'ZD Vorerfassung'!$W$22:$W$36),
IF(OR(D247="SF",D247="FH"),SUM(IF(B247&gt;=_xlfn.NUMBERVALUE('ZD Vorerfassung'!$C$22:$C$36),1,0)*IF(B247&lt;=_xlfn.NUMBERVALUE('ZD Vorerfassung'!$D$22:$D$36),1,0)*'ZD Vorerfassung'!$X$22:$X$36*IF(D247="FH",0.5,1)),
"prüfen")))</f>
        <v>0</v>
      </c>
      <c r="AY247" s="110">
        <f t="array" ref="AY247">IF(OR(D247="UU",D247="FT",D247="WE",E247="Ferien"),0,
IF(D247="NR",SUM(IF(B247&gt;=_xlfn.NUMBERVALUE('ZD Vorerfassung'!$C$22:$C$36),1,0)*IF(B247&lt;=_xlfn.NUMBERVALUE('ZD Vorerfassung'!$D$22:$D$36),1,0)*'ZD Vorerfassung'!$U$22:$U$36),
IF(OR(D247="SF",D247="FH"),SUM(IF(B247&gt;=_xlfn.NUMBERVALUE('ZD Vorerfassung'!$C$22:$C$36),1,0)*IF(B247&lt;=_xlfn.NUMBERVALUE('ZD Vorerfassung'!$D$22:$D$36),1,0)*'ZD Vorerfassung'!$V$22:$V$36*IF(D247="FH",0.5,1)),
"prüfen")))</f>
        <v>0</v>
      </c>
      <c r="AZ247" s="110">
        <f t="array" ref="AZ247">IF(OR(D247="UU",D247="FT",D247="WE",E247="Ferien"),0,
IF(D247="NR",SUM(IF(B247&gt;=_xlfn.NUMBERVALUE('ZD Vorerfassung'!$C$22:$C$36),1,0)*IF(B247&lt;=_xlfn.NUMBERVALUE('ZD Vorerfassung'!$D$22:$D$36),1,0)*'ZD Vorerfassung'!$S$22:$S$36),
IF(OR(D247="SF",D247="FH"),SUM(IF(B247&gt;=_xlfn.NUMBERVALUE('ZD Vorerfassung'!$C$22:$C$36),1,0)*IF(B247&lt;=_xlfn.NUMBERVALUE('ZD Vorerfassung'!$D$22:$D$36),1,0)*'ZD Vorerfassung'!$T$22:$T$36*IF(D247="FH",0.5,1)),
"prüfen")))</f>
        <v>0</v>
      </c>
      <c r="BA247" s="112">
        <f t="shared" si="44"/>
        <v>3</v>
      </c>
    </row>
    <row r="248" spans="2:53" ht="19.5" thickTop="1" thickBot="1" x14ac:dyDescent="0.3">
      <c r="B248" s="99">
        <f t="shared" si="41"/>
        <v>45013</v>
      </c>
      <c r="C248" s="100">
        <f t="shared" si="45"/>
        <v>45013</v>
      </c>
      <c r="D248" s="101" t="str">
        <f t="shared" si="46"/>
        <v>FT</v>
      </c>
      <c r="E248" s="102" t="str">
        <f t="shared" si="42"/>
        <v>Feiertag</v>
      </c>
      <c r="F248" s="103" t="str">
        <f t="shared" si="47"/>
        <v/>
      </c>
      <c r="G248" s="104" t="str">
        <f t="shared" si="48"/>
        <v/>
      </c>
      <c r="H248" s="104">
        <f>IFERROR(IF('ZD Vorerfassung'!$E$11="manuell",SUM(I248),IF(OR(E248="Feiertag",E248="Wochenende"),0,IF('ZD Vorerfassung'!$E$11="automatisch",AX248,IF(D248="UU","UU",IF(E248=Param2,AX248/24,IF(E248=Param9,AX248/48,"")))))),0)</f>
        <v>0</v>
      </c>
      <c r="I248" s="105"/>
      <c r="J248" s="106">
        <f>IF('ZD Vorerfassung'!$E$12="manuell",SUM(K248:AI248),IF(OR(E248="Feiertag",E248="Wochenende"),0,IF('ZD Vorerfassung'!$E$12="automatisch",AY248,IF(D248="UU","UU",IF(E248=Param2,AY248/24,IF(E248=Param9,AY248/48,""))))))</f>
        <v>0</v>
      </c>
      <c r="K248" s="105"/>
      <c r="L248" s="105"/>
      <c r="M248" s="105"/>
      <c r="N248" s="105"/>
      <c r="O248" s="105"/>
      <c r="P248" s="105"/>
      <c r="Q248" s="105"/>
      <c r="R248" s="105"/>
      <c r="S248" s="105"/>
      <c r="T248" s="105"/>
      <c r="U248" s="105"/>
      <c r="V248" s="105"/>
      <c r="W248" s="105"/>
      <c r="X248" s="105"/>
      <c r="Y248" s="105"/>
      <c r="Z248" s="105"/>
      <c r="AA248" s="105"/>
      <c r="AB248" s="105"/>
      <c r="AC248" s="105"/>
      <c r="AD248" s="105"/>
      <c r="AE248" s="105"/>
      <c r="AF248" s="105"/>
      <c r="AG248" s="105"/>
      <c r="AH248" s="105"/>
      <c r="AI248" s="105"/>
      <c r="AJ248" s="107">
        <f t="shared" si="49"/>
        <v>0</v>
      </c>
      <c r="AK248" s="105"/>
      <c r="AL248" s="105"/>
      <c r="AM248" s="105"/>
      <c r="AN248" s="105"/>
      <c r="AO248" s="105"/>
      <c r="AP248" s="105"/>
      <c r="AQ248" s="108">
        <f t="shared" si="50"/>
        <v>0</v>
      </c>
      <c r="AR248" s="108">
        <f t="shared" si="51"/>
        <v>0</v>
      </c>
      <c r="AS248" s="109">
        <f t="shared" si="52"/>
        <v>0</v>
      </c>
      <c r="AU248" s="110">
        <f t="shared" si="43"/>
        <v>0</v>
      </c>
      <c r="AV248" s="111" t="str">
        <f>IF(D248="NR",
IF('ZD Vorerfassung'!$E$22="",0,IF(AND(B248&gt;='ZD Vorerfassung'!$C$22,B248&lt;='ZD Vorerfassung'!$D$22),HLOOKUP(TEXT(C248,"ttt"),'ZD Vorerfassung'!$H$21:$L$36,2,0),0))+
IF('ZD Vorerfassung'!$E$23="",0,IF(AND(B248&gt;='ZD Vorerfassung'!$C$23,B248&lt;='ZD Vorerfassung'!$D$23),HLOOKUP(TEXT(C248,"ttt"),'ZD Vorerfassung'!$H$21:$L$36,3,0),0))+
IF('ZD Vorerfassung'!$E$24="",0,IF(AND(B248&gt;='ZD Vorerfassung'!$C$24,B248&lt;='ZD Vorerfassung'!$D$24),HLOOKUP(TEXT(C248,"ttt"),'ZD Vorerfassung'!$H$21:$L$36,4,0),0))+
IF('ZD Vorerfassung'!$E$25="",0,IF(AND(B248&gt;='ZD Vorerfassung'!$C$25,B248&lt;='ZD Vorerfassung'!$D$25),HLOOKUP(TEXT(C248,"ttt"),'ZD Vorerfassung'!$H$21:$L$36,5,0),0))+
IF('ZD Vorerfassung'!$E$26="",0,IF(AND(B248&gt;='ZD Vorerfassung'!$C$26,B248&lt;='ZD Vorerfassung'!$D$26),HLOOKUP(TEXT(C248,"ttt"),'ZD Vorerfassung'!$H$21:$L$36,6,0),0))+
IF('ZD Vorerfassung'!$E$27="",0,IF(AND(B248&gt;='ZD Vorerfassung'!$C$27,B248&lt;='ZD Vorerfassung'!$D$27),HLOOKUP(TEXT(C248,"ttt"),'ZD Vorerfassung'!$H$21:$L$36,7,0),0))+
IF('ZD Vorerfassung'!$E$28="",0,IF(AND(B248&gt;='ZD Vorerfassung'!$C$28,B248&lt;='ZD Vorerfassung'!$D$28),HLOOKUP(TEXT(C248,"ttt"),'ZD Vorerfassung'!$H$21:$L$36,8,0),0))+
IF('ZD Vorerfassung'!$E$29="",0,IF(AND(B248&gt;='ZD Vorerfassung'!$C$29,B248&lt;='ZD Vorerfassung'!$D$29),HLOOKUP(TEXT(C248,"ttt"),'ZD Vorerfassung'!$H$21:$L$36,9,0),0))+
IF('ZD Vorerfassung'!$E$30="",0,IF(AND(B248&gt;='ZD Vorerfassung'!$C$30,B248&lt;='ZD Vorerfassung'!$D$30),HLOOKUP(TEXT(C248,"ttt"),'ZD Vorerfassung'!$H$21:$L$36,10,0),0))+
IF('ZD Vorerfassung'!$E$31="",0,IF(AND(B248&gt;='ZD Vorerfassung'!$C$31,B248&lt;='ZD Vorerfassung'!$D$31),HLOOKUP(TEXT(C248,"ttt"),'ZD Vorerfassung'!$H$21:$L$36,11,0),0))+
IF('ZD Vorerfassung'!$E$32="",0,IF(AND(B248&gt;='ZD Vorerfassung'!$C$32,B248&lt;='ZD Vorerfassung'!$D$32),HLOOKUP(TEXT(C248,"ttt"),'ZD Vorerfassung'!$H$21:$L$36,12,0),0))+
IF('ZD Vorerfassung'!$E$33="",0,IF(AND(B248&gt;='ZD Vorerfassung'!$C$33,B248&lt;='ZD Vorerfassung'!$D$33),HLOOKUP(TEXT(C248,"ttt"),'ZD Vorerfassung'!$H$21:$L$36,13,0),0))+
IF('ZD Vorerfassung'!$E$34="",0,IF(AND(B248&gt;='ZD Vorerfassung'!$C$34,B248&lt;='ZD Vorerfassung'!$D$34),HLOOKUP(TEXT(C248,"ttt"),'ZD Vorerfassung'!$H$21:$L$36,14,0),0))+
IF('ZD Vorerfassung'!$E$35="",0,IF(AND(B248&gt;='ZD Vorerfassung'!$C$35,B248&lt;='ZD Vorerfassung'!$D$35),HLOOKUP(TEXT(C248,"ttt"),'ZD Vorerfassung'!$H$21:$L$36,15,0),0))+
IF('ZD Vorerfassung'!$E$36="",0,IF(AND(B248&gt;='ZD Vorerfassung'!$C$36,B248&lt;='ZD Vorerfassung'!$D$36),HLOOKUP(TEXT(C248,"ttt"),'ZD Vorerfassung'!$H$21:$L$36,16,0),0)),"")</f>
        <v/>
      </c>
      <c r="AW248" s="110">
        <f t="array" ref="AW248">IF(OR(D248="UU",D248="FT",D248="WE"),0,
IF(D248="NR",SUM(IF(B248&gt;=_xlfn.NUMBERVALUE('ZD Vorerfassung'!$C$22:$C$36),1,0)*IF(B248&lt;=_xlfn.NUMBERVALUE('ZD Vorerfassung'!$D$22:$D$36),1,0)*'ZD Vorerfassung'!$Q$22:$Q$36),
IF(OR(D248="SF",D248="FH"),SUM(IF(B248&gt;=_xlfn.NUMBERVALUE('ZD Vorerfassung'!$C$22:$C$36),1,0)*IF(B248&lt;=_xlfn.NUMBERVALUE('ZD Vorerfassung'!$D$22:$D$36),1,0)*'ZD Vorerfassung'!$R$22:$R$36*IF(D248="FH",0.5,1)),
"prüfen")))</f>
        <v>0</v>
      </c>
      <c r="AX248" s="110">
        <f t="array" ref="AX248">IF(OR(D248="UU",D248="FT",D248="WE",E248="Ferien"),0,
IF(D248="NR",SUM(IF(B248&gt;=_xlfn.NUMBERVALUE('ZD Vorerfassung'!$C$22:$C$36),1,0)*IF(B248&lt;=_xlfn.NUMBERVALUE('ZD Vorerfassung'!$D$22:$D$36),1,0)*'ZD Vorerfassung'!$W$22:$W$36),
IF(OR(D248="SF",D248="FH"),SUM(IF(B248&gt;=_xlfn.NUMBERVALUE('ZD Vorerfassung'!$C$22:$C$36),1,0)*IF(B248&lt;=_xlfn.NUMBERVALUE('ZD Vorerfassung'!$D$22:$D$36),1,0)*'ZD Vorerfassung'!$X$22:$X$36*IF(D248="FH",0.5,1)),
"prüfen")))</f>
        <v>0</v>
      </c>
      <c r="AY248" s="110">
        <f t="array" ref="AY248">IF(OR(D248="UU",D248="FT",D248="WE",E248="Ferien"),0,
IF(D248="NR",SUM(IF(B248&gt;=_xlfn.NUMBERVALUE('ZD Vorerfassung'!$C$22:$C$36),1,0)*IF(B248&lt;=_xlfn.NUMBERVALUE('ZD Vorerfassung'!$D$22:$D$36),1,0)*'ZD Vorerfassung'!$U$22:$U$36),
IF(OR(D248="SF",D248="FH"),SUM(IF(B248&gt;=_xlfn.NUMBERVALUE('ZD Vorerfassung'!$C$22:$C$36),1,0)*IF(B248&lt;=_xlfn.NUMBERVALUE('ZD Vorerfassung'!$D$22:$D$36),1,0)*'ZD Vorerfassung'!$V$22:$V$36*IF(D248="FH",0.5,1)),
"prüfen")))</f>
        <v>0</v>
      </c>
      <c r="AZ248" s="110">
        <f t="array" ref="AZ248">IF(OR(D248="UU",D248="FT",D248="WE",E248="Ferien"),0,
IF(D248="NR",SUM(IF(B248&gt;=_xlfn.NUMBERVALUE('ZD Vorerfassung'!$C$22:$C$36),1,0)*IF(B248&lt;=_xlfn.NUMBERVALUE('ZD Vorerfassung'!$D$22:$D$36),1,0)*'ZD Vorerfassung'!$S$22:$S$36),
IF(OR(D248="SF",D248="FH"),SUM(IF(B248&gt;=_xlfn.NUMBERVALUE('ZD Vorerfassung'!$C$22:$C$36),1,0)*IF(B248&lt;=_xlfn.NUMBERVALUE('ZD Vorerfassung'!$D$22:$D$36),1,0)*'ZD Vorerfassung'!$T$22:$T$36*IF(D248="FH",0.5,1)),
"prüfen")))</f>
        <v>0</v>
      </c>
      <c r="BA248" s="112">
        <f t="shared" si="44"/>
        <v>3</v>
      </c>
    </row>
    <row r="249" spans="2:53" ht="19.5" thickTop="1" thickBot="1" x14ac:dyDescent="0.3">
      <c r="B249" s="99">
        <f t="shared" si="41"/>
        <v>45014</v>
      </c>
      <c r="C249" s="100">
        <f t="shared" si="45"/>
        <v>45014</v>
      </c>
      <c r="D249" s="101" t="str">
        <f t="shared" si="46"/>
        <v>SF</v>
      </c>
      <c r="E249" s="102" t="str">
        <f t="shared" si="42"/>
        <v>unterrichtsfreie Arbeitszeit</v>
      </c>
      <c r="F249" s="103" t="str">
        <f t="shared" si="47"/>
        <v/>
      </c>
      <c r="G249" s="104" t="str">
        <f t="shared" si="48"/>
        <v/>
      </c>
      <c r="H249" s="104">
        <f>IFERROR(IF('ZD Vorerfassung'!$E$11="manuell",SUM(I249),IF(OR(E249="Feiertag",E249="Wochenende"),0,IF('ZD Vorerfassung'!$E$11="automatisch",AX249,IF(D249="UU","UU",IF(E249=Param2,AX249/24,IF(E249=Param9,AX249/48,"")))))),0)</f>
        <v>0</v>
      </c>
      <c r="I249" s="105"/>
      <c r="J249" s="106">
        <f>IF('ZD Vorerfassung'!$E$12="manuell",SUM(K249:AI249),IF(OR(E249="Feiertag",E249="Wochenende"),0,IF('ZD Vorerfassung'!$E$12="automatisch",AY249,IF(D249="UU","UU",IF(E249=Param2,AY249/24,IF(E249=Param9,AY249/48,""))))))</f>
        <v>0</v>
      </c>
      <c r="K249" s="105"/>
      <c r="L249" s="105"/>
      <c r="M249" s="105"/>
      <c r="N249" s="105"/>
      <c r="O249" s="105"/>
      <c r="P249" s="105"/>
      <c r="Q249" s="105"/>
      <c r="R249" s="105"/>
      <c r="S249" s="105"/>
      <c r="T249" s="105"/>
      <c r="U249" s="105"/>
      <c r="V249" s="105"/>
      <c r="W249" s="105"/>
      <c r="X249" s="105"/>
      <c r="Y249" s="105"/>
      <c r="Z249" s="105"/>
      <c r="AA249" s="105"/>
      <c r="AB249" s="105"/>
      <c r="AC249" s="105"/>
      <c r="AD249" s="105"/>
      <c r="AE249" s="105"/>
      <c r="AF249" s="105"/>
      <c r="AG249" s="105"/>
      <c r="AH249" s="105"/>
      <c r="AI249" s="105"/>
      <c r="AJ249" s="107">
        <f t="shared" si="49"/>
        <v>0</v>
      </c>
      <c r="AK249" s="105"/>
      <c r="AL249" s="105"/>
      <c r="AM249" s="105"/>
      <c r="AN249" s="105"/>
      <c r="AO249" s="105"/>
      <c r="AP249" s="105"/>
      <c r="AQ249" s="108">
        <f t="shared" si="50"/>
        <v>0</v>
      </c>
      <c r="AR249" s="108">
        <f t="shared" si="51"/>
        <v>0</v>
      </c>
      <c r="AS249" s="109">
        <f t="shared" si="52"/>
        <v>0</v>
      </c>
      <c r="AU249" s="110">
        <f t="shared" si="43"/>
        <v>0</v>
      </c>
      <c r="AV249" s="111" t="str">
        <f>IF(D249="NR",
IF('ZD Vorerfassung'!$E$22="",0,IF(AND(B249&gt;='ZD Vorerfassung'!$C$22,B249&lt;='ZD Vorerfassung'!$D$22),HLOOKUP(TEXT(C249,"ttt"),'ZD Vorerfassung'!$H$21:$L$36,2,0),0))+
IF('ZD Vorerfassung'!$E$23="",0,IF(AND(B249&gt;='ZD Vorerfassung'!$C$23,B249&lt;='ZD Vorerfassung'!$D$23),HLOOKUP(TEXT(C249,"ttt"),'ZD Vorerfassung'!$H$21:$L$36,3,0),0))+
IF('ZD Vorerfassung'!$E$24="",0,IF(AND(B249&gt;='ZD Vorerfassung'!$C$24,B249&lt;='ZD Vorerfassung'!$D$24),HLOOKUP(TEXT(C249,"ttt"),'ZD Vorerfassung'!$H$21:$L$36,4,0),0))+
IF('ZD Vorerfassung'!$E$25="",0,IF(AND(B249&gt;='ZD Vorerfassung'!$C$25,B249&lt;='ZD Vorerfassung'!$D$25),HLOOKUP(TEXT(C249,"ttt"),'ZD Vorerfassung'!$H$21:$L$36,5,0),0))+
IF('ZD Vorerfassung'!$E$26="",0,IF(AND(B249&gt;='ZD Vorerfassung'!$C$26,B249&lt;='ZD Vorerfassung'!$D$26),HLOOKUP(TEXT(C249,"ttt"),'ZD Vorerfassung'!$H$21:$L$36,6,0),0))+
IF('ZD Vorerfassung'!$E$27="",0,IF(AND(B249&gt;='ZD Vorerfassung'!$C$27,B249&lt;='ZD Vorerfassung'!$D$27),HLOOKUP(TEXT(C249,"ttt"),'ZD Vorerfassung'!$H$21:$L$36,7,0),0))+
IF('ZD Vorerfassung'!$E$28="",0,IF(AND(B249&gt;='ZD Vorerfassung'!$C$28,B249&lt;='ZD Vorerfassung'!$D$28),HLOOKUP(TEXT(C249,"ttt"),'ZD Vorerfassung'!$H$21:$L$36,8,0),0))+
IF('ZD Vorerfassung'!$E$29="",0,IF(AND(B249&gt;='ZD Vorerfassung'!$C$29,B249&lt;='ZD Vorerfassung'!$D$29),HLOOKUP(TEXT(C249,"ttt"),'ZD Vorerfassung'!$H$21:$L$36,9,0),0))+
IF('ZD Vorerfassung'!$E$30="",0,IF(AND(B249&gt;='ZD Vorerfassung'!$C$30,B249&lt;='ZD Vorerfassung'!$D$30),HLOOKUP(TEXT(C249,"ttt"),'ZD Vorerfassung'!$H$21:$L$36,10,0),0))+
IF('ZD Vorerfassung'!$E$31="",0,IF(AND(B249&gt;='ZD Vorerfassung'!$C$31,B249&lt;='ZD Vorerfassung'!$D$31),HLOOKUP(TEXT(C249,"ttt"),'ZD Vorerfassung'!$H$21:$L$36,11,0),0))+
IF('ZD Vorerfassung'!$E$32="",0,IF(AND(B249&gt;='ZD Vorerfassung'!$C$32,B249&lt;='ZD Vorerfassung'!$D$32),HLOOKUP(TEXT(C249,"ttt"),'ZD Vorerfassung'!$H$21:$L$36,12,0),0))+
IF('ZD Vorerfassung'!$E$33="",0,IF(AND(B249&gt;='ZD Vorerfassung'!$C$33,B249&lt;='ZD Vorerfassung'!$D$33),HLOOKUP(TEXT(C249,"ttt"),'ZD Vorerfassung'!$H$21:$L$36,13,0),0))+
IF('ZD Vorerfassung'!$E$34="",0,IF(AND(B249&gt;='ZD Vorerfassung'!$C$34,B249&lt;='ZD Vorerfassung'!$D$34),HLOOKUP(TEXT(C249,"ttt"),'ZD Vorerfassung'!$H$21:$L$36,14,0),0))+
IF('ZD Vorerfassung'!$E$35="",0,IF(AND(B249&gt;='ZD Vorerfassung'!$C$35,B249&lt;='ZD Vorerfassung'!$D$35),HLOOKUP(TEXT(C249,"ttt"),'ZD Vorerfassung'!$H$21:$L$36,15,0),0))+
IF('ZD Vorerfassung'!$E$36="",0,IF(AND(B249&gt;='ZD Vorerfassung'!$C$36,B249&lt;='ZD Vorerfassung'!$D$36),HLOOKUP(TEXT(C249,"ttt"),'ZD Vorerfassung'!$H$21:$L$36,16,0),0)),"")</f>
        <v/>
      </c>
      <c r="AW249" s="110">
        <f t="array" ref="AW249">IF(OR(D249="UU",D249="FT",D249="WE"),0,
IF(D249="NR",SUM(IF(B249&gt;=_xlfn.NUMBERVALUE('ZD Vorerfassung'!$C$22:$C$36),1,0)*IF(B249&lt;=_xlfn.NUMBERVALUE('ZD Vorerfassung'!$D$22:$D$36),1,0)*'ZD Vorerfassung'!$Q$22:$Q$36),
IF(OR(D249="SF",D249="FH"),SUM(IF(B249&gt;=_xlfn.NUMBERVALUE('ZD Vorerfassung'!$C$22:$C$36),1,0)*IF(B249&lt;=_xlfn.NUMBERVALUE('ZD Vorerfassung'!$D$22:$D$36),1,0)*'ZD Vorerfassung'!$R$22:$R$36*IF(D249="FH",0.5,1)),
"prüfen")))</f>
        <v>0</v>
      </c>
      <c r="AX249" s="110">
        <f t="array" ref="AX249">IF(OR(D249="UU",D249="FT",D249="WE",E249="Ferien"),0,
IF(D249="NR",SUM(IF(B249&gt;=_xlfn.NUMBERVALUE('ZD Vorerfassung'!$C$22:$C$36),1,0)*IF(B249&lt;=_xlfn.NUMBERVALUE('ZD Vorerfassung'!$D$22:$D$36),1,0)*'ZD Vorerfassung'!$W$22:$W$36),
IF(OR(D249="SF",D249="FH"),SUM(IF(B249&gt;=_xlfn.NUMBERVALUE('ZD Vorerfassung'!$C$22:$C$36),1,0)*IF(B249&lt;=_xlfn.NUMBERVALUE('ZD Vorerfassung'!$D$22:$D$36),1,0)*'ZD Vorerfassung'!$X$22:$X$36*IF(D249="FH",0.5,1)),
"prüfen")))</f>
        <v>0</v>
      </c>
      <c r="AY249" s="110">
        <f t="array" ref="AY249">IF(OR(D249="UU",D249="FT",D249="WE",E249="Ferien"),0,
IF(D249="NR",SUM(IF(B249&gt;=_xlfn.NUMBERVALUE('ZD Vorerfassung'!$C$22:$C$36),1,0)*IF(B249&lt;=_xlfn.NUMBERVALUE('ZD Vorerfassung'!$D$22:$D$36),1,0)*'ZD Vorerfassung'!$U$22:$U$36),
IF(OR(D249="SF",D249="FH"),SUM(IF(B249&gt;=_xlfn.NUMBERVALUE('ZD Vorerfassung'!$C$22:$C$36),1,0)*IF(B249&lt;=_xlfn.NUMBERVALUE('ZD Vorerfassung'!$D$22:$D$36),1,0)*'ZD Vorerfassung'!$V$22:$V$36*IF(D249="FH",0.5,1)),
"prüfen")))</f>
        <v>0</v>
      </c>
      <c r="AZ249" s="110">
        <f t="array" ref="AZ249">IF(OR(D249="UU",D249="FT",D249="WE",E249="Ferien"),0,
IF(D249="NR",SUM(IF(B249&gt;=_xlfn.NUMBERVALUE('ZD Vorerfassung'!$C$22:$C$36),1,0)*IF(B249&lt;=_xlfn.NUMBERVALUE('ZD Vorerfassung'!$D$22:$D$36),1,0)*'ZD Vorerfassung'!$S$22:$S$36),
IF(OR(D249="SF",D249="FH"),SUM(IF(B249&gt;=_xlfn.NUMBERVALUE('ZD Vorerfassung'!$C$22:$C$36),1,0)*IF(B249&lt;=_xlfn.NUMBERVALUE('ZD Vorerfassung'!$D$22:$D$36),1,0)*'ZD Vorerfassung'!$T$22:$T$36*IF(D249="FH",0.5,1)),
"prüfen")))</f>
        <v>0</v>
      </c>
      <c r="BA249" s="112">
        <f t="shared" si="44"/>
        <v>3</v>
      </c>
    </row>
    <row r="250" spans="2:53" ht="19.5" thickTop="1" thickBot="1" x14ac:dyDescent="0.3">
      <c r="B250" s="99">
        <f t="shared" si="41"/>
        <v>45015</v>
      </c>
      <c r="C250" s="100">
        <f t="shared" si="45"/>
        <v>45015</v>
      </c>
      <c r="D250" s="101" t="str">
        <f t="shared" si="46"/>
        <v>SF</v>
      </c>
      <c r="E250" s="102" t="str">
        <f t="shared" si="42"/>
        <v>unterrichtsfreie Arbeitszeit</v>
      </c>
      <c r="F250" s="103" t="str">
        <f t="shared" si="47"/>
        <v/>
      </c>
      <c r="G250" s="104" t="str">
        <f t="shared" si="48"/>
        <v/>
      </c>
      <c r="H250" s="104">
        <f>IFERROR(IF('ZD Vorerfassung'!$E$11="manuell",SUM(I250),IF(OR(E250="Feiertag",E250="Wochenende"),0,IF('ZD Vorerfassung'!$E$11="automatisch",AX250,IF(D250="UU","UU",IF(E250=Param2,AX250/24,IF(E250=Param9,AX250/48,"")))))),0)</f>
        <v>0</v>
      </c>
      <c r="I250" s="105"/>
      <c r="J250" s="106">
        <f>IF('ZD Vorerfassung'!$E$12="manuell",SUM(K250:AI250),IF(OR(E250="Feiertag",E250="Wochenende"),0,IF('ZD Vorerfassung'!$E$12="automatisch",AY250,IF(D250="UU","UU",IF(E250=Param2,AY250/24,IF(E250=Param9,AY250/48,""))))))</f>
        <v>0</v>
      </c>
      <c r="K250" s="105"/>
      <c r="L250" s="105"/>
      <c r="M250" s="105"/>
      <c r="N250" s="105"/>
      <c r="O250" s="105"/>
      <c r="P250" s="105"/>
      <c r="Q250" s="105"/>
      <c r="R250" s="105"/>
      <c r="S250" s="105"/>
      <c r="T250" s="105"/>
      <c r="U250" s="105"/>
      <c r="V250" s="105"/>
      <c r="W250" s="105"/>
      <c r="X250" s="105"/>
      <c r="Y250" s="105"/>
      <c r="Z250" s="105"/>
      <c r="AA250" s="105"/>
      <c r="AB250" s="105"/>
      <c r="AC250" s="105"/>
      <c r="AD250" s="105"/>
      <c r="AE250" s="105"/>
      <c r="AF250" s="105"/>
      <c r="AG250" s="105"/>
      <c r="AH250" s="105"/>
      <c r="AI250" s="105"/>
      <c r="AJ250" s="107">
        <f t="shared" si="49"/>
        <v>0</v>
      </c>
      <c r="AK250" s="105"/>
      <c r="AL250" s="105"/>
      <c r="AM250" s="105"/>
      <c r="AN250" s="105"/>
      <c r="AO250" s="105"/>
      <c r="AP250" s="105"/>
      <c r="AQ250" s="108">
        <f t="shared" si="50"/>
        <v>0</v>
      </c>
      <c r="AR250" s="108">
        <f t="shared" si="51"/>
        <v>0</v>
      </c>
      <c r="AS250" s="109">
        <f t="shared" si="52"/>
        <v>0</v>
      </c>
      <c r="AU250" s="110">
        <f t="shared" si="43"/>
        <v>0</v>
      </c>
      <c r="AV250" s="111" t="str">
        <f>IF(D250="NR",
IF('ZD Vorerfassung'!$E$22="",0,IF(AND(B250&gt;='ZD Vorerfassung'!$C$22,B250&lt;='ZD Vorerfassung'!$D$22),HLOOKUP(TEXT(C250,"ttt"),'ZD Vorerfassung'!$H$21:$L$36,2,0),0))+
IF('ZD Vorerfassung'!$E$23="",0,IF(AND(B250&gt;='ZD Vorerfassung'!$C$23,B250&lt;='ZD Vorerfassung'!$D$23),HLOOKUP(TEXT(C250,"ttt"),'ZD Vorerfassung'!$H$21:$L$36,3,0),0))+
IF('ZD Vorerfassung'!$E$24="",0,IF(AND(B250&gt;='ZD Vorerfassung'!$C$24,B250&lt;='ZD Vorerfassung'!$D$24),HLOOKUP(TEXT(C250,"ttt"),'ZD Vorerfassung'!$H$21:$L$36,4,0),0))+
IF('ZD Vorerfassung'!$E$25="",0,IF(AND(B250&gt;='ZD Vorerfassung'!$C$25,B250&lt;='ZD Vorerfassung'!$D$25),HLOOKUP(TEXT(C250,"ttt"),'ZD Vorerfassung'!$H$21:$L$36,5,0),0))+
IF('ZD Vorerfassung'!$E$26="",0,IF(AND(B250&gt;='ZD Vorerfassung'!$C$26,B250&lt;='ZD Vorerfassung'!$D$26),HLOOKUP(TEXT(C250,"ttt"),'ZD Vorerfassung'!$H$21:$L$36,6,0),0))+
IF('ZD Vorerfassung'!$E$27="",0,IF(AND(B250&gt;='ZD Vorerfassung'!$C$27,B250&lt;='ZD Vorerfassung'!$D$27),HLOOKUP(TEXT(C250,"ttt"),'ZD Vorerfassung'!$H$21:$L$36,7,0),0))+
IF('ZD Vorerfassung'!$E$28="",0,IF(AND(B250&gt;='ZD Vorerfassung'!$C$28,B250&lt;='ZD Vorerfassung'!$D$28),HLOOKUP(TEXT(C250,"ttt"),'ZD Vorerfassung'!$H$21:$L$36,8,0),0))+
IF('ZD Vorerfassung'!$E$29="",0,IF(AND(B250&gt;='ZD Vorerfassung'!$C$29,B250&lt;='ZD Vorerfassung'!$D$29),HLOOKUP(TEXT(C250,"ttt"),'ZD Vorerfassung'!$H$21:$L$36,9,0),0))+
IF('ZD Vorerfassung'!$E$30="",0,IF(AND(B250&gt;='ZD Vorerfassung'!$C$30,B250&lt;='ZD Vorerfassung'!$D$30),HLOOKUP(TEXT(C250,"ttt"),'ZD Vorerfassung'!$H$21:$L$36,10,0),0))+
IF('ZD Vorerfassung'!$E$31="",0,IF(AND(B250&gt;='ZD Vorerfassung'!$C$31,B250&lt;='ZD Vorerfassung'!$D$31),HLOOKUP(TEXT(C250,"ttt"),'ZD Vorerfassung'!$H$21:$L$36,11,0),0))+
IF('ZD Vorerfassung'!$E$32="",0,IF(AND(B250&gt;='ZD Vorerfassung'!$C$32,B250&lt;='ZD Vorerfassung'!$D$32),HLOOKUP(TEXT(C250,"ttt"),'ZD Vorerfassung'!$H$21:$L$36,12,0),0))+
IF('ZD Vorerfassung'!$E$33="",0,IF(AND(B250&gt;='ZD Vorerfassung'!$C$33,B250&lt;='ZD Vorerfassung'!$D$33),HLOOKUP(TEXT(C250,"ttt"),'ZD Vorerfassung'!$H$21:$L$36,13,0),0))+
IF('ZD Vorerfassung'!$E$34="",0,IF(AND(B250&gt;='ZD Vorerfassung'!$C$34,B250&lt;='ZD Vorerfassung'!$D$34),HLOOKUP(TEXT(C250,"ttt"),'ZD Vorerfassung'!$H$21:$L$36,14,0),0))+
IF('ZD Vorerfassung'!$E$35="",0,IF(AND(B250&gt;='ZD Vorerfassung'!$C$35,B250&lt;='ZD Vorerfassung'!$D$35),HLOOKUP(TEXT(C250,"ttt"),'ZD Vorerfassung'!$H$21:$L$36,15,0),0))+
IF('ZD Vorerfassung'!$E$36="",0,IF(AND(B250&gt;='ZD Vorerfassung'!$C$36,B250&lt;='ZD Vorerfassung'!$D$36),HLOOKUP(TEXT(C250,"ttt"),'ZD Vorerfassung'!$H$21:$L$36,16,0),0)),"")</f>
        <v/>
      </c>
      <c r="AW250" s="110">
        <f t="array" ref="AW250">IF(OR(D250="UU",D250="FT",D250="WE"),0,
IF(D250="NR",SUM(IF(B250&gt;=_xlfn.NUMBERVALUE('ZD Vorerfassung'!$C$22:$C$36),1,0)*IF(B250&lt;=_xlfn.NUMBERVALUE('ZD Vorerfassung'!$D$22:$D$36),1,0)*'ZD Vorerfassung'!$Q$22:$Q$36),
IF(OR(D250="SF",D250="FH"),SUM(IF(B250&gt;=_xlfn.NUMBERVALUE('ZD Vorerfassung'!$C$22:$C$36),1,0)*IF(B250&lt;=_xlfn.NUMBERVALUE('ZD Vorerfassung'!$D$22:$D$36),1,0)*'ZD Vorerfassung'!$R$22:$R$36*IF(D250="FH",0.5,1)),
"prüfen")))</f>
        <v>0</v>
      </c>
      <c r="AX250" s="110">
        <f t="array" ref="AX250">IF(OR(D250="UU",D250="FT",D250="WE",E250="Ferien"),0,
IF(D250="NR",SUM(IF(B250&gt;=_xlfn.NUMBERVALUE('ZD Vorerfassung'!$C$22:$C$36),1,0)*IF(B250&lt;=_xlfn.NUMBERVALUE('ZD Vorerfassung'!$D$22:$D$36),1,0)*'ZD Vorerfassung'!$W$22:$W$36),
IF(OR(D250="SF",D250="FH"),SUM(IF(B250&gt;=_xlfn.NUMBERVALUE('ZD Vorerfassung'!$C$22:$C$36),1,0)*IF(B250&lt;=_xlfn.NUMBERVALUE('ZD Vorerfassung'!$D$22:$D$36),1,0)*'ZD Vorerfassung'!$X$22:$X$36*IF(D250="FH",0.5,1)),
"prüfen")))</f>
        <v>0</v>
      </c>
      <c r="AY250" s="110">
        <f t="array" ref="AY250">IF(OR(D250="UU",D250="FT",D250="WE",E250="Ferien"),0,
IF(D250="NR",SUM(IF(B250&gt;=_xlfn.NUMBERVALUE('ZD Vorerfassung'!$C$22:$C$36),1,0)*IF(B250&lt;=_xlfn.NUMBERVALUE('ZD Vorerfassung'!$D$22:$D$36),1,0)*'ZD Vorerfassung'!$U$22:$U$36),
IF(OR(D250="SF",D250="FH"),SUM(IF(B250&gt;=_xlfn.NUMBERVALUE('ZD Vorerfassung'!$C$22:$C$36),1,0)*IF(B250&lt;=_xlfn.NUMBERVALUE('ZD Vorerfassung'!$D$22:$D$36),1,0)*'ZD Vorerfassung'!$V$22:$V$36*IF(D250="FH",0.5,1)),
"prüfen")))</f>
        <v>0</v>
      </c>
      <c r="AZ250" s="110">
        <f t="array" ref="AZ250">IF(OR(D250="UU",D250="FT",D250="WE",E250="Ferien"),0,
IF(D250="NR",SUM(IF(B250&gt;=_xlfn.NUMBERVALUE('ZD Vorerfassung'!$C$22:$C$36),1,0)*IF(B250&lt;=_xlfn.NUMBERVALUE('ZD Vorerfassung'!$D$22:$D$36),1,0)*'ZD Vorerfassung'!$S$22:$S$36),
IF(OR(D250="SF",D250="FH"),SUM(IF(B250&gt;=_xlfn.NUMBERVALUE('ZD Vorerfassung'!$C$22:$C$36),1,0)*IF(B250&lt;=_xlfn.NUMBERVALUE('ZD Vorerfassung'!$D$22:$D$36),1,0)*'ZD Vorerfassung'!$T$22:$T$36*IF(D250="FH",0.5,1)),
"prüfen")))</f>
        <v>0</v>
      </c>
      <c r="BA250" s="112">
        <f t="shared" si="44"/>
        <v>3</v>
      </c>
    </row>
    <row r="251" spans="2:53" ht="19.5" thickTop="1" thickBot="1" x14ac:dyDescent="0.3">
      <c r="B251" s="99">
        <f t="shared" si="41"/>
        <v>45016</v>
      </c>
      <c r="C251" s="100">
        <f t="shared" si="45"/>
        <v>45016</v>
      </c>
      <c r="D251" s="101" t="str">
        <f t="shared" si="46"/>
        <v>SF</v>
      </c>
      <c r="E251" s="102" t="str">
        <f t="shared" si="42"/>
        <v>unterrichtsfreie Arbeitszeit</v>
      </c>
      <c r="F251" s="103" t="str">
        <f t="shared" si="47"/>
        <v/>
      </c>
      <c r="G251" s="104" t="str">
        <f t="shared" si="48"/>
        <v/>
      </c>
      <c r="H251" s="104">
        <f>IFERROR(IF('ZD Vorerfassung'!$E$11="manuell",SUM(I251),IF(OR(E251="Feiertag",E251="Wochenende"),0,IF('ZD Vorerfassung'!$E$11="automatisch",AX251,IF(D251="UU","UU",IF(E251=Param2,AX251/24,IF(E251=Param9,AX251/48,"")))))),0)</f>
        <v>0</v>
      </c>
      <c r="I251" s="105"/>
      <c r="J251" s="106">
        <f>IF('ZD Vorerfassung'!$E$12="manuell",SUM(K251:AI251),IF(OR(E251="Feiertag",E251="Wochenende"),0,IF('ZD Vorerfassung'!$E$12="automatisch",AY251,IF(D251="UU","UU",IF(E251=Param2,AY251/24,IF(E251=Param9,AY251/48,""))))))</f>
        <v>0</v>
      </c>
      <c r="K251" s="105"/>
      <c r="L251" s="105"/>
      <c r="M251" s="105"/>
      <c r="N251" s="105"/>
      <c r="O251" s="105"/>
      <c r="P251" s="105"/>
      <c r="Q251" s="105"/>
      <c r="R251" s="105"/>
      <c r="S251" s="105"/>
      <c r="T251" s="105"/>
      <c r="U251" s="105"/>
      <c r="V251" s="105"/>
      <c r="W251" s="105"/>
      <c r="X251" s="105"/>
      <c r="Y251" s="105"/>
      <c r="Z251" s="105"/>
      <c r="AA251" s="105"/>
      <c r="AB251" s="105"/>
      <c r="AC251" s="105"/>
      <c r="AD251" s="105"/>
      <c r="AE251" s="105"/>
      <c r="AF251" s="105"/>
      <c r="AG251" s="105"/>
      <c r="AH251" s="105"/>
      <c r="AI251" s="105"/>
      <c r="AJ251" s="107">
        <f t="shared" si="49"/>
        <v>0</v>
      </c>
      <c r="AK251" s="105"/>
      <c r="AL251" s="105"/>
      <c r="AM251" s="105"/>
      <c r="AN251" s="105"/>
      <c r="AO251" s="105"/>
      <c r="AP251" s="105"/>
      <c r="AQ251" s="108">
        <f t="shared" si="50"/>
        <v>0</v>
      </c>
      <c r="AR251" s="108">
        <f t="shared" si="51"/>
        <v>0</v>
      </c>
      <c r="AS251" s="109">
        <f t="shared" si="52"/>
        <v>0</v>
      </c>
      <c r="AU251" s="110">
        <f t="shared" si="43"/>
        <v>0</v>
      </c>
      <c r="AV251" s="111" t="str">
        <f>IF(D251="NR",
IF('ZD Vorerfassung'!$E$22="",0,IF(AND(B251&gt;='ZD Vorerfassung'!$C$22,B251&lt;='ZD Vorerfassung'!$D$22),HLOOKUP(TEXT(C251,"ttt"),'ZD Vorerfassung'!$H$21:$L$36,2,0),0))+
IF('ZD Vorerfassung'!$E$23="",0,IF(AND(B251&gt;='ZD Vorerfassung'!$C$23,B251&lt;='ZD Vorerfassung'!$D$23),HLOOKUP(TEXT(C251,"ttt"),'ZD Vorerfassung'!$H$21:$L$36,3,0),0))+
IF('ZD Vorerfassung'!$E$24="",0,IF(AND(B251&gt;='ZD Vorerfassung'!$C$24,B251&lt;='ZD Vorerfassung'!$D$24),HLOOKUP(TEXT(C251,"ttt"),'ZD Vorerfassung'!$H$21:$L$36,4,0),0))+
IF('ZD Vorerfassung'!$E$25="",0,IF(AND(B251&gt;='ZD Vorerfassung'!$C$25,B251&lt;='ZD Vorerfassung'!$D$25),HLOOKUP(TEXT(C251,"ttt"),'ZD Vorerfassung'!$H$21:$L$36,5,0),0))+
IF('ZD Vorerfassung'!$E$26="",0,IF(AND(B251&gt;='ZD Vorerfassung'!$C$26,B251&lt;='ZD Vorerfassung'!$D$26),HLOOKUP(TEXT(C251,"ttt"),'ZD Vorerfassung'!$H$21:$L$36,6,0),0))+
IF('ZD Vorerfassung'!$E$27="",0,IF(AND(B251&gt;='ZD Vorerfassung'!$C$27,B251&lt;='ZD Vorerfassung'!$D$27),HLOOKUP(TEXT(C251,"ttt"),'ZD Vorerfassung'!$H$21:$L$36,7,0),0))+
IF('ZD Vorerfassung'!$E$28="",0,IF(AND(B251&gt;='ZD Vorerfassung'!$C$28,B251&lt;='ZD Vorerfassung'!$D$28),HLOOKUP(TEXT(C251,"ttt"),'ZD Vorerfassung'!$H$21:$L$36,8,0),0))+
IF('ZD Vorerfassung'!$E$29="",0,IF(AND(B251&gt;='ZD Vorerfassung'!$C$29,B251&lt;='ZD Vorerfassung'!$D$29),HLOOKUP(TEXT(C251,"ttt"),'ZD Vorerfassung'!$H$21:$L$36,9,0),0))+
IF('ZD Vorerfassung'!$E$30="",0,IF(AND(B251&gt;='ZD Vorerfassung'!$C$30,B251&lt;='ZD Vorerfassung'!$D$30),HLOOKUP(TEXT(C251,"ttt"),'ZD Vorerfassung'!$H$21:$L$36,10,0),0))+
IF('ZD Vorerfassung'!$E$31="",0,IF(AND(B251&gt;='ZD Vorerfassung'!$C$31,B251&lt;='ZD Vorerfassung'!$D$31),HLOOKUP(TEXT(C251,"ttt"),'ZD Vorerfassung'!$H$21:$L$36,11,0),0))+
IF('ZD Vorerfassung'!$E$32="",0,IF(AND(B251&gt;='ZD Vorerfassung'!$C$32,B251&lt;='ZD Vorerfassung'!$D$32),HLOOKUP(TEXT(C251,"ttt"),'ZD Vorerfassung'!$H$21:$L$36,12,0),0))+
IF('ZD Vorerfassung'!$E$33="",0,IF(AND(B251&gt;='ZD Vorerfassung'!$C$33,B251&lt;='ZD Vorerfassung'!$D$33),HLOOKUP(TEXT(C251,"ttt"),'ZD Vorerfassung'!$H$21:$L$36,13,0),0))+
IF('ZD Vorerfassung'!$E$34="",0,IF(AND(B251&gt;='ZD Vorerfassung'!$C$34,B251&lt;='ZD Vorerfassung'!$D$34),HLOOKUP(TEXT(C251,"ttt"),'ZD Vorerfassung'!$H$21:$L$36,14,0),0))+
IF('ZD Vorerfassung'!$E$35="",0,IF(AND(B251&gt;='ZD Vorerfassung'!$C$35,B251&lt;='ZD Vorerfassung'!$D$35),HLOOKUP(TEXT(C251,"ttt"),'ZD Vorerfassung'!$H$21:$L$36,15,0),0))+
IF('ZD Vorerfassung'!$E$36="",0,IF(AND(B251&gt;='ZD Vorerfassung'!$C$36,B251&lt;='ZD Vorerfassung'!$D$36),HLOOKUP(TEXT(C251,"ttt"),'ZD Vorerfassung'!$H$21:$L$36,16,0),0)),"")</f>
        <v/>
      </c>
      <c r="AW251" s="110">
        <f t="array" ref="AW251">IF(OR(D251="UU",D251="FT",D251="WE"),0,
IF(D251="NR",SUM(IF(B251&gt;=_xlfn.NUMBERVALUE('ZD Vorerfassung'!$C$22:$C$36),1,0)*IF(B251&lt;=_xlfn.NUMBERVALUE('ZD Vorerfassung'!$D$22:$D$36),1,0)*'ZD Vorerfassung'!$Q$22:$Q$36),
IF(OR(D251="SF",D251="FH"),SUM(IF(B251&gt;=_xlfn.NUMBERVALUE('ZD Vorerfassung'!$C$22:$C$36),1,0)*IF(B251&lt;=_xlfn.NUMBERVALUE('ZD Vorerfassung'!$D$22:$D$36),1,0)*'ZD Vorerfassung'!$R$22:$R$36*IF(D251="FH",0.5,1)),
"prüfen")))</f>
        <v>0</v>
      </c>
      <c r="AX251" s="110">
        <f t="array" ref="AX251">IF(OR(D251="UU",D251="FT",D251="WE",E251="Ferien"),0,
IF(D251="NR",SUM(IF(B251&gt;=_xlfn.NUMBERVALUE('ZD Vorerfassung'!$C$22:$C$36),1,0)*IF(B251&lt;=_xlfn.NUMBERVALUE('ZD Vorerfassung'!$D$22:$D$36),1,0)*'ZD Vorerfassung'!$W$22:$W$36),
IF(OR(D251="SF",D251="FH"),SUM(IF(B251&gt;=_xlfn.NUMBERVALUE('ZD Vorerfassung'!$C$22:$C$36),1,0)*IF(B251&lt;=_xlfn.NUMBERVALUE('ZD Vorerfassung'!$D$22:$D$36),1,0)*'ZD Vorerfassung'!$X$22:$X$36*IF(D251="FH",0.5,1)),
"prüfen")))</f>
        <v>0</v>
      </c>
      <c r="AY251" s="110">
        <f t="array" ref="AY251">IF(OR(D251="UU",D251="FT",D251="WE",E251="Ferien"),0,
IF(D251="NR",SUM(IF(B251&gt;=_xlfn.NUMBERVALUE('ZD Vorerfassung'!$C$22:$C$36),1,0)*IF(B251&lt;=_xlfn.NUMBERVALUE('ZD Vorerfassung'!$D$22:$D$36),1,0)*'ZD Vorerfassung'!$U$22:$U$36),
IF(OR(D251="SF",D251="FH"),SUM(IF(B251&gt;=_xlfn.NUMBERVALUE('ZD Vorerfassung'!$C$22:$C$36),1,0)*IF(B251&lt;=_xlfn.NUMBERVALUE('ZD Vorerfassung'!$D$22:$D$36),1,0)*'ZD Vorerfassung'!$V$22:$V$36*IF(D251="FH",0.5,1)),
"prüfen")))</f>
        <v>0</v>
      </c>
      <c r="AZ251" s="110">
        <f t="array" ref="AZ251">IF(OR(D251="UU",D251="FT",D251="WE",E251="Ferien"),0,
IF(D251="NR",SUM(IF(B251&gt;=_xlfn.NUMBERVALUE('ZD Vorerfassung'!$C$22:$C$36),1,0)*IF(B251&lt;=_xlfn.NUMBERVALUE('ZD Vorerfassung'!$D$22:$D$36),1,0)*'ZD Vorerfassung'!$S$22:$S$36),
IF(OR(D251="SF",D251="FH"),SUM(IF(B251&gt;=_xlfn.NUMBERVALUE('ZD Vorerfassung'!$C$22:$C$36),1,0)*IF(B251&lt;=_xlfn.NUMBERVALUE('ZD Vorerfassung'!$D$22:$D$36),1,0)*'ZD Vorerfassung'!$T$22:$T$36*IF(D251="FH",0.5,1)),
"prüfen")))</f>
        <v>0</v>
      </c>
      <c r="BA251" s="112">
        <f t="shared" si="44"/>
        <v>4</v>
      </c>
    </row>
    <row r="252" spans="2:53" ht="19.5" thickTop="1" thickBot="1" x14ac:dyDescent="0.3">
      <c r="B252" s="99">
        <f t="shared" si="41"/>
        <v>45017</v>
      </c>
      <c r="C252" s="100">
        <f t="shared" si="45"/>
        <v>45017</v>
      </c>
      <c r="D252" s="101" t="str">
        <f t="shared" si="46"/>
        <v>SF</v>
      </c>
      <c r="E252" s="102" t="str">
        <f t="shared" si="42"/>
        <v>unterrichtsfreie Arbeitszeit</v>
      </c>
      <c r="F252" s="103" t="str">
        <f t="shared" si="47"/>
        <v/>
      </c>
      <c r="G252" s="104" t="str">
        <f t="shared" si="48"/>
        <v/>
      </c>
      <c r="H252" s="104">
        <f>IFERROR(IF('ZD Vorerfassung'!$E$11="manuell",SUM(I252),IF(OR(E252="Feiertag",E252="Wochenende"),0,IF('ZD Vorerfassung'!$E$11="automatisch",AX252,IF(D252="UU","UU",IF(E252=Param2,AX252/24,IF(E252=Param9,AX252/48,"")))))),0)</f>
        <v>0</v>
      </c>
      <c r="I252" s="105"/>
      <c r="J252" s="106">
        <f>IF('ZD Vorerfassung'!$E$12="manuell",SUM(K252:AI252),IF(OR(E252="Feiertag",E252="Wochenende"),0,IF('ZD Vorerfassung'!$E$12="automatisch",AY252,IF(D252="UU","UU",IF(E252=Param2,AY252/24,IF(E252=Param9,AY252/48,""))))))</f>
        <v>0</v>
      </c>
      <c r="K252" s="105"/>
      <c r="L252" s="105"/>
      <c r="M252" s="105"/>
      <c r="N252" s="105"/>
      <c r="O252" s="105"/>
      <c r="P252" s="105"/>
      <c r="Q252" s="105"/>
      <c r="R252" s="105"/>
      <c r="S252" s="105"/>
      <c r="T252" s="105"/>
      <c r="U252" s="105"/>
      <c r="V252" s="105"/>
      <c r="W252" s="105"/>
      <c r="X252" s="105"/>
      <c r="Y252" s="105"/>
      <c r="Z252" s="105"/>
      <c r="AA252" s="105"/>
      <c r="AB252" s="105"/>
      <c r="AC252" s="105"/>
      <c r="AD252" s="105"/>
      <c r="AE252" s="105"/>
      <c r="AF252" s="105"/>
      <c r="AG252" s="105"/>
      <c r="AH252" s="105"/>
      <c r="AI252" s="105"/>
      <c r="AJ252" s="107">
        <f t="shared" si="49"/>
        <v>0</v>
      </c>
      <c r="AK252" s="105"/>
      <c r="AL252" s="105"/>
      <c r="AM252" s="105"/>
      <c r="AN252" s="105"/>
      <c r="AO252" s="105"/>
      <c r="AP252" s="105"/>
      <c r="AQ252" s="108">
        <f t="shared" si="50"/>
        <v>0</v>
      </c>
      <c r="AR252" s="108">
        <f t="shared" si="51"/>
        <v>0</v>
      </c>
      <c r="AS252" s="109">
        <f t="shared" si="52"/>
        <v>0</v>
      </c>
      <c r="AU252" s="110">
        <f t="shared" si="43"/>
        <v>0</v>
      </c>
      <c r="AV252" s="111" t="str">
        <f>IF(D252="NR",
IF('ZD Vorerfassung'!$E$22="",0,IF(AND(B252&gt;='ZD Vorerfassung'!$C$22,B252&lt;='ZD Vorerfassung'!$D$22),HLOOKUP(TEXT(C252,"ttt"),'ZD Vorerfassung'!$H$21:$L$36,2,0),0))+
IF('ZD Vorerfassung'!$E$23="",0,IF(AND(B252&gt;='ZD Vorerfassung'!$C$23,B252&lt;='ZD Vorerfassung'!$D$23),HLOOKUP(TEXT(C252,"ttt"),'ZD Vorerfassung'!$H$21:$L$36,3,0),0))+
IF('ZD Vorerfassung'!$E$24="",0,IF(AND(B252&gt;='ZD Vorerfassung'!$C$24,B252&lt;='ZD Vorerfassung'!$D$24),HLOOKUP(TEXT(C252,"ttt"),'ZD Vorerfassung'!$H$21:$L$36,4,0),0))+
IF('ZD Vorerfassung'!$E$25="",0,IF(AND(B252&gt;='ZD Vorerfassung'!$C$25,B252&lt;='ZD Vorerfassung'!$D$25),HLOOKUP(TEXT(C252,"ttt"),'ZD Vorerfassung'!$H$21:$L$36,5,0),0))+
IF('ZD Vorerfassung'!$E$26="",0,IF(AND(B252&gt;='ZD Vorerfassung'!$C$26,B252&lt;='ZD Vorerfassung'!$D$26),HLOOKUP(TEXT(C252,"ttt"),'ZD Vorerfassung'!$H$21:$L$36,6,0),0))+
IF('ZD Vorerfassung'!$E$27="",0,IF(AND(B252&gt;='ZD Vorerfassung'!$C$27,B252&lt;='ZD Vorerfassung'!$D$27),HLOOKUP(TEXT(C252,"ttt"),'ZD Vorerfassung'!$H$21:$L$36,7,0),0))+
IF('ZD Vorerfassung'!$E$28="",0,IF(AND(B252&gt;='ZD Vorerfassung'!$C$28,B252&lt;='ZD Vorerfassung'!$D$28),HLOOKUP(TEXT(C252,"ttt"),'ZD Vorerfassung'!$H$21:$L$36,8,0),0))+
IF('ZD Vorerfassung'!$E$29="",0,IF(AND(B252&gt;='ZD Vorerfassung'!$C$29,B252&lt;='ZD Vorerfassung'!$D$29),HLOOKUP(TEXT(C252,"ttt"),'ZD Vorerfassung'!$H$21:$L$36,9,0),0))+
IF('ZD Vorerfassung'!$E$30="",0,IF(AND(B252&gt;='ZD Vorerfassung'!$C$30,B252&lt;='ZD Vorerfassung'!$D$30),HLOOKUP(TEXT(C252,"ttt"),'ZD Vorerfassung'!$H$21:$L$36,10,0),0))+
IF('ZD Vorerfassung'!$E$31="",0,IF(AND(B252&gt;='ZD Vorerfassung'!$C$31,B252&lt;='ZD Vorerfassung'!$D$31),HLOOKUP(TEXT(C252,"ttt"),'ZD Vorerfassung'!$H$21:$L$36,11,0),0))+
IF('ZD Vorerfassung'!$E$32="",0,IF(AND(B252&gt;='ZD Vorerfassung'!$C$32,B252&lt;='ZD Vorerfassung'!$D$32),HLOOKUP(TEXT(C252,"ttt"),'ZD Vorerfassung'!$H$21:$L$36,12,0),0))+
IF('ZD Vorerfassung'!$E$33="",0,IF(AND(B252&gt;='ZD Vorerfassung'!$C$33,B252&lt;='ZD Vorerfassung'!$D$33),HLOOKUP(TEXT(C252,"ttt"),'ZD Vorerfassung'!$H$21:$L$36,13,0),0))+
IF('ZD Vorerfassung'!$E$34="",0,IF(AND(B252&gt;='ZD Vorerfassung'!$C$34,B252&lt;='ZD Vorerfassung'!$D$34),HLOOKUP(TEXT(C252,"ttt"),'ZD Vorerfassung'!$H$21:$L$36,14,0),0))+
IF('ZD Vorerfassung'!$E$35="",0,IF(AND(B252&gt;='ZD Vorerfassung'!$C$35,B252&lt;='ZD Vorerfassung'!$D$35),HLOOKUP(TEXT(C252,"ttt"),'ZD Vorerfassung'!$H$21:$L$36,15,0),0))+
IF('ZD Vorerfassung'!$E$36="",0,IF(AND(B252&gt;='ZD Vorerfassung'!$C$36,B252&lt;='ZD Vorerfassung'!$D$36),HLOOKUP(TEXT(C252,"ttt"),'ZD Vorerfassung'!$H$21:$L$36,16,0),0)),"")</f>
        <v/>
      </c>
      <c r="AW252" s="110">
        <f t="array" ref="AW252">IF(OR(D252="UU",D252="FT",D252="WE"),0,
IF(D252="NR",SUM(IF(B252&gt;=_xlfn.NUMBERVALUE('ZD Vorerfassung'!$C$22:$C$36),1,0)*IF(B252&lt;=_xlfn.NUMBERVALUE('ZD Vorerfassung'!$D$22:$D$36),1,0)*'ZD Vorerfassung'!$Q$22:$Q$36),
IF(OR(D252="SF",D252="FH"),SUM(IF(B252&gt;=_xlfn.NUMBERVALUE('ZD Vorerfassung'!$C$22:$C$36),1,0)*IF(B252&lt;=_xlfn.NUMBERVALUE('ZD Vorerfassung'!$D$22:$D$36),1,0)*'ZD Vorerfassung'!$R$22:$R$36*IF(D252="FH",0.5,1)),
"prüfen")))</f>
        <v>0</v>
      </c>
      <c r="AX252" s="110">
        <f t="array" ref="AX252">IF(OR(D252="UU",D252="FT",D252="WE",E252="Ferien"),0,
IF(D252="NR",SUM(IF(B252&gt;=_xlfn.NUMBERVALUE('ZD Vorerfassung'!$C$22:$C$36),1,0)*IF(B252&lt;=_xlfn.NUMBERVALUE('ZD Vorerfassung'!$D$22:$D$36),1,0)*'ZD Vorerfassung'!$W$22:$W$36),
IF(OR(D252="SF",D252="FH"),SUM(IF(B252&gt;=_xlfn.NUMBERVALUE('ZD Vorerfassung'!$C$22:$C$36),1,0)*IF(B252&lt;=_xlfn.NUMBERVALUE('ZD Vorerfassung'!$D$22:$D$36),1,0)*'ZD Vorerfassung'!$X$22:$X$36*IF(D252="FH",0.5,1)),
"prüfen")))</f>
        <v>0</v>
      </c>
      <c r="AY252" s="110">
        <f t="array" ref="AY252">IF(OR(D252="UU",D252="FT",D252="WE",E252="Ferien"),0,
IF(D252="NR",SUM(IF(B252&gt;=_xlfn.NUMBERVALUE('ZD Vorerfassung'!$C$22:$C$36),1,0)*IF(B252&lt;=_xlfn.NUMBERVALUE('ZD Vorerfassung'!$D$22:$D$36),1,0)*'ZD Vorerfassung'!$U$22:$U$36),
IF(OR(D252="SF",D252="FH"),SUM(IF(B252&gt;=_xlfn.NUMBERVALUE('ZD Vorerfassung'!$C$22:$C$36),1,0)*IF(B252&lt;=_xlfn.NUMBERVALUE('ZD Vorerfassung'!$D$22:$D$36),1,0)*'ZD Vorerfassung'!$V$22:$V$36*IF(D252="FH",0.5,1)),
"prüfen")))</f>
        <v>0</v>
      </c>
      <c r="AZ252" s="110">
        <f t="array" ref="AZ252">IF(OR(D252="UU",D252="FT",D252="WE",E252="Ferien"),0,
IF(D252="NR",SUM(IF(B252&gt;=_xlfn.NUMBERVALUE('ZD Vorerfassung'!$C$22:$C$36),1,0)*IF(B252&lt;=_xlfn.NUMBERVALUE('ZD Vorerfassung'!$D$22:$D$36),1,0)*'ZD Vorerfassung'!$S$22:$S$36),
IF(OR(D252="SF",D252="FH"),SUM(IF(B252&gt;=_xlfn.NUMBERVALUE('ZD Vorerfassung'!$C$22:$C$36),1,0)*IF(B252&lt;=_xlfn.NUMBERVALUE('ZD Vorerfassung'!$D$22:$D$36),1,0)*'ZD Vorerfassung'!$T$22:$T$36*IF(D252="FH",0.5,1)),
"prüfen")))</f>
        <v>0</v>
      </c>
      <c r="BA252" s="112">
        <f t="shared" si="44"/>
        <v>4</v>
      </c>
    </row>
    <row r="253" spans="2:53" ht="19.5" thickTop="1" thickBot="1" x14ac:dyDescent="0.3">
      <c r="B253" s="99">
        <f t="shared" si="41"/>
        <v>45018</v>
      </c>
      <c r="C253" s="100">
        <f t="shared" si="45"/>
        <v>45018</v>
      </c>
      <c r="D253" s="101" t="str">
        <f t="shared" si="46"/>
        <v>WE</v>
      </c>
      <c r="E253" s="102" t="str">
        <f t="shared" si="42"/>
        <v>Wochenende</v>
      </c>
      <c r="F253" s="103" t="str">
        <f t="shared" si="47"/>
        <v/>
      </c>
      <c r="G253" s="104" t="str">
        <f t="shared" si="48"/>
        <v/>
      </c>
      <c r="H253" s="104">
        <f>IFERROR(IF('ZD Vorerfassung'!$E$11="manuell",SUM(I253),IF(OR(E253="Feiertag",E253="Wochenende"),0,IF('ZD Vorerfassung'!$E$11="automatisch",AX253,IF(D253="UU","UU",IF(E253=Param2,AX253/24,IF(E253=Param9,AX253/48,"")))))),0)</f>
        <v>0</v>
      </c>
      <c r="I253" s="105"/>
      <c r="J253" s="106">
        <f>IF('ZD Vorerfassung'!$E$12="manuell",SUM(K253:AI253),IF(OR(E253="Feiertag",E253="Wochenende"),0,IF('ZD Vorerfassung'!$E$12="automatisch",AY253,IF(D253="UU","UU",IF(E253=Param2,AY253/24,IF(E253=Param9,AY253/48,""))))))</f>
        <v>0</v>
      </c>
      <c r="K253" s="105"/>
      <c r="L253" s="105"/>
      <c r="M253" s="105"/>
      <c r="N253" s="105"/>
      <c r="O253" s="105"/>
      <c r="P253" s="105"/>
      <c r="Q253" s="105"/>
      <c r="R253" s="105"/>
      <c r="S253" s="105"/>
      <c r="T253" s="105"/>
      <c r="U253" s="105"/>
      <c r="V253" s="105"/>
      <c r="W253" s="105"/>
      <c r="X253" s="105"/>
      <c r="Y253" s="105"/>
      <c r="Z253" s="105"/>
      <c r="AA253" s="105"/>
      <c r="AB253" s="105"/>
      <c r="AC253" s="105"/>
      <c r="AD253" s="105"/>
      <c r="AE253" s="105"/>
      <c r="AF253" s="105"/>
      <c r="AG253" s="105"/>
      <c r="AH253" s="105"/>
      <c r="AI253" s="105"/>
      <c r="AJ253" s="107">
        <f t="shared" si="49"/>
        <v>0</v>
      </c>
      <c r="AK253" s="105"/>
      <c r="AL253" s="105"/>
      <c r="AM253" s="105"/>
      <c r="AN253" s="105"/>
      <c r="AO253" s="105"/>
      <c r="AP253" s="105"/>
      <c r="AQ253" s="108">
        <f t="shared" si="50"/>
        <v>0</v>
      </c>
      <c r="AR253" s="108">
        <f t="shared" si="51"/>
        <v>0</v>
      </c>
      <c r="AS253" s="109">
        <f t="shared" si="52"/>
        <v>0</v>
      </c>
      <c r="AU253" s="110">
        <f t="shared" si="43"/>
        <v>0</v>
      </c>
      <c r="AV253" s="111" t="str">
        <f>IF(D253="NR",
IF('ZD Vorerfassung'!$E$22="",0,IF(AND(B253&gt;='ZD Vorerfassung'!$C$22,B253&lt;='ZD Vorerfassung'!$D$22),HLOOKUP(TEXT(C253,"ttt"),'ZD Vorerfassung'!$H$21:$L$36,2,0),0))+
IF('ZD Vorerfassung'!$E$23="",0,IF(AND(B253&gt;='ZD Vorerfassung'!$C$23,B253&lt;='ZD Vorerfassung'!$D$23),HLOOKUP(TEXT(C253,"ttt"),'ZD Vorerfassung'!$H$21:$L$36,3,0),0))+
IF('ZD Vorerfassung'!$E$24="",0,IF(AND(B253&gt;='ZD Vorerfassung'!$C$24,B253&lt;='ZD Vorerfassung'!$D$24),HLOOKUP(TEXT(C253,"ttt"),'ZD Vorerfassung'!$H$21:$L$36,4,0),0))+
IF('ZD Vorerfassung'!$E$25="",0,IF(AND(B253&gt;='ZD Vorerfassung'!$C$25,B253&lt;='ZD Vorerfassung'!$D$25),HLOOKUP(TEXT(C253,"ttt"),'ZD Vorerfassung'!$H$21:$L$36,5,0),0))+
IF('ZD Vorerfassung'!$E$26="",0,IF(AND(B253&gt;='ZD Vorerfassung'!$C$26,B253&lt;='ZD Vorerfassung'!$D$26),HLOOKUP(TEXT(C253,"ttt"),'ZD Vorerfassung'!$H$21:$L$36,6,0),0))+
IF('ZD Vorerfassung'!$E$27="",0,IF(AND(B253&gt;='ZD Vorerfassung'!$C$27,B253&lt;='ZD Vorerfassung'!$D$27),HLOOKUP(TEXT(C253,"ttt"),'ZD Vorerfassung'!$H$21:$L$36,7,0),0))+
IF('ZD Vorerfassung'!$E$28="",0,IF(AND(B253&gt;='ZD Vorerfassung'!$C$28,B253&lt;='ZD Vorerfassung'!$D$28),HLOOKUP(TEXT(C253,"ttt"),'ZD Vorerfassung'!$H$21:$L$36,8,0),0))+
IF('ZD Vorerfassung'!$E$29="",0,IF(AND(B253&gt;='ZD Vorerfassung'!$C$29,B253&lt;='ZD Vorerfassung'!$D$29),HLOOKUP(TEXT(C253,"ttt"),'ZD Vorerfassung'!$H$21:$L$36,9,0),0))+
IF('ZD Vorerfassung'!$E$30="",0,IF(AND(B253&gt;='ZD Vorerfassung'!$C$30,B253&lt;='ZD Vorerfassung'!$D$30),HLOOKUP(TEXT(C253,"ttt"),'ZD Vorerfassung'!$H$21:$L$36,10,0),0))+
IF('ZD Vorerfassung'!$E$31="",0,IF(AND(B253&gt;='ZD Vorerfassung'!$C$31,B253&lt;='ZD Vorerfassung'!$D$31),HLOOKUP(TEXT(C253,"ttt"),'ZD Vorerfassung'!$H$21:$L$36,11,0),0))+
IF('ZD Vorerfassung'!$E$32="",0,IF(AND(B253&gt;='ZD Vorerfassung'!$C$32,B253&lt;='ZD Vorerfassung'!$D$32),HLOOKUP(TEXT(C253,"ttt"),'ZD Vorerfassung'!$H$21:$L$36,12,0),0))+
IF('ZD Vorerfassung'!$E$33="",0,IF(AND(B253&gt;='ZD Vorerfassung'!$C$33,B253&lt;='ZD Vorerfassung'!$D$33),HLOOKUP(TEXT(C253,"ttt"),'ZD Vorerfassung'!$H$21:$L$36,13,0),0))+
IF('ZD Vorerfassung'!$E$34="",0,IF(AND(B253&gt;='ZD Vorerfassung'!$C$34,B253&lt;='ZD Vorerfassung'!$D$34),HLOOKUP(TEXT(C253,"ttt"),'ZD Vorerfassung'!$H$21:$L$36,14,0),0))+
IF('ZD Vorerfassung'!$E$35="",0,IF(AND(B253&gt;='ZD Vorerfassung'!$C$35,B253&lt;='ZD Vorerfassung'!$D$35),HLOOKUP(TEXT(C253,"ttt"),'ZD Vorerfassung'!$H$21:$L$36,15,0),0))+
IF('ZD Vorerfassung'!$E$36="",0,IF(AND(B253&gt;='ZD Vorerfassung'!$C$36,B253&lt;='ZD Vorerfassung'!$D$36),HLOOKUP(TEXT(C253,"ttt"),'ZD Vorerfassung'!$H$21:$L$36,16,0),0)),"")</f>
        <v/>
      </c>
      <c r="AW253" s="110">
        <f t="array" ref="AW253">IF(OR(D253="UU",D253="FT",D253="WE"),0,
IF(D253="NR",SUM(IF(B253&gt;=_xlfn.NUMBERVALUE('ZD Vorerfassung'!$C$22:$C$36),1,0)*IF(B253&lt;=_xlfn.NUMBERVALUE('ZD Vorerfassung'!$D$22:$D$36),1,0)*'ZD Vorerfassung'!$Q$22:$Q$36),
IF(OR(D253="SF",D253="FH"),SUM(IF(B253&gt;=_xlfn.NUMBERVALUE('ZD Vorerfassung'!$C$22:$C$36),1,0)*IF(B253&lt;=_xlfn.NUMBERVALUE('ZD Vorerfassung'!$D$22:$D$36),1,0)*'ZD Vorerfassung'!$R$22:$R$36*IF(D253="FH",0.5,1)),
"prüfen")))</f>
        <v>0</v>
      </c>
      <c r="AX253" s="110">
        <f t="array" ref="AX253">IF(OR(D253="UU",D253="FT",D253="WE",E253="Ferien"),0,
IF(D253="NR",SUM(IF(B253&gt;=_xlfn.NUMBERVALUE('ZD Vorerfassung'!$C$22:$C$36),1,0)*IF(B253&lt;=_xlfn.NUMBERVALUE('ZD Vorerfassung'!$D$22:$D$36),1,0)*'ZD Vorerfassung'!$W$22:$W$36),
IF(OR(D253="SF",D253="FH"),SUM(IF(B253&gt;=_xlfn.NUMBERVALUE('ZD Vorerfassung'!$C$22:$C$36),1,0)*IF(B253&lt;=_xlfn.NUMBERVALUE('ZD Vorerfassung'!$D$22:$D$36),1,0)*'ZD Vorerfassung'!$X$22:$X$36*IF(D253="FH",0.5,1)),
"prüfen")))</f>
        <v>0</v>
      </c>
      <c r="AY253" s="110">
        <f t="array" ref="AY253">IF(OR(D253="UU",D253="FT",D253="WE",E253="Ferien"),0,
IF(D253="NR",SUM(IF(B253&gt;=_xlfn.NUMBERVALUE('ZD Vorerfassung'!$C$22:$C$36),1,0)*IF(B253&lt;=_xlfn.NUMBERVALUE('ZD Vorerfassung'!$D$22:$D$36),1,0)*'ZD Vorerfassung'!$U$22:$U$36),
IF(OR(D253="SF",D253="FH"),SUM(IF(B253&gt;=_xlfn.NUMBERVALUE('ZD Vorerfassung'!$C$22:$C$36),1,0)*IF(B253&lt;=_xlfn.NUMBERVALUE('ZD Vorerfassung'!$D$22:$D$36),1,0)*'ZD Vorerfassung'!$V$22:$V$36*IF(D253="FH",0.5,1)),
"prüfen")))</f>
        <v>0</v>
      </c>
      <c r="AZ253" s="110">
        <f t="array" ref="AZ253">IF(OR(D253="UU",D253="FT",D253="WE",E253="Ferien"),0,
IF(D253="NR",SUM(IF(B253&gt;=_xlfn.NUMBERVALUE('ZD Vorerfassung'!$C$22:$C$36),1,0)*IF(B253&lt;=_xlfn.NUMBERVALUE('ZD Vorerfassung'!$D$22:$D$36),1,0)*'ZD Vorerfassung'!$S$22:$S$36),
IF(OR(D253="SF",D253="FH"),SUM(IF(B253&gt;=_xlfn.NUMBERVALUE('ZD Vorerfassung'!$C$22:$C$36),1,0)*IF(B253&lt;=_xlfn.NUMBERVALUE('ZD Vorerfassung'!$D$22:$D$36),1,0)*'ZD Vorerfassung'!$T$22:$T$36*IF(D253="FH",0.5,1)),
"prüfen")))</f>
        <v>0</v>
      </c>
      <c r="BA253" s="112">
        <f t="shared" si="44"/>
        <v>4</v>
      </c>
    </row>
    <row r="254" spans="2:53" ht="19.5" thickTop="1" thickBot="1" x14ac:dyDescent="0.3">
      <c r="B254" s="99">
        <f t="shared" si="41"/>
        <v>45019</v>
      </c>
      <c r="C254" s="100">
        <f t="shared" si="45"/>
        <v>45019</v>
      </c>
      <c r="D254" s="101" t="str">
        <f t="shared" si="46"/>
        <v>WE</v>
      </c>
      <c r="E254" s="102" t="str">
        <f t="shared" si="42"/>
        <v>Wochenende</v>
      </c>
      <c r="F254" s="103" t="str">
        <f t="shared" si="47"/>
        <v/>
      </c>
      <c r="G254" s="104" t="str">
        <f t="shared" si="48"/>
        <v/>
      </c>
      <c r="H254" s="104">
        <f>IFERROR(IF('ZD Vorerfassung'!$E$11="manuell",SUM(I254),IF(OR(E254="Feiertag",E254="Wochenende"),0,IF('ZD Vorerfassung'!$E$11="automatisch",AX254,IF(D254="UU","UU",IF(E254=Param2,AX254/24,IF(E254=Param9,AX254/48,"")))))),0)</f>
        <v>0</v>
      </c>
      <c r="I254" s="105"/>
      <c r="J254" s="106">
        <f>IF('ZD Vorerfassung'!$E$12="manuell",SUM(K254:AI254),IF(OR(E254="Feiertag",E254="Wochenende"),0,IF('ZD Vorerfassung'!$E$12="automatisch",AY254,IF(D254="UU","UU",IF(E254=Param2,AY254/24,IF(E254=Param9,AY254/48,""))))))</f>
        <v>0</v>
      </c>
      <c r="K254" s="105"/>
      <c r="L254" s="105"/>
      <c r="M254" s="105"/>
      <c r="N254" s="105"/>
      <c r="O254" s="105"/>
      <c r="P254" s="105"/>
      <c r="Q254" s="105"/>
      <c r="R254" s="105"/>
      <c r="S254" s="105"/>
      <c r="T254" s="105"/>
      <c r="U254" s="105"/>
      <c r="V254" s="105"/>
      <c r="W254" s="105"/>
      <c r="X254" s="105"/>
      <c r="Y254" s="105"/>
      <c r="Z254" s="105"/>
      <c r="AA254" s="105"/>
      <c r="AB254" s="105"/>
      <c r="AC254" s="105"/>
      <c r="AD254" s="105"/>
      <c r="AE254" s="105"/>
      <c r="AF254" s="105"/>
      <c r="AG254" s="105"/>
      <c r="AH254" s="105"/>
      <c r="AI254" s="105"/>
      <c r="AJ254" s="107">
        <f t="shared" si="49"/>
        <v>0</v>
      </c>
      <c r="AK254" s="105"/>
      <c r="AL254" s="105"/>
      <c r="AM254" s="105"/>
      <c r="AN254" s="105"/>
      <c r="AO254" s="105"/>
      <c r="AP254" s="105"/>
      <c r="AQ254" s="108">
        <f t="shared" si="50"/>
        <v>0</v>
      </c>
      <c r="AR254" s="108">
        <f t="shared" si="51"/>
        <v>0</v>
      </c>
      <c r="AS254" s="109">
        <f t="shared" si="52"/>
        <v>0</v>
      </c>
      <c r="AU254" s="110">
        <f t="shared" si="43"/>
        <v>0</v>
      </c>
      <c r="AV254" s="111" t="str">
        <f>IF(D254="NR",
IF('ZD Vorerfassung'!$E$22="",0,IF(AND(B254&gt;='ZD Vorerfassung'!$C$22,B254&lt;='ZD Vorerfassung'!$D$22),HLOOKUP(TEXT(C254,"ttt"),'ZD Vorerfassung'!$H$21:$L$36,2,0),0))+
IF('ZD Vorerfassung'!$E$23="",0,IF(AND(B254&gt;='ZD Vorerfassung'!$C$23,B254&lt;='ZD Vorerfassung'!$D$23),HLOOKUP(TEXT(C254,"ttt"),'ZD Vorerfassung'!$H$21:$L$36,3,0),0))+
IF('ZD Vorerfassung'!$E$24="",0,IF(AND(B254&gt;='ZD Vorerfassung'!$C$24,B254&lt;='ZD Vorerfassung'!$D$24),HLOOKUP(TEXT(C254,"ttt"),'ZD Vorerfassung'!$H$21:$L$36,4,0),0))+
IF('ZD Vorerfassung'!$E$25="",0,IF(AND(B254&gt;='ZD Vorerfassung'!$C$25,B254&lt;='ZD Vorerfassung'!$D$25),HLOOKUP(TEXT(C254,"ttt"),'ZD Vorerfassung'!$H$21:$L$36,5,0),0))+
IF('ZD Vorerfassung'!$E$26="",0,IF(AND(B254&gt;='ZD Vorerfassung'!$C$26,B254&lt;='ZD Vorerfassung'!$D$26),HLOOKUP(TEXT(C254,"ttt"),'ZD Vorerfassung'!$H$21:$L$36,6,0),0))+
IF('ZD Vorerfassung'!$E$27="",0,IF(AND(B254&gt;='ZD Vorerfassung'!$C$27,B254&lt;='ZD Vorerfassung'!$D$27),HLOOKUP(TEXT(C254,"ttt"),'ZD Vorerfassung'!$H$21:$L$36,7,0),0))+
IF('ZD Vorerfassung'!$E$28="",0,IF(AND(B254&gt;='ZD Vorerfassung'!$C$28,B254&lt;='ZD Vorerfassung'!$D$28),HLOOKUP(TEXT(C254,"ttt"),'ZD Vorerfassung'!$H$21:$L$36,8,0),0))+
IF('ZD Vorerfassung'!$E$29="",0,IF(AND(B254&gt;='ZD Vorerfassung'!$C$29,B254&lt;='ZD Vorerfassung'!$D$29),HLOOKUP(TEXT(C254,"ttt"),'ZD Vorerfassung'!$H$21:$L$36,9,0),0))+
IF('ZD Vorerfassung'!$E$30="",0,IF(AND(B254&gt;='ZD Vorerfassung'!$C$30,B254&lt;='ZD Vorerfassung'!$D$30),HLOOKUP(TEXT(C254,"ttt"),'ZD Vorerfassung'!$H$21:$L$36,10,0),0))+
IF('ZD Vorerfassung'!$E$31="",0,IF(AND(B254&gt;='ZD Vorerfassung'!$C$31,B254&lt;='ZD Vorerfassung'!$D$31),HLOOKUP(TEXT(C254,"ttt"),'ZD Vorerfassung'!$H$21:$L$36,11,0),0))+
IF('ZD Vorerfassung'!$E$32="",0,IF(AND(B254&gt;='ZD Vorerfassung'!$C$32,B254&lt;='ZD Vorerfassung'!$D$32),HLOOKUP(TEXT(C254,"ttt"),'ZD Vorerfassung'!$H$21:$L$36,12,0),0))+
IF('ZD Vorerfassung'!$E$33="",0,IF(AND(B254&gt;='ZD Vorerfassung'!$C$33,B254&lt;='ZD Vorerfassung'!$D$33),HLOOKUP(TEXT(C254,"ttt"),'ZD Vorerfassung'!$H$21:$L$36,13,0),0))+
IF('ZD Vorerfassung'!$E$34="",0,IF(AND(B254&gt;='ZD Vorerfassung'!$C$34,B254&lt;='ZD Vorerfassung'!$D$34),HLOOKUP(TEXT(C254,"ttt"),'ZD Vorerfassung'!$H$21:$L$36,14,0),0))+
IF('ZD Vorerfassung'!$E$35="",0,IF(AND(B254&gt;='ZD Vorerfassung'!$C$35,B254&lt;='ZD Vorerfassung'!$D$35),HLOOKUP(TEXT(C254,"ttt"),'ZD Vorerfassung'!$H$21:$L$36,15,0),0))+
IF('ZD Vorerfassung'!$E$36="",0,IF(AND(B254&gt;='ZD Vorerfassung'!$C$36,B254&lt;='ZD Vorerfassung'!$D$36),HLOOKUP(TEXT(C254,"ttt"),'ZD Vorerfassung'!$H$21:$L$36,16,0),0)),"")</f>
        <v/>
      </c>
      <c r="AW254" s="110">
        <f t="array" ref="AW254">IF(OR(D254="UU",D254="FT",D254="WE"),0,
IF(D254="NR",SUM(IF(B254&gt;=_xlfn.NUMBERVALUE('ZD Vorerfassung'!$C$22:$C$36),1,0)*IF(B254&lt;=_xlfn.NUMBERVALUE('ZD Vorerfassung'!$D$22:$D$36),1,0)*'ZD Vorerfassung'!$Q$22:$Q$36),
IF(OR(D254="SF",D254="FH"),SUM(IF(B254&gt;=_xlfn.NUMBERVALUE('ZD Vorerfassung'!$C$22:$C$36),1,0)*IF(B254&lt;=_xlfn.NUMBERVALUE('ZD Vorerfassung'!$D$22:$D$36),1,0)*'ZD Vorerfassung'!$R$22:$R$36*IF(D254="FH",0.5,1)),
"prüfen")))</f>
        <v>0</v>
      </c>
      <c r="AX254" s="110">
        <f t="array" ref="AX254">IF(OR(D254="UU",D254="FT",D254="WE",E254="Ferien"),0,
IF(D254="NR",SUM(IF(B254&gt;=_xlfn.NUMBERVALUE('ZD Vorerfassung'!$C$22:$C$36),1,0)*IF(B254&lt;=_xlfn.NUMBERVALUE('ZD Vorerfassung'!$D$22:$D$36),1,0)*'ZD Vorerfassung'!$W$22:$W$36),
IF(OR(D254="SF",D254="FH"),SUM(IF(B254&gt;=_xlfn.NUMBERVALUE('ZD Vorerfassung'!$C$22:$C$36),1,0)*IF(B254&lt;=_xlfn.NUMBERVALUE('ZD Vorerfassung'!$D$22:$D$36),1,0)*'ZD Vorerfassung'!$X$22:$X$36*IF(D254="FH",0.5,1)),
"prüfen")))</f>
        <v>0</v>
      </c>
      <c r="AY254" s="110">
        <f t="array" ref="AY254">IF(OR(D254="UU",D254="FT",D254="WE",E254="Ferien"),0,
IF(D254="NR",SUM(IF(B254&gt;=_xlfn.NUMBERVALUE('ZD Vorerfassung'!$C$22:$C$36),1,0)*IF(B254&lt;=_xlfn.NUMBERVALUE('ZD Vorerfassung'!$D$22:$D$36),1,0)*'ZD Vorerfassung'!$U$22:$U$36),
IF(OR(D254="SF",D254="FH"),SUM(IF(B254&gt;=_xlfn.NUMBERVALUE('ZD Vorerfassung'!$C$22:$C$36),1,0)*IF(B254&lt;=_xlfn.NUMBERVALUE('ZD Vorerfassung'!$D$22:$D$36),1,0)*'ZD Vorerfassung'!$V$22:$V$36*IF(D254="FH",0.5,1)),
"prüfen")))</f>
        <v>0</v>
      </c>
      <c r="AZ254" s="110">
        <f t="array" ref="AZ254">IF(OR(D254="UU",D254="FT",D254="WE",E254="Ferien"),0,
IF(D254="NR",SUM(IF(B254&gt;=_xlfn.NUMBERVALUE('ZD Vorerfassung'!$C$22:$C$36),1,0)*IF(B254&lt;=_xlfn.NUMBERVALUE('ZD Vorerfassung'!$D$22:$D$36),1,0)*'ZD Vorerfassung'!$S$22:$S$36),
IF(OR(D254="SF",D254="FH"),SUM(IF(B254&gt;=_xlfn.NUMBERVALUE('ZD Vorerfassung'!$C$22:$C$36),1,0)*IF(B254&lt;=_xlfn.NUMBERVALUE('ZD Vorerfassung'!$D$22:$D$36),1,0)*'ZD Vorerfassung'!$T$22:$T$36*IF(D254="FH",0.5,1)),
"prüfen")))</f>
        <v>0</v>
      </c>
      <c r="BA254" s="112">
        <f t="shared" si="44"/>
        <v>4</v>
      </c>
    </row>
    <row r="255" spans="2:53" ht="19.5" thickTop="1" thickBot="1" x14ac:dyDescent="0.3">
      <c r="B255" s="99">
        <f t="shared" si="41"/>
        <v>45020</v>
      </c>
      <c r="C255" s="100">
        <f t="shared" si="45"/>
        <v>45020</v>
      </c>
      <c r="D255" s="101" t="str">
        <f t="shared" si="46"/>
        <v>NR</v>
      </c>
      <c r="E255" s="102" t="str">
        <f t="shared" si="42"/>
        <v>Unterrichtstag</v>
      </c>
      <c r="F255" s="103">
        <f t="shared" si="47"/>
        <v>0</v>
      </c>
      <c r="G255" s="104">
        <f t="shared" si="48"/>
        <v>0</v>
      </c>
      <c r="H255" s="104">
        <f>IFERROR(IF('ZD Vorerfassung'!$E$11="manuell",SUM(I255),IF(OR(E255="Feiertag",E255="Wochenende"),0,IF('ZD Vorerfassung'!$E$11="automatisch",AX255,IF(D255="UU","UU",IF(E255=Param2,AX255/24,IF(E255=Param9,AX255/48,"")))))),0)</f>
        <v>0</v>
      </c>
      <c r="I255" s="105"/>
      <c r="J255" s="106">
        <f>IF('ZD Vorerfassung'!$E$12="manuell",SUM(K255:AI255),IF(OR(E255="Feiertag",E255="Wochenende"),0,IF('ZD Vorerfassung'!$E$12="automatisch",AY255,IF(D255="UU","UU",IF(E255=Param2,AY255/24,IF(E255=Param9,AY255/48,""))))))</f>
        <v>0</v>
      </c>
      <c r="K255" s="105"/>
      <c r="L255" s="105"/>
      <c r="M255" s="105"/>
      <c r="N255" s="105"/>
      <c r="O255" s="105"/>
      <c r="P255" s="105"/>
      <c r="Q255" s="105"/>
      <c r="R255" s="105"/>
      <c r="S255" s="105"/>
      <c r="T255" s="105"/>
      <c r="U255" s="105"/>
      <c r="V255" s="105"/>
      <c r="W255" s="105"/>
      <c r="X255" s="105"/>
      <c r="Y255" s="105"/>
      <c r="Z255" s="105"/>
      <c r="AA255" s="105"/>
      <c r="AB255" s="105"/>
      <c r="AC255" s="105"/>
      <c r="AD255" s="105"/>
      <c r="AE255" s="105"/>
      <c r="AF255" s="105"/>
      <c r="AG255" s="105"/>
      <c r="AH255" s="105"/>
      <c r="AI255" s="105"/>
      <c r="AJ255" s="107">
        <f t="shared" si="49"/>
        <v>0</v>
      </c>
      <c r="AK255" s="105"/>
      <c r="AL255" s="105"/>
      <c r="AM255" s="105"/>
      <c r="AN255" s="105"/>
      <c r="AO255" s="105"/>
      <c r="AP255" s="105"/>
      <c r="AQ255" s="108">
        <f t="shared" si="50"/>
        <v>0</v>
      </c>
      <c r="AR255" s="108">
        <f t="shared" si="51"/>
        <v>0</v>
      </c>
      <c r="AS255" s="109">
        <f t="shared" si="52"/>
        <v>0</v>
      </c>
      <c r="AU255" s="110">
        <f t="shared" si="43"/>
        <v>0</v>
      </c>
      <c r="AV255" s="111">
        <f>IF(D255="NR",
IF('ZD Vorerfassung'!$E$22="",0,IF(AND(B255&gt;='ZD Vorerfassung'!$C$22,B255&lt;='ZD Vorerfassung'!$D$22),HLOOKUP(TEXT(C255,"ttt"),'ZD Vorerfassung'!$H$21:$L$36,2,0),0))+
IF('ZD Vorerfassung'!$E$23="",0,IF(AND(B255&gt;='ZD Vorerfassung'!$C$23,B255&lt;='ZD Vorerfassung'!$D$23),HLOOKUP(TEXT(C255,"ttt"),'ZD Vorerfassung'!$H$21:$L$36,3,0),0))+
IF('ZD Vorerfassung'!$E$24="",0,IF(AND(B255&gt;='ZD Vorerfassung'!$C$24,B255&lt;='ZD Vorerfassung'!$D$24),HLOOKUP(TEXT(C255,"ttt"),'ZD Vorerfassung'!$H$21:$L$36,4,0),0))+
IF('ZD Vorerfassung'!$E$25="",0,IF(AND(B255&gt;='ZD Vorerfassung'!$C$25,B255&lt;='ZD Vorerfassung'!$D$25),HLOOKUP(TEXT(C255,"ttt"),'ZD Vorerfassung'!$H$21:$L$36,5,0),0))+
IF('ZD Vorerfassung'!$E$26="",0,IF(AND(B255&gt;='ZD Vorerfassung'!$C$26,B255&lt;='ZD Vorerfassung'!$D$26),HLOOKUP(TEXT(C255,"ttt"),'ZD Vorerfassung'!$H$21:$L$36,6,0),0))+
IF('ZD Vorerfassung'!$E$27="",0,IF(AND(B255&gt;='ZD Vorerfassung'!$C$27,B255&lt;='ZD Vorerfassung'!$D$27),HLOOKUP(TEXT(C255,"ttt"),'ZD Vorerfassung'!$H$21:$L$36,7,0),0))+
IF('ZD Vorerfassung'!$E$28="",0,IF(AND(B255&gt;='ZD Vorerfassung'!$C$28,B255&lt;='ZD Vorerfassung'!$D$28),HLOOKUP(TEXT(C255,"ttt"),'ZD Vorerfassung'!$H$21:$L$36,8,0),0))+
IF('ZD Vorerfassung'!$E$29="",0,IF(AND(B255&gt;='ZD Vorerfassung'!$C$29,B255&lt;='ZD Vorerfassung'!$D$29),HLOOKUP(TEXT(C255,"ttt"),'ZD Vorerfassung'!$H$21:$L$36,9,0),0))+
IF('ZD Vorerfassung'!$E$30="",0,IF(AND(B255&gt;='ZD Vorerfassung'!$C$30,B255&lt;='ZD Vorerfassung'!$D$30),HLOOKUP(TEXT(C255,"ttt"),'ZD Vorerfassung'!$H$21:$L$36,10,0),0))+
IF('ZD Vorerfassung'!$E$31="",0,IF(AND(B255&gt;='ZD Vorerfassung'!$C$31,B255&lt;='ZD Vorerfassung'!$D$31),HLOOKUP(TEXT(C255,"ttt"),'ZD Vorerfassung'!$H$21:$L$36,11,0),0))+
IF('ZD Vorerfassung'!$E$32="",0,IF(AND(B255&gt;='ZD Vorerfassung'!$C$32,B255&lt;='ZD Vorerfassung'!$D$32),HLOOKUP(TEXT(C255,"ttt"),'ZD Vorerfassung'!$H$21:$L$36,12,0),0))+
IF('ZD Vorerfassung'!$E$33="",0,IF(AND(B255&gt;='ZD Vorerfassung'!$C$33,B255&lt;='ZD Vorerfassung'!$D$33),HLOOKUP(TEXT(C255,"ttt"),'ZD Vorerfassung'!$H$21:$L$36,13,0),0))+
IF('ZD Vorerfassung'!$E$34="",0,IF(AND(B255&gt;='ZD Vorerfassung'!$C$34,B255&lt;='ZD Vorerfassung'!$D$34),HLOOKUP(TEXT(C255,"ttt"),'ZD Vorerfassung'!$H$21:$L$36,14,0),0))+
IF('ZD Vorerfassung'!$E$35="",0,IF(AND(B255&gt;='ZD Vorerfassung'!$C$35,B255&lt;='ZD Vorerfassung'!$D$35),HLOOKUP(TEXT(C255,"ttt"),'ZD Vorerfassung'!$H$21:$L$36,15,0),0))+
IF('ZD Vorerfassung'!$E$36="",0,IF(AND(B255&gt;='ZD Vorerfassung'!$C$36,B255&lt;='ZD Vorerfassung'!$D$36),HLOOKUP(TEXT(C255,"ttt"),'ZD Vorerfassung'!$H$21:$L$36,16,0),0)),"")</f>
        <v>0</v>
      </c>
      <c r="AW255" s="110">
        <f t="array" ref="AW255">IF(OR(D255="UU",D255="FT",D255="WE"),0,
IF(D255="NR",SUM(IF(B255&gt;=_xlfn.NUMBERVALUE('ZD Vorerfassung'!$C$22:$C$36),1,0)*IF(B255&lt;=_xlfn.NUMBERVALUE('ZD Vorerfassung'!$D$22:$D$36),1,0)*'ZD Vorerfassung'!$Q$22:$Q$36),
IF(OR(D255="SF",D255="FH"),SUM(IF(B255&gt;=_xlfn.NUMBERVALUE('ZD Vorerfassung'!$C$22:$C$36),1,0)*IF(B255&lt;=_xlfn.NUMBERVALUE('ZD Vorerfassung'!$D$22:$D$36),1,0)*'ZD Vorerfassung'!$R$22:$R$36*IF(D255="FH",0.5,1)),
"prüfen")))</f>
        <v>0</v>
      </c>
      <c r="AX255" s="110">
        <f t="array" ref="AX255">IF(OR(D255="UU",D255="FT",D255="WE",E255="Ferien"),0,
IF(D255="NR",SUM(IF(B255&gt;=_xlfn.NUMBERVALUE('ZD Vorerfassung'!$C$22:$C$36),1,0)*IF(B255&lt;=_xlfn.NUMBERVALUE('ZD Vorerfassung'!$D$22:$D$36),1,0)*'ZD Vorerfassung'!$W$22:$W$36),
IF(OR(D255="SF",D255="FH"),SUM(IF(B255&gt;=_xlfn.NUMBERVALUE('ZD Vorerfassung'!$C$22:$C$36),1,0)*IF(B255&lt;=_xlfn.NUMBERVALUE('ZD Vorerfassung'!$D$22:$D$36),1,0)*'ZD Vorerfassung'!$X$22:$X$36*IF(D255="FH",0.5,1)),
"prüfen")))</f>
        <v>0</v>
      </c>
      <c r="AY255" s="110">
        <f t="array" ref="AY255">IF(OR(D255="UU",D255="FT",D255="WE",E255="Ferien"),0,
IF(D255="NR",SUM(IF(B255&gt;=_xlfn.NUMBERVALUE('ZD Vorerfassung'!$C$22:$C$36),1,0)*IF(B255&lt;=_xlfn.NUMBERVALUE('ZD Vorerfassung'!$D$22:$D$36),1,0)*'ZD Vorerfassung'!$U$22:$U$36),
IF(OR(D255="SF",D255="FH"),SUM(IF(B255&gt;=_xlfn.NUMBERVALUE('ZD Vorerfassung'!$C$22:$C$36),1,0)*IF(B255&lt;=_xlfn.NUMBERVALUE('ZD Vorerfassung'!$D$22:$D$36),1,0)*'ZD Vorerfassung'!$V$22:$V$36*IF(D255="FH",0.5,1)),
"prüfen")))</f>
        <v>0</v>
      </c>
      <c r="AZ255" s="110">
        <f t="array" ref="AZ255">IF(OR(D255="UU",D255="FT",D255="WE",E255="Ferien"),0,
IF(D255="NR",SUM(IF(B255&gt;=_xlfn.NUMBERVALUE('ZD Vorerfassung'!$C$22:$C$36),1,0)*IF(B255&lt;=_xlfn.NUMBERVALUE('ZD Vorerfassung'!$D$22:$D$36),1,0)*'ZD Vorerfassung'!$S$22:$S$36),
IF(OR(D255="SF",D255="FH"),SUM(IF(B255&gt;=_xlfn.NUMBERVALUE('ZD Vorerfassung'!$C$22:$C$36),1,0)*IF(B255&lt;=_xlfn.NUMBERVALUE('ZD Vorerfassung'!$D$22:$D$36),1,0)*'ZD Vorerfassung'!$T$22:$T$36*IF(D255="FH",0.5,1)),
"prüfen")))</f>
        <v>0</v>
      </c>
      <c r="BA255" s="112">
        <f t="shared" si="44"/>
        <v>4</v>
      </c>
    </row>
    <row r="256" spans="2:53" ht="19.5" thickTop="1" thickBot="1" x14ac:dyDescent="0.3">
      <c r="B256" s="99">
        <f t="shared" si="41"/>
        <v>45021</v>
      </c>
      <c r="C256" s="100">
        <f t="shared" si="45"/>
        <v>45021</v>
      </c>
      <c r="D256" s="101" t="str">
        <f t="shared" si="46"/>
        <v>NR</v>
      </c>
      <c r="E256" s="102" t="str">
        <f t="shared" si="42"/>
        <v>Unterrichtstag</v>
      </c>
      <c r="F256" s="103">
        <f t="shared" si="47"/>
        <v>0</v>
      </c>
      <c r="G256" s="104">
        <f t="shared" si="48"/>
        <v>0</v>
      </c>
      <c r="H256" s="104">
        <f>IFERROR(IF('ZD Vorerfassung'!$E$11="manuell",SUM(I256),IF(OR(E256="Feiertag",E256="Wochenende"),0,IF('ZD Vorerfassung'!$E$11="automatisch",AX256,IF(D256="UU","UU",IF(E256=Param2,AX256/24,IF(E256=Param9,AX256/48,"")))))),0)</f>
        <v>0</v>
      </c>
      <c r="I256" s="105"/>
      <c r="J256" s="106">
        <f>IF('ZD Vorerfassung'!$E$12="manuell",SUM(K256:AI256),IF(OR(E256="Feiertag",E256="Wochenende"),0,IF('ZD Vorerfassung'!$E$12="automatisch",AY256,IF(D256="UU","UU",IF(E256=Param2,AY256/24,IF(E256=Param9,AY256/48,""))))))</f>
        <v>0</v>
      </c>
      <c r="K256" s="105"/>
      <c r="L256" s="105"/>
      <c r="M256" s="105"/>
      <c r="N256" s="105"/>
      <c r="O256" s="105"/>
      <c r="P256" s="105"/>
      <c r="Q256" s="105"/>
      <c r="R256" s="105"/>
      <c r="S256" s="105"/>
      <c r="T256" s="105"/>
      <c r="U256" s="105"/>
      <c r="V256" s="105"/>
      <c r="W256" s="105"/>
      <c r="X256" s="105"/>
      <c r="Y256" s="105"/>
      <c r="Z256" s="105"/>
      <c r="AA256" s="105"/>
      <c r="AB256" s="105"/>
      <c r="AC256" s="105"/>
      <c r="AD256" s="105"/>
      <c r="AE256" s="105"/>
      <c r="AF256" s="105"/>
      <c r="AG256" s="105"/>
      <c r="AH256" s="105"/>
      <c r="AI256" s="105"/>
      <c r="AJ256" s="107">
        <f t="shared" si="49"/>
        <v>0</v>
      </c>
      <c r="AK256" s="105"/>
      <c r="AL256" s="105"/>
      <c r="AM256" s="105"/>
      <c r="AN256" s="105"/>
      <c r="AO256" s="105"/>
      <c r="AP256" s="105"/>
      <c r="AQ256" s="108">
        <f t="shared" si="50"/>
        <v>0</v>
      </c>
      <c r="AR256" s="108">
        <f t="shared" si="51"/>
        <v>0</v>
      </c>
      <c r="AS256" s="109">
        <f t="shared" si="52"/>
        <v>0</v>
      </c>
      <c r="AU256" s="110">
        <f t="shared" si="43"/>
        <v>0</v>
      </c>
      <c r="AV256" s="111">
        <f>IF(D256="NR",
IF('ZD Vorerfassung'!$E$22="",0,IF(AND(B256&gt;='ZD Vorerfassung'!$C$22,B256&lt;='ZD Vorerfassung'!$D$22),HLOOKUP(TEXT(C256,"ttt"),'ZD Vorerfassung'!$H$21:$L$36,2,0),0))+
IF('ZD Vorerfassung'!$E$23="",0,IF(AND(B256&gt;='ZD Vorerfassung'!$C$23,B256&lt;='ZD Vorerfassung'!$D$23),HLOOKUP(TEXT(C256,"ttt"),'ZD Vorerfassung'!$H$21:$L$36,3,0),0))+
IF('ZD Vorerfassung'!$E$24="",0,IF(AND(B256&gt;='ZD Vorerfassung'!$C$24,B256&lt;='ZD Vorerfassung'!$D$24),HLOOKUP(TEXT(C256,"ttt"),'ZD Vorerfassung'!$H$21:$L$36,4,0),0))+
IF('ZD Vorerfassung'!$E$25="",0,IF(AND(B256&gt;='ZD Vorerfassung'!$C$25,B256&lt;='ZD Vorerfassung'!$D$25),HLOOKUP(TEXT(C256,"ttt"),'ZD Vorerfassung'!$H$21:$L$36,5,0),0))+
IF('ZD Vorerfassung'!$E$26="",0,IF(AND(B256&gt;='ZD Vorerfassung'!$C$26,B256&lt;='ZD Vorerfassung'!$D$26),HLOOKUP(TEXT(C256,"ttt"),'ZD Vorerfassung'!$H$21:$L$36,6,0),0))+
IF('ZD Vorerfassung'!$E$27="",0,IF(AND(B256&gt;='ZD Vorerfassung'!$C$27,B256&lt;='ZD Vorerfassung'!$D$27),HLOOKUP(TEXT(C256,"ttt"),'ZD Vorerfassung'!$H$21:$L$36,7,0),0))+
IF('ZD Vorerfassung'!$E$28="",0,IF(AND(B256&gt;='ZD Vorerfassung'!$C$28,B256&lt;='ZD Vorerfassung'!$D$28),HLOOKUP(TEXT(C256,"ttt"),'ZD Vorerfassung'!$H$21:$L$36,8,0),0))+
IF('ZD Vorerfassung'!$E$29="",0,IF(AND(B256&gt;='ZD Vorerfassung'!$C$29,B256&lt;='ZD Vorerfassung'!$D$29),HLOOKUP(TEXT(C256,"ttt"),'ZD Vorerfassung'!$H$21:$L$36,9,0),0))+
IF('ZD Vorerfassung'!$E$30="",0,IF(AND(B256&gt;='ZD Vorerfassung'!$C$30,B256&lt;='ZD Vorerfassung'!$D$30),HLOOKUP(TEXT(C256,"ttt"),'ZD Vorerfassung'!$H$21:$L$36,10,0),0))+
IF('ZD Vorerfassung'!$E$31="",0,IF(AND(B256&gt;='ZD Vorerfassung'!$C$31,B256&lt;='ZD Vorerfassung'!$D$31),HLOOKUP(TEXT(C256,"ttt"),'ZD Vorerfassung'!$H$21:$L$36,11,0),0))+
IF('ZD Vorerfassung'!$E$32="",0,IF(AND(B256&gt;='ZD Vorerfassung'!$C$32,B256&lt;='ZD Vorerfassung'!$D$32),HLOOKUP(TEXT(C256,"ttt"),'ZD Vorerfassung'!$H$21:$L$36,12,0),0))+
IF('ZD Vorerfassung'!$E$33="",0,IF(AND(B256&gt;='ZD Vorerfassung'!$C$33,B256&lt;='ZD Vorerfassung'!$D$33),HLOOKUP(TEXT(C256,"ttt"),'ZD Vorerfassung'!$H$21:$L$36,13,0),0))+
IF('ZD Vorerfassung'!$E$34="",0,IF(AND(B256&gt;='ZD Vorerfassung'!$C$34,B256&lt;='ZD Vorerfassung'!$D$34),HLOOKUP(TEXT(C256,"ttt"),'ZD Vorerfassung'!$H$21:$L$36,14,0),0))+
IF('ZD Vorerfassung'!$E$35="",0,IF(AND(B256&gt;='ZD Vorerfassung'!$C$35,B256&lt;='ZD Vorerfassung'!$D$35),HLOOKUP(TEXT(C256,"ttt"),'ZD Vorerfassung'!$H$21:$L$36,15,0),0))+
IF('ZD Vorerfassung'!$E$36="",0,IF(AND(B256&gt;='ZD Vorerfassung'!$C$36,B256&lt;='ZD Vorerfassung'!$D$36),HLOOKUP(TEXT(C256,"ttt"),'ZD Vorerfassung'!$H$21:$L$36,16,0),0)),"")</f>
        <v>0</v>
      </c>
      <c r="AW256" s="110">
        <f t="array" ref="AW256">IF(OR(D256="UU",D256="FT",D256="WE"),0,
IF(D256="NR",SUM(IF(B256&gt;=_xlfn.NUMBERVALUE('ZD Vorerfassung'!$C$22:$C$36),1,0)*IF(B256&lt;=_xlfn.NUMBERVALUE('ZD Vorerfassung'!$D$22:$D$36),1,0)*'ZD Vorerfassung'!$Q$22:$Q$36),
IF(OR(D256="SF",D256="FH"),SUM(IF(B256&gt;=_xlfn.NUMBERVALUE('ZD Vorerfassung'!$C$22:$C$36),1,0)*IF(B256&lt;=_xlfn.NUMBERVALUE('ZD Vorerfassung'!$D$22:$D$36),1,0)*'ZD Vorerfassung'!$R$22:$R$36*IF(D256="FH",0.5,1)),
"prüfen")))</f>
        <v>0</v>
      </c>
      <c r="AX256" s="110">
        <f t="array" ref="AX256">IF(OR(D256="UU",D256="FT",D256="WE",E256="Ferien"),0,
IF(D256="NR",SUM(IF(B256&gt;=_xlfn.NUMBERVALUE('ZD Vorerfassung'!$C$22:$C$36),1,0)*IF(B256&lt;=_xlfn.NUMBERVALUE('ZD Vorerfassung'!$D$22:$D$36),1,0)*'ZD Vorerfassung'!$W$22:$W$36),
IF(OR(D256="SF",D256="FH"),SUM(IF(B256&gt;=_xlfn.NUMBERVALUE('ZD Vorerfassung'!$C$22:$C$36),1,0)*IF(B256&lt;=_xlfn.NUMBERVALUE('ZD Vorerfassung'!$D$22:$D$36),1,0)*'ZD Vorerfassung'!$X$22:$X$36*IF(D256="FH",0.5,1)),
"prüfen")))</f>
        <v>0</v>
      </c>
      <c r="AY256" s="110">
        <f t="array" ref="AY256">IF(OR(D256="UU",D256="FT",D256="WE",E256="Ferien"),0,
IF(D256="NR",SUM(IF(B256&gt;=_xlfn.NUMBERVALUE('ZD Vorerfassung'!$C$22:$C$36),1,0)*IF(B256&lt;=_xlfn.NUMBERVALUE('ZD Vorerfassung'!$D$22:$D$36),1,0)*'ZD Vorerfassung'!$U$22:$U$36),
IF(OR(D256="SF",D256="FH"),SUM(IF(B256&gt;=_xlfn.NUMBERVALUE('ZD Vorerfassung'!$C$22:$C$36),1,0)*IF(B256&lt;=_xlfn.NUMBERVALUE('ZD Vorerfassung'!$D$22:$D$36),1,0)*'ZD Vorerfassung'!$V$22:$V$36*IF(D256="FH",0.5,1)),
"prüfen")))</f>
        <v>0</v>
      </c>
      <c r="AZ256" s="110">
        <f t="array" ref="AZ256">IF(OR(D256="UU",D256="FT",D256="WE",E256="Ferien"),0,
IF(D256="NR",SUM(IF(B256&gt;=_xlfn.NUMBERVALUE('ZD Vorerfassung'!$C$22:$C$36),1,0)*IF(B256&lt;=_xlfn.NUMBERVALUE('ZD Vorerfassung'!$D$22:$D$36),1,0)*'ZD Vorerfassung'!$S$22:$S$36),
IF(OR(D256="SF",D256="FH"),SUM(IF(B256&gt;=_xlfn.NUMBERVALUE('ZD Vorerfassung'!$C$22:$C$36),1,0)*IF(B256&lt;=_xlfn.NUMBERVALUE('ZD Vorerfassung'!$D$22:$D$36),1,0)*'ZD Vorerfassung'!$T$22:$T$36*IF(D256="FH",0.5,1)),
"prüfen")))</f>
        <v>0</v>
      </c>
      <c r="BA256" s="112">
        <f t="shared" si="44"/>
        <v>4</v>
      </c>
    </row>
    <row r="257" spans="2:53" ht="19.5" thickTop="1" thickBot="1" x14ac:dyDescent="0.3">
      <c r="B257" s="99">
        <f t="shared" si="41"/>
        <v>45022</v>
      </c>
      <c r="C257" s="100">
        <f t="shared" si="45"/>
        <v>45022</v>
      </c>
      <c r="D257" s="101" t="str">
        <f t="shared" si="46"/>
        <v>NR</v>
      </c>
      <c r="E257" s="102" t="str">
        <f t="shared" si="42"/>
        <v>Unterrichtstag</v>
      </c>
      <c r="F257" s="103">
        <f t="shared" si="47"/>
        <v>0</v>
      </c>
      <c r="G257" s="104">
        <f t="shared" si="48"/>
        <v>0</v>
      </c>
      <c r="H257" s="104">
        <f>IFERROR(IF('ZD Vorerfassung'!$E$11="manuell",SUM(I257),IF(OR(E257="Feiertag",E257="Wochenende"),0,IF('ZD Vorerfassung'!$E$11="automatisch",AX257,IF(D257="UU","UU",IF(E257=Param2,AX257/24,IF(E257=Param9,AX257/48,"")))))),0)</f>
        <v>0</v>
      </c>
      <c r="I257" s="105"/>
      <c r="J257" s="106">
        <f>IF('ZD Vorerfassung'!$E$12="manuell",SUM(K257:AI257),IF(OR(E257="Feiertag",E257="Wochenende"),0,IF('ZD Vorerfassung'!$E$12="automatisch",AY257,IF(D257="UU","UU",IF(E257=Param2,AY257/24,IF(E257=Param9,AY257/48,""))))))</f>
        <v>0</v>
      </c>
      <c r="K257" s="105"/>
      <c r="L257" s="105"/>
      <c r="M257" s="105"/>
      <c r="N257" s="105"/>
      <c r="O257" s="105"/>
      <c r="P257" s="105"/>
      <c r="Q257" s="105"/>
      <c r="R257" s="105"/>
      <c r="S257" s="105"/>
      <c r="T257" s="105"/>
      <c r="U257" s="105"/>
      <c r="V257" s="105"/>
      <c r="W257" s="105"/>
      <c r="X257" s="105"/>
      <c r="Y257" s="105"/>
      <c r="Z257" s="105"/>
      <c r="AA257" s="105"/>
      <c r="AB257" s="105"/>
      <c r="AC257" s="105"/>
      <c r="AD257" s="105"/>
      <c r="AE257" s="105"/>
      <c r="AF257" s="105"/>
      <c r="AG257" s="105"/>
      <c r="AH257" s="105"/>
      <c r="AI257" s="105"/>
      <c r="AJ257" s="107">
        <f t="shared" si="49"/>
        <v>0</v>
      </c>
      <c r="AK257" s="105"/>
      <c r="AL257" s="105"/>
      <c r="AM257" s="105"/>
      <c r="AN257" s="105"/>
      <c r="AO257" s="105"/>
      <c r="AP257" s="105"/>
      <c r="AQ257" s="108">
        <f t="shared" si="50"/>
        <v>0</v>
      </c>
      <c r="AR257" s="108">
        <f t="shared" si="51"/>
        <v>0</v>
      </c>
      <c r="AS257" s="109">
        <f t="shared" si="52"/>
        <v>0</v>
      </c>
      <c r="AU257" s="110">
        <f t="shared" si="43"/>
        <v>0</v>
      </c>
      <c r="AV257" s="111">
        <f>IF(D257="NR",
IF('ZD Vorerfassung'!$E$22="",0,IF(AND(B257&gt;='ZD Vorerfassung'!$C$22,B257&lt;='ZD Vorerfassung'!$D$22),HLOOKUP(TEXT(C257,"ttt"),'ZD Vorerfassung'!$H$21:$L$36,2,0),0))+
IF('ZD Vorerfassung'!$E$23="",0,IF(AND(B257&gt;='ZD Vorerfassung'!$C$23,B257&lt;='ZD Vorerfassung'!$D$23),HLOOKUP(TEXT(C257,"ttt"),'ZD Vorerfassung'!$H$21:$L$36,3,0),0))+
IF('ZD Vorerfassung'!$E$24="",0,IF(AND(B257&gt;='ZD Vorerfassung'!$C$24,B257&lt;='ZD Vorerfassung'!$D$24),HLOOKUP(TEXT(C257,"ttt"),'ZD Vorerfassung'!$H$21:$L$36,4,0),0))+
IF('ZD Vorerfassung'!$E$25="",0,IF(AND(B257&gt;='ZD Vorerfassung'!$C$25,B257&lt;='ZD Vorerfassung'!$D$25),HLOOKUP(TEXT(C257,"ttt"),'ZD Vorerfassung'!$H$21:$L$36,5,0),0))+
IF('ZD Vorerfassung'!$E$26="",0,IF(AND(B257&gt;='ZD Vorerfassung'!$C$26,B257&lt;='ZD Vorerfassung'!$D$26),HLOOKUP(TEXT(C257,"ttt"),'ZD Vorerfassung'!$H$21:$L$36,6,0),0))+
IF('ZD Vorerfassung'!$E$27="",0,IF(AND(B257&gt;='ZD Vorerfassung'!$C$27,B257&lt;='ZD Vorerfassung'!$D$27),HLOOKUP(TEXT(C257,"ttt"),'ZD Vorerfassung'!$H$21:$L$36,7,0),0))+
IF('ZD Vorerfassung'!$E$28="",0,IF(AND(B257&gt;='ZD Vorerfassung'!$C$28,B257&lt;='ZD Vorerfassung'!$D$28),HLOOKUP(TEXT(C257,"ttt"),'ZD Vorerfassung'!$H$21:$L$36,8,0),0))+
IF('ZD Vorerfassung'!$E$29="",0,IF(AND(B257&gt;='ZD Vorerfassung'!$C$29,B257&lt;='ZD Vorerfassung'!$D$29),HLOOKUP(TEXT(C257,"ttt"),'ZD Vorerfassung'!$H$21:$L$36,9,0),0))+
IF('ZD Vorerfassung'!$E$30="",0,IF(AND(B257&gt;='ZD Vorerfassung'!$C$30,B257&lt;='ZD Vorerfassung'!$D$30),HLOOKUP(TEXT(C257,"ttt"),'ZD Vorerfassung'!$H$21:$L$36,10,0),0))+
IF('ZD Vorerfassung'!$E$31="",0,IF(AND(B257&gt;='ZD Vorerfassung'!$C$31,B257&lt;='ZD Vorerfassung'!$D$31),HLOOKUP(TEXT(C257,"ttt"),'ZD Vorerfassung'!$H$21:$L$36,11,0),0))+
IF('ZD Vorerfassung'!$E$32="",0,IF(AND(B257&gt;='ZD Vorerfassung'!$C$32,B257&lt;='ZD Vorerfassung'!$D$32),HLOOKUP(TEXT(C257,"ttt"),'ZD Vorerfassung'!$H$21:$L$36,12,0),0))+
IF('ZD Vorerfassung'!$E$33="",0,IF(AND(B257&gt;='ZD Vorerfassung'!$C$33,B257&lt;='ZD Vorerfassung'!$D$33),HLOOKUP(TEXT(C257,"ttt"),'ZD Vorerfassung'!$H$21:$L$36,13,0),0))+
IF('ZD Vorerfassung'!$E$34="",0,IF(AND(B257&gt;='ZD Vorerfassung'!$C$34,B257&lt;='ZD Vorerfassung'!$D$34),HLOOKUP(TEXT(C257,"ttt"),'ZD Vorerfassung'!$H$21:$L$36,14,0),0))+
IF('ZD Vorerfassung'!$E$35="",0,IF(AND(B257&gt;='ZD Vorerfassung'!$C$35,B257&lt;='ZD Vorerfassung'!$D$35),HLOOKUP(TEXT(C257,"ttt"),'ZD Vorerfassung'!$H$21:$L$36,15,0),0))+
IF('ZD Vorerfassung'!$E$36="",0,IF(AND(B257&gt;='ZD Vorerfassung'!$C$36,B257&lt;='ZD Vorerfassung'!$D$36),HLOOKUP(TEXT(C257,"ttt"),'ZD Vorerfassung'!$H$21:$L$36,16,0),0)),"")</f>
        <v>0</v>
      </c>
      <c r="AW257" s="110">
        <f t="array" ref="AW257">IF(OR(D257="UU",D257="FT",D257="WE"),0,
IF(D257="NR",SUM(IF(B257&gt;=_xlfn.NUMBERVALUE('ZD Vorerfassung'!$C$22:$C$36),1,0)*IF(B257&lt;=_xlfn.NUMBERVALUE('ZD Vorerfassung'!$D$22:$D$36),1,0)*'ZD Vorerfassung'!$Q$22:$Q$36),
IF(OR(D257="SF",D257="FH"),SUM(IF(B257&gt;=_xlfn.NUMBERVALUE('ZD Vorerfassung'!$C$22:$C$36),1,0)*IF(B257&lt;=_xlfn.NUMBERVALUE('ZD Vorerfassung'!$D$22:$D$36),1,0)*'ZD Vorerfassung'!$R$22:$R$36*IF(D257="FH",0.5,1)),
"prüfen")))</f>
        <v>0</v>
      </c>
      <c r="AX257" s="110">
        <f t="array" ref="AX257">IF(OR(D257="UU",D257="FT",D257="WE",E257="Ferien"),0,
IF(D257="NR",SUM(IF(B257&gt;=_xlfn.NUMBERVALUE('ZD Vorerfassung'!$C$22:$C$36),1,0)*IF(B257&lt;=_xlfn.NUMBERVALUE('ZD Vorerfassung'!$D$22:$D$36),1,0)*'ZD Vorerfassung'!$W$22:$W$36),
IF(OR(D257="SF",D257="FH"),SUM(IF(B257&gt;=_xlfn.NUMBERVALUE('ZD Vorerfassung'!$C$22:$C$36),1,0)*IF(B257&lt;=_xlfn.NUMBERVALUE('ZD Vorerfassung'!$D$22:$D$36),1,0)*'ZD Vorerfassung'!$X$22:$X$36*IF(D257="FH",0.5,1)),
"prüfen")))</f>
        <v>0</v>
      </c>
      <c r="AY257" s="110">
        <f t="array" ref="AY257">IF(OR(D257="UU",D257="FT",D257="WE",E257="Ferien"),0,
IF(D257="NR",SUM(IF(B257&gt;=_xlfn.NUMBERVALUE('ZD Vorerfassung'!$C$22:$C$36),1,0)*IF(B257&lt;=_xlfn.NUMBERVALUE('ZD Vorerfassung'!$D$22:$D$36),1,0)*'ZD Vorerfassung'!$U$22:$U$36),
IF(OR(D257="SF",D257="FH"),SUM(IF(B257&gt;=_xlfn.NUMBERVALUE('ZD Vorerfassung'!$C$22:$C$36),1,0)*IF(B257&lt;=_xlfn.NUMBERVALUE('ZD Vorerfassung'!$D$22:$D$36),1,0)*'ZD Vorerfassung'!$V$22:$V$36*IF(D257="FH",0.5,1)),
"prüfen")))</f>
        <v>0</v>
      </c>
      <c r="AZ257" s="110">
        <f t="array" ref="AZ257">IF(OR(D257="UU",D257="FT",D257="WE",E257="Ferien"),0,
IF(D257="NR",SUM(IF(B257&gt;=_xlfn.NUMBERVALUE('ZD Vorerfassung'!$C$22:$C$36),1,0)*IF(B257&lt;=_xlfn.NUMBERVALUE('ZD Vorerfassung'!$D$22:$D$36),1,0)*'ZD Vorerfassung'!$S$22:$S$36),
IF(OR(D257="SF",D257="FH"),SUM(IF(B257&gt;=_xlfn.NUMBERVALUE('ZD Vorerfassung'!$C$22:$C$36),1,0)*IF(B257&lt;=_xlfn.NUMBERVALUE('ZD Vorerfassung'!$D$22:$D$36),1,0)*'ZD Vorerfassung'!$T$22:$T$36*IF(D257="FH",0.5,1)),
"prüfen")))</f>
        <v>0</v>
      </c>
      <c r="BA257" s="112">
        <f t="shared" si="44"/>
        <v>4</v>
      </c>
    </row>
    <row r="258" spans="2:53" ht="19.5" thickTop="1" thickBot="1" x14ac:dyDescent="0.3">
      <c r="B258" s="99">
        <f t="shared" si="41"/>
        <v>45023</v>
      </c>
      <c r="C258" s="100">
        <f t="shared" si="45"/>
        <v>45023</v>
      </c>
      <c r="D258" s="101" t="str">
        <f t="shared" si="46"/>
        <v>NR</v>
      </c>
      <c r="E258" s="102" t="str">
        <f t="shared" si="42"/>
        <v>Unterrichtstag</v>
      </c>
      <c r="F258" s="103">
        <f t="shared" si="47"/>
        <v>0</v>
      </c>
      <c r="G258" s="104">
        <f t="shared" si="48"/>
        <v>0</v>
      </c>
      <c r="H258" s="104">
        <f>IFERROR(IF('ZD Vorerfassung'!$E$11="manuell",SUM(I258),IF(OR(E258="Feiertag",E258="Wochenende"),0,IF('ZD Vorerfassung'!$E$11="automatisch",AX258,IF(D258="UU","UU",IF(E258=Param2,AX258/24,IF(E258=Param9,AX258/48,"")))))),0)</f>
        <v>0</v>
      </c>
      <c r="I258" s="105"/>
      <c r="J258" s="106">
        <f>IF('ZD Vorerfassung'!$E$12="manuell",SUM(K258:AI258),IF(OR(E258="Feiertag",E258="Wochenende"),0,IF('ZD Vorerfassung'!$E$12="automatisch",AY258,IF(D258="UU","UU",IF(E258=Param2,AY258/24,IF(E258=Param9,AY258/48,""))))))</f>
        <v>0</v>
      </c>
      <c r="K258" s="105"/>
      <c r="L258" s="105"/>
      <c r="M258" s="105"/>
      <c r="N258" s="105"/>
      <c r="O258" s="105"/>
      <c r="P258" s="105"/>
      <c r="Q258" s="105"/>
      <c r="R258" s="105"/>
      <c r="S258" s="105"/>
      <c r="T258" s="105"/>
      <c r="U258" s="105"/>
      <c r="V258" s="105"/>
      <c r="W258" s="105"/>
      <c r="X258" s="105"/>
      <c r="Y258" s="105"/>
      <c r="Z258" s="105"/>
      <c r="AA258" s="105"/>
      <c r="AB258" s="105"/>
      <c r="AC258" s="105"/>
      <c r="AD258" s="105"/>
      <c r="AE258" s="105"/>
      <c r="AF258" s="105"/>
      <c r="AG258" s="105"/>
      <c r="AH258" s="105"/>
      <c r="AI258" s="105"/>
      <c r="AJ258" s="107">
        <f t="shared" si="49"/>
        <v>0</v>
      </c>
      <c r="AK258" s="105"/>
      <c r="AL258" s="105"/>
      <c r="AM258" s="105"/>
      <c r="AN258" s="105"/>
      <c r="AO258" s="105"/>
      <c r="AP258" s="105"/>
      <c r="AQ258" s="108">
        <f t="shared" si="50"/>
        <v>0</v>
      </c>
      <c r="AR258" s="108">
        <f t="shared" si="51"/>
        <v>0</v>
      </c>
      <c r="AS258" s="109">
        <f t="shared" si="52"/>
        <v>0</v>
      </c>
      <c r="AU258" s="110">
        <f t="shared" si="43"/>
        <v>0</v>
      </c>
      <c r="AV258" s="111">
        <f>IF(D258="NR",
IF('ZD Vorerfassung'!$E$22="",0,IF(AND(B258&gt;='ZD Vorerfassung'!$C$22,B258&lt;='ZD Vorerfassung'!$D$22),HLOOKUP(TEXT(C258,"ttt"),'ZD Vorerfassung'!$H$21:$L$36,2,0),0))+
IF('ZD Vorerfassung'!$E$23="",0,IF(AND(B258&gt;='ZD Vorerfassung'!$C$23,B258&lt;='ZD Vorerfassung'!$D$23),HLOOKUP(TEXT(C258,"ttt"),'ZD Vorerfassung'!$H$21:$L$36,3,0),0))+
IF('ZD Vorerfassung'!$E$24="",0,IF(AND(B258&gt;='ZD Vorerfassung'!$C$24,B258&lt;='ZD Vorerfassung'!$D$24),HLOOKUP(TEXT(C258,"ttt"),'ZD Vorerfassung'!$H$21:$L$36,4,0),0))+
IF('ZD Vorerfassung'!$E$25="",0,IF(AND(B258&gt;='ZD Vorerfassung'!$C$25,B258&lt;='ZD Vorerfassung'!$D$25),HLOOKUP(TEXT(C258,"ttt"),'ZD Vorerfassung'!$H$21:$L$36,5,0),0))+
IF('ZD Vorerfassung'!$E$26="",0,IF(AND(B258&gt;='ZD Vorerfassung'!$C$26,B258&lt;='ZD Vorerfassung'!$D$26),HLOOKUP(TEXT(C258,"ttt"),'ZD Vorerfassung'!$H$21:$L$36,6,0),0))+
IF('ZD Vorerfassung'!$E$27="",0,IF(AND(B258&gt;='ZD Vorerfassung'!$C$27,B258&lt;='ZD Vorerfassung'!$D$27),HLOOKUP(TEXT(C258,"ttt"),'ZD Vorerfassung'!$H$21:$L$36,7,0),0))+
IF('ZD Vorerfassung'!$E$28="",0,IF(AND(B258&gt;='ZD Vorerfassung'!$C$28,B258&lt;='ZD Vorerfassung'!$D$28),HLOOKUP(TEXT(C258,"ttt"),'ZD Vorerfassung'!$H$21:$L$36,8,0),0))+
IF('ZD Vorerfassung'!$E$29="",0,IF(AND(B258&gt;='ZD Vorerfassung'!$C$29,B258&lt;='ZD Vorerfassung'!$D$29),HLOOKUP(TEXT(C258,"ttt"),'ZD Vorerfassung'!$H$21:$L$36,9,0),0))+
IF('ZD Vorerfassung'!$E$30="",0,IF(AND(B258&gt;='ZD Vorerfassung'!$C$30,B258&lt;='ZD Vorerfassung'!$D$30),HLOOKUP(TEXT(C258,"ttt"),'ZD Vorerfassung'!$H$21:$L$36,10,0),0))+
IF('ZD Vorerfassung'!$E$31="",0,IF(AND(B258&gt;='ZD Vorerfassung'!$C$31,B258&lt;='ZD Vorerfassung'!$D$31),HLOOKUP(TEXT(C258,"ttt"),'ZD Vorerfassung'!$H$21:$L$36,11,0),0))+
IF('ZD Vorerfassung'!$E$32="",0,IF(AND(B258&gt;='ZD Vorerfassung'!$C$32,B258&lt;='ZD Vorerfassung'!$D$32),HLOOKUP(TEXT(C258,"ttt"),'ZD Vorerfassung'!$H$21:$L$36,12,0),0))+
IF('ZD Vorerfassung'!$E$33="",0,IF(AND(B258&gt;='ZD Vorerfassung'!$C$33,B258&lt;='ZD Vorerfassung'!$D$33),HLOOKUP(TEXT(C258,"ttt"),'ZD Vorerfassung'!$H$21:$L$36,13,0),0))+
IF('ZD Vorerfassung'!$E$34="",0,IF(AND(B258&gt;='ZD Vorerfassung'!$C$34,B258&lt;='ZD Vorerfassung'!$D$34),HLOOKUP(TEXT(C258,"ttt"),'ZD Vorerfassung'!$H$21:$L$36,14,0),0))+
IF('ZD Vorerfassung'!$E$35="",0,IF(AND(B258&gt;='ZD Vorerfassung'!$C$35,B258&lt;='ZD Vorerfassung'!$D$35),HLOOKUP(TEXT(C258,"ttt"),'ZD Vorerfassung'!$H$21:$L$36,15,0),0))+
IF('ZD Vorerfassung'!$E$36="",0,IF(AND(B258&gt;='ZD Vorerfassung'!$C$36,B258&lt;='ZD Vorerfassung'!$D$36),HLOOKUP(TEXT(C258,"ttt"),'ZD Vorerfassung'!$H$21:$L$36,16,0),0)),"")</f>
        <v>0</v>
      </c>
      <c r="AW258" s="110">
        <f t="array" ref="AW258">IF(OR(D258="UU",D258="FT",D258="WE"),0,
IF(D258="NR",SUM(IF(B258&gt;=_xlfn.NUMBERVALUE('ZD Vorerfassung'!$C$22:$C$36),1,0)*IF(B258&lt;=_xlfn.NUMBERVALUE('ZD Vorerfassung'!$D$22:$D$36),1,0)*'ZD Vorerfassung'!$Q$22:$Q$36),
IF(OR(D258="SF",D258="FH"),SUM(IF(B258&gt;=_xlfn.NUMBERVALUE('ZD Vorerfassung'!$C$22:$C$36),1,0)*IF(B258&lt;=_xlfn.NUMBERVALUE('ZD Vorerfassung'!$D$22:$D$36),1,0)*'ZD Vorerfassung'!$R$22:$R$36*IF(D258="FH",0.5,1)),
"prüfen")))</f>
        <v>0</v>
      </c>
      <c r="AX258" s="110">
        <f t="array" ref="AX258">IF(OR(D258="UU",D258="FT",D258="WE",E258="Ferien"),0,
IF(D258="NR",SUM(IF(B258&gt;=_xlfn.NUMBERVALUE('ZD Vorerfassung'!$C$22:$C$36),1,0)*IF(B258&lt;=_xlfn.NUMBERVALUE('ZD Vorerfassung'!$D$22:$D$36),1,0)*'ZD Vorerfassung'!$W$22:$W$36),
IF(OR(D258="SF",D258="FH"),SUM(IF(B258&gt;=_xlfn.NUMBERVALUE('ZD Vorerfassung'!$C$22:$C$36),1,0)*IF(B258&lt;=_xlfn.NUMBERVALUE('ZD Vorerfassung'!$D$22:$D$36),1,0)*'ZD Vorerfassung'!$X$22:$X$36*IF(D258="FH",0.5,1)),
"prüfen")))</f>
        <v>0</v>
      </c>
      <c r="AY258" s="110">
        <f t="array" ref="AY258">IF(OR(D258="UU",D258="FT",D258="WE",E258="Ferien"),0,
IF(D258="NR",SUM(IF(B258&gt;=_xlfn.NUMBERVALUE('ZD Vorerfassung'!$C$22:$C$36),1,0)*IF(B258&lt;=_xlfn.NUMBERVALUE('ZD Vorerfassung'!$D$22:$D$36),1,0)*'ZD Vorerfassung'!$U$22:$U$36),
IF(OR(D258="SF",D258="FH"),SUM(IF(B258&gt;=_xlfn.NUMBERVALUE('ZD Vorerfassung'!$C$22:$C$36),1,0)*IF(B258&lt;=_xlfn.NUMBERVALUE('ZD Vorerfassung'!$D$22:$D$36),1,0)*'ZD Vorerfassung'!$V$22:$V$36*IF(D258="FH",0.5,1)),
"prüfen")))</f>
        <v>0</v>
      </c>
      <c r="AZ258" s="110">
        <f t="array" ref="AZ258">IF(OR(D258="UU",D258="FT",D258="WE",E258="Ferien"),0,
IF(D258="NR",SUM(IF(B258&gt;=_xlfn.NUMBERVALUE('ZD Vorerfassung'!$C$22:$C$36),1,0)*IF(B258&lt;=_xlfn.NUMBERVALUE('ZD Vorerfassung'!$D$22:$D$36),1,0)*'ZD Vorerfassung'!$S$22:$S$36),
IF(OR(D258="SF",D258="FH"),SUM(IF(B258&gt;=_xlfn.NUMBERVALUE('ZD Vorerfassung'!$C$22:$C$36),1,0)*IF(B258&lt;=_xlfn.NUMBERVALUE('ZD Vorerfassung'!$D$22:$D$36),1,0)*'ZD Vorerfassung'!$T$22:$T$36*IF(D258="FH",0.5,1)),
"prüfen")))</f>
        <v>0</v>
      </c>
      <c r="BA258" s="112">
        <f t="shared" si="44"/>
        <v>4</v>
      </c>
    </row>
    <row r="259" spans="2:53" ht="19.5" thickTop="1" thickBot="1" x14ac:dyDescent="0.3">
      <c r="B259" s="99">
        <f t="shared" si="41"/>
        <v>45024</v>
      </c>
      <c r="C259" s="100">
        <f t="shared" si="45"/>
        <v>45024</v>
      </c>
      <c r="D259" s="101" t="str">
        <f t="shared" si="46"/>
        <v>NR</v>
      </c>
      <c r="E259" s="102" t="str">
        <f t="shared" si="42"/>
        <v>Unterrichtstag</v>
      </c>
      <c r="F259" s="103">
        <f t="shared" si="47"/>
        <v>0</v>
      </c>
      <c r="G259" s="104">
        <f t="shared" si="48"/>
        <v>0</v>
      </c>
      <c r="H259" s="104">
        <f>IFERROR(IF('ZD Vorerfassung'!$E$11="manuell",SUM(I259),IF(OR(E259="Feiertag",E259="Wochenende"),0,IF('ZD Vorerfassung'!$E$11="automatisch",AX259,IF(D259="UU","UU",IF(E259=Param2,AX259/24,IF(E259=Param9,AX259/48,"")))))),0)</f>
        <v>0</v>
      </c>
      <c r="I259" s="105"/>
      <c r="J259" s="106">
        <f>IF('ZD Vorerfassung'!$E$12="manuell",SUM(K259:AI259),IF(OR(E259="Feiertag",E259="Wochenende"),0,IF('ZD Vorerfassung'!$E$12="automatisch",AY259,IF(D259="UU","UU",IF(E259=Param2,AY259/24,IF(E259=Param9,AY259/48,""))))))</f>
        <v>0</v>
      </c>
      <c r="K259" s="105"/>
      <c r="L259" s="105"/>
      <c r="M259" s="105"/>
      <c r="N259" s="105"/>
      <c r="O259" s="105"/>
      <c r="P259" s="105"/>
      <c r="Q259" s="105"/>
      <c r="R259" s="105"/>
      <c r="S259" s="105"/>
      <c r="T259" s="105"/>
      <c r="U259" s="105"/>
      <c r="V259" s="105"/>
      <c r="W259" s="105"/>
      <c r="X259" s="105"/>
      <c r="Y259" s="105"/>
      <c r="Z259" s="105"/>
      <c r="AA259" s="105"/>
      <c r="AB259" s="105"/>
      <c r="AC259" s="105"/>
      <c r="AD259" s="105"/>
      <c r="AE259" s="105"/>
      <c r="AF259" s="105"/>
      <c r="AG259" s="105"/>
      <c r="AH259" s="105"/>
      <c r="AI259" s="105"/>
      <c r="AJ259" s="107">
        <f t="shared" si="49"/>
        <v>0</v>
      </c>
      <c r="AK259" s="105"/>
      <c r="AL259" s="105"/>
      <c r="AM259" s="105"/>
      <c r="AN259" s="105"/>
      <c r="AO259" s="105"/>
      <c r="AP259" s="105"/>
      <c r="AQ259" s="108">
        <f t="shared" si="50"/>
        <v>0</v>
      </c>
      <c r="AR259" s="108">
        <f t="shared" si="51"/>
        <v>0</v>
      </c>
      <c r="AS259" s="109">
        <f t="shared" si="52"/>
        <v>0</v>
      </c>
      <c r="AU259" s="110">
        <f t="shared" si="43"/>
        <v>0</v>
      </c>
      <c r="AV259" s="111">
        <f>IF(D259="NR",
IF('ZD Vorerfassung'!$E$22="",0,IF(AND(B259&gt;='ZD Vorerfassung'!$C$22,B259&lt;='ZD Vorerfassung'!$D$22),HLOOKUP(TEXT(C259,"ttt"),'ZD Vorerfassung'!$H$21:$L$36,2,0),0))+
IF('ZD Vorerfassung'!$E$23="",0,IF(AND(B259&gt;='ZD Vorerfassung'!$C$23,B259&lt;='ZD Vorerfassung'!$D$23),HLOOKUP(TEXT(C259,"ttt"),'ZD Vorerfassung'!$H$21:$L$36,3,0),0))+
IF('ZD Vorerfassung'!$E$24="",0,IF(AND(B259&gt;='ZD Vorerfassung'!$C$24,B259&lt;='ZD Vorerfassung'!$D$24),HLOOKUP(TEXT(C259,"ttt"),'ZD Vorerfassung'!$H$21:$L$36,4,0),0))+
IF('ZD Vorerfassung'!$E$25="",0,IF(AND(B259&gt;='ZD Vorerfassung'!$C$25,B259&lt;='ZD Vorerfassung'!$D$25),HLOOKUP(TEXT(C259,"ttt"),'ZD Vorerfassung'!$H$21:$L$36,5,0),0))+
IF('ZD Vorerfassung'!$E$26="",0,IF(AND(B259&gt;='ZD Vorerfassung'!$C$26,B259&lt;='ZD Vorerfassung'!$D$26),HLOOKUP(TEXT(C259,"ttt"),'ZD Vorerfassung'!$H$21:$L$36,6,0),0))+
IF('ZD Vorerfassung'!$E$27="",0,IF(AND(B259&gt;='ZD Vorerfassung'!$C$27,B259&lt;='ZD Vorerfassung'!$D$27),HLOOKUP(TEXT(C259,"ttt"),'ZD Vorerfassung'!$H$21:$L$36,7,0),0))+
IF('ZD Vorerfassung'!$E$28="",0,IF(AND(B259&gt;='ZD Vorerfassung'!$C$28,B259&lt;='ZD Vorerfassung'!$D$28),HLOOKUP(TEXT(C259,"ttt"),'ZD Vorerfassung'!$H$21:$L$36,8,0),0))+
IF('ZD Vorerfassung'!$E$29="",0,IF(AND(B259&gt;='ZD Vorerfassung'!$C$29,B259&lt;='ZD Vorerfassung'!$D$29),HLOOKUP(TEXT(C259,"ttt"),'ZD Vorerfassung'!$H$21:$L$36,9,0),0))+
IF('ZD Vorerfassung'!$E$30="",0,IF(AND(B259&gt;='ZD Vorerfassung'!$C$30,B259&lt;='ZD Vorerfassung'!$D$30),HLOOKUP(TEXT(C259,"ttt"),'ZD Vorerfassung'!$H$21:$L$36,10,0),0))+
IF('ZD Vorerfassung'!$E$31="",0,IF(AND(B259&gt;='ZD Vorerfassung'!$C$31,B259&lt;='ZD Vorerfassung'!$D$31),HLOOKUP(TEXT(C259,"ttt"),'ZD Vorerfassung'!$H$21:$L$36,11,0),0))+
IF('ZD Vorerfassung'!$E$32="",0,IF(AND(B259&gt;='ZD Vorerfassung'!$C$32,B259&lt;='ZD Vorerfassung'!$D$32),HLOOKUP(TEXT(C259,"ttt"),'ZD Vorerfassung'!$H$21:$L$36,12,0),0))+
IF('ZD Vorerfassung'!$E$33="",0,IF(AND(B259&gt;='ZD Vorerfassung'!$C$33,B259&lt;='ZD Vorerfassung'!$D$33),HLOOKUP(TEXT(C259,"ttt"),'ZD Vorerfassung'!$H$21:$L$36,13,0),0))+
IF('ZD Vorerfassung'!$E$34="",0,IF(AND(B259&gt;='ZD Vorerfassung'!$C$34,B259&lt;='ZD Vorerfassung'!$D$34),HLOOKUP(TEXT(C259,"ttt"),'ZD Vorerfassung'!$H$21:$L$36,14,0),0))+
IF('ZD Vorerfassung'!$E$35="",0,IF(AND(B259&gt;='ZD Vorerfassung'!$C$35,B259&lt;='ZD Vorerfassung'!$D$35),HLOOKUP(TEXT(C259,"ttt"),'ZD Vorerfassung'!$H$21:$L$36,15,0),0))+
IF('ZD Vorerfassung'!$E$36="",0,IF(AND(B259&gt;='ZD Vorerfassung'!$C$36,B259&lt;='ZD Vorerfassung'!$D$36),HLOOKUP(TEXT(C259,"ttt"),'ZD Vorerfassung'!$H$21:$L$36,16,0),0)),"")</f>
        <v>0</v>
      </c>
      <c r="AW259" s="110">
        <f t="array" ref="AW259">IF(OR(D259="UU",D259="FT",D259="WE"),0,
IF(D259="NR",SUM(IF(B259&gt;=_xlfn.NUMBERVALUE('ZD Vorerfassung'!$C$22:$C$36),1,0)*IF(B259&lt;=_xlfn.NUMBERVALUE('ZD Vorerfassung'!$D$22:$D$36),1,0)*'ZD Vorerfassung'!$Q$22:$Q$36),
IF(OR(D259="SF",D259="FH"),SUM(IF(B259&gt;=_xlfn.NUMBERVALUE('ZD Vorerfassung'!$C$22:$C$36),1,0)*IF(B259&lt;=_xlfn.NUMBERVALUE('ZD Vorerfassung'!$D$22:$D$36),1,0)*'ZD Vorerfassung'!$R$22:$R$36*IF(D259="FH",0.5,1)),
"prüfen")))</f>
        <v>0</v>
      </c>
      <c r="AX259" s="110">
        <f t="array" ref="AX259">IF(OR(D259="UU",D259="FT",D259="WE",E259="Ferien"),0,
IF(D259="NR",SUM(IF(B259&gt;=_xlfn.NUMBERVALUE('ZD Vorerfassung'!$C$22:$C$36),1,0)*IF(B259&lt;=_xlfn.NUMBERVALUE('ZD Vorerfassung'!$D$22:$D$36),1,0)*'ZD Vorerfassung'!$W$22:$W$36),
IF(OR(D259="SF",D259="FH"),SUM(IF(B259&gt;=_xlfn.NUMBERVALUE('ZD Vorerfassung'!$C$22:$C$36),1,0)*IF(B259&lt;=_xlfn.NUMBERVALUE('ZD Vorerfassung'!$D$22:$D$36),1,0)*'ZD Vorerfassung'!$X$22:$X$36*IF(D259="FH",0.5,1)),
"prüfen")))</f>
        <v>0</v>
      </c>
      <c r="AY259" s="110">
        <f t="array" ref="AY259">IF(OR(D259="UU",D259="FT",D259="WE",E259="Ferien"),0,
IF(D259="NR",SUM(IF(B259&gt;=_xlfn.NUMBERVALUE('ZD Vorerfassung'!$C$22:$C$36),1,0)*IF(B259&lt;=_xlfn.NUMBERVALUE('ZD Vorerfassung'!$D$22:$D$36),1,0)*'ZD Vorerfassung'!$U$22:$U$36),
IF(OR(D259="SF",D259="FH"),SUM(IF(B259&gt;=_xlfn.NUMBERVALUE('ZD Vorerfassung'!$C$22:$C$36),1,0)*IF(B259&lt;=_xlfn.NUMBERVALUE('ZD Vorerfassung'!$D$22:$D$36),1,0)*'ZD Vorerfassung'!$V$22:$V$36*IF(D259="FH",0.5,1)),
"prüfen")))</f>
        <v>0</v>
      </c>
      <c r="AZ259" s="110">
        <f t="array" ref="AZ259">IF(OR(D259="UU",D259="FT",D259="WE",E259="Ferien"),0,
IF(D259="NR",SUM(IF(B259&gt;=_xlfn.NUMBERVALUE('ZD Vorerfassung'!$C$22:$C$36),1,0)*IF(B259&lt;=_xlfn.NUMBERVALUE('ZD Vorerfassung'!$D$22:$D$36),1,0)*'ZD Vorerfassung'!$S$22:$S$36),
IF(OR(D259="SF",D259="FH"),SUM(IF(B259&gt;=_xlfn.NUMBERVALUE('ZD Vorerfassung'!$C$22:$C$36),1,0)*IF(B259&lt;=_xlfn.NUMBERVALUE('ZD Vorerfassung'!$D$22:$D$36),1,0)*'ZD Vorerfassung'!$T$22:$T$36*IF(D259="FH",0.5,1)),
"prüfen")))</f>
        <v>0</v>
      </c>
      <c r="BA259" s="112">
        <f t="shared" si="44"/>
        <v>4</v>
      </c>
    </row>
    <row r="260" spans="2:53" ht="19.5" thickTop="1" thickBot="1" x14ac:dyDescent="0.3">
      <c r="B260" s="99">
        <f t="shared" si="41"/>
        <v>45025</v>
      </c>
      <c r="C260" s="100">
        <f t="shared" si="45"/>
        <v>45025</v>
      </c>
      <c r="D260" s="101" t="str">
        <f t="shared" si="46"/>
        <v>WE</v>
      </c>
      <c r="E260" s="102" t="str">
        <f t="shared" si="42"/>
        <v>Wochenende</v>
      </c>
      <c r="F260" s="103" t="str">
        <f t="shared" si="47"/>
        <v/>
      </c>
      <c r="G260" s="104" t="str">
        <f t="shared" si="48"/>
        <v/>
      </c>
      <c r="H260" s="104">
        <f>IFERROR(IF('ZD Vorerfassung'!$E$11="manuell",SUM(I260),IF(OR(E260="Feiertag",E260="Wochenende"),0,IF('ZD Vorerfassung'!$E$11="automatisch",AX260,IF(D260="UU","UU",IF(E260=Param2,AX260/24,IF(E260=Param9,AX260/48,"")))))),0)</f>
        <v>0</v>
      </c>
      <c r="I260" s="105"/>
      <c r="J260" s="106">
        <f>IF('ZD Vorerfassung'!$E$12="manuell",SUM(K260:AI260),IF(OR(E260="Feiertag",E260="Wochenende"),0,IF('ZD Vorerfassung'!$E$12="automatisch",AY260,IF(D260="UU","UU",IF(E260=Param2,AY260/24,IF(E260=Param9,AY260/48,""))))))</f>
        <v>0</v>
      </c>
      <c r="K260" s="105"/>
      <c r="L260" s="105"/>
      <c r="M260" s="105"/>
      <c r="N260" s="105"/>
      <c r="O260" s="105"/>
      <c r="P260" s="105"/>
      <c r="Q260" s="105"/>
      <c r="R260" s="105"/>
      <c r="S260" s="105"/>
      <c r="T260" s="105"/>
      <c r="U260" s="105"/>
      <c r="V260" s="105"/>
      <c r="W260" s="105"/>
      <c r="X260" s="105"/>
      <c r="Y260" s="105"/>
      <c r="Z260" s="105"/>
      <c r="AA260" s="105"/>
      <c r="AB260" s="105"/>
      <c r="AC260" s="105"/>
      <c r="AD260" s="105"/>
      <c r="AE260" s="105"/>
      <c r="AF260" s="105"/>
      <c r="AG260" s="105"/>
      <c r="AH260" s="105"/>
      <c r="AI260" s="105"/>
      <c r="AJ260" s="107">
        <f t="shared" si="49"/>
        <v>0</v>
      </c>
      <c r="AK260" s="105"/>
      <c r="AL260" s="105"/>
      <c r="AM260" s="105"/>
      <c r="AN260" s="105"/>
      <c r="AO260" s="105"/>
      <c r="AP260" s="105"/>
      <c r="AQ260" s="108">
        <f t="shared" si="50"/>
        <v>0</v>
      </c>
      <c r="AR260" s="108">
        <f t="shared" si="51"/>
        <v>0</v>
      </c>
      <c r="AS260" s="109">
        <f t="shared" si="52"/>
        <v>0</v>
      </c>
      <c r="AU260" s="110">
        <f t="shared" si="43"/>
        <v>0</v>
      </c>
      <c r="AV260" s="111" t="str">
        <f>IF(D260="NR",
IF('ZD Vorerfassung'!$E$22="",0,IF(AND(B260&gt;='ZD Vorerfassung'!$C$22,B260&lt;='ZD Vorerfassung'!$D$22),HLOOKUP(TEXT(C260,"ttt"),'ZD Vorerfassung'!$H$21:$L$36,2,0),0))+
IF('ZD Vorerfassung'!$E$23="",0,IF(AND(B260&gt;='ZD Vorerfassung'!$C$23,B260&lt;='ZD Vorerfassung'!$D$23),HLOOKUP(TEXT(C260,"ttt"),'ZD Vorerfassung'!$H$21:$L$36,3,0),0))+
IF('ZD Vorerfassung'!$E$24="",0,IF(AND(B260&gt;='ZD Vorerfassung'!$C$24,B260&lt;='ZD Vorerfassung'!$D$24),HLOOKUP(TEXT(C260,"ttt"),'ZD Vorerfassung'!$H$21:$L$36,4,0),0))+
IF('ZD Vorerfassung'!$E$25="",0,IF(AND(B260&gt;='ZD Vorerfassung'!$C$25,B260&lt;='ZD Vorerfassung'!$D$25),HLOOKUP(TEXT(C260,"ttt"),'ZD Vorerfassung'!$H$21:$L$36,5,0),0))+
IF('ZD Vorerfassung'!$E$26="",0,IF(AND(B260&gt;='ZD Vorerfassung'!$C$26,B260&lt;='ZD Vorerfassung'!$D$26),HLOOKUP(TEXT(C260,"ttt"),'ZD Vorerfassung'!$H$21:$L$36,6,0),0))+
IF('ZD Vorerfassung'!$E$27="",0,IF(AND(B260&gt;='ZD Vorerfassung'!$C$27,B260&lt;='ZD Vorerfassung'!$D$27),HLOOKUP(TEXT(C260,"ttt"),'ZD Vorerfassung'!$H$21:$L$36,7,0),0))+
IF('ZD Vorerfassung'!$E$28="",0,IF(AND(B260&gt;='ZD Vorerfassung'!$C$28,B260&lt;='ZD Vorerfassung'!$D$28),HLOOKUP(TEXT(C260,"ttt"),'ZD Vorerfassung'!$H$21:$L$36,8,0),0))+
IF('ZD Vorerfassung'!$E$29="",0,IF(AND(B260&gt;='ZD Vorerfassung'!$C$29,B260&lt;='ZD Vorerfassung'!$D$29),HLOOKUP(TEXT(C260,"ttt"),'ZD Vorerfassung'!$H$21:$L$36,9,0),0))+
IF('ZD Vorerfassung'!$E$30="",0,IF(AND(B260&gt;='ZD Vorerfassung'!$C$30,B260&lt;='ZD Vorerfassung'!$D$30),HLOOKUP(TEXT(C260,"ttt"),'ZD Vorerfassung'!$H$21:$L$36,10,0),0))+
IF('ZD Vorerfassung'!$E$31="",0,IF(AND(B260&gt;='ZD Vorerfassung'!$C$31,B260&lt;='ZD Vorerfassung'!$D$31),HLOOKUP(TEXT(C260,"ttt"),'ZD Vorerfassung'!$H$21:$L$36,11,0),0))+
IF('ZD Vorerfassung'!$E$32="",0,IF(AND(B260&gt;='ZD Vorerfassung'!$C$32,B260&lt;='ZD Vorerfassung'!$D$32),HLOOKUP(TEXT(C260,"ttt"),'ZD Vorerfassung'!$H$21:$L$36,12,0),0))+
IF('ZD Vorerfassung'!$E$33="",0,IF(AND(B260&gt;='ZD Vorerfassung'!$C$33,B260&lt;='ZD Vorerfassung'!$D$33),HLOOKUP(TEXT(C260,"ttt"),'ZD Vorerfassung'!$H$21:$L$36,13,0),0))+
IF('ZD Vorerfassung'!$E$34="",0,IF(AND(B260&gt;='ZD Vorerfassung'!$C$34,B260&lt;='ZD Vorerfassung'!$D$34),HLOOKUP(TEXT(C260,"ttt"),'ZD Vorerfassung'!$H$21:$L$36,14,0),0))+
IF('ZD Vorerfassung'!$E$35="",0,IF(AND(B260&gt;='ZD Vorerfassung'!$C$35,B260&lt;='ZD Vorerfassung'!$D$35),HLOOKUP(TEXT(C260,"ttt"),'ZD Vorerfassung'!$H$21:$L$36,15,0),0))+
IF('ZD Vorerfassung'!$E$36="",0,IF(AND(B260&gt;='ZD Vorerfassung'!$C$36,B260&lt;='ZD Vorerfassung'!$D$36),HLOOKUP(TEXT(C260,"ttt"),'ZD Vorerfassung'!$H$21:$L$36,16,0),0)),"")</f>
        <v/>
      </c>
      <c r="AW260" s="110">
        <f t="array" ref="AW260">IF(OR(D260="UU",D260="FT",D260="WE"),0,
IF(D260="NR",SUM(IF(B260&gt;=_xlfn.NUMBERVALUE('ZD Vorerfassung'!$C$22:$C$36),1,0)*IF(B260&lt;=_xlfn.NUMBERVALUE('ZD Vorerfassung'!$D$22:$D$36),1,0)*'ZD Vorerfassung'!$Q$22:$Q$36),
IF(OR(D260="SF",D260="FH"),SUM(IF(B260&gt;=_xlfn.NUMBERVALUE('ZD Vorerfassung'!$C$22:$C$36),1,0)*IF(B260&lt;=_xlfn.NUMBERVALUE('ZD Vorerfassung'!$D$22:$D$36),1,0)*'ZD Vorerfassung'!$R$22:$R$36*IF(D260="FH",0.5,1)),
"prüfen")))</f>
        <v>0</v>
      </c>
      <c r="AX260" s="110">
        <f t="array" ref="AX260">IF(OR(D260="UU",D260="FT",D260="WE",E260="Ferien"),0,
IF(D260="NR",SUM(IF(B260&gt;=_xlfn.NUMBERVALUE('ZD Vorerfassung'!$C$22:$C$36),1,0)*IF(B260&lt;=_xlfn.NUMBERVALUE('ZD Vorerfassung'!$D$22:$D$36),1,0)*'ZD Vorerfassung'!$W$22:$W$36),
IF(OR(D260="SF",D260="FH"),SUM(IF(B260&gt;=_xlfn.NUMBERVALUE('ZD Vorerfassung'!$C$22:$C$36),1,0)*IF(B260&lt;=_xlfn.NUMBERVALUE('ZD Vorerfassung'!$D$22:$D$36),1,0)*'ZD Vorerfassung'!$X$22:$X$36*IF(D260="FH",0.5,1)),
"prüfen")))</f>
        <v>0</v>
      </c>
      <c r="AY260" s="110">
        <f t="array" ref="AY260">IF(OR(D260="UU",D260="FT",D260="WE",E260="Ferien"),0,
IF(D260="NR",SUM(IF(B260&gt;=_xlfn.NUMBERVALUE('ZD Vorerfassung'!$C$22:$C$36),1,0)*IF(B260&lt;=_xlfn.NUMBERVALUE('ZD Vorerfassung'!$D$22:$D$36),1,0)*'ZD Vorerfassung'!$U$22:$U$36),
IF(OR(D260="SF",D260="FH"),SUM(IF(B260&gt;=_xlfn.NUMBERVALUE('ZD Vorerfassung'!$C$22:$C$36),1,0)*IF(B260&lt;=_xlfn.NUMBERVALUE('ZD Vorerfassung'!$D$22:$D$36),1,0)*'ZD Vorerfassung'!$V$22:$V$36*IF(D260="FH",0.5,1)),
"prüfen")))</f>
        <v>0</v>
      </c>
      <c r="AZ260" s="110">
        <f t="array" ref="AZ260">IF(OR(D260="UU",D260="FT",D260="WE",E260="Ferien"),0,
IF(D260="NR",SUM(IF(B260&gt;=_xlfn.NUMBERVALUE('ZD Vorerfassung'!$C$22:$C$36),1,0)*IF(B260&lt;=_xlfn.NUMBERVALUE('ZD Vorerfassung'!$D$22:$D$36),1,0)*'ZD Vorerfassung'!$S$22:$S$36),
IF(OR(D260="SF",D260="FH"),SUM(IF(B260&gt;=_xlfn.NUMBERVALUE('ZD Vorerfassung'!$C$22:$C$36),1,0)*IF(B260&lt;=_xlfn.NUMBERVALUE('ZD Vorerfassung'!$D$22:$D$36),1,0)*'ZD Vorerfassung'!$T$22:$T$36*IF(D260="FH",0.5,1)),
"prüfen")))</f>
        <v>0</v>
      </c>
      <c r="BA260" s="112">
        <f t="shared" si="44"/>
        <v>4</v>
      </c>
    </row>
    <row r="261" spans="2:53" ht="19.5" thickTop="1" thickBot="1" x14ac:dyDescent="0.3">
      <c r="B261" s="99">
        <f t="shared" si="41"/>
        <v>45026</v>
      </c>
      <c r="C261" s="100">
        <f t="shared" si="45"/>
        <v>45026</v>
      </c>
      <c r="D261" s="101" t="str">
        <f t="shared" si="46"/>
        <v>WE</v>
      </c>
      <c r="E261" s="102" t="str">
        <f t="shared" si="42"/>
        <v>Wochenende</v>
      </c>
      <c r="F261" s="103" t="str">
        <f t="shared" si="47"/>
        <v/>
      </c>
      <c r="G261" s="104" t="str">
        <f t="shared" si="48"/>
        <v/>
      </c>
      <c r="H261" s="104">
        <f>IFERROR(IF('ZD Vorerfassung'!$E$11="manuell",SUM(I261),IF(OR(E261="Feiertag",E261="Wochenende"),0,IF('ZD Vorerfassung'!$E$11="automatisch",AX261,IF(D261="UU","UU",IF(E261=Param2,AX261/24,IF(E261=Param9,AX261/48,"")))))),0)</f>
        <v>0</v>
      </c>
      <c r="I261" s="105"/>
      <c r="J261" s="106">
        <f>IF('ZD Vorerfassung'!$E$12="manuell",SUM(K261:AI261),IF(OR(E261="Feiertag",E261="Wochenende"),0,IF('ZD Vorerfassung'!$E$12="automatisch",AY261,IF(D261="UU","UU",IF(E261=Param2,AY261/24,IF(E261=Param9,AY261/48,""))))))</f>
        <v>0</v>
      </c>
      <c r="K261" s="105"/>
      <c r="L261" s="105"/>
      <c r="M261" s="105"/>
      <c r="N261" s="105"/>
      <c r="O261" s="105"/>
      <c r="P261" s="105"/>
      <c r="Q261" s="105"/>
      <c r="R261" s="105"/>
      <c r="S261" s="105"/>
      <c r="T261" s="105"/>
      <c r="U261" s="105"/>
      <c r="V261" s="105"/>
      <c r="W261" s="105"/>
      <c r="X261" s="105"/>
      <c r="Y261" s="105"/>
      <c r="Z261" s="105"/>
      <c r="AA261" s="105"/>
      <c r="AB261" s="105"/>
      <c r="AC261" s="105"/>
      <c r="AD261" s="105"/>
      <c r="AE261" s="105"/>
      <c r="AF261" s="105"/>
      <c r="AG261" s="105"/>
      <c r="AH261" s="105"/>
      <c r="AI261" s="105"/>
      <c r="AJ261" s="107">
        <f t="shared" si="49"/>
        <v>0</v>
      </c>
      <c r="AK261" s="105"/>
      <c r="AL261" s="105"/>
      <c r="AM261" s="105"/>
      <c r="AN261" s="105"/>
      <c r="AO261" s="105"/>
      <c r="AP261" s="105"/>
      <c r="AQ261" s="108">
        <f t="shared" si="50"/>
        <v>0</v>
      </c>
      <c r="AR261" s="108">
        <f t="shared" si="51"/>
        <v>0</v>
      </c>
      <c r="AS261" s="109">
        <f t="shared" si="52"/>
        <v>0</v>
      </c>
      <c r="AU261" s="110">
        <f t="shared" si="43"/>
        <v>0</v>
      </c>
      <c r="AV261" s="111" t="str">
        <f>IF(D261="NR",
IF('ZD Vorerfassung'!$E$22="",0,IF(AND(B261&gt;='ZD Vorerfassung'!$C$22,B261&lt;='ZD Vorerfassung'!$D$22),HLOOKUP(TEXT(C261,"ttt"),'ZD Vorerfassung'!$H$21:$L$36,2,0),0))+
IF('ZD Vorerfassung'!$E$23="",0,IF(AND(B261&gt;='ZD Vorerfassung'!$C$23,B261&lt;='ZD Vorerfassung'!$D$23),HLOOKUP(TEXT(C261,"ttt"),'ZD Vorerfassung'!$H$21:$L$36,3,0),0))+
IF('ZD Vorerfassung'!$E$24="",0,IF(AND(B261&gt;='ZD Vorerfassung'!$C$24,B261&lt;='ZD Vorerfassung'!$D$24),HLOOKUP(TEXT(C261,"ttt"),'ZD Vorerfassung'!$H$21:$L$36,4,0),0))+
IF('ZD Vorerfassung'!$E$25="",0,IF(AND(B261&gt;='ZD Vorerfassung'!$C$25,B261&lt;='ZD Vorerfassung'!$D$25),HLOOKUP(TEXT(C261,"ttt"),'ZD Vorerfassung'!$H$21:$L$36,5,0),0))+
IF('ZD Vorerfassung'!$E$26="",0,IF(AND(B261&gt;='ZD Vorerfassung'!$C$26,B261&lt;='ZD Vorerfassung'!$D$26),HLOOKUP(TEXT(C261,"ttt"),'ZD Vorerfassung'!$H$21:$L$36,6,0),0))+
IF('ZD Vorerfassung'!$E$27="",0,IF(AND(B261&gt;='ZD Vorerfassung'!$C$27,B261&lt;='ZD Vorerfassung'!$D$27),HLOOKUP(TEXT(C261,"ttt"),'ZD Vorerfassung'!$H$21:$L$36,7,0),0))+
IF('ZD Vorerfassung'!$E$28="",0,IF(AND(B261&gt;='ZD Vorerfassung'!$C$28,B261&lt;='ZD Vorerfassung'!$D$28),HLOOKUP(TEXT(C261,"ttt"),'ZD Vorerfassung'!$H$21:$L$36,8,0),0))+
IF('ZD Vorerfassung'!$E$29="",0,IF(AND(B261&gt;='ZD Vorerfassung'!$C$29,B261&lt;='ZD Vorerfassung'!$D$29),HLOOKUP(TEXT(C261,"ttt"),'ZD Vorerfassung'!$H$21:$L$36,9,0),0))+
IF('ZD Vorerfassung'!$E$30="",0,IF(AND(B261&gt;='ZD Vorerfassung'!$C$30,B261&lt;='ZD Vorerfassung'!$D$30),HLOOKUP(TEXT(C261,"ttt"),'ZD Vorerfassung'!$H$21:$L$36,10,0),0))+
IF('ZD Vorerfassung'!$E$31="",0,IF(AND(B261&gt;='ZD Vorerfassung'!$C$31,B261&lt;='ZD Vorerfassung'!$D$31),HLOOKUP(TEXT(C261,"ttt"),'ZD Vorerfassung'!$H$21:$L$36,11,0),0))+
IF('ZD Vorerfassung'!$E$32="",0,IF(AND(B261&gt;='ZD Vorerfassung'!$C$32,B261&lt;='ZD Vorerfassung'!$D$32),HLOOKUP(TEXT(C261,"ttt"),'ZD Vorerfassung'!$H$21:$L$36,12,0),0))+
IF('ZD Vorerfassung'!$E$33="",0,IF(AND(B261&gt;='ZD Vorerfassung'!$C$33,B261&lt;='ZD Vorerfassung'!$D$33),HLOOKUP(TEXT(C261,"ttt"),'ZD Vorerfassung'!$H$21:$L$36,13,0),0))+
IF('ZD Vorerfassung'!$E$34="",0,IF(AND(B261&gt;='ZD Vorerfassung'!$C$34,B261&lt;='ZD Vorerfassung'!$D$34),HLOOKUP(TEXT(C261,"ttt"),'ZD Vorerfassung'!$H$21:$L$36,14,0),0))+
IF('ZD Vorerfassung'!$E$35="",0,IF(AND(B261&gt;='ZD Vorerfassung'!$C$35,B261&lt;='ZD Vorerfassung'!$D$35),HLOOKUP(TEXT(C261,"ttt"),'ZD Vorerfassung'!$H$21:$L$36,15,0),0))+
IF('ZD Vorerfassung'!$E$36="",0,IF(AND(B261&gt;='ZD Vorerfassung'!$C$36,B261&lt;='ZD Vorerfassung'!$D$36),HLOOKUP(TEXT(C261,"ttt"),'ZD Vorerfassung'!$H$21:$L$36,16,0),0)),"")</f>
        <v/>
      </c>
      <c r="AW261" s="110">
        <f t="array" ref="AW261">IF(OR(D261="UU",D261="FT",D261="WE"),0,
IF(D261="NR",SUM(IF(B261&gt;=_xlfn.NUMBERVALUE('ZD Vorerfassung'!$C$22:$C$36),1,0)*IF(B261&lt;=_xlfn.NUMBERVALUE('ZD Vorerfassung'!$D$22:$D$36),1,0)*'ZD Vorerfassung'!$Q$22:$Q$36),
IF(OR(D261="SF",D261="FH"),SUM(IF(B261&gt;=_xlfn.NUMBERVALUE('ZD Vorerfassung'!$C$22:$C$36),1,0)*IF(B261&lt;=_xlfn.NUMBERVALUE('ZD Vorerfassung'!$D$22:$D$36),1,0)*'ZD Vorerfassung'!$R$22:$R$36*IF(D261="FH",0.5,1)),
"prüfen")))</f>
        <v>0</v>
      </c>
      <c r="AX261" s="110">
        <f t="array" ref="AX261">IF(OR(D261="UU",D261="FT",D261="WE",E261="Ferien"),0,
IF(D261="NR",SUM(IF(B261&gt;=_xlfn.NUMBERVALUE('ZD Vorerfassung'!$C$22:$C$36),1,0)*IF(B261&lt;=_xlfn.NUMBERVALUE('ZD Vorerfassung'!$D$22:$D$36),1,0)*'ZD Vorerfassung'!$W$22:$W$36),
IF(OR(D261="SF",D261="FH"),SUM(IF(B261&gt;=_xlfn.NUMBERVALUE('ZD Vorerfassung'!$C$22:$C$36),1,0)*IF(B261&lt;=_xlfn.NUMBERVALUE('ZD Vorerfassung'!$D$22:$D$36),1,0)*'ZD Vorerfassung'!$X$22:$X$36*IF(D261="FH",0.5,1)),
"prüfen")))</f>
        <v>0</v>
      </c>
      <c r="AY261" s="110">
        <f t="array" ref="AY261">IF(OR(D261="UU",D261="FT",D261="WE",E261="Ferien"),0,
IF(D261="NR",SUM(IF(B261&gt;=_xlfn.NUMBERVALUE('ZD Vorerfassung'!$C$22:$C$36),1,0)*IF(B261&lt;=_xlfn.NUMBERVALUE('ZD Vorerfassung'!$D$22:$D$36),1,0)*'ZD Vorerfassung'!$U$22:$U$36),
IF(OR(D261="SF",D261="FH"),SUM(IF(B261&gt;=_xlfn.NUMBERVALUE('ZD Vorerfassung'!$C$22:$C$36),1,0)*IF(B261&lt;=_xlfn.NUMBERVALUE('ZD Vorerfassung'!$D$22:$D$36),1,0)*'ZD Vorerfassung'!$V$22:$V$36*IF(D261="FH",0.5,1)),
"prüfen")))</f>
        <v>0</v>
      </c>
      <c r="AZ261" s="110">
        <f t="array" ref="AZ261">IF(OR(D261="UU",D261="FT",D261="WE",E261="Ferien"),0,
IF(D261="NR",SUM(IF(B261&gt;=_xlfn.NUMBERVALUE('ZD Vorerfassung'!$C$22:$C$36),1,0)*IF(B261&lt;=_xlfn.NUMBERVALUE('ZD Vorerfassung'!$D$22:$D$36),1,0)*'ZD Vorerfassung'!$S$22:$S$36),
IF(OR(D261="SF",D261="FH"),SUM(IF(B261&gt;=_xlfn.NUMBERVALUE('ZD Vorerfassung'!$C$22:$C$36),1,0)*IF(B261&lt;=_xlfn.NUMBERVALUE('ZD Vorerfassung'!$D$22:$D$36),1,0)*'ZD Vorerfassung'!$T$22:$T$36*IF(D261="FH",0.5,1)),
"prüfen")))</f>
        <v>0</v>
      </c>
      <c r="BA261" s="112">
        <f t="shared" si="44"/>
        <v>4</v>
      </c>
    </row>
    <row r="262" spans="2:53" ht="19.5" thickTop="1" thickBot="1" x14ac:dyDescent="0.3">
      <c r="B262" s="99">
        <f t="shared" si="41"/>
        <v>45027</v>
      </c>
      <c r="C262" s="100">
        <f t="shared" si="45"/>
        <v>45027</v>
      </c>
      <c r="D262" s="101" t="str">
        <f t="shared" si="46"/>
        <v>NR</v>
      </c>
      <c r="E262" s="102" t="str">
        <f t="shared" si="42"/>
        <v>Unterrichtstag</v>
      </c>
      <c r="F262" s="103">
        <f t="shared" si="47"/>
        <v>0</v>
      </c>
      <c r="G262" s="104">
        <f t="shared" si="48"/>
        <v>0</v>
      </c>
      <c r="H262" s="104">
        <f>IFERROR(IF('ZD Vorerfassung'!$E$11="manuell",SUM(I262),IF(OR(E262="Feiertag",E262="Wochenende"),0,IF('ZD Vorerfassung'!$E$11="automatisch",AX262,IF(D262="UU","UU",IF(E262=Param2,AX262/24,IF(E262=Param9,AX262/48,"")))))),0)</f>
        <v>0</v>
      </c>
      <c r="I262" s="105"/>
      <c r="J262" s="106">
        <f>IF('ZD Vorerfassung'!$E$12="manuell",SUM(K262:AI262),IF(OR(E262="Feiertag",E262="Wochenende"),0,IF('ZD Vorerfassung'!$E$12="automatisch",AY262,IF(D262="UU","UU",IF(E262=Param2,AY262/24,IF(E262=Param9,AY262/48,""))))))</f>
        <v>0</v>
      </c>
      <c r="K262" s="105"/>
      <c r="L262" s="105"/>
      <c r="M262" s="105"/>
      <c r="N262" s="105"/>
      <c r="O262" s="105"/>
      <c r="P262" s="105"/>
      <c r="Q262" s="105"/>
      <c r="R262" s="105"/>
      <c r="S262" s="105"/>
      <c r="T262" s="105"/>
      <c r="U262" s="105"/>
      <c r="V262" s="105"/>
      <c r="W262" s="105"/>
      <c r="X262" s="105"/>
      <c r="Y262" s="105"/>
      <c r="Z262" s="105"/>
      <c r="AA262" s="105"/>
      <c r="AB262" s="105"/>
      <c r="AC262" s="105"/>
      <c r="AD262" s="105"/>
      <c r="AE262" s="105"/>
      <c r="AF262" s="105"/>
      <c r="AG262" s="105"/>
      <c r="AH262" s="105"/>
      <c r="AI262" s="105"/>
      <c r="AJ262" s="107">
        <f t="shared" si="49"/>
        <v>0</v>
      </c>
      <c r="AK262" s="105"/>
      <c r="AL262" s="105"/>
      <c r="AM262" s="105"/>
      <c r="AN262" s="105"/>
      <c r="AO262" s="105"/>
      <c r="AP262" s="105"/>
      <c r="AQ262" s="108">
        <f t="shared" si="50"/>
        <v>0</v>
      </c>
      <c r="AR262" s="108">
        <f t="shared" si="51"/>
        <v>0</v>
      </c>
      <c r="AS262" s="109">
        <f t="shared" si="52"/>
        <v>0</v>
      </c>
      <c r="AU262" s="110">
        <f t="shared" si="43"/>
        <v>0</v>
      </c>
      <c r="AV262" s="111">
        <f>IF(D262="NR",
IF('ZD Vorerfassung'!$E$22="",0,IF(AND(B262&gt;='ZD Vorerfassung'!$C$22,B262&lt;='ZD Vorerfassung'!$D$22),HLOOKUP(TEXT(C262,"ttt"),'ZD Vorerfassung'!$H$21:$L$36,2,0),0))+
IF('ZD Vorerfassung'!$E$23="",0,IF(AND(B262&gt;='ZD Vorerfassung'!$C$23,B262&lt;='ZD Vorerfassung'!$D$23),HLOOKUP(TEXT(C262,"ttt"),'ZD Vorerfassung'!$H$21:$L$36,3,0),0))+
IF('ZD Vorerfassung'!$E$24="",0,IF(AND(B262&gt;='ZD Vorerfassung'!$C$24,B262&lt;='ZD Vorerfassung'!$D$24),HLOOKUP(TEXT(C262,"ttt"),'ZD Vorerfassung'!$H$21:$L$36,4,0),0))+
IF('ZD Vorerfassung'!$E$25="",0,IF(AND(B262&gt;='ZD Vorerfassung'!$C$25,B262&lt;='ZD Vorerfassung'!$D$25),HLOOKUP(TEXT(C262,"ttt"),'ZD Vorerfassung'!$H$21:$L$36,5,0),0))+
IF('ZD Vorerfassung'!$E$26="",0,IF(AND(B262&gt;='ZD Vorerfassung'!$C$26,B262&lt;='ZD Vorerfassung'!$D$26),HLOOKUP(TEXT(C262,"ttt"),'ZD Vorerfassung'!$H$21:$L$36,6,0),0))+
IF('ZD Vorerfassung'!$E$27="",0,IF(AND(B262&gt;='ZD Vorerfassung'!$C$27,B262&lt;='ZD Vorerfassung'!$D$27),HLOOKUP(TEXT(C262,"ttt"),'ZD Vorerfassung'!$H$21:$L$36,7,0),0))+
IF('ZD Vorerfassung'!$E$28="",0,IF(AND(B262&gt;='ZD Vorerfassung'!$C$28,B262&lt;='ZD Vorerfassung'!$D$28),HLOOKUP(TEXT(C262,"ttt"),'ZD Vorerfassung'!$H$21:$L$36,8,0),0))+
IF('ZD Vorerfassung'!$E$29="",0,IF(AND(B262&gt;='ZD Vorerfassung'!$C$29,B262&lt;='ZD Vorerfassung'!$D$29),HLOOKUP(TEXT(C262,"ttt"),'ZD Vorerfassung'!$H$21:$L$36,9,0),0))+
IF('ZD Vorerfassung'!$E$30="",0,IF(AND(B262&gt;='ZD Vorerfassung'!$C$30,B262&lt;='ZD Vorerfassung'!$D$30),HLOOKUP(TEXT(C262,"ttt"),'ZD Vorerfassung'!$H$21:$L$36,10,0),0))+
IF('ZD Vorerfassung'!$E$31="",0,IF(AND(B262&gt;='ZD Vorerfassung'!$C$31,B262&lt;='ZD Vorerfassung'!$D$31),HLOOKUP(TEXT(C262,"ttt"),'ZD Vorerfassung'!$H$21:$L$36,11,0),0))+
IF('ZD Vorerfassung'!$E$32="",0,IF(AND(B262&gt;='ZD Vorerfassung'!$C$32,B262&lt;='ZD Vorerfassung'!$D$32),HLOOKUP(TEXT(C262,"ttt"),'ZD Vorerfassung'!$H$21:$L$36,12,0),0))+
IF('ZD Vorerfassung'!$E$33="",0,IF(AND(B262&gt;='ZD Vorerfassung'!$C$33,B262&lt;='ZD Vorerfassung'!$D$33),HLOOKUP(TEXT(C262,"ttt"),'ZD Vorerfassung'!$H$21:$L$36,13,0),0))+
IF('ZD Vorerfassung'!$E$34="",0,IF(AND(B262&gt;='ZD Vorerfassung'!$C$34,B262&lt;='ZD Vorerfassung'!$D$34),HLOOKUP(TEXT(C262,"ttt"),'ZD Vorerfassung'!$H$21:$L$36,14,0),0))+
IF('ZD Vorerfassung'!$E$35="",0,IF(AND(B262&gt;='ZD Vorerfassung'!$C$35,B262&lt;='ZD Vorerfassung'!$D$35),HLOOKUP(TEXT(C262,"ttt"),'ZD Vorerfassung'!$H$21:$L$36,15,0),0))+
IF('ZD Vorerfassung'!$E$36="",0,IF(AND(B262&gt;='ZD Vorerfassung'!$C$36,B262&lt;='ZD Vorerfassung'!$D$36),HLOOKUP(TEXT(C262,"ttt"),'ZD Vorerfassung'!$H$21:$L$36,16,0),0)),"")</f>
        <v>0</v>
      </c>
      <c r="AW262" s="110">
        <f t="array" ref="AW262">IF(OR(D262="UU",D262="FT",D262="WE"),0,
IF(D262="NR",SUM(IF(B262&gt;=_xlfn.NUMBERVALUE('ZD Vorerfassung'!$C$22:$C$36),1,0)*IF(B262&lt;=_xlfn.NUMBERVALUE('ZD Vorerfassung'!$D$22:$D$36),1,0)*'ZD Vorerfassung'!$Q$22:$Q$36),
IF(OR(D262="SF",D262="FH"),SUM(IF(B262&gt;=_xlfn.NUMBERVALUE('ZD Vorerfassung'!$C$22:$C$36),1,0)*IF(B262&lt;=_xlfn.NUMBERVALUE('ZD Vorerfassung'!$D$22:$D$36),1,0)*'ZD Vorerfassung'!$R$22:$R$36*IF(D262="FH",0.5,1)),
"prüfen")))</f>
        <v>0</v>
      </c>
      <c r="AX262" s="110">
        <f t="array" ref="AX262">IF(OR(D262="UU",D262="FT",D262="WE",E262="Ferien"),0,
IF(D262="NR",SUM(IF(B262&gt;=_xlfn.NUMBERVALUE('ZD Vorerfassung'!$C$22:$C$36),1,0)*IF(B262&lt;=_xlfn.NUMBERVALUE('ZD Vorerfassung'!$D$22:$D$36),1,0)*'ZD Vorerfassung'!$W$22:$W$36),
IF(OR(D262="SF",D262="FH"),SUM(IF(B262&gt;=_xlfn.NUMBERVALUE('ZD Vorerfassung'!$C$22:$C$36),1,0)*IF(B262&lt;=_xlfn.NUMBERVALUE('ZD Vorerfassung'!$D$22:$D$36),1,0)*'ZD Vorerfassung'!$X$22:$X$36*IF(D262="FH",0.5,1)),
"prüfen")))</f>
        <v>0</v>
      </c>
      <c r="AY262" s="110">
        <f t="array" ref="AY262">IF(OR(D262="UU",D262="FT",D262="WE",E262="Ferien"),0,
IF(D262="NR",SUM(IF(B262&gt;=_xlfn.NUMBERVALUE('ZD Vorerfassung'!$C$22:$C$36),1,0)*IF(B262&lt;=_xlfn.NUMBERVALUE('ZD Vorerfassung'!$D$22:$D$36),1,0)*'ZD Vorerfassung'!$U$22:$U$36),
IF(OR(D262="SF",D262="FH"),SUM(IF(B262&gt;=_xlfn.NUMBERVALUE('ZD Vorerfassung'!$C$22:$C$36),1,0)*IF(B262&lt;=_xlfn.NUMBERVALUE('ZD Vorerfassung'!$D$22:$D$36),1,0)*'ZD Vorerfassung'!$V$22:$V$36*IF(D262="FH",0.5,1)),
"prüfen")))</f>
        <v>0</v>
      </c>
      <c r="AZ262" s="110">
        <f t="array" ref="AZ262">IF(OR(D262="UU",D262="FT",D262="WE",E262="Ferien"),0,
IF(D262="NR",SUM(IF(B262&gt;=_xlfn.NUMBERVALUE('ZD Vorerfassung'!$C$22:$C$36),1,0)*IF(B262&lt;=_xlfn.NUMBERVALUE('ZD Vorerfassung'!$D$22:$D$36),1,0)*'ZD Vorerfassung'!$S$22:$S$36),
IF(OR(D262="SF",D262="FH"),SUM(IF(B262&gt;=_xlfn.NUMBERVALUE('ZD Vorerfassung'!$C$22:$C$36),1,0)*IF(B262&lt;=_xlfn.NUMBERVALUE('ZD Vorerfassung'!$D$22:$D$36),1,0)*'ZD Vorerfassung'!$T$22:$T$36*IF(D262="FH",0.5,1)),
"prüfen")))</f>
        <v>0</v>
      </c>
      <c r="BA262" s="112">
        <f t="shared" si="44"/>
        <v>4</v>
      </c>
    </row>
    <row r="263" spans="2:53" ht="19.5" thickTop="1" thickBot="1" x14ac:dyDescent="0.3">
      <c r="B263" s="99">
        <f t="shared" si="41"/>
        <v>45028</v>
      </c>
      <c r="C263" s="100">
        <f t="shared" si="45"/>
        <v>45028</v>
      </c>
      <c r="D263" s="101" t="str">
        <f t="shared" si="46"/>
        <v>NR</v>
      </c>
      <c r="E263" s="102" t="str">
        <f t="shared" si="42"/>
        <v>Unterrichtstag</v>
      </c>
      <c r="F263" s="103">
        <f t="shared" si="47"/>
        <v>0</v>
      </c>
      <c r="G263" s="104">
        <f t="shared" si="48"/>
        <v>0</v>
      </c>
      <c r="H263" s="104">
        <f>IFERROR(IF('ZD Vorerfassung'!$E$11="manuell",SUM(I263),IF(OR(E263="Feiertag",E263="Wochenende"),0,IF('ZD Vorerfassung'!$E$11="automatisch",AX263,IF(D263="UU","UU",IF(E263=Param2,AX263/24,IF(E263=Param9,AX263/48,"")))))),0)</f>
        <v>0</v>
      </c>
      <c r="I263" s="105"/>
      <c r="J263" s="106">
        <f>IF('ZD Vorerfassung'!$E$12="manuell",SUM(K263:AI263),IF(OR(E263="Feiertag",E263="Wochenende"),0,IF('ZD Vorerfassung'!$E$12="automatisch",AY263,IF(D263="UU","UU",IF(E263=Param2,AY263/24,IF(E263=Param9,AY263/48,""))))))</f>
        <v>0</v>
      </c>
      <c r="K263" s="105"/>
      <c r="L263" s="105"/>
      <c r="M263" s="105"/>
      <c r="N263" s="105"/>
      <c r="O263" s="105"/>
      <c r="P263" s="105"/>
      <c r="Q263" s="105"/>
      <c r="R263" s="105"/>
      <c r="S263" s="105"/>
      <c r="T263" s="105"/>
      <c r="U263" s="105"/>
      <c r="V263" s="105"/>
      <c r="W263" s="105"/>
      <c r="X263" s="105"/>
      <c r="Y263" s="105"/>
      <c r="Z263" s="105"/>
      <c r="AA263" s="105"/>
      <c r="AB263" s="105"/>
      <c r="AC263" s="105"/>
      <c r="AD263" s="105"/>
      <c r="AE263" s="105"/>
      <c r="AF263" s="105"/>
      <c r="AG263" s="105"/>
      <c r="AH263" s="105"/>
      <c r="AI263" s="105"/>
      <c r="AJ263" s="107">
        <f t="shared" si="49"/>
        <v>0</v>
      </c>
      <c r="AK263" s="105"/>
      <c r="AL263" s="105"/>
      <c r="AM263" s="105"/>
      <c r="AN263" s="105"/>
      <c r="AO263" s="105"/>
      <c r="AP263" s="105"/>
      <c r="AQ263" s="108">
        <f t="shared" si="50"/>
        <v>0</v>
      </c>
      <c r="AR263" s="108">
        <f t="shared" si="51"/>
        <v>0</v>
      </c>
      <c r="AS263" s="109">
        <f t="shared" si="52"/>
        <v>0</v>
      </c>
      <c r="AU263" s="110">
        <f t="shared" si="43"/>
        <v>0</v>
      </c>
      <c r="AV263" s="111">
        <f>IF(D263="NR",
IF('ZD Vorerfassung'!$E$22="",0,IF(AND(B263&gt;='ZD Vorerfassung'!$C$22,B263&lt;='ZD Vorerfassung'!$D$22),HLOOKUP(TEXT(C263,"ttt"),'ZD Vorerfassung'!$H$21:$L$36,2,0),0))+
IF('ZD Vorerfassung'!$E$23="",0,IF(AND(B263&gt;='ZD Vorerfassung'!$C$23,B263&lt;='ZD Vorerfassung'!$D$23),HLOOKUP(TEXT(C263,"ttt"),'ZD Vorerfassung'!$H$21:$L$36,3,0),0))+
IF('ZD Vorerfassung'!$E$24="",0,IF(AND(B263&gt;='ZD Vorerfassung'!$C$24,B263&lt;='ZD Vorerfassung'!$D$24),HLOOKUP(TEXT(C263,"ttt"),'ZD Vorerfassung'!$H$21:$L$36,4,0),0))+
IF('ZD Vorerfassung'!$E$25="",0,IF(AND(B263&gt;='ZD Vorerfassung'!$C$25,B263&lt;='ZD Vorerfassung'!$D$25),HLOOKUP(TEXT(C263,"ttt"),'ZD Vorerfassung'!$H$21:$L$36,5,0),0))+
IF('ZD Vorerfassung'!$E$26="",0,IF(AND(B263&gt;='ZD Vorerfassung'!$C$26,B263&lt;='ZD Vorerfassung'!$D$26),HLOOKUP(TEXT(C263,"ttt"),'ZD Vorerfassung'!$H$21:$L$36,6,0),0))+
IF('ZD Vorerfassung'!$E$27="",0,IF(AND(B263&gt;='ZD Vorerfassung'!$C$27,B263&lt;='ZD Vorerfassung'!$D$27),HLOOKUP(TEXT(C263,"ttt"),'ZD Vorerfassung'!$H$21:$L$36,7,0),0))+
IF('ZD Vorerfassung'!$E$28="",0,IF(AND(B263&gt;='ZD Vorerfassung'!$C$28,B263&lt;='ZD Vorerfassung'!$D$28),HLOOKUP(TEXT(C263,"ttt"),'ZD Vorerfassung'!$H$21:$L$36,8,0),0))+
IF('ZD Vorerfassung'!$E$29="",0,IF(AND(B263&gt;='ZD Vorerfassung'!$C$29,B263&lt;='ZD Vorerfassung'!$D$29),HLOOKUP(TEXT(C263,"ttt"),'ZD Vorerfassung'!$H$21:$L$36,9,0),0))+
IF('ZD Vorerfassung'!$E$30="",0,IF(AND(B263&gt;='ZD Vorerfassung'!$C$30,B263&lt;='ZD Vorerfassung'!$D$30),HLOOKUP(TEXT(C263,"ttt"),'ZD Vorerfassung'!$H$21:$L$36,10,0),0))+
IF('ZD Vorerfassung'!$E$31="",0,IF(AND(B263&gt;='ZD Vorerfassung'!$C$31,B263&lt;='ZD Vorerfassung'!$D$31),HLOOKUP(TEXT(C263,"ttt"),'ZD Vorerfassung'!$H$21:$L$36,11,0),0))+
IF('ZD Vorerfassung'!$E$32="",0,IF(AND(B263&gt;='ZD Vorerfassung'!$C$32,B263&lt;='ZD Vorerfassung'!$D$32),HLOOKUP(TEXT(C263,"ttt"),'ZD Vorerfassung'!$H$21:$L$36,12,0),0))+
IF('ZD Vorerfassung'!$E$33="",0,IF(AND(B263&gt;='ZD Vorerfassung'!$C$33,B263&lt;='ZD Vorerfassung'!$D$33),HLOOKUP(TEXT(C263,"ttt"),'ZD Vorerfassung'!$H$21:$L$36,13,0),0))+
IF('ZD Vorerfassung'!$E$34="",0,IF(AND(B263&gt;='ZD Vorerfassung'!$C$34,B263&lt;='ZD Vorerfassung'!$D$34),HLOOKUP(TEXT(C263,"ttt"),'ZD Vorerfassung'!$H$21:$L$36,14,0),0))+
IF('ZD Vorerfassung'!$E$35="",0,IF(AND(B263&gt;='ZD Vorerfassung'!$C$35,B263&lt;='ZD Vorerfassung'!$D$35),HLOOKUP(TEXT(C263,"ttt"),'ZD Vorerfassung'!$H$21:$L$36,15,0),0))+
IF('ZD Vorerfassung'!$E$36="",0,IF(AND(B263&gt;='ZD Vorerfassung'!$C$36,B263&lt;='ZD Vorerfassung'!$D$36),HLOOKUP(TEXT(C263,"ttt"),'ZD Vorerfassung'!$H$21:$L$36,16,0),0)),"")</f>
        <v>0</v>
      </c>
      <c r="AW263" s="110">
        <f t="array" ref="AW263">IF(OR(D263="UU",D263="FT",D263="WE"),0,
IF(D263="NR",SUM(IF(B263&gt;=_xlfn.NUMBERVALUE('ZD Vorerfassung'!$C$22:$C$36),1,0)*IF(B263&lt;=_xlfn.NUMBERVALUE('ZD Vorerfassung'!$D$22:$D$36),1,0)*'ZD Vorerfassung'!$Q$22:$Q$36),
IF(OR(D263="SF",D263="FH"),SUM(IF(B263&gt;=_xlfn.NUMBERVALUE('ZD Vorerfassung'!$C$22:$C$36),1,0)*IF(B263&lt;=_xlfn.NUMBERVALUE('ZD Vorerfassung'!$D$22:$D$36),1,0)*'ZD Vorerfassung'!$R$22:$R$36*IF(D263="FH",0.5,1)),
"prüfen")))</f>
        <v>0</v>
      </c>
      <c r="AX263" s="110">
        <f t="array" ref="AX263">IF(OR(D263="UU",D263="FT",D263="WE",E263="Ferien"),0,
IF(D263="NR",SUM(IF(B263&gt;=_xlfn.NUMBERVALUE('ZD Vorerfassung'!$C$22:$C$36),1,0)*IF(B263&lt;=_xlfn.NUMBERVALUE('ZD Vorerfassung'!$D$22:$D$36),1,0)*'ZD Vorerfassung'!$W$22:$W$36),
IF(OR(D263="SF",D263="FH"),SUM(IF(B263&gt;=_xlfn.NUMBERVALUE('ZD Vorerfassung'!$C$22:$C$36),1,0)*IF(B263&lt;=_xlfn.NUMBERVALUE('ZD Vorerfassung'!$D$22:$D$36),1,0)*'ZD Vorerfassung'!$X$22:$X$36*IF(D263="FH",0.5,1)),
"prüfen")))</f>
        <v>0</v>
      </c>
      <c r="AY263" s="110">
        <f t="array" ref="AY263">IF(OR(D263="UU",D263="FT",D263="WE",E263="Ferien"),0,
IF(D263="NR",SUM(IF(B263&gt;=_xlfn.NUMBERVALUE('ZD Vorerfassung'!$C$22:$C$36),1,0)*IF(B263&lt;=_xlfn.NUMBERVALUE('ZD Vorerfassung'!$D$22:$D$36),1,0)*'ZD Vorerfassung'!$U$22:$U$36),
IF(OR(D263="SF",D263="FH"),SUM(IF(B263&gt;=_xlfn.NUMBERVALUE('ZD Vorerfassung'!$C$22:$C$36),1,0)*IF(B263&lt;=_xlfn.NUMBERVALUE('ZD Vorerfassung'!$D$22:$D$36),1,0)*'ZD Vorerfassung'!$V$22:$V$36*IF(D263="FH",0.5,1)),
"prüfen")))</f>
        <v>0</v>
      </c>
      <c r="AZ263" s="110">
        <f t="array" ref="AZ263">IF(OR(D263="UU",D263="FT",D263="WE",E263="Ferien"),0,
IF(D263="NR",SUM(IF(B263&gt;=_xlfn.NUMBERVALUE('ZD Vorerfassung'!$C$22:$C$36),1,0)*IF(B263&lt;=_xlfn.NUMBERVALUE('ZD Vorerfassung'!$D$22:$D$36),1,0)*'ZD Vorerfassung'!$S$22:$S$36),
IF(OR(D263="SF",D263="FH"),SUM(IF(B263&gt;=_xlfn.NUMBERVALUE('ZD Vorerfassung'!$C$22:$C$36),1,0)*IF(B263&lt;=_xlfn.NUMBERVALUE('ZD Vorerfassung'!$D$22:$D$36),1,0)*'ZD Vorerfassung'!$T$22:$T$36*IF(D263="FH",0.5,1)),
"prüfen")))</f>
        <v>0</v>
      </c>
      <c r="BA263" s="112">
        <f t="shared" si="44"/>
        <v>4</v>
      </c>
    </row>
    <row r="264" spans="2:53" ht="19.5" thickTop="1" thickBot="1" x14ac:dyDescent="0.3">
      <c r="B264" s="99">
        <f t="shared" ref="B264:B327" si="53">IF(B263="Datum",DATE(LEFT(Schuljahr,4),8,1),B263+1)</f>
        <v>45029</v>
      </c>
      <c r="C264" s="100">
        <f t="shared" si="45"/>
        <v>45029</v>
      </c>
      <c r="D264" s="101" t="str">
        <f t="shared" si="46"/>
        <v>NR</v>
      </c>
      <c r="E264" s="102" t="str">
        <f t="shared" ref="E264:E327" si="54">IF(D264="FT",Param8,
IF(D264="FH",Param9,
IF(D264="WE",Param7,
IF(D264="SF",Param2,
IF(D264="NR",Param1,
IF(D264="UU",Param10,
""))))))</f>
        <v>Unterrichtstag</v>
      </c>
      <c r="F264" s="103">
        <f t="shared" si="47"/>
        <v>0</v>
      </c>
      <c r="G264" s="104">
        <f t="shared" si="48"/>
        <v>0</v>
      </c>
      <c r="H264" s="104">
        <f>IFERROR(IF('ZD Vorerfassung'!$E$11="manuell",SUM(I264),IF(OR(E264="Feiertag",E264="Wochenende"),0,IF('ZD Vorerfassung'!$E$11="automatisch",AX264,IF(D264="UU","UU",IF(E264=Param2,AX264/24,IF(E264=Param9,AX264/48,"")))))),0)</f>
        <v>0</v>
      </c>
      <c r="I264" s="105"/>
      <c r="J264" s="106">
        <f>IF('ZD Vorerfassung'!$E$12="manuell",SUM(K264:AI264),IF(OR(E264="Feiertag",E264="Wochenende"),0,IF('ZD Vorerfassung'!$E$12="automatisch",AY264,IF(D264="UU","UU",IF(E264=Param2,AY264/24,IF(E264=Param9,AY264/48,""))))))</f>
        <v>0</v>
      </c>
      <c r="K264" s="105"/>
      <c r="L264" s="105"/>
      <c r="M264" s="105"/>
      <c r="N264" s="105"/>
      <c r="O264" s="105"/>
      <c r="P264" s="105"/>
      <c r="Q264" s="105"/>
      <c r="R264" s="105"/>
      <c r="S264" s="105"/>
      <c r="T264" s="105"/>
      <c r="U264" s="105"/>
      <c r="V264" s="105"/>
      <c r="W264" s="105"/>
      <c r="X264" s="105"/>
      <c r="Y264" s="105"/>
      <c r="Z264" s="105"/>
      <c r="AA264" s="105"/>
      <c r="AB264" s="105"/>
      <c r="AC264" s="105"/>
      <c r="AD264" s="105"/>
      <c r="AE264" s="105"/>
      <c r="AF264" s="105"/>
      <c r="AG264" s="105"/>
      <c r="AH264" s="105"/>
      <c r="AI264" s="105"/>
      <c r="AJ264" s="107">
        <f t="shared" si="49"/>
        <v>0</v>
      </c>
      <c r="AK264" s="105"/>
      <c r="AL264" s="105"/>
      <c r="AM264" s="105"/>
      <c r="AN264" s="105"/>
      <c r="AO264" s="105"/>
      <c r="AP264" s="105"/>
      <c r="AQ264" s="108">
        <f t="shared" si="50"/>
        <v>0</v>
      </c>
      <c r="AR264" s="108">
        <f t="shared" si="51"/>
        <v>0</v>
      </c>
      <c r="AS264" s="109">
        <f t="shared" si="52"/>
        <v>0</v>
      </c>
      <c r="AU264" s="110">
        <f t="shared" ref="AU264:AU327" si="55">SUM(AW264:AZ264)</f>
        <v>0</v>
      </c>
      <c r="AV264" s="111">
        <f>IF(D264="NR",
IF('ZD Vorerfassung'!$E$22="",0,IF(AND(B264&gt;='ZD Vorerfassung'!$C$22,B264&lt;='ZD Vorerfassung'!$D$22),HLOOKUP(TEXT(C264,"ttt"),'ZD Vorerfassung'!$H$21:$L$36,2,0),0))+
IF('ZD Vorerfassung'!$E$23="",0,IF(AND(B264&gt;='ZD Vorerfassung'!$C$23,B264&lt;='ZD Vorerfassung'!$D$23),HLOOKUP(TEXT(C264,"ttt"),'ZD Vorerfassung'!$H$21:$L$36,3,0),0))+
IF('ZD Vorerfassung'!$E$24="",0,IF(AND(B264&gt;='ZD Vorerfassung'!$C$24,B264&lt;='ZD Vorerfassung'!$D$24),HLOOKUP(TEXT(C264,"ttt"),'ZD Vorerfassung'!$H$21:$L$36,4,0),0))+
IF('ZD Vorerfassung'!$E$25="",0,IF(AND(B264&gt;='ZD Vorerfassung'!$C$25,B264&lt;='ZD Vorerfassung'!$D$25),HLOOKUP(TEXT(C264,"ttt"),'ZD Vorerfassung'!$H$21:$L$36,5,0),0))+
IF('ZD Vorerfassung'!$E$26="",0,IF(AND(B264&gt;='ZD Vorerfassung'!$C$26,B264&lt;='ZD Vorerfassung'!$D$26),HLOOKUP(TEXT(C264,"ttt"),'ZD Vorerfassung'!$H$21:$L$36,6,0),0))+
IF('ZD Vorerfassung'!$E$27="",0,IF(AND(B264&gt;='ZD Vorerfassung'!$C$27,B264&lt;='ZD Vorerfassung'!$D$27),HLOOKUP(TEXT(C264,"ttt"),'ZD Vorerfassung'!$H$21:$L$36,7,0),0))+
IF('ZD Vorerfassung'!$E$28="",0,IF(AND(B264&gt;='ZD Vorerfassung'!$C$28,B264&lt;='ZD Vorerfassung'!$D$28),HLOOKUP(TEXT(C264,"ttt"),'ZD Vorerfassung'!$H$21:$L$36,8,0),0))+
IF('ZD Vorerfassung'!$E$29="",0,IF(AND(B264&gt;='ZD Vorerfassung'!$C$29,B264&lt;='ZD Vorerfassung'!$D$29),HLOOKUP(TEXT(C264,"ttt"),'ZD Vorerfassung'!$H$21:$L$36,9,0),0))+
IF('ZD Vorerfassung'!$E$30="",0,IF(AND(B264&gt;='ZD Vorerfassung'!$C$30,B264&lt;='ZD Vorerfassung'!$D$30),HLOOKUP(TEXT(C264,"ttt"),'ZD Vorerfassung'!$H$21:$L$36,10,0),0))+
IF('ZD Vorerfassung'!$E$31="",0,IF(AND(B264&gt;='ZD Vorerfassung'!$C$31,B264&lt;='ZD Vorerfassung'!$D$31),HLOOKUP(TEXT(C264,"ttt"),'ZD Vorerfassung'!$H$21:$L$36,11,0),0))+
IF('ZD Vorerfassung'!$E$32="",0,IF(AND(B264&gt;='ZD Vorerfassung'!$C$32,B264&lt;='ZD Vorerfassung'!$D$32),HLOOKUP(TEXT(C264,"ttt"),'ZD Vorerfassung'!$H$21:$L$36,12,0),0))+
IF('ZD Vorerfassung'!$E$33="",0,IF(AND(B264&gt;='ZD Vorerfassung'!$C$33,B264&lt;='ZD Vorerfassung'!$D$33),HLOOKUP(TEXT(C264,"ttt"),'ZD Vorerfassung'!$H$21:$L$36,13,0),0))+
IF('ZD Vorerfassung'!$E$34="",0,IF(AND(B264&gt;='ZD Vorerfassung'!$C$34,B264&lt;='ZD Vorerfassung'!$D$34),HLOOKUP(TEXT(C264,"ttt"),'ZD Vorerfassung'!$H$21:$L$36,14,0),0))+
IF('ZD Vorerfassung'!$E$35="",0,IF(AND(B264&gt;='ZD Vorerfassung'!$C$35,B264&lt;='ZD Vorerfassung'!$D$35),HLOOKUP(TEXT(C264,"ttt"),'ZD Vorerfassung'!$H$21:$L$36,15,0),0))+
IF('ZD Vorerfassung'!$E$36="",0,IF(AND(B264&gt;='ZD Vorerfassung'!$C$36,B264&lt;='ZD Vorerfassung'!$D$36),HLOOKUP(TEXT(C264,"ttt"),'ZD Vorerfassung'!$H$21:$L$36,16,0),0)),"")</f>
        <v>0</v>
      </c>
      <c r="AW264" s="110">
        <f t="array" ref="AW264">IF(OR(D264="UU",D264="FT",D264="WE"),0,
IF(D264="NR",SUM(IF(B264&gt;=_xlfn.NUMBERVALUE('ZD Vorerfassung'!$C$22:$C$36),1,0)*IF(B264&lt;=_xlfn.NUMBERVALUE('ZD Vorerfassung'!$D$22:$D$36),1,0)*'ZD Vorerfassung'!$Q$22:$Q$36),
IF(OR(D264="SF",D264="FH"),SUM(IF(B264&gt;=_xlfn.NUMBERVALUE('ZD Vorerfassung'!$C$22:$C$36),1,0)*IF(B264&lt;=_xlfn.NUMBERVALUE('ZD Vorerfassung'!$D$22:$D$36),1,0)*'ZD Vorerfassung'!$R$22:$R$36*IF(D264="FH",0.5,1)),
"prüfen")))</f>
        <v>0</v>
      </c>
      <c r="AX264" s="110">
        <f t="array" ref="AX264">IF(OR(D264="UU",D264="FT",D264="WE",E264="Ferien"),0,
IF(D264="NR",SUM(IF(B264&gt;=_xlfn.NUMBERVALUE('ZD Vorerfassung'!$C$22:$C$36),1,0)*IF(B264&lt;=_xlfn.NUMBERVALUE('ZD Vorerfassung'!$D$22:$D$36),1,0)*'ZD Vorerfassung'!$W$22:$W$36),
IF(OR(D264="SF",D264="FH"),SUM(IF(B264&gt;=_xlfn.NUMBERVALUE('ZD Vorerfassung'!$C$22:$C$36),1,0)*IF(B264&lt;=_xlfn.NUMBERVALUE('ZD Vorerfassung'!$D$22:$D$36),1,0)*'ZD Vorerfassung'!$X$22:$X$36*IF(D264="FH",0.5,1)),
"prüfen")))</f>
        <v>0</v>
      </c>
      <c r="AY264" s="110">
        <f t="array" ref="AY264">IF(OR(D264="UU",D264="FT",D264="WE",E264="Ferien"),0,
IF(D264="NR",SUM(IF(B264&gt;=_xlfn.NUMBERVALUE('ZD Vorerfassung'!$C$22:$C$36),1,0)*IF(B264&lt;=_xlfn.NUMBERVALUE('ZD Vorerfassung'!$D$22:$D$36),1,0)*'ZD Vorerfassung'!$U$22:$U$36),
IF(OR(D264="SF",D264="FH"),SUM(IF(B264&gt;=_xlfn.NUMBERVALUE('ZD Vorerfassung'!$C$22:$C$36),1,0)*IF(B264&lt;=_xlfn.NUMBERVALUE('ZD Vorerfassung'!$D$22:$D$36),1,0)*'ZD Vorerfassung'!$V$22:$V$36*IF(D264="FH",0.5,1)),
"prüfen")))</f>
        <v>0</v>
      </c>
      <c r="AZ264" s="110">
        <f t="array" ref="AZ264">IF(OR(D264="UU",D264="FT",D264="WE",E264="Ferien"),0,
IF(D264="NR",SUM(IF(B264&gt;=_xlfn.NUMBERVALUE('ZD Vorerfassung'!$C$22:$C$36),1,0)*IF(B264&lt;=_xlfn.NUMBERVALUE('ZD Vorerfassung'!$D$22:$D$36),1,0)*'ZD Vorerfassung'!$S$22:$S$36),
IF(OR(D264="SF",D264="FH"),SUM(IF(B264&gt;=_xlfn.NUMBERVALUE('ZD Vorerfassung'!$C$22:$C$36),1,0)*IF(B264&lt;=_xlfn.NUMBERVALUE('ZD Vorerfassung'!$D$22:$D$36),1,0)*'ZD Vorerfassung'!$T$22:$T$36*IF(D264="FH",0.5,1)),
"prüfen")))</f>
        <v>0</v>
      </c>
      <c r="BA264" s="112">
        <f t="shared" ref="BA264:BA328" si="56">MONTH(B264)</f>
        <v>4</v>
      </c>
    </row>
    <row r="265" spans="2:53" ht="19.5" thickTop="1" thickBot="1" x14ac:dyDescent="0.3">
      <c r="B265" s="99">
        <f t="shared" si="53"/>
        <v>45030</v>
      </c>
      <c r="C265" s="100">
        <f t="shared" ref="C265:C328" si="57">B265</f>
        <v>45030</v>
      </c>
      <c r="D265" s="101" t="str">
        <f t="shared" ref="D265:D328" si="58">IF(WEEKDAY(B265,2)&gt;5,"WE",IF(OR(AND(B265&gt;=UU1_start,B265&lt;=UU1_stop),AND(B265&gt;=UU2_start,B265&lt;=UU2_stop),AND(B265&gt;=UU3_start,B265&lt;=UU3_stop)),"UU",
IF(COUNTIF(Data_Feiertage,B265)&gt;0,"FT",
IF(COUNTIF(Data_Feiertage_halb,B265)&gt;0,"FH",
IF(COUNTIF(Data_Schulferien,B265)&gt;0,"SF",
"NR")))))</f>
        <v>NR</v>
      </c>
      <c r="E265" s="102" t="str">
        <f t="shared" si="54"/>
        <v>Unterrichtstag</v>
      </c>
      <c r="F265" s="103">
        <f t="shared" ref="F265:F328" si="59">IF(E265=Param1,AV265,"")</f>
        <v>0</v>
      </c>
      <c r="G265" s="104">
        <f t="shared" ref="G265:G328" si="60">IF(F265="","",F265*0.75*60/1440)</f>
        <v>0</v>
      </c>
      <c r="H265" s="104">
        <f>IFERROR(IF('ZD Vorerfassung'!$E$11="manuell",SUM(I265),IF(OR(E265="Feiertag",E265="Wochenende"),0,IF('ZD Vorerfassung'!$E$11="automatisch",AX265,IF(D265="UU","UU",IF(E265=Param2,AX265/24,IF(E265=Param9,AX265/48,"")))))),0)</f>
        <v>0</v>
      </c>
      <c r="I265" s="105"/>
      <c r="J265" s="106">
        <f>IF('ZD Vorerfassung'!$E$12="manuell",SUM(K265:AI265),IF(OR(E265="Feiertag",E265="Wochenende"),0,IF('ZD Vorerfassung'!$E$12="automatisch",AY265,IF(D265="UU","UU",IF(E265=Param2,AY265/24,IF(E265=Param9,AY265/48,""))))))</f>
        <v>0</v>
      </c>
      <c r="K265" s="105"/>
      <c r="L265" s="105"/>
      <c r="M265" s="105"/>
      <c r="N265" s="105"/>
      <c r="O265" s="105"/>
      <c r="P265" s="105"/>
      <c r="Q265" s="105"/>
      <c r="R265" s="105"/>
      <c r="S265" s="105"/>
      <c r="T265" s="105"/>
      <c r="U265" s="105"/>
      <c r="V265" s="105"/>
      <c r="W265" s="105"/>
      <c r="X265" s="105"/>
      <c r="Y265" s="105"/>
      <c r="Z265" s="105"/>
      <c r="AA265" s="105"/>
      <c r="AB265" s="105"/>
      <c r="AC265" s="105"/>
      <c r="AD265" s="105"/>
      <c r="AE265" s="105"/>
      <c r="AF265" s="105"/>
      <c r="AG265" s="105"/>
      <c r="AH265" s="105"/>
      <c r="AI265" s="105"/>
      <c r="AJ265" s="107">
        <f t="shared" ref="AJ265:AJ328" si="61">IF(VorsaldoFerien="manuell",SUM(AK265:AP265),IF(OR(E265="Feiertag",E265="Wochenende"),0,IF(VorsaldoFerien="automatisch",AZ265,IF(D265="UU","UU",IF(E265=Param2,AX265/24,IF(E265=Param9,AX265/48,""))))))</f>
        <v>0</v>
      </c>
      <c r="AK265" s="105"/>
      <c r="AL265" s="105"/>
      <c r="AM265" s="105"/>
      <c r="AN265" s="105"/>
      <c r="AO265" s="105"/>
      <c r="AP265" s="105"/>
      <c r="AQ265" s="108">
        <f t="shared" ref="AQ265:AQ328" si="62">IF(OR(D265="FT",D265="WE",D265="UU"),0,
IF(D265="FH",AU265/2,AU265))</f>
        <v>0</v>
      </c>
      <c r="AR265" s="108">
        <f t="shared" ref="AR265:AR328" si="63">IF(E265=Param1,SUM(G265,H265,J265,AJ265),
IF(OR(E265=Param2,E265=Param3,E265=Param7,E265=Param8,E265=Param9),SUM(G265,H265,J265,AJ265),
IF(OR(E265=Param4,E265=Param6),AQ265,
IF(OR(E265=Param5,E265=Param10),0,0))))</f>
        <v>0</v>
      </c>
      <c r="AS265" s="109">
        <f t="shared" ref="AS265:AS328" si="64">IF(AND(DAY(B265)=1,MONTH(B265)=8),0+AR265-AQ265,AS264+AR265-AQ265)</f>
        <v>0</v>
      </c>
      <c r="AU265" s="110">
        <f t="shared" si="55"/>
        <v>0</v>
      </c>
      <c r="AV265" s="111">
        <f>IF(D265="NR",
IF('ZD Vorerfassung'!$E$22="",0,IF(AND(B265&gt;='ZD Vorerfassung'!$C$22,B265&lt;='ZD Vorerfassung'!$D$22),HLOOKUP(TEXT(C265,"ttt"),'ZD Vorerfassung'!$H$21:$L$36,2,0),0))+
IF('ZD Vorerfassung'!$E$23="",0,IF(AND(B265&gt;='ZD Vorerfassung'!$C$23,B265&lt;='ZD Vorerfassung'!$D$23),HLOOKUP(TEXT(C265,"ttt"),'ZD Vorerfassung'!$H$21:$L$36,3,0),0))+
IF('ZD Vorerfassung'!$E$24="",0,IF(AND(B265&gt;='ZD Vorerfassung'!$C$24,B265&lt;='ZD Vorerfassung'!$D$24),HLOOKUP(TEXT(C265,"ttt"),'ZD Vorerfassung'!$H$21:$L$36,4,0),0))+
IF('ZD Vorerfassung'!$E$25="",0,IF(AND(B265&gt;='ZD Vorerfassung'!$C$25,B265&lt;='ZD Vorerfassung'!$D$25),HLOOKUP(TEXT(C265,"ttt"),'ZD Vorerfassung'!$H$21:$L$36,5,0),0))+
IF('ZD Vorerfassung'!$E$26="",0,IF(AND(B265&gt;='ZD Vorerfassung'!$C$26,B265&lt;='ZD Vorerfassung'!$D$26),HLOOKUP(TEXT(C265,"ttt"),'ZD Vorerfassung'!$H$21:$L$36,6,0),0))+
IF('ZD Vorerfassung'!$E$27="",0,IF(AND(B265&gt;='ZD Vorerfassung'!$C$27,B265&lt;='ZD Vorerfassung'!$D$27),HLOOKUP(TEXT(C265,"ttt"),'ZD Vorerfassung'!$H$21:$L$36,7,0),0))+
IF('ZD Vorerfassung'!$E$28="",0,IF(AND(B265&gt;='ZD Vorerfassung'!$C$28,B265&lt;='ZD Vorerfassung'!$D$28),HLOOKUP(TEXT(C265,"ttt"),'ZD Vorerfassung'!$H$21:$L$36,8,0),0))+
IF('ZD Vorerfassung'!$E$29="",0,IF(AND(B265&gt;='ZD Vorerfassung'!$C$29,B265&lt;='ZD Vorerfassung'!$D$29),HLOOKUP(TEXT(C265,"ttt"),'ZD Vorerfassung'!$H$21:$L$36,9,0),0))+
IF('ZD Vorerfassung'!$E$30="",0,IF(AND(B265&gt;='ZD Vorerfassung'!$C$30,B265&lt;='ZD Vorerfassung'!$D$30),HLOOKUP(TEXT(C265,"ttt"),'ZD Vorerfassung'!$H$21:$L$36,10,0),0))+
IF('ZD Vorerfassung'!$E$31="",0,IF(AND(B265&gt;='ZD Vorerfassung'!$C$31,B265&lt;='ZD Vorerfassung'!$D$31),HLOOKUP(TEXT(C265,"ttt"),'ZD Vorerfassung'!$H$21:$L$36,11,0),0))+
IF('ZD Vorerfassung'!$E$32="",0,IF(AND(B265&gt;='ZD Vorerfassung'!$C$32,B265&lt;='ZD Vorerfassung'!$D$32),HLOOKUP(TEXT(C265,"ttt"),'ZD Vorerfassung'!$H$21:$L$36,12,0),0))+
IF('ZD Vorerfassung'!$E$33="",0,IF(AND(B265&gt;='ZD Vorerfassung'!$C$33,B265&lt;='ZD Vorerfassung'!$D$33),HLOOKUP(TEXT(C265,"ttt"),'ZD Vorerfassung'!$H$21:$L$36,13,0),0))+
IF('ZD Vorerfassung'!$E$34="",0,IF(AND(B265&gt;='ZD Vorerfassung'!$C$34,B265&lt;='ZD Vorerfassung'!$D$34),HLOOKUP(TEXT(C265,"ttt"),'ZD Vorerfassung'!$H$21:$L$36,14,0),0))+
IF('ZD Vorerfassung'!$E$35="",0,IF(AND(B265&gt;='ZD Vorerfassung'!$C$35,B265&lt;='ZD Vorerfassung'!$D$35),HLOOKUP(TEXT(C265,"ttt"),'ZD Vorerfassung'!$H$21:$L$36,15,0),0))+
IF('ZD Vorerfassung'!$E$36="",0,IF(AND(B265&gt;='ZD Vorerfassung'!$C$36,B265&lt;='ZD Vorerfassung'!$D$36),HLOOKUP(TEXT(C265,"ttt"),'ZD Vorerfassung'!$H$21:$L$36,16,0),0)),"")</f>
        <v>0</v>
      </c>
      <c r="AW265" s="110">
        <f t="array" ref="AW265">IF(OR(D265="UU",D265="FT",D265="WE"),0,
IF(D265="NR",SUM(IF(B265&gt;=_xlfn.NUMBERVALUE('ZD Vorerfassung'!$C$22:$C$36),1,0)*IF(B265&lt;=_xlfn.NUMBERVALUE('ZD Vorerfassung'!$D$22:$D$36),1,0)*'ZD Vorerfassung'!$Q$22:$Q$36),
IF(OR(D265="SF",D265="FH"),SUM(IF(B265&gt;=_xlfn.NUMBERVALUE('ZD Vorerfassung'!$C$22:$C$36),1,0)*IF(B265&lt;=_xlfn.NUMBERVALUE('ZD Vorerfassung'!$D$22:$D$36),1,0)*'ZD Vorerfassung'!$R$22:$R$36*IF(D265="FH",0.5,1)),
"prüfen")))</f>
        <v>0</v>
      </c>
      <c r="AX265" s="110">
        <f t="array" ref="AX265">IF(OR(D265="UU",D265="FT",D265="WE",E265="Ferien"),0,
IF(D265="NR",SUM(IF(B265&gt;=_xlfn.NUMBERVALUE('ZD Vorerfassung'!$C$22:$C$36),1,0)*IF(B265&lt;=_xlfn.NUMBERVALUE('ZD Vorerfassung'!$D$22:$D$36),1,0)*'ZD Vorerfassung'!$W$22:$W$36),
IF(OR(D265="SF",D265="FH"),SUM(IF(B265&gt;=_xlfn.NUMBERVALUE('ZD Vorerfassung'!$C$22:$C$36),1,0)*IF(B265&lt;=_xlfn.NUMBERVALUE('ZD Vorerfassung'!$D$22:$D$36),1,0)*'ZD Vorerfassung'!$X$22:$X$36*IF(D265="FH",0.5,1)),
"prüfen")))</f>
        <v>0</v>
      </c>
      <c r="AY265" s="110">
        <f t="array" ref="AY265">IF(OR(D265="UU",D265="FT",D265="WE",E265="Ferien"),0,
IF(D265="NR",SUM(IF(B265&gt;=_xlfn.NUMBERVALUE('ZD Vorerfassung'!$C$22:$C$36),1,0)*IF(B265&lt;=_xlfn.NUMBERVALUE('ZD Vorerfassung'!$D$22:$D$36),1,0)*'ZD Vorerfassung'!$U$22:$U$36),
IF(OR(D265="SF",D265="FH"),SUM(IF(B265&gt;=_xlfn.NUMBERVALUE('ZD Vorerfassung'!$C$22:$C$36),1,0)*IF(B265&lt;=_xlfn.NUMBERVALUE('ZD Vorerfassung'!$D$22:$D$36),1,0)*'ZD Vorerfassung'!$V$22:$V$36*IF(D265="FH",0.5,1)),
"prüfen")))</f>
        <v>0</v>
      </c>
      <c r="AZ265" s="110">
        <f t="array" ref="AZ265">IF(OR(D265="UU",D265="FT",D265="WE",E265="Ferien"),0,
IF(D265="NR",SUM(IF(B265&gt;=_xlfn.NUMBERVALUE('ZD Vorerfassung'!$C$22:$C$36),1,0)*IF(B265&lt;=_xlfn.NUMBERVALUE('ZD Vorerfassung'!$D$22:$D$36),1,0)*'ZD Vorerfassung'!$S$22:$S$36),
IF(OR(D265="SF",D265="FH"),SUM(IF(B265&gt;=_xlfn.NUMBERVALUE('ZD Vorerfassung'!$C$22:$C$36),1,0)*IF(B265&lt;=_xlfn.NUMBERVALUE('ZD Vorerfassung'!$D$22:$D$36),1,0)*'ZD Vorerfassung'!$T$22:$T$36*IF(D265="FH",0.5,1)),
"prüfen")))</f>
        <v>0</v>
      </c>
      <c r="BA265" s="112">
        <f t="shared" si="56"/>
        <v>4</v>
      </c>
    </row>
    <row r="266" spans="2:53" ht="19.5" thickTop="1" thickBot="1" x14ac:dyDescent="0.3">
      <c r="B266" s="99">
        <f t="shared" si="53"/>
        <v>45031</v>
      </c>
      <c r="C266" s="100">
        <f t="shared" si="57"/>
        <v>45031</v>
      </c>
      <c r="D266" s="101" t="str">
        <f t="shared" si="58"/>
        <v>NR</v>
      </c>
      <c r="E266" s="102" t="str">
        <f t="shared" si="54"/>
        <v>Unterrichtstag</v>
      </c>
      <c r="F266" s="103">
        <f t="shared" si="59"/>
        <v>0</v>
      </c>
      <c r="G266" s="104">
        <f t="shared" si="60"/>
        <v>0</v>
      </c>
      <c r="H266" s="104">
        <f>IFERROR(IF('ZD Vorerfassung'!$E$11="manuell",SUM(I266),IF(OR(E266="Feiertag",E266="Wochenende"),0,IF('ZD Vorerfassung'!$E$11="automatisch",AX266,IF(D266="UU","UU",IF(E266=Param2,AX266/24,IF(E266=Param9,AX266/48,"")))))),0)</f>
        <v>0</v>
      </c>
      <c r="I266" s="105"/>
      <c r="J266" s="106">
        <f>IF('ZD Vorerfassung'!$E$12="manuell",SUM(K266:AI266),IF(OR(E266="Feiertag",E266="Wochenende"),0,IF('ZD Vorerfassung'!$E$12="automatisch",AY266,IF(D266="UU","UU",IF(E266=Param2,AY266/24,IF(E266=Param9,AY266/48,""))))))</f>
        <v>0</v>
      </c>
      <c r="K266" s="105"/>
      <c r="L266" s="105"/>
      <c r="M266" s="105"/>
      <c r="N266" s="105"/>
      <c r="O266" s="105"/>
      <c r="P266" s="105"/>
      <c r="Q266" s="105"/>
      <c r="R266" s="105"/>
      <c r="S266" s="105"/>
      <c r="T266" s="105"/>
      <c r="U266" s="105"/>
      <c r="V266" s="105"/>
      <c r="W266" s="105"/>
      <c r="X266" s="105"/>
      <c r="Y266" s="105"/>
      <c r="Z266" s="105"/>
      <c r="AA266" s="105"/>
      <c r="AB266" s="105"/>
      <c r="AC266" s="105"/>
      <c r="AD266" s="105"/>
      <c r="AE266" s="105"/>
      <c r="AF266" s="105"/>
      <c r="AG266" s="105"/>
      <c r="AH266" s="105"/>
      <c r="AI266" s="105"/>
      <c r="AJ266" s="107">
        <f t="shared" si="61"/>
        <v>0</v>
      </c>
      <c r="AK266" s="105"/>
      <c r="AL266" s="105"/>
      <c r="AM266" s="105"/>
      <c r="AN266" s="105"/>
      <c r="AO266" s="105"/>
      <c r="AP266" s="105"/>
      <c r="AQ266" s="108">
        <f t="shared" si="62"/>
        <v>0</v>
      </c>
      <c r="AR266" s="108">
        <f t="shared" si="63"/>
        <v>0</v>
      </c>
      <c r="AS266" s="109">
        <f t="shared" si="64"/>
        <v>0</v>
      </c>
      <c r="AU266" s="110">
        <f t="shared" si="55"/>
        <v>0</v>
      </c>
      <c r="AV266" s="111">
        <f>IF(D266="NR",
IF('ZD Vorerfassung'!$E$22="",0,IF(AND(B266&gt;='ZD Vorerfassung'!$C$22,B266&lt;='ZD Vorerfassung'!$D$22),HLOOKUP(TEXT(C266,"ttt"),'ZD Vorerfassung'!$H$21:$L$36,2,0),0))+
IF('ZD Vorerfassung'!$E$23="",0,IF(AND(B266&gt;='ZD Vorerfassung'!$C$23,B266&lt;='ZD Vorerfassung'!$D$23),HLOOKUP(TEXT(C266,"ttt"),'ZD Vorerfassung'!$H$21:$L$36,3,0),0))+
IF('ZD Vorerfassung'!$E$24="",0,IF(AND(B266&gt;='ZD Vorerfassung'!$C$24,B266&lt;='ZD Vorerfassung'!$D$24),HLOOKUP(TEXT(C266,"ttt"),'ZD Vorerfassung'!$H$21:$L$36,4,0),0))+
IF('ZD Vorerfassung'!$E$25="",0,IF(AND(B266&gt;='ZD Vorerfassung'!$C$25,B266&lt;='ZD Vorerfassung'!$D$25),HLOOKUP(TEXT(C266,"ttt"),'ZD Vorerfassung'!$H$21:$L$36,5,0),0))+
IF('ZD Vorerfassung'!$E$26="",0,IF(AND(B266&gt;='ZD Vorerfassung'!$C$26,B266&lt;='ZD Vorerfassung'!$D$26),HLOOKUP(TEXT(C266,"ttt"),'ZD Vorerfassung'!$H$21:$L$36,6,0),0))+
IF('ZD Vorerfassung'!$E$27="",0,IF(AND(B266&gt;='ZD Vorerfassung'!$C$27,B266&lt;='ZD Vorerfassung'!$D$27),HLOOKUP(TEXT(C266,"ttt"),'ZD Vorerfassung'!$H$21:$L$36,7,0),0))+
IF('ZD Vorerfassung'!$E$28="",0,IF(AND(B266&gt;='ZD Vorerfassung'!$C$28,B266&lt;='ZD Vorerfassung'!$D$28),HLOOKUP(TEXT(C266,"ttt"),'ZD Vorerfassung'!$H$21:$L$36,8,0),0))+
IF('ZD Vorerfassung'!$E$29="",0,IF(AND(B266&gt;='ZD Vorerfassung'!$C$29,B266&lt;='ZD Vorerfassung'!$D$29),HLOOKUP(TEXT(C266,"ttt"),'ZD Vorerfassung'!$H$21:$L$36,9,0),0))+
IF('ZD Vorerfassung'!$E$30="",0,IF(AND(B266&gt;='ZD Vorerfassung'!$C$30,B266&lt;='ZD Vorerfassung'!$D$30),HLOOKUP(TEXT(C266,"ttt"),'ZD Vorerfassung'!$H$21:$L$36,10,0),0))+
IF('ZD Vorerfassung'!$E$31="",0,IF(AND(B266&gt;='ZD Vorerfassung'!$C$31,B266&lt;='ZD Vorerfassung'!$D$31),HLOOKUP(TEXT(C266,"ttt"),'ZD Vorerfassung'!$H$21:$L$36,11,0),0))+
IF('ZD Vorerfassung'!$E$32="",0,IF(AND(B266&gt;='ZD Vorerfassung'!$C$32,B266&lt;='ZD Vorerfassung'!$D$32),HLOOKUP(TEXT(C266,"ttt"),'ZD Vorerfassung'!$H$21:$L$36,12,0),0))+
IF('ZD Vorerfassung'!$E$33="",0,IF(AND(B266&gt;='ZD Vorerfassung'!$C$33,B266&lt;='ZD Vorerfassung'!$D$33),HLOOKUP(TEXT(C266,"ttt"),'ZD Vorerfassung'!$H$21:$L$36,13,0),0))+
IF('ZD Vorerfassung'!$E$34="",0,IF(AND(B266&gt;='ZD Vorerfassung'!$C$34,B266&lt;='ZD Vorerfassung'!$D$34),HLOOKUP(TEXT(C266,"ttt"),'ZD Vorerfassung'!$H$21:$L$36,14,0),0))+
IF('ZD Vorerfassung'!$E$35="",0,IF(AND(B266&gt;='ZD Vorerfassung'!$C$35,B266&lt;='ZD Vorerfassung'!$D$35),HLOOKUP(TEXT(C266,"ttt"),'ZD Vorerfassung'!$H$21:$L$36,15,0),0))+
IF('ZD Vorerfassung'!$E$36="",0,IF(AND(B266&gt;='ZD Vorerfassung'!$C$36,B266&lt;='ZD Vorerfassung'!$D$36),HLOOKUP(TEXT(C266,"ttt"),'ZD Vorerfassung'!$H$21:$L$36,16,0),0)),"")</f>
        <v>0</v>
      </c>
      <c r="AW266" s="110">
        <f t="array" ref="AW266">IF(OR(D266="UU",D266="FT",D266="WE"),0,
IF(D266="NR",SUM(IF(B266&gt;=_xlfn.NUMBERVALUE('ZD Vorerfassung'!$C$22:$C$36),1,0)*IF(B266&lt;=_xlfn.NUMBERVALUE('ZD Vorerfassung'!$D$22:$D$36),1,0)*'ZD Vorerfassung'!$Q$22:$Q$36),
IF(OR(D266="SF",D266="FH"),SUM(IF(B266&gt;=_xlfn.NUMBERVALUE('ZD Vorerfassung'!$C$22:$C$36),1,0)*IF(B266&lt;=_xlfn.NUMBERVALUE('ZD Vorerfassung'!$D$22:$D$36),1,0)*'ZD Vorerfassung'!$R$22:$R$36*IF(D266="FH",0.5,1)),
"prüfen")))</f>
        <v>0</v>
      </c>
      <c r="AX266" s="110">
        <f t="array" ref="AX266">IF(OR(D266="UU",D266="FT",D266="WE",E266="Ferien"),0,
IF(D266="NR",SUM(IF(B266&gt;=_xlfn.NUMBERVALUE('ZD Vorerfassung'!$C$22:$C$36),1,0)*IF(B266&lt;=_xlfn.NUMBERVALUE('ZD Vorerfassung'!$D$22:$D$36),1,0)*'ZD Vorerfassung'!$W$22:$W$36),
IF(OR(D266="SF",D266="FH"),SUM(IF(B266&gt;=_xlfn.NUMBERVALUE('ZD Vorerfassung'!$C$22:$C$36),1,0)*IF(B266&lt;=_xlfn.NUMBERVALUE('ZD Vorerfassung'!$D$22:$D$36),1,0)*'ZD Vorerfassung'!$X$22:$X$36*IF(D266="FH",0.5,1)),
"prüfen")))</f>
        <v>0</v>
      </c>
      <c r="AY266" s="110">
        <f t="array" ref="AY266">IF(OR(D266="UU",D266="FT",D266="WE",E266="Ferien"),0,
IF(D266="NR",SUM(IF(B266&gt;=_xlfn.NUMBERVALUE('ZD Vorerfassung'!$C$22:$C$36),1,0)*IF(B266&lt;=_xlfn.NUMBERVALUE('ZD Vorerfassung'!$D$22:$D$36),1,0)*'ZD Vorerfassung'!$U$22:$U$36),
IF(OR(D266="SF",D266="FH"),SUM(IF(B266&gt;=_xlfn.NUMBERVALUE('ZD Vorerfassung'!$C$22:$C$36),1,0)*IF(B266&lt;=_xlfn.NUMBERVALUE('ZD Vorerfassung'!$D$22:$D$36),1,0)*'ZD Vorerfassung'!$V$22:$V$36*IF(D266="FH",0.5,1)),
"prüfen")))</f>
        <v>0</v>
      </c>
      <c r="AZ266" s="110">
        <f t="array" ref="AZ266">IF(OR(D266="UU",D266="FT",D266="WE",E266="Ferien"),0,
IF(D266="NR",SUM(IF(B266&gt;=_xlfn.NUMBERVALUE('ZD Vorerfassung'!$C$22:$C$36),1,0)*IF(B266&lt;=_xlfn.NUMBERVALUE('ZD Vorerfassung'!$D$22:$D$36),1,0)*'ZD Vorerfassung'!$S$22:$S$36),
IF(OR(D266="SF",D266="FH"),SUM(IF(B266&gt;=_xlfn.NUMBERVALUE('ZD Vorerfassung'!$C$22:$C$36),1,0)*IF(B266&lt;=_xlfn.NUMBERVALUE('ZD Vorerfassung'!$D$22:$D$36),1,0)*'ZD Vorerfassung'!$T$22:$T$36*IF(D266="FH",0.5,1)),
"prüfen")))</f>
        <v>0</v>
      </c>
      <c r="BA266" s="112">
        <f t="shared" si="56"/>
        <v>4</v>
      </c>
    </row>
    <row r="267" spans="2:53" ht="19.5" thickTop="1" thickBot="1" x14ac:dyDescent="0.3">
      <c r="B267" s="99">
        <f t="shared" si="53"/>
        <v>45032</v>
      </c>
      <c r="C267" s="100">
        <f t="shared" si="57"/>
        <v>45032</v>
      </c>
      <c r="D267" s="101" t="str">
        <f t="shared" si="58"/>
        <v>WE</v>
      </c>
      <c r="E267" s="102" t="str">
        <f t="shared" si="54"/>
        <v>Wochenende</v>
      </c>
      <c r="F267" s="103" t="str">
        <f t="shared" si="59"/>
        <v/>
      </c>
      <c r="G267" s="104" t="str">
        <f t="shared" si="60"/>
        <v/>
      </c>
      <c r="H267" s="104">
        <f>IFERROR(IF('ZD Vorerfassung'!$E$11="manuell",SUM(I267),IF(OR(E267="Feiertag",E267="Wochenende"),0,IF('ZD Vorerfassung'!$E$11="automatisch",AX267,IF(D267="UU","UU",IF(E267=Param2,AX267/24,IF(E267=Param9,AX267/48,"")))))),0)</f>
        <v>0</v>
      </c>
      <c r="I267" s="105"/>
      <c r="J267" s="106">
        <f>IF('ZD Vorerfassung'!$E$12="manuell",SUM(K267:AI267),IF(OR(E267="Feiertag",E267="Wochenende"),0,IF('ZD Vorerfassung'!$E$12="automatisch",AY267,IF(D267="UU","UU",IF(E267=Param2,AY267/24,IF(E267=Param9,AY267/48,""))))))</f>
        <v>0</v>
      </c>
      <c r="K267" s="105"/>
      <c r="L267" s="105"/>
      <c r="M267" s="105"/>
      <c r="N267" s="105"/>
      <c r="O267" s="105"/>
      <c r="P267" s="105"/>
      <c r="Q267" s="105"/>
      <c r="R267" s="105"/>
      <c r="S267" s="105"/>
      <c r="T267" s="105"/>
      <c r="U267" s="105"/>
      <c r="V267" s="105"/>
      <c r="W267" s="105"/>
      <c r="X267" s="105"/>
      <c r="Y267" s="105"/>
      <c r="Z267" s="105"/>
      <c r="AA267" s="105"/>
      <c r="AB267" s="105"/>
      <c r="AC267" s="105"/>
      <c r="AD267" s="105"/>
      <c r="AE267" s="105"/>
      <c r="AF267" s="105"/>
      <c r="AG267" s="105"/>
      <c r="AH267" s="105"/>
      <c r="AI267" s="105"/>
      <c r="AJ267" s="107">
        <f t="shared" si="61"/>
        <v>0</v>
      </c>
      <c r="AK267" s="105"/>
      <c r="AL267" s="105"/>
      <c r="AM267" s="105"/>
      <c r="AN267" s="105"/>
      <c r="AO267" s="105"/>
      <c r="AP267" s="105"/>
      <c r="AQ267" s="108">
        <f t="shared" si="62"/>
        <v>0</v>
      </c>
      <c r="AR267" s="108">
        <f t="shared" si="63"/>
        <v>0</v>
      </c>
      <c r="AS267" s="109">
        <f t="shared" si="64"/>
        <v>0</v>
      </c>
      <c r="AU267" s="110">
        <f t="shared" si="55"/>
        <v>0</v>
      </c>
      <c r="AV267" s="111" t="str">
        <f>IF(D267="NR",
IF('ZD Vorerfassung'!$E$22="",0,IF(AND(B267&gt;='ZD Vorerfassung'!$C$22,B267&lt;='ZD Vorerfassung'!$D$22),HLOOKUP(TEXT(C267,"ttt"),'ZD Vorerfassung'!$H$21:$L$36,2,0),0))+
IF('ZD Vorerfassung'!$E$23="",0,IF(AND(B267&gt;='ZD Vorerfassung'!$C$23,B267&lt;='ZD Vorerfassung'!$D$23),HLOOKUP(TEXT(C267,"ttt"),'ZD Vorerfassung'!$H$21:$L$36,3,0),0))+
IF('ZD Vorerfassung'!$E$24="",0,IF(AND(B267&gt;='ZD Vorerfassung'!$C$24,B267&lt;='ZD Vorerfassung'!$D$24),HLOOKUP(TEXT(C267,"ttt"),'ZD Vorerfassung'!$H$21:$L$36,4,0),0))+
IF('ZD Vorerfassung'!$E$25="",0,IF(AND(B267&gt;='ZD Vorerfassung'!$C$25,B267&lt;='ZD Vorerfassung'!$D$25),HLOOKUP(TEXT(C267,"ttt"),'ZD Vorerfassung'!$H$21:$L$36,5,0),0))+
IF('ZD Vorerfassung'!$E$26="",0,IF(AND(B267&gt;='ZD Vorerfassung'!$C$26,B267&lt;='ZD Vorerfassung'!$D$26),HLOOKUP(TEXT(C267,"ttt"),'ZD Vorerfassung'!$H$21:$L$36,6,0),0))+
IF('ZD Vorerfassung'!$E$27="",0,IF(AND(B267&gt;='ZD Vorerfassung'!$C$27,B267&lt;='ZD Vorerfassung'!$D$27),HLOOKUP(TEXT(C267,"ttt"),'ZD Vorerfassung'!$H$21:$L$36,7,0),0))+
IF('ZD Vorerfassung'!$E$28="",0,IF(AND(B267&gt;='ZD Vorerfassung'!$C$28,B267&lt;='ZD Vorerfassung'!$D$28),HLOOKUP(TEXT(C267,"ttt"),'ZD Vorerfassung'!$H$21:$L$36,8,0),0))+
IF('ZD Vorerfassung'!$E$29="",0,IF(AND(B267&gt;='ZD Vorerfassung'!$C$29,B267&lt;='ZD Vorerfassung'!$D$29),HLOOKUP(TEXT(C267,"ttt"),'ZD Vorerfassung'!$H$21:$L$36,9,0),0))+
IF('ZD Vorerfassung'!$E$30="",0,IF(AND(B267&gt;='ZD Vorerfassung'!$C$30,B267&lt;='ZD Vorerfassung'!$D$30),HLOOKUP(TEXT(C267,"ttt"),'ZD Vorerfassung'!$H$21:$L$36,10,0),0))+
IF('ZD Vorerfassung'!$E$31="",0,IF(AND(B267&gt;='ZD Vorerfassung'!$C$31,B267&lt;='ZD Vorerfassung'!$D$31),HLOOKUP(TEXT(C267,"ttt"),'ZD Vorerfassung'!$H$21:$L$36,11,0),0))+
IF('ZD Vorerfassung'!$E$32="",0,IF(AND(B267&gt;='ZD Vorerfassung'!$C$32,B267&lt;='ZD Vorerfassung'!$D$32),HLOOKUP(TEXT(C267,"ttt"),'ZD Vorerfassung'!$H$21:$L$36,12,0),0))+
IF('ZD Vorerfassung'!$E$33="",0,IF(AND(B267&gt;='ZD Vorerfassung'!$C$33,B267&lt;='ZD Vorerfassung'!$D$33),HLOOKUP(TEXT(C267,"ttt"),'ZD Vorerfassung'!$H$21:$L$36,13,0),0))+
IF('ZD Vorerfassung'!$E$34="",0,IF(AND(B267&gt;='ZD Vorerfassung'!$C$34,B267&lt;='ZD Vorerfassung'!$D$34),HLOOKUP(TEXT(C267,"ttt"),'ZD Vorerfassung'!$H$21:$L$36,14,0),0))+
IF('ZD Vorerfassung'!$E$35="",0,IF(AND(B267&gt;='ZD Vorerfassung'!$C$35,B267&lt;='ZD Vorerfassung'!$D$35),HLOOKUP(TEXT(C267,"ttt"),'ZD Vorerfassung'!$H$21:$L$36,15,0),0))+
IF('ZD Vorerfassung'!$E$36="",0,IF(AND(B267&gt;='ZD Vorerfassung'!$C$36,B267&lt;='ZD Vorerfassung'!$D$36),HLOOKUP(TEXT(C267,"ttt"),'ZD Vorerfassung'!$H$21:$L$36,16,0),0)),"")</f>
        <v/>
      </c>
      <c r="AW267" s="110">
        <f t="array" ref="AW267">IF(OR(D267="UU",D267="FT",D267="WE"),0,
IF(D267="NR",SUM(IF(B267&gt;=_xlfn.NUMBERVALUE('ZD Vorerfassung'!$C$22:$C$36),1,0)*IF(B267&lt;=_xlfn.NUMBERVALUE('ZD Vorerfassung'!$D$22:$D$36),1,0)*'ZD Vorerfassung'!$Q$22:$Q$36),
IF(OR(D267="SF",D267="FH"),SUM(IF(B267&gt;=_xlfn.NUMBERVALUE('ZD Vorerfassung'!$C$22:$C$36),1,0)*IF(B267&lt;=_xlfn.NUMBERVALUE('ZD Vorerfassung'!$D$22:$D$36),1,0)*'ZD Vorerfassung'!$R$22:$R$36*IF(D267="FH",0.5,1)),
"prüfen")))</f>
        <v>0</v>
      </c>
      <c r="AX267" s="110">
        <f t="array" ref="AX267">IF(OR(D267="UU",D267="FT",D267="WE",E267="Ferien"),0,
IF(D267="NR",SUM(IF(B267&gt;=_xlfn.NUMBERVALUE('ZD Vorerfassung'!$C$22:$C$36),1,0)*IF(B267&lt;=_xlfn.NUMBERVALUE('ZD Vorerfassung'!$D$22:$D$36),1,0)*'ZD Vorerfassung'!$W$22:$W$36),
IF(OR(D267="SF",D267="FH"),SUM(IF(B267&gt;=_xlfn.NUMBERVALUE('ZD Vorerfassung'!$C$22:$C$36),1,0)*IF(B267&lt;=_xlfn.NUMBERVALUE('ZD Vorerfassung'!$D$22:$D$36),1,0)*'ZD Vorerfassung'!$X$22:$X$36*IF(D267="FH",0.5,1)),
"prüfen")))</f>
        <v>0</v>
      </c>
      <c r="AY267" s="110">
        <f t="array" ref="AY267">IF(OR(D267="UU",D267="FT",D267="WE",E267="Ferien"),0,
IF(D267="NR",SUM(IF(B267&gt;=_xlfn.NUMBERVALUE('ZD Vorerfassung'!$C$22:$C$36),1,0)*IF(B267&lt;=_xlfn.NUMBERVALUE('ZD Vorerfassung'!$D$22:$D$36),1,0)*'ZD Vorerfassung'!$U$22:$U$36),
IF(OR(D267="SF",D267="FH"),SUM(IF(B267&gt;=_xlfn.NUMBERVALUE('ZD Vorerfassung'!$C$22:$C$36),1,0)*IF(B267&lt;=_xlfn.NUMBERVALUE('ZD Vorerfassung'!$D$22:$D$36),1,0)*'ZD Vorerfassung'!$V$22:$V$36*IF(D267="FH",0.5,1)),
"prüfen")))</f>
        <v>0</v>
      </c>
      <c r="AZ267" s="110">
        <f t="array" ref="AZ267">IF(OR(D267="UU",D267="FT",D267="WE",E267="Ferien"),0,
IF(D267="NR",SUM(IF(B267&gt;=_xlfn.NUMBERVALUE('ZD Vorerfassung'!$C$22:$C$36),1,0)*IF(B267&lt;=_xlfn.NUMBERVALUE('ZD Vorerfassung'!$D$22:$D$36),1,0)*'ZD Vorerfassung'!$S$22:$S$36),
IF(OR(D267="SF",D267="FH"),SUM(IF(B267&gt;=_xlfn.NUMBERVALUE('ZD Vorerfassung'!$C$22:$C$36),1,0)*IF(B267&lt;=_xlfn.NUMBERVALUE('ZD Vorerfassung'!$D$22:$D$36),1,0)*'ZD Vorerfassung'!$T$22:$T$36*IF(D267="FH",0.5,1)),
"prüfen")))</f>
        <v>0</v>
      </c>
      <c r="BA267" s="112">
        <f t="shared" si="56"/>
        <v>4</v>
      </c>
    </row>
    <row r="268" spans="2:53" ht="19.5" thickTop="1" thickBot="1" x14ac:dyDescent="0.3">
      <c r="B268" s="99">
        <f t="shared" si="53"/>
        <v>45033</v>
      </c>
      <c r="C268" s="100">
        <f t="shared" si="57"/>
        <v>45033</v>
      </c>
      <c r="D268" s="101" t="str">
        <f t="shared" si="58"/>
        <v>WE</v>
      </c>
      <c r="E268" s="102" t="str">
        <f t="shared" si="54"/>
        <v>Wochenende</v>
      </c>
      <c r="F268" s="103" t="str">
        <f t="shared" si="59"/>
        <v/>
      </c>
      <c r="G268" s="104" t="str">
        <f t="shared" si="60"/>
        <v/>
      </c>
      <c r="H268" s="104">
        <f>IFERROR(IF('ZD Vorerfassung'!$E$11="manuell",SUM(I268),IF(OR(E268="Feiertag",E268="Wochenende"),0,IF('ZD Vorerfassung'!$E$11="automatisch",AX268,IF(D268="UU","UU",IF(E268=Param2,AX268/24,IF(E268=Param9,AX268/48,"")))))),0)</f>
        <v>0</v>
      </c>
      <c r="I268" s="105"/>
      <c r="J268" s="106">
        <f>IF('ZD Vorerfassung'!$E$12="manuell",SUM(K268:AI268),IF(OR(E268="Feiertag",E268="Wochenende"),0,IF('ZD Vorerfassung'!$E$12="automatisch",AY268,IF(D268="UU","UU",IF(E268=Param2,AY268/24,IF(E268=Param9,AY268/48,""))))))</f>
        <v>0</v>
      </c>
      <c r="K268" s="105"/>
      <c r="L268" s="105"/>
      <c r="M268" s="105"/>
      <c r="N268" s="105"/>
      <c r="O268" s="105"/>
      <c r="P268" s="105"/>
      <c r="Q268" s="105"/>
      <c r="R268" s="105"/>
      <c r="S268" s="105"/>
      <c r="T268" s="105"/>
      <c r="U268" s="105"/>
      <c r="V268" s="105"/>
      <c r="W268" s="105"/>
      <c r="X268" s="105"/>
      <c r="Y268" s="105"/>
      <c r="Z268" s="105"/>
      <c r="AA268" s="105"/>
      <c r="AB268" s="105"/>
      <c r="AC268" s="105"/>
      <c r="AD268" s="105"/>
      <c r="AE268" s="105"/>
      <c r="AF268" s="105"/>
      <c r="AG268" s="105"/>
      <c r="AH268" s="105"/>
      <c r="AI268" s="105"/>
      <c r="AJ268" s="107">
        <f t="shared" si="61"/>
        <v>0</v>
      </c>
      <c r="AK268" s="105"/>
      <c r="AL268" s="105"/>
      <c r="AM268" s="105"/>
      <c r="AN268" s="105"/>
      <c r="AO268" s="105"/>
      <c r="AP268" s="105"/>
      <c r="AQ268" s="108">
        <f t="shared" si="62"/>
        <v>0</v>
      </c>
      <c r="AR268" s="108">
        <f t="shared" si="63"/>
        <v>0</v>
      </c>
      <c r="AS268" s="109">
        <f t="shared" si="64"/>
        <v>0</v>
      </c>
      <c r="AU268" s="110">
        <f t="shared" si="55"/>
        <v>0</v>
      </c>
      <c r="AV268" s="111" t="str">
        <f>IF(D268="NR",
IF('ZD Vorerfassung'!$E$22="",0,IF(AND(B268&gt;='ZD Vorerfassung'!$C$22,B268&lt;='ZD Vorerfassung'!$D$22),HLOOKUP(TEXT(C268,"ttt"),'ZD Vorerfassung'!$H$21:$L$36,2,0),0))+
IF('ZD Vorerfassung'!$E$23="",0,IF(AND(B268&gt;='ZD Vorerfassung'!$C$23,B268&lt;='ZD Vorerfassung'!$D$23),HLOOKUP(TEXT(C268,"ttt"),'ZD Vorerfassung'!$H$21:$L$36,3,0),0))+
IF('ZD Vorerfassung'!$E$24="",0,IF(AND(B268&gt;='ZD Vorerfassung'!$C$24,B268&lt;='ZD Vorerfassung'!$D$24),HLOOKUP(TEXT(C268,"ttt"),'ZD Vorerfassung'!$H$21:$L$36,4,0),0))+
IF('ZD Vorerfassung'!$E$25="",0,IF(AND(B268&gt;='ZD Vorerfassung'!$C$25,B268&lt;='ZD Vorerfassung'!$D$25),HLOOKUP(TEXT(C268,"ttt"),'ZD Vorerfassung'!$H$21:$L$36,5,0),0))+
IF('ZD Vorerfassung'!$E$26="",0,IF(AND(B268&gt;='ZD Vorerfassung'!$C$26,B268&lt;='ZD Vorerfassung'!$D$26),HLOOKUP(TEXT(C268,"ttt"),'ZD Vorerfassung'!$H$21:$L$36,6,0),0))+
IF('ZD Vorerfassung'!$E$27="",0,IF(AND(B268&gt;='ZD Vorerfassung'!$C$27,B268&lt;='ZD Vorerfassung'!$D$27),HLOOKUP(TEXT(C268,"ttt"),'ZD Vorerfassung'!$H$21:$L$36,7,0),0))+
IF('ZD Vorerfassung'!$E$28="",0,IF(AND(B268&gt;='ZD Vorerfassung'!$C$28,B268&lt;='ZD Vorerfassung'!$D$28),HLOOKUP(TEXT(C268,"ttt"),'ZD Vorerfassung'!$H$21:$L$36,8,0),0))+
IF('ZD Vorerfassung'!$E$29="",0,IF(AND(B268&gt;='ZD Vorerfassung'!$C$29,B268&lt;='ZD Vorerfassung'!$D$29),HLOOKUP(TEXT(C268,"ttt"),'ZD Vorerfassung'!$H$21:$L$36,9,0),0))+
IF('ZD Vorerfassung'!$E$30="",0,IF(AND(B268&gt;='ZD Vorerfassung'!$C$30,B268&lt;='ZD Vorerfassung'!$D$30),HLOOKUP(TEXT(C268,"ttt"),'ZD Vorerfassung'!$H$21:$L$36,10,0),0))+
IF('ZD Vorerfassung'!$E$31="",0,IF(AND(B268&gt;='ZD Vorerfassung'!$C$31,B268&lt;='ZD Vorerfassung'!$D$31),HLOOKUP(TEXT(C268,"ttt"),'ZD Vorerfassung'!$H$21:$L$36,11,0),0))+
IF('ZD Vorerfassung'!$E$32="",0,IF(AND(B268&gt;='ZD Vorerfassung'!$C$32,B268&lt;='ZD Vorerfassung'!$D$32),HLOOKUP(TEXT(C268,"ttt"),'ZD Vorerfassung'!$H$21:$L$36,12,0),0))+
IF('ZD Vorerfassung'!$E$33="",0,IF(AND(B268&gt;='ZD Vorerfassung'!$C$33,B268&lt;='ZD Vorerfassung'!$D$33),HLOOKUP(TEXT(C268,"ttt"),'ZD Vorerfassung'!$H$21:$L$36,13,0),0))+
IF('ZD Vorerfassung'!$E$34="",0,IF(AND(B268&gt;='ZD Vorerfassung'!$C$34,B268&lt;='ZD Vorerfassung'!$D$34),HLOOKUP(TEXT(C268,"ttt"),'ZD Vorerfassung'!$H$21:$L$36,14,0),0))+
IF('ZD Vorerfassung'!$E$35="",0,IF(AND(B268&gt;='ZD Vorerfassung'!$C$35,B268&lt;='ZD Vorerfassung'!$D$35),HLOOKUP(TEXT(C268,"ttt"),'ZD Vorerfassung'!$H$21:$L$36,15,0),0))+
IF('ZD Vorerfassung'!$E$36="",0,IF(AND(B268&gt;='ZD Vorerfassung'!$C$36,B268&lt;='ZD Vorerfassung'!$D$36),HLOOKUP(TEXT(C268,"ttt"),'ZD Vorerfassung'!$H$21:$L$36,16,0),0)),"")</f>
        <v/>
      </c>
      <c r="AW268" s="110">
        <f t="array" ref="AW268">IF(OR(D268="UU",D268="FT",D268="WE"),0,
IF(D268="NR",SUM(IF(B268&gt;=_xlfn.NUMBERVALUE('ZD Vorerfassung'!$C$22:$C$36),1,0)*IF(B268&lt;=_xlfn.NUMBERVALUE('ZD Vorerfassung'!$D$22:$D$36),1,0)*'ZD Vorerfassung'!$Q$22:$Q$36),
IF(OR(D268="SF",D268="FH"),SUM(IF(B268&gt;=_xlfn.NUMBERVALUE('ZD Vorerfassung'!$C$22:$C$36),1,0)*IF(B268&lt;=_xlfn.NUMBERVALUE('ZD Vorerfassung'!$D$22:$D$36),1,0)*'ZD Vorerfassung'!$R$22:$R$36*IF(D268="FH",0.5,1)),
"prüfen")))</f>
        <v>0</v>
      </c>
      <c r="AX268" s="110">
        <f t="array" ref="AX268">IF(OR(D268="UU",D268="FT",D268="WE",E268="Ferien"),0,
IF(D268="NR",SUM(IF(B268&gt;=_xlfn.NUMBERVALUE('ZD Vorerfassung'!$C$22:$C$36),1,0)*IF(B268&lt;=_xlfn.NUMBERVALUE('ZD Vorerfassung'!$D$22:$D$36),1,0)*'ZD Vorerfassung'!$W$22:$W$36),
IF(OR(D268="SF",D268="FH"),SUM(IF(B268&gt;=_xlfn.NUMBERVALUE('ZD Vorerfassung'!$C$22:$C$36),1,0)*IF(B268&lt;=_xlfn.NUMBERVALUE('ZD Vorerfassung'!$D$22:$D$36),1,0)*'ZD Vorerfassung'!$X$22:$X$36*IF(D268="FH",0.5,1)),
"prüfen")))</f>
        <v>0</v>
      </c>
      <c r="AY268" s="110">
        <f t="array" ref="AY268">IF(OR(D268="UU",D268="FT",D268="WE",E268="Ferien"),0,
IF(D268="NR",SUM(IF(B268&gt;=_xlfn.NUMBERVALUE('ZD Vorerfassung'!$C$22:$C$36),1,0)*IF(B268&lt;=_xlfn.NUMBERVALUE('ZD Vorerfassung'!$D$22:$D$36),1,0)*'ZD Vorerfassung'!$U$22:$U$36),
IF(OR(D268="SF",D268="FH"),SUM(IF(B268&gt;=_xlfn.NUMBERVALUE('ZD Vorerfassung'!$C$22:$C$36),1,0)*IF(B268&lt;=_xlfn.NUMBERVALUE('ZD Vorerfassung'!$D$22:$D$36),1,0)*'ZD Vorerfassung'!$V$22:$V$36*IF(D268="FH",0.5,1)),
"prüfen")))</f>
        <v>0</v>
      </c>
      <c r="AZ268" s="110">
        <f t="array" ref="AZ268">IF(OR(D268="UU",D268="FT",D268="WE",E268="Ferien"),0,
IF(D268="NR",SUM(IF(B268&gt;=_xlfn.NUMBERVALUE('ZD Vorerfassung'!$C$22:$C$36),1,0)*IF(B268&lt;=_xlfn.NUMBERVALUE('ZD Vorerfassung'!$D$22:$D$36),1,0)*'ZD Vorerfassung'!$S$22:$S$36),
IF(OR(D268="SF",D268="FH"),SUM(IF(B268&gt;=_xlfn.NUMBERVALUE('ZD Vorerfassung'!$C$22:$C$36),1,0)*IF(B268&lt;=_xlfn.NUMBERVALUE('ZD Vorerfassung'!$D$22:$D$36),1,0)*'ZD Vorerfassung'!$T$22:$T$36*IF(D268="FH",0.5,1)),
"prüfen")))</f>
        <v>0</v>
      </c>
      <c r="BA268" s="112">
        <f t="shared" si="56"/>
        <v>4</v>
      </c>
    </row>
    <row r="269" spans="2:53" ht="19.5" thickTop="1" thickBot="1" x14ac:dyDescent="0.3">
      <c r="B269" s="99">
        <f t="shared" si="53"/>
        <v>45034</v>
      </c>
      <c r="C269" s="100">
        <f t="shared" si="57"/>
        <v>45034</v>
      </c>
      <c r="D269" s="101" t="str">
        <f t="shared" si="58"/>
        <v>NR</v>
      </c>
      <c r="E269" s="102" t="str">
        <f t="shared" si="54"/>
        <v>Unterrichtstag</v>
      </c>
      <c r="F269" s="103">
        <f t="shared" si="59"/>
        <v>0</v>
      </c>
      <c r="G269" s="104">
        <f t="shared" si="60"/>
        <v>0</v>
      </c>
      <c r="H269" s="104">
        <f>IFERROR(IF('ZD Vorerfassung'!$E$11="manuell",SUM(I269),IF(OR(E269="Feiertag",E269="Wochenende"),0,IF('ZD Vorerfassung'!$E$11="automatisch",AX269,IF(D269="UU","UU",IF(E269=Param2,AX269/24,IF(E269=Param9,AX269/48,"")))))),0)</f>
        <v>0</v>
      </c>
      <c r="I269" s="105"/>
      <c r="J269" s="106">
        <f>IF('ZD Vorerfassung'!$E$12="manuell",SUM(K269:AI269),IF(OR(E269="Feiertag",E269="Wochenende"),0,IF('ZD Vorerfassung'!$E$12="automatisch",AY269,IF(D269="UU","UU",IF(E269=Param2,AY269/24,IF(E269=Param9,AY269/48,""))))))</f>
        <v>0</v>
      </c>
      <c r="K269" s="105"/>
      <c r="L269" s="105"/>
      <c r="M269" s="105"/>
      <c r="N269" s="105"/>
      <c r="O269" s="105"/>
      <c r="P269" s="105"/>
      <c r="Q269" s="105"/>
      <c r="R269" s="105"/>
      <c r="S269" s="105"/>
      <c r="T269" s="105"/>
      <c r="U269" s="105"/>
      <c r="V269" s="105"/>
      <c r="W269" s="105"/>
      <c r="X269" s="105"/>
      <c r="Y269" s="105"/>
      <c r="Z269" s="105"/>
      <c r="AA269" s="105"/>
      <c r="AB269" s="105"/>
      <c r="AC269" s="105"/>
      <c r="AD269" s="105"/>
      <c r="AE269" s="105"/>
      <c r="AF269" s="105"/>
      <c r="AG269" s="105"/>
      <c r="AH269" s="105"/>
      <c r="AI269" s="105"/>
      <c r="AJ269" s="107">
        <f t="shared" si="61"/>
        <v>0</v>
      </c>
      <c r="AK269" s="105"/>
      <c r="AL269" s="105"/>
      <c r="AM269" s="105"/>
      <c r="AN269" s="105"/>
      <c r="AO269" s="105"/>
      <c r="AP269" s="105"/>
      <c r="AQ269" s="108">
        <f t="shared" si="62"/>
        <v>0</v>
      </c>
      <c r="AR269" s="108">
        <f t="shared" si="63"/>
        <v>0</v>
      </c>
      <c r="AS269" s="109">
        <f t="shared" si="64"/>
        <v>0</v>
      </c>
      <c r="AU269" s="110">
        <f t="shared" si="55"/>
        <v>0</v>
      </c>
      <c r="AV269" s="111">
        <f>IF(D269="NR",
IF('ZD Vorerfassung'!$E$22="",0,IF(AND(B269&gt;='ZD Vorerfassung'!$C$22,B269&lt;='ZD Vorerfassung'!$D$22),HLOOKUP(TEXT(C269,"ttt"),'ZD Vorerfassung'!$H$21:$L$36,2,0),0))+
IF('ZD Vorerfassung'!$E$23="",0,IF(AND(B269&gt;='ZD Vorerfassung'!$C$23,B269&lt;='ZD Vorerfassung'!$D$23),HLOOKUP(TEXT(C269,"ttt"),'ZD Vorerfassung'!$H$21:$L$36,3,0),0))+
IF('ZD Vorerfassung'!$E$24="",0,IF(AND(B269&gt;='ZD Vorerfassung'!$C$24,B269&lt;='ZD Vorerfassung'!$D$24),HLOOKUP(TEXT(C269,"ttt"),'ZD Vorerfassung'!$H$21:$L$36,4,0),0))+
IF('ZD Vorerfassung'!$E$25="",0,IF(AND(B269&gt;='ZD Vorerfassung'!$C$25,B269&lt;='ZD Vorerfassung'!$D$25),HLOOKUP(TEXT(C269,"ttt"),'ZD Vorerfassung'!$H$21:$L$36,5,0),0))+
IF('ZD Vorerfassung'!$E$26="",0,IF(AND(B269&gt;='ZD Vorerfassung'!$C$26,B269&lt;='ZD Vorerfassung'!$D$26),HLOOKUP(TEXT(C269,"ttt"),'ZD Vorerfassung'!$H$21:$L$36,6,0),0))+
IF('ZD Vorerfassung'!$E$27="",0,IF(AND(B269&gt;='ZD Vorerfassung'!$C$27,B269&lt;='ZD Vorerfassung'!$D$27),HLOOKUP(TEXT(C269,"ttt"),'ZD Vorerfassung'!$H$21:$L$36,7,0),0))+
IF('ZD Vorerfassung'!$E$28="",0,IF(AND(B269&gt;='ZD Vorerfassung'!$C$28,B269&lt;='ZD Vorerfassung'!$D$28),HLOOKUP(TEXT(C269,"ttt"),'ZD Vorerfassung'!$H$21:$L$36,8,0),0))+
IF('ZD Vorerfassung'!$E$29="",0,IF(AND(B269&gt;='ZD Vorerfassung'!$C$29,B269&lt;='ZD Vorerfassung'!$D$29),HLOOKUP(TEXT(C269,"ttt"),'ZD Vorerfassung'!$H$21:$L$36,9,0),0))+
IF('ZD Vorerfassung'!$E$30="",0,IF(AND(B269&gt;='ZD Vorerfassung'!$C$30,B269&lt;='ZD Vorerfassung'!$D$30),HLOOKUP(TEXT(C269,"ttt"),'ZD Vorerfassung'!$H$21:$L$36,10,0),0))+
IF('ZD Vorerfassung'!$E$31="",0,IF(AND(B269&gt;='ZD Vorerfassung'!$C$31,B269&lt;='ZD Vorerfassung'!$D$31),HLOOKUP(TEXT(C269,"ttt"),'ZD Vorerfassung'!$H$21:$L$36,11,0),0))+
IF('ZD Vorerfassung'!$E$32="",0,IF(AND(B269&gt;='ZD Vorerfassung'!$C$32,B269&lt;='ZD Vorerfassung'!$D$32),HLOOKUP(TEXT(C269,"ttt"),'ZD Vorerfassung'!$H$21:$L$36,12,0),0))+
IF('ZD Vorerfassung'!$E$33="",0,IF(AND(B269&gt;='ZD Vorerfassung'!$C$33,B269&lt;='ZD Vorerfassung'!$D$33),HLOOKUP(TEXT(C269,"ttt"),'ZD Vorerfassung'!$H$21:$L$36,13,0),0))+
IF('ZD Vorerfassung'!$E$34="",0,IF(AND(B269&gt;='ZD Vorerfassung'!$C$34,B269&lt;='ZD Vorerfassung'!$D$34),HLOOKUP(TEXT(C269,"ttt"),'ZD Vorerfassung'!$H$21:$L$36,14,0),0))+
IF('ZD Vorerfassung'!$E$35="",0,IF(AND(B269&gt;='ZD Vorerfassung'!$C$35,B269&lt;='ZD Vorerfassung'!$D$35),HLOOKUP(TEXT(C269,"ttt"),'ZD Vorerfassung'!$H$21:$L$36,15,0),0))+
IF('ZD Vorerfassung'!$E$36="",0,IF(AND(B269&gt;='ZD Vorerfassung'!$C$36,B269&lt;='ZD Vorerfassung'!$D$36),HLOOKUP(TEXT(C269,"ttt"),'ZD Vorerfassung'!$H$21:$L$36,16,0),0)),"")</f>
        <v>0</v>
      </c>
      <c r="AW269" s="110">
        <f t="array" ref="AW269">IF(OR(D269="UU",D269="FT",D269="WE"),0,
IF(D269="NR",SUM(IF(B269&gt;=_xlfn.NUMBERVALUE('ZD Vorerfassung'!$C$22:$C$36),1,0)*IF(B269&lt;=_xlfn.NUMBERVALUE('ZD Vorerfassung'!$D$22:$D$36),1,0)*'ZD Vorerfassung'!$Q$22:$Q$36),
IF(OR(D269="SF",D269="FH"),SUM(IF(B269&gt;=_xlfn.NUMBERVALUE('ZD Vorerfassung'!$C$22:$C$36),1,0)*IF(B269&lt;=_xlfn.NUMBERVALUE('ZD Vorerfassung'!$D$22:$D$36),1,0)*'ZD Vorerfassung'!$R$22:$R$36*IF(D269="FH",0.5,1)),
"prüfen")))</f>
        <v>0</v>
      </c>
      <c r="AX269" s="110">
        <f t="array" ref="AX269">IF(OR(D269="UU",D269="FT",D269="WE",E269="Ferien"),0,
IF(D269="NR",SUM(IF(B269&gt;=_xlfn.NUMBERVALUE('ZD Vorerfassung'!$C$22:$C$36),1,0)*IF(B269&lt;=_xlfn.NUMBERVALUE('ZD Vorerfassung'!$D$22:$D$36),1,0)*'ZD Vorerfassung'!$W$22:$W$36),
IF(OR(D269="SF",D269="FH"),SUM(IF(B269&gt;=_xlfn.NUMBERVALUE('ZD Vorerfassung'!$C$22:$C$36),1,0)*IF(B269&lt;=_xlfn.NUMBERVALUE('ZD Vorerfassung'!$D$22:$D$36),1,0)*'ZD Vorerfassung'!$X$22:$X$36*IF(D269="FH",0.5,1)),
"prüfen")))</f>
        <v>0</v>
      </c>
      <c r="AY269" s="110">
        <f t="array" ref="AY269">IF(OR(D269="UU",D269="FT",D269="WE",E269="Ferien"),0,
IF(D269="NR",SUM(IF(B269&gt;=_xlfn.NUMBERVALUE('ZD Vorerfassung'!$C$22:$C$36),1,0)*IF(B269&lt;=_xlfn.NUMBERVALUE('ZD Vorerfassung'!$D$22:$D$36),1,0)*'ZD Vorerfassung'!$U$22:$U$36),
IF(OR(D269="SF",D269="FH"),SUM(IF(B269&gt;=_xlfn.NUMBERVALUE('ZD Vorerfassung'!$C$22:$C$36),1,0)*IF(B269&lt;=_xlfn.NUMBERVALUE('ZD Vorerfassung'!$D$22:$D$36),1,0)*'ZD Vorerfassung'!$V$22:$V$36*IF(D269="FH",0.5,1)),
"prüfen")))</f>
        <v>0</v>
      </c>
      <c r="AZ269" s="110">
        <f t="array" ref="AZ269">IF(OR(D269="UU",D269="FT",D269="WE",E269="Ferien"),0,
IF(D269="NR",SUM(IF(B269&gt;=_xlfn.NUMBERVALUE('ZD Vorerfassung'!$C$22:$C$36),1,0)*IF(B269&lt;=_xlfn.NUMBERVALUE('ZD Vorerfassung'!$D$22:$D$36),1,0)*'ZD Vorerfassung'!$S$22:$S$36),
IF(OR(D269="SF",D269="FH"),SUM(IF(B269&gt;=_xlfn.NUMBERVALUE('ZD Vorerfassung'!$C$22:$C$36),1,0)*IF(B269&lt;=_xlfn.NUMBERVALUE('ZD Vorerfassung'!$D$22:$D$36),1,0)*'ZD Vorerfassung'!$T$22:$T$36*IF(D269="FH",0.5,1)),
"prüfen")))</f>
        <v>0</v>
      </c>
      <c r="BA269" s="112">
        <f t="shared" si="56"/>
        <v>4</v>
      </c>
    </row>
    <row r="270" spans="2:53" ht="19.5" thickTop="1" thickBot="1" x14ac:dyDescent="0.3">
      <c r="B270" s="99">
        <f t="shared" si="53"/>
        <v>45035</v>
      </c>
      <c r="C270" s="100">
        <f t="shared" si="57"/>
        <v>45035</v>
      </c>
      <c r="D270" s="101" t="str">
        <f t="shared" si="58"/>
        <v>NR</v>
      </c>
      <c r="E270" s="102" t="str">
        <f t="shared" si="54"/>
        <v>Unterrichtstag</v>
      </c>
      <c r="F270" s="103">
        <f t="shared" si="59"/>
        <v>0</v>
      </c>
      <c r="G270" s="104">
        <f t="shared" si="60"/>
        <v>0</v>
      </c>
      <c r="H270" s="104">
        <f>IFERROR(IF('ZD Vorerfassung'!$E$11="manuell",SUM(I270),IF(OR(E270="Feiertag",E270="Wochenende"),0,IF('ZD Vorerfassung'!$E$11="automatisch",AX270,IF(D270="UU","UU",IF(E270=Param2,AX270/24,IF(E270=Param9,AX270/48,"")))))),0)</f>
        <v>0</v>
      </c>
      <c r="I270" s="105"/>
      <c r="J270" s="106">
        <f>IF('ZD Vorerfassung'!$E$12="manuell",SUM(K270:AI270),IF(OR(E270="Feiertag",E270="Wochenende"),0,IF('ZD Vorerfassung'!$E$12="automatisch",AY270,IF(D270="UU","UU",IF(E270=Param2,AY270/24,IF(E270=Param9,AY270/48,""))))))</f>
        <v>0</v>
      </c>
      <c r="K270" s="105"/>
      <c r="L270" s="105"/>
      <c r="M270" s="105"/>
      <c r="N270" s="105"/>
      <c r="O270" s="105"/>
      <c r="P270" s="105"/>
      <c r="Q270" s="105"/>
      <c r="R270" s="105"/>
      <c r="S270" s="105"/>
      <c r="T270" s="105"/>
      <c r="U270" s="105"/>
      <c r="V270" s="105"/>
      <c r="W270" s="105"/>
      <c r="X270" s="105"/>
      <c r="Y270" s="105"/>
      <c r="Z270" s="105"/>
      <c r="AA270" s="105"/>
      <c r="AB270" s="105"/>
      <c r="AC270" s="105"/>
      <c r="AD270" s="105"/>
      <c r="AE270" s="105"/>
      <c r="AF270" s="105"/>
      <c r="AG270" s="105"/>
      <c r="AH270" s="105"/>
      <c r="AI270" s="105"/>
      <c r="AJ270" s="107">
        <f t="shared" si="61"/>
        <v>0</v>
      </c>
      <c r="AK270" s="105"/>
      <c r="AL270" s="105"/>
      <c r="AM270" s="105"/>
      <c r="AN270" s="105"/>
      <c r="AO270" s="105"/>
      <c r="AP270" s="105"/>
      <c r="AQ270" s="108">
        <f t="shared" si="62"/>
        <v>0</v>
      </c>
      <c r="AR270" s="108">
        <f t="shared" si="63"/>
        <v>0</v>
      </c>
      <c r="AS270" s="109">
        <f t="shared" si="64"/>
        <v>0</v>
      </c>
      <c r="AU270" s="110">
        <f t="shared" si="55"/>
        <v>0</v>
      </c>
      <c r="AV270" s="111">
        <f>IF(D270="NR",
IF('ZD Vorerfassung'!$E$22="",0,IF(AND(B270&gt;='ZD Vorerfassung'!$C$22,B270&lt;='ZD Vorerfassung'!$D$22),HLOOKUP(TEXT(C270,"ttt"),'ZD Vorerfassung'!$H$21:$L$36,2,0),0))+
IF('ZD Vorerfassung'!$E$23="",0,IF(AND(B270&gt;='ZD Vorerfassung'!$C$23,B270&lt;='ZD Vorerfassung'!$D$23),HLOOKUP(TEXT(C270,"ttt"),'ZD Vorerfassung'!$H$21:$L$36,3,0),0))+
IF('ZD Vorerfassung'!$E$24="",0,IF(AND(B270&gt;='ZD Vorerfassung'!$C$24,B270&lt;='ZD Vorerfassung'!$D$24),HLOOKUP(TEXT(C270,"ttt"),'ZD Vorerfassung'!$H$21:$L$36,4,0),0))+
IF('ZD Vorerfassung'!$E$25="",0,IF(AND(B270&gt;='ZD Vorerfassung'!$C$25,B270&lt;='ZD Vorerfassung'!$D$25),HLOOKUP(TEXT(C270,"ttt"),'ZD Vorerfassung'!$H$21:$L$36,5,0),0))+
IF('ZD Vorerfassung'!$E$26="",0,IF(AND(B270&gt;='ZD Vorerfassung'!$C$26,B270&lt;='ZD Vorerfassung'!$D$26),HLOOKUP(TEXT(C270,"ttt"),'ZD Vorerfassung'!$H$21:$L$36,6,0),0))+
IF('ZD Vorerfassung'!$E$27="",0,IF(AND(B270&gt;='ZD Vorerfassung'!$C$27,B270&lt;='ZD Vorerfassung'!$D$27),HLOOKUP(TEXT(C270,"ttt"),'ZD Vorerfassung'!$H$21:$L$36,7,0),0))+
IF('ZD Vorerfassung'!$E$28="",0,IF(AND(B270&gt;='ZD Vorerfassung'!$C$28,B270&lt;='ZD Vorerfassung'!$D$28),HLOOKUP(TEXT(C270,"ttt"),'ZD Vorerfassung'!$H$21:$L$36,8,0),0))+
IF('ZD Vorerfassung'!$E$29="",0,IF(AND(B270&gt;='ZD Vorerfassung'!$C$29,B270&lt;='ZD Vorerfassung'!$D$29),HLOOKUP(TEXT(C270,"ttt"),'ZD Vorerfassung'!$H$21:$L$36,9,0),0))+
IF('ZD Vorerfassung'!$E$30="",0,IF(AND(B270&gt;='ZD Vorerfassung'!$C$30,B270&lt;='ZD Vorerfassung'!$D$30),HLOOKUP(TEXT(C270,"ttt"),'ZD Vorerfassung'!$H$21:$L$36,10,0),0))+
IF('ZD Vorerfassung'!$E$31="",0,IF(AND(B270&gt;='ZD Vorerfassung'!$C$31,B270&lt;='ZD Vorerfassung'!$D$31),HLOOKUP(TEXT(C270,"ttt"),'ZD Vorerfassung'!$H$21:$L$36,11,0),0))+
IF('ZD Vorerfassung'!$E$32="",0,IF(AND(B270&gt;='ZD Vorerfassung'!$C$32,B270&lt;='ZD Vorerfassung'!$D$32),HLOOKUP(TEXT(C270,"ttt"),'ZD Vorerfassung'!$H$21:$L$36,12,0),0))+
IF('ZD Vorerfassung'!$E$33="",0,IF(AND(B270&gt;='ZD Vorerfassung'!$C$33,B270&lt;='ZD Vorerfassung'!$D$33),HLOOKUP(TEXT(C270,"ttt"),'ZD Vorerfassung'!$H$21:$L$36,13,0),0))+
IF('ZD Vorerfassung'!$E$34="",0,IF(AND(B270&gt;='ZD Vorerfassung'!$C$34,B270&lt;='ZD Vorerfassung'!$D$34),HLOOKUP(TEXT(C270,"ttt"),'ZD Vorerfassung'!$H$21:$L$36,14,0),0))+
IF('ZD Vorerfassung'!$E$35="",0,IF(AND(B270&gt;='ZD Vorerfassung'!$C$35,B270&lt;='ZD Vorerfassung'!$D$35),HLOOKUP(TEXT(C270,"ttt"),'ZD Vorerfassung'!$H$21:$L$36,15,0),0))+
IF('ZD Vorerfassung'!$E$36="",0,IF(AND(B270&gt;='ZD Vorerfassung'!$C$36,B270&lt;='ZD Vorerfassung'!$D$36),HLOOKUP(TEXT(C270,"ttt"),'ZD Vorerfassung'!$H$21:$L$36,16,0),0)),"")</f>
        <v>0</v>
      </c>
      <c r="AW270" s="110">
        <f t="array" ref="AW270">IF(OR(D270="UU",D270="FT",D270="WE"),0,
IF(D270="NR",SUM(IF(B270&gt;=_xlfn.NUMBERVALUE('ZD Vorerfassung'!$C$22:$C$36),1,0)*IF(B270&lt;=_xlfn.NUMBERVALUE('ZD Vorerfassung'!$D$22:$D$36),1,0)*'ZD Vorerfassung'!$Q$22:$Q$36),
IF(OR(D270="SF",D270="FH"),SUM(IF(B270&gt;=_xlfn.NUMBERVALUE('ZD Vorerfassung'!$C$22:$C$36),1,0)*IF(B270&lt;=_xlfn.NUMBERVALUE('ZD Vorerfassung'!$D$22:$D$36),1,0)*'ZD Vorerfassung'!$R$22:$R$36*IF(D270="FH",0.5,1)),
"prüfen")))</f>
        <v>0</v>
      </c>
      <c r="AX270" s="110">
        <f t="array" ref="AX270">IF(OR(D270="UU",D270="FT",D270="WE",E270="Ferien"),0,
IF(D270="NR",SUM(IF(B270&gt;=_xlfn.NUMBERVALUE('ZD Vorerfassung'!$C$22:$C$36),1,0)*IF(B270&lt;=_xlfn.NUMBERVALUE('ZD Vorerfassung'!$D$22:$D$36),1,0)*'ZD Vorerfassung'!$W$22:$W$36),
IF(OR(D270="SF",D270="FH"),SUM(IF(B270&gt;=_xlfn.NUMBERVALUE('ZD Vorerfassung'!$C$22:$C$36),1,0)*IF(B270&lt;=_xlfn.NUMBERVALUE('ZD Vorerfassung'!$D$22:$D$36),1,0)*'ZD Vorerfassung'!$X$22:$X$36*IF(D270="FH",0.5,1)),
"prüfen")))</f>
        <v>0</v>
      </c>
      <c r="AY270" s="110">
        <f t="array" ref="AY270">IF(OR(D270="UU",D270="FT",D270="WE",E270="Ferien"),0,
IF(D270="NR",SUM(IF(B270&gt;=_xlfn.NUMBERVALUE('ZD Vorerfassung'!$C$22:$C$36),1,0)*IF(B270&lt;=_xlfn.NUMBERVALUE('ZD Vorerfassung'!$D$22:$D$36),1,0)*'ZD Vorerfassung'!$U$22:$U$36),
IF(OR(D270="SF",D270="FH"),SUM(IF(B270&gt;=_xlfn.NUMBERVALUE('ZD Vorerfassung'!$C$22:$C$36),1,0)*IF(B270&lt;=_xlfn.NUMBERVALUE('ZD Vorerfassung'!$D$22:$D$36),1,0)*'ZD Vorerfassung'!$V$22:$V$36*IF(D270="FH",0.5,1)),
"prüfen")))</f>
        <v>0</v>
      </c>
      <c r="AZ270" s="110">
        <f t="array" ref="AZ270">IF(OR(D270="UU",D270="FT",D270="WE",E270="Ferien"),0,
IF(D270="NR",SUM(IF(B270&gt;=_xlfn.NUMBERVALUE('ZD Vorerfassung'!$C$22:$C$36),1,0)*IF(B270&lt;=_xlfn.NUMBERVALUE('ZD Vorerfassung'!$D$22:$D$36),1,0)*'ZD Vorerfassung'!$S$22:$S$36),
IF(OR(D270="SF",D270="FH"),SUM(IF(B270&gt;=_xlfn.NUMBERVALUE('ZD Vorerfassung'!$C$22:$C$36),1,0)*IF(B270&lt;=_xlfn.NUMBERVALUE('ZD Vorerfassung'!$D$22:$D$36),1,0)*'ZD Vorerfassung'!$T$22:$T$36*IF(D270="FH",0.5,1)),
"prüfen")))</f>
        <v>0</v>
      </c>
      <c r="BA270" s="112">
        <f t="shared" si="56"/>
        <v>4</v>
      </c>
    </row>
    <row r="271" spans="2:53" ht="19.5" thickTop="1" thickBot="1" x14ac:dyDescent="0.3">
      <c r="B271" s="99">
        <f t="shared" si="53"/>
        <v>45036</v>
      </c>
      <c r="C271" s="100">
        <f t="shared" si="57"/>
        <v>45036</v>
      </c>
      <c r="D271" s="101" t="str">
        <f t="shared" si="58"/>
        <v>NR</v>
      </c>
      <c r="E271" s="102" t="str">
        <f t="shared" si="54"/>
        <v>Unterrichtstag</v>
      </c>
      <c r="F271" s="103">
        <f t="shared" si="59"/>
        <v>0</v>
      </c>
      <c r="G271" s="104">
        <f t="shared" si="60"/>
        <v>0</v>
      </c>
      <c r="H271" s="104">
        <f>IFERROR(IF('ZD Vorerfassung'!$E$11="manuell",SUM(I271),IF(OR(E271="Feiertag",E271="Wochenende"),0,IF('ZD Vorerfassung'!$E$11="automatisch",AX271,IF(D271="UU","UU",IF(E271=Param2,AX271/24,IF(E271=Param9,AX271/48,"")))))),0)</f>
        <v>0</v>
      </c>
      <c r="I271" s="105"/>
      <c r="J271" s="106">
        <f>IF('ZD Vorerfassung'!$E$12="manuell",SUM(K271:AI271),IF(OR(E271="Feiertag",E271="Wochenende"),0,IF('ZD Vorerfassung'!$E$12="automatisch",AY271,IF(D271="UU","UU",IF(E271=Param2,AY271/24,IF(E271=Param9,AY271/48,""))))))</f>
        <v>0</v>
      </c>
      <c r="K271" s="105"/>
      <c r="L271" s="105"/>
      <c r="M271" s="105"/>
      <c r="N271" s="105"/>
      <c r="O271" s="105"/>
      <c r="P271" s="105"/>
      <c r="Q271" s="105"/>
      <c r="R271" s="105"/>
      <c r="S271" s="105"/>
      <c r="T271" s="105"/>
      <c r="U271" s="105"/>
      <c r="V271" s="105"/>
      <c r="W271" s="105"/>
      <c r="X271" s="105"/>
      <c r="Y271" s="105"/>
      <c r="Z271" s="105"/>
      <c r="AA271" s="105"/>
      <c r="AB271" s="105"/>
      <c r="AC271" s="105"/>
      <c r="AD271" s="105"/>
      <c r="AE271" s="105"/>
      <c r="AF271" s="105"/>
      <c r="AG271" s="105"/>
      <c r="AH271" s="105"/>
      <c r="AI271" s="105"/>
      <c r="AJ271" s="107">
        <f t="shared" si="61"/>
        <v>0</v>
      </c>
      <c r="AK271" s="105"/>
      <c r="AL271" s="105"/>
      <c r="AM271" s="105"/>
      <c r="AN271" s="105"/>
      <c r="AO271" s="105"/>
      <c r="AP271" s="105"/>
      <c r="AQ271" s="108">
        <f t="shared" si="62"/>
        <v>0</v>
      </c>
      <c r="AR271" s="108">
        <f t="shared" si="63"/>
        <v>0</v>
      </c>
      <c r="AS271" s="109">
        <f t="shared" si="64"/>
        <v>0</v>
      </c>
      <c r="AU271" s="110">
        <f t="shared" si="55"/>
        <v>0</v>
      </c>
      <c r="AV271" s="111">
        <f>IF(D271="NR",
IF('ZD Vorerfassung'!$E$22="",0,IF(AND(B271&gt;='ZD Vorerfassung'!$C$22,B271&lt;='ZD Vorerfassung'!$D$22),HLOOKUP(TEXT(C271,"ttt"),'ZD Vorerfassung'!$H$21:$L$36,2,0),0))+
IF('ZD Vorerfassung'!$E$23="",0,IF(AND(B271&gt;='ZD Vorerfassung'!$C$23,B271&lt;='ZD Vorerfassung'!$D$23),HLOOKUP(TEXT(C271,"ttt"),'ZD Vorerfassung'!$H$21:$L$36,3,0),0))+
IF('ZD Vorerfassung'!$E$24="",0,IF(AND(B271&gt;='ZD Vorerfassung'!$C$24,B271&lt;='ZD Vorerfassung'!$D$24),HLOOKUP(TEXT(C271,"ttt"),'ZD Vorerfassung'!$H$21:$L$36,4,0),0))+
IF('ZD Vorerfassung'!$E$25="",0,IF(AND(B271&gt;='ZD Vorerfassung'!$C$25,B271&lt;='ZD Vorerfassung'!$D$25),HLOOKUP(TEXT(C271,"ttt"),'ZD Vorerfassung'!$H$21:$L$36,5,0),0))+
IF('ZD Vorerfassung'!$E$26="",0,IF(AND(B271&gt;='ZD Vorerfassung'!$C$26,B271&lt;='ZD Vorerfassung'!$D$26),HLOOKUP(TEXT(C271,"ttt"),'ZD Vorerfassung'!$H$21:$L$36,6,0),0))+
IF('ZD Vorerfassung'!$E$27="",0,IF(AND(B271&gt;='ZD Vorerfassung'!$C$27,B271&lt;='ZD Vorerfassung'!$D$27),HLOOKUP(TEXT(C271,"ttt"),'ZD Vorerfassung'!$H$21:$L$36,7,0),0))+
IF('ZD Vorerfassung'!$E$28="",0,IF(AND(B271&gt;='ZD Vorerfassung'!$C$28,B271&lt;='ZD Vorerfassung'!$D$28),HLOOKUP(TEXT(C271,"ttt"),'ZD Vorerfassung'!$H$21:$L$36,8,0),0))+
IF('ZD Vorerfassung'!$E$29="",0,IF(AND(B271&gt;='ZD Vorerfassung'!$C$29,B271&lt;='ZD Vorerfassung'!$D$29),HLOOKUP(TEXT(C271,"ttt"),'ZD Vorerfassung'!$H$21:$L$36,9,0),0))+
IF('ZD Vorerfassung'!$E$30="",0,IF(AND(B271&gt;='ZD Vorerfassung'!$C$30,B271&lt;='ZD Vorerfassung'!$D$30),HLOOKUP(TEXT(C271,"ttt"),'ZD Vorerfassung'!$H$21:$L$36,10,0),0))+
IF('ZD Vorerfassung'!$E$31="",0,IF(AND(B271&gt;='ZD Vorerfassung'!$C$31,B271&lt;='ZD Vorerfassung'!$D$31),HLOOKUP(TEXT(C271,"ttt"),'ZD Vorerfassung'!$H$21:$L$36,11,0),0))+
IF('ZD Vorerfassung'!$E$32="",0,IF(AND(B271&gt;='ZD Vorerfassung'!$C$32,B271&lt;='ZD Vorerfassung'!$D$32),HLOOKUP(TEXT(C271,"ttt"),'ZD Vorerfassung'!$H$21:$L$36,12,0),0))+
IF('ZD Vorerfassung'!$E$33="",0,IF(AND(B271&gt;='ZD Vorerfassung'!$C$33,B271&lt;='ZD Vorerfassung'!$D$33),HLOOKUP(TEXT(C271,"ttt"),'ZD Vorerfassung'!$H$21:$L$36,13,0),0))+
IF('ZD Vorerfassung'!$E$34="",0,IF(AND(B271&gt;='ZD Vorerfassung'!$C$34,B271&lt;='ZD Vorerfassung'!$D$34),HLOOKUP(TEXT(C271,"ttt"),'ZD Vorerfassung'!$H$21:$L$36,14,0),0))+
IF('ZD Vorerfassung'!$E$35="",0,IF(AND(B271&gt;='ZD Vorerfassung'!$C$35,B271&lt;='ZD Vorerfassung'!$D$35),HLOOKUP(TEXT(C271,"ttt"),'ZD Vorerfassung'!$H$21:$L$36,15,0),0))+
IF('ZD Vorerfassung'!$E$36="",0,IF(AND(B271&gt;='ZD Vorerfassung'!$C$36,B271&lt;='ZD Vorerfassung'!$D$36),HLOOKUP(TEXT(C271,"ttt"),'ZD Vorerfassung'!$H$21:$L$36,16,0),0)),"")</f>
        <v>0</v>
      </c>
      <c r="AW271" s="110">
        <f t="array" ref="AW271">IF(OR(D271="UU",D271="FT",D271="WE"),0,
IF(D271="NR",SUM(IF(B271&gt;=_xlfn.NUMBERVALUE('ZD Vorerfassung'!$C$22:$C$36),1,0)*IF(B271&lt;=_xlfn.NUMBERVALUE('ZD Vorerfassung'!$D$22:$D$36),1,0)*'ZD Vorerfassung'!$Q$22:$Q$36),
IF(OR(D271="SF",D271="FH"),SUM(IF(B271&gt;=_xlfn.NUMBERVALUE('ZD Vorerfassung'!$C$22:$C$36),1,0)*IF(B271&lt;=_xlfn.NUMBERVALUE('ZD Vorerfassung'!$D$22:$D$36),1,0)*'ZD Vorerfassung'!$R$22:$R$36*IF(D271="FH",0.5,1)),
"prüfen")))</f>
        <v>0</v>
      </c>
      <c r="AX271" s="110">
        <f t="array" ref="AX271">IF(OR(D271="UU",D271="FT",D271="WE",E271="Ferien"),0,
IF(D271="NR",SUM(IF(B271&gt;=_xlfn.NUMBERVALUE('ZD Vorerfassung'!$C$22:$C$36),1,0)*IF(B271&lt;=_xlfn.NUMBERVALUE('ZD Vorerfassung'!$D$22:$D$36),1,0)*'ZD Vorerfassung'!$W$22:$W$36),
IF(OR(D271="SF",D271="FH"),SUM(IF(B271&gt;=_xlfn.NUMBERVALUE('ZD Vorerfassung'!$C$22:$C$36),1,0)*IF(B271&lt;=_xlfn.NUMBERVALUE('ZD Vorerfassung'!$D$22:$D$36),1,0)*'ZD Vorerfassung'!$X$22:$X$36*IF(D271="FH",0.5,1)),
"prüfen")))</f>
        <v>0</v>
      </c>
      <c r="AY271" s="110">
        <f t="array" ref="AY271">IF(OR(D271="UU",D271="FT",D271="WE",E271="Ferien"),0,
IF(D271="NR",SUM(IF(B271&gt;=_xlfn.NUMBERVALUE('ZD Vorerfassung'!$C$22:$C$36),1,0)*IF(B271&lt;=_xlfn.NUMBERVALUE('ZD Vorerfassung'!$D$22:$D$36),1,0)*'ZD Vorerfassung'!$U$22:$U$36),
IF(OR(D271="SF",D271="FH"),SUM(IF(B271&gt;=_xlfn.NUMBERVALUE('ZD Vorerfassung'!$C$22:$C$36),1,0)*IF(B271&lt;=_xlfn.NUMBERVALUE('ZD Vorerfassung'!$D$22:$D$36),1,0)*'ZD Vorerfassung'!$V$22:$V$36*IF(D271="FH",0.5,1)),
"prüfen")))</f>
        <v>0</v>
      </c>
      <c r="AZ271" s="110">
        <f t="array" ref="AZ271">IF(OR(D271="UU",D271="FT",D271="WE",E271="Ferien"),0,
IF(D271="NR",SUM(IF(B271&gt;=_xlfn.NUMBERVALUE('ZD Vorerfassung'!$C$22:$C$36),1,0)*IF(B271&lt;=_xlfn.NUMBERVALUE('ZD Vorerfassung'!$D$22:$D$36),1,0)*'ZD Vorerfassung'!$S$22:$S$36),
IF(OR(D271="SF",D271="FH"),SUM(IF(B271&gt;=_xlfn.NUMBERVALUE('ZD Vorerfassung'!$C$22:$C$36),1,0)*IF(B271&lt;=_xlfn.NUMBERVALUE('ZD Vorerfassung'!$D$22:$D$36),1,0)*'ZD Vorerfassung'!$T$22:$T$36*IF(D271="FH",0.5,1)),
"prüfen")))</f>
        <v>0</v>
      </c>
      <c r="BA271" s="112">
        <f t="shared" si="56"/>
        <v>4</v>
      </c>
    </row>
    <row r="272" spans="2:53" ht="19.5" thickTop="1" thickBot="1" x14ac:dyDescent="0.3">
      <c r="B272" s="99">
        <f t="shared" si="53"/>
        <v>45037</v>
      </c>
      <c r="C272" s="100">
        <f t="shared" si="57"/>
        <v>45037</v>
      </c>
      <c r="D272" s="101" t="str">
        <f t="shared" si="58"/>
        <v>NR</v>
      </c>
      <c r="E272" s="102" t="str">
        <f t="shared" si="54"/>
        <v>Unterrichtstag</v>
      </c>
      <c r="F272" s="103">
        <f t="shared" si="59"/>
        <v>0</v>
      </c>
      <c r="G272" s="104">
        <f t="shared" si="60"/>
        <v>0</v>
      </c>
      <c r="H272" s="104">
        <f>IFERROR(IF('ZD Vorerfassung'!$E$11="manuell",SUM(I272),IF(OR(E272="Feiertag",E272="Wochenende"),0,IF('ZD Vorerfassung'!$E$11="automatisch",AX272,IF(D272="UU","UU",IF(E272=Param2,AX272/24,IF(E272=Param9,AX272/48,"")))))),0)</f>
        <v>0</v>
      </c>
      <c r="I272" s="105"/>
      <c r="J272" s="106">
        <f>IF('ZD Vorerfassung'!$E$12="manuell",SUM(K272:AI272),IF(OR(E272="Feiertag",E272="Wochenende"),0,IF('ZD Vorerfassung'!$E$12="automatisch",AY272,IF(D272="UU","UU",IF(E272=Param2,AY272/24,IF(E272=Param9,AY272/48,""))))))</f>
        <v>0</v>
      </c>
      <c r="K272" s="105"/>
      <c r="L272" s="105"/>
      <c r="M272" s="105"/>
      <c r="N272" s="105"/>
      <c r="O272" s="105"/>
      <c r="P272" s="105"/>
      <c r="Q272" s="105"/>
      <c r="R272" s="105"/>
      <c r="S272" s="105"/>
      <c r="T272" s="105"/>
      <c r="U272" s="105"/>
      <c r="V272" s="105"/>
      <c r="W272" s="105"/>
      <c r="X272" s="105"/>
      <c r="Y272" s="105"/>
      <c r="Z272" s="105"/>
      <c r="AA272" s="105"/>
      <c r="AB272" s="105"/>
      <c r="AC272" s="105"/>
      <c r="AD272" s="105"/>
      <c r="AE272" s="105"/>
      <c r="AF272" s="105"/>
      <c r="AG272" s="105"/>
      <c r="AH272" s="105"/>
      <c r="AI272" s="105"/>
      <c r="AJ272" s="107">
        <f t="shared" si="61"/>
        <v>0</v>
      </c>
      <c r="AK272" s="105"/>
      <c r="AL272" s="105"/>
      <c r="AM272" s="105"/>
      <c r="AN272" s="105"/>
      <c r="AO272" s="105"/>
      <c r="AP272" s="105"/>
      <c r="AQ272" s="108">
        <f t="shared" si="62"/>
        <v>0</v>
      </c>
      <c r="AR272" s="108">
        <f t="shared" si="63"/>
        <v>0</v>
      </c>
      <c r="AS272" s="109">
        <f t="shared" si="64"/>
        <v>0</v>
      </c>
      <c r="AU272" s="110">
        <f t="shared" si="55"/>
        <v>0</v>
      </c>
      <c r="AV272" s="111">
        <f>IF(D272="NR",
IF('ZD Vorerfassung'!$E$22="",0,IF(AND(B272&gt;='ZD Vorerfassung'!$C$22,B272&lt;='ZD Vorerfassung'!$D$22),HLOOKUP(TEXT(C272,"ttt"),'ZD Vorerfassung'!$H$21:$L$36,2,0),0))+
IF('ZD Vorerfassung'!$E$23="",0,IF(AND(B272&gt;='ZD Vorerfassung'!$C$23,B272&lt;='ZD Vorerfassung'!$D$23),HLOOKUP(TEXT(C272,"ttt"),'ZD Vorerfassung'!$H$21:$L$36,3,0),0))+
IF('ZD Vorerfassung'!$E$24="",0,IF(AND(B272&gt;='ZD Vorerfassung'!$C$24,B272&lt;='ZD Vorerfassung'!$D$24),HLOOKUP(TEXT(C272,"ttt"),'ZD Vorerfassung'!$H$21:$L$36,4,0),0))+
IF('ZD Vorerfassung'!$E$25="",0,IF(AND(B272&gt;='ZD Vorerfassung'!$C$25,B272&lt;='ZD Vorerfassung'!$D$25),HLOOKUP(TEXT(C272,"ttt"),'ZD Vorerfassung'!$H$21:$L$36,5,0),0))+
IF('ZD Vorerfassung'!$E$26="",0,IF(AND(B272&gt;='ZD Vorerfassung'!$C$26,B272&lt;='ZD Vorerfassung'!$D$26),HLOOKUP(TEXT(C272,"ttt"),'ZD Vorerfassung'!$H$21:$L$36,6,0),0))+
IF('ZD Vorerfassung'!$E$27="",0,IF(AND(B272&gt;='ZD Vorerfassung'!$C$27,B272&lt;='ZD Vorerfassung'!$D$27),HLOOKUP(TEXT(C272,"ttt"),'ZD Vorerfassung'!$H$21:$L$36,7,0),0))+
IF('ZD Vorerfassung'!$E$28="",0,IF(AND(B272&gt;='ZD Vorerfassung'!$C$28,B272&lt;='ZD Vorerfassung'!$D$28),HLOOKUP(TEXT(C272,"ttt"),'ZD Vorerfassung'!$H$21:$L$36,8,0),0))+
IF('ZD Vorerfassung'!$E$29="",0,IF(AND(B272&gt;='ZD Vorerfassung'!$C$29,B272&lt;='ZD Vorerfassung'!$D$29),HLOOKUP(TEXT(C272,"ttt"),'ZD Vorerfassung'!$H$21:$L$36,9,0),0))+
IF('ZD Vorerfassung'!$E$30="",0,IF(AND(B272&gt;='ZD Vorerfassung'!$C$30,B272&lt;='ZD Vorerfassung'!$D$30),HLOOKUP(TEXT(C272,"ttt"),'ZD Vorerfassung'!$H$21:$L$36,10,0),0))+
IF('ZD Vorerfassung'!$E$31="",0,IF(AND(B272&gt;='ZD Vorerfassung'!$C$31,B272&lt;='ZD Vorerfassung'!$D$31),HLOOKUP(TEXT(C272,"ttt"),'ZD Vorerfassung'!$H$21:$L$36,11,0),0))+
IF('ZD Vorerfassung'!$E$32="",0,IF(AND(B272&gt;='ZD Vorerfassung'!$C$32,B272&lt;='ZD Vorerfassung'!$D$32),HLOOKUP(TEXT(C272,"ttt"),'ZD Vorerfassung'!$H$21:$L$36,12,0),0))+
IF('ZD Vorerfassung'!$E$33="",0,IF(AND(B272&gt;='ZD Vorerfassung'!$C$33,B272&lt;='ZD Vorerfassung'!$D$33),HLOOKUP(TEXT(C272,"ttt"),'ZD Vorerfassung'!$H$21:$L$36,13,0),0))+
IF('ZD Vorerfassung'!$E$34="",0,IF(AND(B272&gt;='ZD Vorerfassung'!$C$34,B272&lt;='ZD Vorerfassung'!$D$34),HLOOKUP(TEXT(C272,"ttt"),'ZD Vorerfassung'!$H$21:$L$36,14,0),0))+
IF('ZD Vorerfassung'!$E$35="",0,IF(AND(B272&gt;='ZD Vorerfassung'!$C$35,B272&lt;='ZD Vorerfassung'!$D$35),HLOOKUP(TEXT(C272,"ttt"),'ZD Vorerfassung'!$H$21:$L$36,15,0),0))+
IF('ZD Vorerfassung'!$E$36="",0,IF(AND(B272&gt;='ZD Vorerfassung'!$C$36,B272&lt;='ZD Vorerfassung'!$D$36),HLOOKUP(TEXT(C272,"ttt"),'ZD Vorerfassung'!$H$21:$L$36,16,0),0)),"")</f>
        <v>0</v>
      </c>
      <c r="AW272" s="110">
        <f t="array" ref="AW272">IF(OR(D272="UU",D272="FT",D272="WE"),0,
IF(D272="NR",SUM(IF(B272&gt;=_xlfn.NUMBERVALUE('ZD Vorerfassung'!$C$22:$C$36),1,0)*IF(B272&lt;=_xlfn.NUMBERVALUE('ZD Vorerfassung'!$D$22:$D$36),1,0)*'ZD Vorerfassung'!$Q$22:$Q$36),
IF(OR(D272="SF",D272="FH"),SUM(IF(B272&gt;=_xlfn.NUMBERVALUE('ZD Vorerfassung'!$C$22:$C$36),1,0)*IF(B272&lt;=_xlfn.NUMBERVALUE('ZD Vorerfassung'!$D$22:$D$36),1,0)*'ZD Vorerfassung'!$R$22:$R$36*IF(D272="FH",0.5,1)),
"prüfen")))</f>
        <v>0</v>
      </c>
      <c r="AX272" s="110">
        <f t="array" ref="AX272">IF(OR(D272="UU",D272="FT",D272="WE",E272="Ferien"),0,
IF(D272="NR",SUM(IF(B272&gt;=_xlfn.NUMBERVALUE('ZD Vorerfassung'!$C$22:$C$36),1,0)*IF(B272&lt;=_xlfn.NUMBERVALUE('ZD Vorerfassung'!$D$22:$D$36),1,0)*'ZD Vorerfassung'!$W$22:$W$36),
IF(OR(D272="SF",D272="FH"),SUM(IF(B272&gt;=_xlfn.NUMBERVALUE('ZD Vorerfassung'!$C$22:$C$36),1,0)*IF(B272&lt;=_xlfn.NUMBERVALUE('ZD Vorerfassung'!$D$22:$D$36),1,0)*'ZD Vorerfassung'!$X$22:$X$36*IF(D272="FH",0.5,1)),
"prüfen")))</f>
        <v>0</v>
      </c>
      <c r="AY272" s="110">
        <f t="array" ref="AY272">IF(OR(D272="UU",D272="FT",D272="WE",E272="Ferien"),0,
IF(D272="NR",SUM(IF(B272&gt;=_xlfn.NUMBERVALUE('ZD Vorerfassung'!$C$22:$C$36),1,0)*IF(B272&lt;=_xlfn.NUMBERVALUE('ZD Vorerfassung'!$D$22:$D$36),1,0)*'ZD Vorerfassung'!$U$22:$U$36),
IF(OR(D272="SF",D272="FH"),SUM(IF(B272&gt;=_xlfn.NUMBERVALUE('ZD Vorerfassung'!$C$22:$C$36),1,0)*IF(B272&lt;=_xlfn.NUMBERVALUE('ZD Vorerfassung'!$D$22:$D$36),1,0)*'ZD Vorerfassung'!$V$22:$V$36*IF(D272="FH",0.5,1)),
"prüfen")))</f>
        <v>0</v>
      </c>
      <c r="AZ272" s="110">
        <f t="array" ref="AZ272">IF(OR(D272="UU",D272="FT",D272="WE",E272="Ferien"),0,
IF(D272="NR",SUM(IF(B272&gt;=_xlfn.NUMBERVALUE('ZD Vorerfassung'!$C$22:$C$36),1,0)*IF(B272&lt;=_xlfn.NUMBERVALUE('ZD Vorerfassung'!$D$22:$D$36),1,0)*'ZD Vorerfassung'!$S$22:$S$36),
IF(OR(D272="SF",D272="FH"),SUM(IF(B272&gt;=_xlfn.NUMBERVALUE('ZD Vorerfassung'!$C$22:$C$36),1,0)*IF(B272&lt;=_xlfn.NUMBERVALUE('ZD Vorerfassung'!$D$22:$D$36),1,0)*'ZD Vorerfassung'!$T$22:$T$36*IF(D272="FH",0.5,1)),
"prüfen")))</f>
        <v>0</v>
      </c>
      <c r="BA272" s="112">
        <f t="shared" si="56"/>
        <v>4</v>
      </c>
    </row>
    <row r="273" spans="2:53" ht="19.5" thickTop="1" thickBot="1" x14ac:dyDescent="0.3">
      <c r="B273" s="99">
        <f t="shared" si="53"/>
        <v>45038</v>
      </c>
      <c r="C273" s="100">
        <f t="shared" si="57"/>
        <v>45038</v>
      </c>
      <c r="D273" s="101" t="str">
        <f t="shared" si="58"/>
        <v>NR</v>
      </c>
      <c r="E273" s="102" t="str">
        <f t="shared" si="54"/>
        <v>Unterrichtstag</v>
      </c>
      <c r="F273" s="103">
        <f t="shared" si="59"/>
        <v>0</v>
      </c>
      <c r="G273" s="104">
        <f t="shared" si="60"/>
        <v>0</v>
      </c>
      <c r="H273" s="104">
        <f>IFERROR(IF('ZD Vorerfassung'!$E$11="manuell",SUM(I273),IF(OR(E273="Feiertag",E273="Wochenende"),0,IF('ZD Vorerfassung'!$E$11="automatisch",AX273,IF(D273="UU","UU",IF(E273=Param2,AX273/24,IF(E273=Param9,AX273/48,"")))))),0)</f>
        <v>0</v>
      </c>
      <c r="I273" s="105"/>
      <c r="J273" s="106">
        <f>IF('ZD Vorerfassung'!$E$12="manuell",SUM(K273:AI273),IF(OR(E273="Feiertag",E273="Wochenende"),0,IF('ZD Vorerfassung'!$E$12="automatisch",AY273,IF(D273="UU","UU",IF(E273=Param2,AY273/24,IF(E273=Param9,AY273/48,""))))))</f>
        <v>0</v>
      </c>
      <c r="K273" s="105"/>
      <c r="L273" s="105"/>
      <c r="M273" s="105"/>
      <c r="N273" s="105"/>
      <c r="O273" s="105"/>
      <c r="P273" s="105"/>
      <c r="Q273" s="105"/>
      <c r="R273" s="105"/>
      <c r="S273" s="105"/>
      <c r="T273" s="105"/>
      <c r="U273" s="105"/>
      <c r="V273" s="105"/>
      <c r="W273" s="105"/>
      <c r="X273" s="105"/>
      <c r="Y273" s="105"/>
      <c r="Z273" s="105"/>
      <c r="AA273" s="105"/>
      <c r="AB273" s="105"/>
      <c r="AC273" s="105"/>
      <c r="AD273" s="105"/>
      <c r="AE273" s="105"/>
      <c r="AF273" s="105"/>
      <c r="AG273" s="105"/>
      <c r="AH273" s="105"/>
      <c r="AI273" s="105"/>
      <c r="AJ273" s="107">
        <f t="shared" si="61"/>
        <v>0</v>
      </c>
      <c r="AK273" s="105"/>
      <c r="AL273" s="105"/>
      <c r="AM273" s="105"/>
      <c r="AN273" s="105"/>
      <c r="AO273" s="105"/>
      <c r="AP273" s="105"/>
      <c r="AQ273" s="108">
        <f t="shared" si="62"/>
        <v>0</v>
      </c>
      <c r="AR273" s="108">
        <f t="shared" si="63"/>
        <v>0</v>
      </c>
      <c r="AS273" s="109">
        <f t="shared" si="64"/>
        <v>0</v>
      </c>
      <c r="AU273" s="110">
        <f t="shared" si="55"/>
        <v>0</v>
      </c>
      <c r="AV273" s="111">
        <f>IF(D273="NR",
IF('ZD Vorerfassung'!$E$22="",0,IF(AND(B273&gt;='ZD Vorerfassung'!$C$22,B273&lt;='ZD Vorerfassung'!$D$22),HLOOKUP(TEXT(C273,"ttt"),'ZD Vorerfassung'!$H$21:$L$36,2,0),0))+
IF('ZD Vorerfassung'!$E$23="",0,IF(AND(B273&gt;='ZD Vorerfassung'!$C$23,B273&lt;='ZD Vorerfassung'!$D$23),HLOOKUP(TEXT(C273,"ttt"),'ZD Vorerfassung'!$H$21:$L$36,3,0),0))+
IF('ZD Vorerfassung'!$E$24="",0,IF(AND(B273&gt;='ZD Vorerfassung'!$C$24,B273&lt;='ZD Vorerfassung'!$D$24),HLOOKUP(TEXT(C273,"ttt"),'ZD Vorerfassung'!$H$21:$L$36,4,0),0))+
IF('ZD Vorerfassung'!$E$25="",0,IF(AND(B273&gt;='ZD Vorerfassung'!$C$25,B273&lt;='ZD Vorerfassung'!$D$25),HLOOKUP(TEXT(C273,"ttt"),'ZD Vorerfassung'!$H$21:$L$36,5,0),0))+
IF('ZD Vorerfassung'!$E$26="",0,IF(AND(B273&gt;='ZD Vorerfassung'!$C$26,B273&lt;='ZD Vorerfassung'!$D$26),HLOOKUP(TEXT(C273,"ttt"),'ZD Vorerfassung'!$H$21:$L$36,6,0),0))+
IF('ZD Vorerfassung'!$E$27="",0,IF(AND(B273&gt;='ZD Vorerfassung'!$C$27,B273&lt;='ZD Vorerfassung'!$D$27),HLOOKUP(TEXT(C273,"ttt"),'ZD Vorerfassung'!$H$21:$L$36,7,0),0))+
IF('ZD Vorerfassung'!$E$28="",0,IF(AND(B273&gt;='ZD Vorerfassung'!$C$28,B273&lt;='ZD Vorerfassung'!$D$28),HLOOKUP(TEXT(C273,"ttt"),'ZD Vorerfassung'!$H$21:$L$36,8,0),0))+
IF('ZD Vorerfassung'!$E$29="",0,IF(AND(B273&gt;='ZD Vorerfassung'!$C$29,B273&lt;='ZD Vorerfassung'!$D$29),HLOOKUP(TEXT(C273,"ttt"),'ZD Vorerfassung'!$H$21:$L$36,9,0),0))+
IF('ZD Vorerfassung'!$E$30="",0,IF(AND(B273&gt;='ZD Vorerfassung'!$C$30,B273&lt;='ZD Vorerfassung'!$D$30),HLOOKUP(TEXT(C273,"ttt"),'ZD Vorerfassung'!$H$21:$L$36,10,0),0))+
IF('ZD Vorerfassung'!$E$31="",0,IF(AND(B273&gt;='ZD Vorerfassung'!$C$31,B273&lt;='ZD Vorerfassung'!$D$31),HLOOKUP(TEXT(C273,"ttt"),'ZD Vorerfassung'!$H$21:$L$36,11,0),0))+
IF('ZD Vorerfassung'!$E$32="",0,IF(AND(B273&gt;='ZD Vorerfassung'!$C$32,B273&lt;='ZD Vorerfassung'!$D$32),HLOOKUP(TEXT(C273,"ttt"),'ZD Vorerfassung'!$H$21:$L$36,12,0),0))+
IF('ZD Vorerfassung'!$E$33="",0,IF(AND(B273&gt;='ZD Vorerfassung'!$C$33,B273&lt;='ZD Vorerfassung'!$D$33),HLOOKUP(TEXT(C273,"ttt"),'ZD Vorerfassung'!$H$21:$L$36,13,0),0))+
IF('ZD Vorerfassung'!$E$34="",0,IF(AND(B273&gt;='ZD Vorerfassung'!$C$34,B273&lt;='ZD Vorerfassung'!$D$34),HLOOKUP(TEXT(C273,"ttt"),'ZD Vorerfassung'!$H$21:$L$36,14,0),0))+
IF('ZD Vorerfassung'!$E$35="",0,IF(AND(B273&gt;='ZD Vorerfassung'!$C$35,B273&lt;='ZD Vorerfassung'!$D$35),HLOOKUP(TEXT(C273,"ttt"),'ZD Vorerfassung'!$H$21:$L$36,15,0),0))+
IF('ZD Vorerfassung'!$E$36="",0,IF(AND(B273&gt;='ZD Vorerfassung'!$C$36,B273&lt;='ZD Vorerfassung'!$D$36),HLOOKUP(TEXT(C273,"ttt"),'ZD Vorerfassung'!$H$21:$L$36,16,0),0)),"")</f>
        <v>0</v>
      </c>
      <c r="AW273" s="110">
        <f t="array" ref="AW273">IF(OR(D273="UU",D273="FT",D273="WE"),0,
IF(D273="NR",SUM(IF(B273&gt;=_xlfn.NUMBERVALUE('ZD Vorerfassung'!$C$22:$C$36),1,0)*IF(B273&lt;=_xlfn.NUMBERVALUE('ZD Vorerfassung'!$D$22:$D$36),1,0)*'ZD Vorerfassung'!$Q$22:$Q$36),
IF(OR(D273="SF",D273="FH"),SUM(IF(B273&gt;=_xlfn.NUMBERVALUE('ZD Vorerfassung'!$C$22:$C$36),1,0)*IF(B273&lt;=_xlfn.NUMBERVALUE('ZD Vorerfassung'!$D$22:$D$36),1,0)*'ZD Vorerfassung'!$R$22:$R$36*IF(D273="FH",0.5,1)),
"prüfen")))</f>
        <v>0</v>
      </c>
      <c r="AX273" s="110">
        <f t="array" ref="AX273">IF(OR(D273="UU",D273="FT",D273="WE",E273="Ferien"),0,
IF(D273="NR",SUM(IF(B273&gt;=_xlfn.NUMBERVALUE('ZD Vorerfassung'!$C$22:$C$36),1,0)*IF(B273&lt;=_xlfn.NUMBERVALUE('ZD Vorerfassung'!$D$22:$D$36),1,0)*'ZD Vorerfassung'!$W$22:$W$36),
IF(OR(D273="SF",D273="FH"),SUM(IF(B273&gt;=_xlfn.NUMBERVALUE('ZD Vorerfassung'!$C$22:$C$36),1,0)*IF(B273&lt;=_xlfn.NUMBERVALUE('ZD Vorerfassung'!$D$22:$D$36),1,0)*'ZD Vorerfassung'!$X$22:$X$36*IF(D273="FH",0.5,1)),
"prüfen")))</f>
        <v>0</v>
      </c>
      <c r="AY273" s="110">
        <f t="array" ref="AY273">IF(OR(D273="UU",D273="FT",D273="WE",E273="Ferien"),0,
IF(D273="NR",SUM(IF(B273&gt;=_xlfn.NUMBERVALUE('ZD Vorerfassung'!$C$22:$C$36),1,0)*IF(B273&lt;=_xlfn.NUMBERVALUE('ZD Vorerfassung'!$D$22:$D$36),1,0)*'ZD Vorerfassung'!$U$22:$U$36),
IF(OR(D273="SF",D273="FH"),SUM(IF(B273&gt;=_xlfn.NUMBERVALUE('ZD Vorerfassung'!$C$22:$C$36),1,0)*IF(B273&lt;=_xlfn.NUMBERVALUE('ZD Vorerfassung'!$D$22:$D$36),1,0)*'ZD Vorerfassung'!$V$22:$V$36*IF(D273="FH",0.5,1)),
"prüfen")))</f>
        <v>0</v>
      </c>
      <c r="AZ273" s="110">
        <f t="array" ref="AZ273">IF(OR(D273="UU",D273="FT",D273="WE",E273="Ferien"),0,
IF(D273="NR",SUM(IF(B273&gt;=_xlfn.NUMBERVALUE('ZD Vorerfassung'!$C$22:$C$36),1,0)*IF(B273&lt;=_xlfn.NUMBERVALUE('ZD Vorerfassung'!$D$22:$D$36),1,0)*'ZD Vorerfassung'!$S$22:$S$36),
IF(OR(D273="SF",D273="FH"),SUM(IF(B273&gt;=_xlfn.NUMBERVALUE('ZD Vorerfassung'!$C$22:$C$36),1,0)*IF(B273&lt;=_xlfn.NUMBERVALUE('ZD Vorerfassung'!$D$22:$D$36),1,0)*'ZD Vorerfassung'!$T$22:$T$36*IF(D273="FH",0.5,1)),
"prüfen")))</f>
        <v>0</v>
      </c>
      <c r="BA273" s="112">
        <f t="shared" si="56"/>
        <v>4</v>
      </c>
    </row>
    <row r="274" spans="2:53" ht="19.5" thickTop="1" thickBot="1" x14ac:dyDescent="0.3">
      <c r="B274" s="99">
        <f t="shared" si="53"/>
        <v>45039</v>
      </c>
      <c r="C274" s="100">
        <f t="shared" si="57"/>
        <v>45039</v>
      </c>
      <c r="D274" s="101" t="str">
        <f t="shared" si="58"/>
        <v>WE</v>
      </c>
      <c r="E274" s="102" t="str">
        <f t="shared" si="54"/>
        <v>Wochenende</v>
      </c>
      <c r="F274" s="103" t="str">
        <f t="shared" si="59"/>
        <v/>
      </c>
      <c r="G274" s="104" t="str">
        <f t="shared" si="60"/>
        <v/>
      </c>
      <c r="H274" s="104">
        <f>IFERROR(IF('ZD Vorerfassung'!$E$11="manuell",SUM(I274),IF(OR(E274="Feiertag",E274="Wochenende"),0,IF('ZD Vorerfassung'!$E$11="automatisch",AX274,IF(D274="UU","UU",IF(E274=Param2,AX274/24,IF(E274=Param9,AX274/48,"")))))),0)</f>
        <v>0</v>
      </c>
      <c r="I274" s="105"/>
      <c r="J274" s="106">
        <f>IF('ZD Vorerfassung'!$E$12="manuell",SUM(K274:AI274),IF(OR(E274="Feiertag",E274="Wochenende"),0,IF('ZD Vorerfassung'!$E$12="automatisch",AY274,IF(D274="UU","UU",IF(E274=Param2,AY274/24,IF(E274=Param9,AY274/48,""))))))</f>
        <v>0</v>
      </c>
      <c r="K274" s="105"/>
      <c r="L274" s="105"/>
      <c r="M274" s="105"/>
      <c r="N274" s="105"/>
      <c r="O274" s="105"/>
      <c r="P274" s="105"/>
      <c r="Q274" s="105"/>
      <c r="R274" s="105"/>
      <c r="S274" s="105"/>
      <c r="T274" s="105"/>
      <c r="U274" s="105"/>
      <c r="V274" s="105"/>
      <c r="W274" s="105"/>
      <c r="X274" s="105"/>
      <c r="Y274" s="105"/>
      <c r="Z274" s="105"/>
      <c r="AA274" s="105"/>
      <c r="AB274" s="105"/>
      <c r="AC274" s="105"/>
      <c r="AD274" s="105"/>
      <c r="AE274" s="105"/>
      <c r="AF274" s="105"/>
      <c r="AG274" s="105"/>
      <c r="AH274" s="105"/>
      <c r="AI274" s="105"/>
      <c r="AJ274" s="107">
        <f t="shared" si="61"/>
        <v>0</v>
      </c>
      <c r="AK274" s="105"/>
      <c r="AL274" s="105"/>
      <c r="AM274" s="105"/>
      <c r="AN274" s="105"/>
      <c r="AO274" s="105"/>
      <c r="AP274" s="105"/>
      <c r="AQ274" s="108">
        <f t="shared" si="62"/>
        <v>0</v>
      </c>
      <c r="AR274" s="108">
        <f t="shared" si="63"/>
        <v>0</v>
      </c>
      <c r="AS274" s="109">
        <f t="shared" si="64"/>
        <v>0</v>
      </c>
      <c r="AU274" s="110">
        <f t="shared" si="55"/>
        <v>0</v>
      </c>
      <c r="AV274" s="111" t="str">
        <f>IF(D274="NR",
IF('ZD Vorerfassung'!$E$22="",0,IF(AND(B274&gt;='ZD Vorerfassung'!$C$22,B274&lt;='ZD Vorerfassung'!$D$22),HLOOKUP(TEXT(C274,"ttt"),'ZD Vorerfassung'!$H$21:$L$36,2,0),0))+
IF('ZD Vorerfassung'!$E$23="",0,IF(AND(B274&gt;='ZD Vorerfassung'!$C$23,B274&lt;='ZD Vorerfassung'!$D$23),HLOOKUP(TEXT(C274,"ttt"),'ZD Vorerfassung'!$H$21:$L$36,3,0),0))+
IF('ZD Vorerfassung'!$E$24="",0,IF(AND(B274&gt;='ZD Vorerfassung'!$C$24,B274&lt;='ZD Vorerfassung'!$D$24),HLOOKUP(TEXT(C274,"ttt"),'ZD Vorerfassung'!$H$21:$L$36,4,0),0))+
IF('ZD Vorerfassung'!$E$25="",0,IF(AND(B274&gt;='ZD Vorerfassung'!$C$25,B274&lt;='ZD Vorerfassung'!$D$25),HLOOKUP(TEXT(C274,"ttt"),'ZD Vorerfassung'!$H$21:$L$36,5,0),0))+
IF('ZD Vorerfassung'!$E$26="",0,IF(AND(B274&gt;='ZD Vorerfassung'!$C$26,B274&lt;='ZD Vorerfassung'!$D$26),HLOOKUP(TEXT(C274,"ttt"),'ZD Vorerfassung'!$H$21:$L$36,6,0),0))+
IF('ZD Vorerfassung'!$E$27="",0,IF(AND(B274&gt;='ZD Vorerfassung'!$C$27,B274&lt;='ZD Vorerfassung'!$D$27),HLOOKUP(TEXT(C274,"ttt"),'ZD Vorerfassung'!$H$21:$L$36,7,0),0))+
IF('ZD Vorerfassung'!$E$28="",0,IF(AND(B274&gt;='ZD Vorerfassung'!$C$28,B274&lt;='ZD Vorerfassung'!$D$28),HLOOKUP(TEXT(C274,"ttt"),'ZD Vorerfassung'!$H$21:$L$36,8,0),0))+
IF('ZD Vorerfassung'!$E$29="",0,IF(AND(B274&gt;='ZD Vorerfassung'!$C$29,B274&lt;='ZD Vorerfassung'!$D$29),HLOOKUP(TEXT(C274,"ttt"),'ZD Vorerfassung'!$H$21:$L$36,9,0),0))+
IF('ZD Vorerfassung'!$E$30="",0,IF(AND(B274&gt;='ZD Vorerfassung'!$C$30,B274&lt;='ZD Vorerfassung'!$D$30),HLOOKUP(TEXT(C274,"ttt"),'ZD Vorerfassung'!$H$21:$L$36,10,0),0))+
IF('ZD Vorerfassung'!$E$31="",0,IF(AND(B274&gt;='ZD Vorerfassung'!$C$31,B274&lt;='ZD Vorerfassung'!$D$31),HLOOKUP(TEXT(C274,"ttt"),'ZD Vorerfassung'!$H$21:$L$36,11,0),0))+
IF('ZD Vorerfassung'!$E$32="",0,IF(AND(B274&gt;='ZD Vorerfassung'!$C$32,B274&lt;='ZD Vorerfassung'!$D$32),HLOOKUP(TEXT(C274,"ttt"),'ZD Vorerfassung'!$H$21:$L$36,12,0),0))+
IF('ZD Vorerfassung'!$E$33="",0,IF(AND(B274&gt;='ZD Vorerfassung'!$C$33,B274&lt;='ZD Vorerfassung'!$D$33),HLOOKUP(TEXT(C274,"ttt"),'ZD Vorerfassung'!$H$21:$L$36,13,0),0))+
IF('ZD Vorerfassung'!$E$34="",0,IF(AND(B274&gt;='ZD Vorerfassung'!$C$34,B274&lt;='ZD Vorerfassung'!$D$34),HLOOKUP(TEXT(C274,"ttt"),'ZD Vorerfassung'!$H$21:$L$36,14,0),0))+
IF('ZD Vorerfassung'!$E$35="",0,IF(AND(B274&gt;='ZD Vorerfassung'!$C$35,B274&lt;='ZD Vorerfassung'!$D$35),HLOOKUP(TEXT(C274,"ttt"),'ZD Vorerfassung'!$H$21:$L$36,15,0),0))+
IF('ZD Vorerfassung'!$E$36="",0,IF(AND(B274&gt;='ZD Vorerfassung'!$C$36,B274&lt;='ZD Vorerfassung'!$D$36),HLOOKUP(TEXT(C274,"ttt"),'ZD Vorerfassung'!$H$21:$L$36,16,0),0)),"")</f>
        <v/>
      </c>
      <c r="AW274" s="110">
        <f t="array" ref="AW274">IF(OR(D274="UU",D274="FT",D274="WE"),0,
IF(D274="NR",SUM(IF(B274&gt;=_xlfn.NUMBERVALUE('ZD Vorerfassung'!$C$22:$C$36),1,0)*IF(B274&lt;=_xlfn.NUMBERVALUE('ZD Vorerfassung'!$D$22:$D$36),1,0)*'ZD Vorerfassung'!$Q$22:$Q$36),
IF(OR(D274="SF",D274="FH"),SUM(IF(B274&gt;=_xlfn.NUMBERVALUE('ZD Vorerfassung'!$C$22:$C$36),1,0)*IF(B274&lt;=_xlfn.NUMBERVALUE('ZD Vorerfassung'!$D$22:$D$36),1,0)*'ZD Vorerfassung'!$R$22:$R$36*IF(D274="FH",0.5,1)),
"prüfen")))</f>
        <v>0</v>
      </c>
      <c r="AX274" s="110">
        <f t="array" ref="AX274">IF(OR(D274="UU",D274="FT",D274="WE",E274="Ferien"),0,
IF(D274="NR",SUM(IF(B274&gt;=_xlfn.NUMBERVALUE('ZD Vorerfassung'!$C$22:$C$36),1,0)*IF(B274&lt;=_xlfn.NUMBERVALUE('ZD Vorerfassung'!$D$22:$D$36),1,0)*'ZD Vorerfassung'!$W$22:$W$36),
IF(OR(D274="SF",D274="FH"),SUM(IF(B274&gt;=_xlfn.NUMBERVALUE('ZD Vorerfassung'!$C$22:$C$36),1,0)*IF(B274&lt;=_xlfn.NUMBERVALUE('ZD Vorerfassung'!$D$22:$D$36),1,0)*'ZD Vorerfassung'!$X$22:$X$36*IF(D274="FH",0.5,1)),
"prüfen")))</f>
        <v>0</v>
      </c>
      <c r="AY274" s="110">
        <f t="array" ref="AY274">IF(OR(D274="UU",D274="FT",D274="WE",E274="Ferien"),0,
IF(D274="NR",SUM(IF(B274&gt;=_xlfn.NUMBERVALUE('ZD Vorerfassung'!$C$22:$C$36),1,0)*IF(B274&lt;=_xlfn.NUMBERVALUE('ZD Vorerfassung'!$D$22:$D$36),1,0)*'ZD Vorerfassung'!$U$22:$U$36),
IF(OR(D274="SF",D274="FH"),SUM(IF(B274&gt;=_xlfn.NUMBERVALUE('ZD Vorerfassung'!$C$22:$C$36),1,0)*IF(B274&lt;=_xlfn.NUMBERVALUE('ZD Vorerfassung'!$D$22:$D$36),1,0)*'ZD Vorerfassung'!$V$22:$V$36*IF(D274="FH",0.5,1)),
"prüfen")))</f>
        <v>0</v>
      </c>
      <c r="AZ274" s="110">
        <f t="array" ref="AZ274">IF(OR(D274="UU",D274="FT",D274="WE",E274="Ferien"),0,
IF(D274="NR",SUM(IF(B274&gt;=_xlfn.NUMBERVALUE('ZD Vorerfassung'!$C$22:$C$36),1,0)*IF(B274&lt;=_xlfn.NUMBERVALUE('ZD Vorerfassung'!$D$22:$D$36),1,0)*'ZD Vorerfassung'!$S$22:$S$36),
IF(OR(D274="SF",D274="FH"),SUM(IF(B274&gt;=_xlfn.NUMBERVALUE('ZD Vorerfassung'!$C$22:$C$36),1,0)*IF(B274&lt;=_xlfn.NUMBERVALUE('ZD Vorerfassung'!$D$22:$D$36),1,0)*'ZD Vorerfassung'!$T$22:$T$36*IF(D274="FH",0.5,1)),
"prüfen")))</f>
        <v>0</v>
      </c>
      <c r="BA274" s="112">
        <f t="shared" si="56"/>
        <v>4</v>
      </c>
    </row>
    <row r="275" spans="2:53" ht="19.5" thickTop="1" thickBot="1" x14ac:dyDescent="0.3">
      <c r="B275" s="99">
        <f t="shared" si="53"/>
        <v>45040</v>
      </c>
      <c r="C275" s="100">
        <f t="shared" si="57"/>
        <v>45040</v>
      </c>
      <c r="D275" s="101" t="str">
        <f t="shared" si="58"/>
        <v>WE</v>
      </c>
      <c r="E275" s="102" t="str">
        <f t="shared" si="54"/>
        <v>Wochenende</v>
      </c>
      <c r="F275" s="103" t="str">
        <f t="shared" si="59"/>
        <v/>
      </c>
      <c r="G275" s="104" t="str">
        <f t="shared" si="60"/>
        <v/>
      </c>
      <c r="H275" s="104">
        <f>IFERROR(IF('ZD Vorerfassung'!$E$11="manuell",SUM(I275),IF(OR(E275="Feiertag",E275="Wochenende"),0,IF('ZD Vorerfassung'!$E$11="automatisch",AX275,IF(D275="UU","UU",IF(E275=Param2,AX275/24,IF(E275=Param9,AX275/48,"")))))),0)</f>
        <v>0</v>
      </c>
      <c r="I275" s="105"/>
      <c r="J275" s="106">
        <f>IF('ZD Vorerfassung'!$E$12="manuell",SUM(K275:AI275),IF(OR(E275="Feiertag",E275="Wochenende"),0,IF('ZD Vorerfassung'!$E$12="automatisch",AY275,IF(D275="UU","UU",IF(E275=Param2,AY275/24,IF(E275=Param9,AY275/48,""))))))</f>
        <v>0</v>
      </c>
      <c r="K275" s="105"/>
      <c r="L275" s="105"/>
      <c r="M275" s="105"/>
      <c r="N275" s="105"/>
      <c r="O275" s="105"/>
      <c r="P275" s="105"/>
      <c r="Q275" s="105"/>
      <c r="R275" s="105"/>
      <c r="S275" s="105"/>
      <c r="T275" s="105"/>
      <c r="U275" s="105"/>
      <c r="V275" s="105"/>
      <c r="W275" s="105"/>
      <c r="X275" s="105"/>
      <c r="Y275" s="105"/>
      <c r="Z275" s="105"/>
      <c r="AA275" s="105"/>
      <c r="AB275" s="105"/>
      <c r="AC275" s="105"/>
      <c r="AD275" s="105"/>
      <c r="AE275" s="105"/>
      <c r="AF275" s="105"/>
      <c r="AG275" s="105"/>
      <c r="AH275" s="105"/>
      <c r="AI275" s="105"/>
      <c r="AJ275" s="107">
        <f t="shared" si="61"/>
        <v>0</v>
      </c>
      <c r="AK275" s="105"/>
      <c r="AL275" s="105"/>
      <c r="AM275" s="105"/>
      <c r="AN275" s="105"/>
      <c r="AO275" s="105"/>
      <c r="AP275" s="105"/>
      <c r="AQ275" s="108">
        <f t="shared" si="62"/>
        <v>0</v>
      </c>
      <c r="AR275" s="108">
        <f t="shared" si="63"/>
        <v>0</v>
      </c>
      <c r="AS275" s="109">
        <f t="shared" si="64"/>
        <v>0</v>
      </c>
      <c r="AU275" s="110">
        <f t="shared" si="55"/>
        <v>0</v>
      </c>
      <c r="AV275" s="111" t="str">
        <f>IF(D275="NR",
IF('ZD Vorerfassung'!$E$22="",0,IF(AND(B275&gt;='ZD Vorerfassung'!$C$22,B275&lt;='ZD Vorerfassung'!$D$22),HLOOKUP(TEXT(C275,"ttt"),'ZD Vorerfassung'!$H$21:$L$36,2,0),0))+
IF('ZD Vorerfassung'!$E$23="",0,IF(AND(B275&gt;='ZD Vorerfassung'!$C$23,B275&lt;='ZD Vorerfassung'!$D$23),HLOOKUP(TEXT(C275,"ttt"),'ZD Vorerfassung'!$H$21:$L$36,3,0),0))+
IF('ZD Vorerfassung'!$E$24="",0,IF(AND(B275&gt;='ZD Vorerfassung'!$C$24,B275&lt;='ZD Vorerfassung'!$D$24),HLOOKUP(TEXT(C275,"ttt"),'ZD Vorerfassung'!$H$21:$L$36,4,0),0))+
IF('ZD Vorerfassung'!$E$25="",0,IF(AND(B275&gt;='ZD Vorerfassung'!$C$25,B275&lt;='ZD Vorerfassung'!$D$25),HLOOKUP(TEXT(C275,"ttt"),'ZD Vorerfassung'!$H$21:$L$36,5,0),0))+
IF('ZD Vorerfassung'!$E$26="",0,IF(AND(B275&gt;='ZD Vorerfassung'!$C$26,B275&lt;='ZD Vorerfassung'!$D$26),HLOOKUP(TEXT(C275,"ttt"),'ZD Vorerfassung'!$H$21:$L$36,6,0),0))+
IF('ZD Vorerfassung'!$E$27="",0,IF(AND(B275&gt;='ZD Vorerfassung'!$C$27,B275&lt;='ZD Vorerfassung'!$D$27),HLOOKUP(TEXT(C275,"ttt"),'ZD Vorerfassung'!$H$21:$L$36,7,0),0))+
IF('ZD Vorerfassung'!$E$28="",0,IF(AND(B275&gt;='ZD Vorerfassung'!$C$28,B275&lt;='ZD Vorerfassung'!$D$28),HLOOKUP(TEXT(C275,"ttt"),'ZD Vorerfassung'!$H$21:$L$36,8,0),0))+
IF('ZD Vorerfassung'!$E$29="",0,IF(AND(B275&gt;='ZD Vorerfassung'!$C$29,B275&lt;='ZD Vorerfassung'!$D$29),HLOOKUP(TEXT(C275,"ttt"),'ZD Vorerfassung'!$H$21:$L$36,9,0),0))+
IF('ZD Vorerfassung'!$E$30="",0,IF(AND(B275&gt;='ZD Vorerfassung'!$C$30,B275&lt;='ZD Vorerfassung'!$D$30),HLOOKUP(TEXT(C275,"ttt"),'ZD Vorerfassung'!$H$21:$L$36,10,0),0))+
IF('ZD Vorerfassung'!$E$31="",0,IF(AND(B275&gt;='ZD Vorerfassung'!$C$31,B275&lt;='ZD Vorerfassung'!$D$31),HLOOKUP(TEXT(C275,"ttt"),'ZD Vorerfassung'!$H$21:$L$36,11,0),0))+
IF('ZD Vorerfassung'!$E$32="",0,IF(AND(B275&gt;='ZD Vorerfassung'!$C$32,B275&lt;='ZD Vorerfassung'!$D$32),HLOOKUP(TEXT(C275,"ttt"),'ZD Vorerfassung'!$H$21:$L$36,12,0),0))+
IF('ZD Vorerfassung'!$E$33="",0,IF(AND(B275&gt;='ZD Vorerfassung'!$C$33,B275&lt;='ZD Vorerfassung'!$D$33),HLOOKUP(TEXT(C275,"ttt"),'ZD Vorerfassung'!$H$21:$L$36,13,0),0))+
IF('ZD Vorerfassung'!$E$34="",0,IF(AND(B275&gt;='ZD Vorerfassung'!$C$34,B275&lt;='ZD Vorerfassung'!$D$34),HLOOKUP(TEXT(C275,"ttt"),'ZD Vorerfassung'!$H$21:$L$36,14,0),0))+
IF('ZD Vorerfassung'!$E$35="",0,IF(AND(B275&gt;='ZD Vorerfassung'!$C$35,B275&lt;='ZD Vorerfassung'!$D$35),HLOOKUP(TEXT(C275,"ttt"),'ZD Vorerfassung'!$H$21:$L$36,15,0),0))+
IF('ZD Vorerfassung'!$E$36="",0,IF(AND(B275&gt;='ZD Vorerfassung'!$C$36,B275&lt;='ZD Vorerfassung'!$D$36),HLOOKUP(TEXT(C275,"ttt"),'ZD Vorerfassung'!$H$21:$L$36,16,0),0)),"")</f>
        <v/>
      </c>
      <c r="AW275" s="110">
        <f t="array" ref="AW275">IF(OR(D275="UU",D275="FT",D275="WE"),0,
IF(D275="NR",SUM(IF(B275&gt;=_xlfn.NUMBERVALUE('ZD Vorerfassung'!$C$22:$C$36),1,0)*IF(B275&lt;=_xlfn.NUMBERVALUE('ZD Vorerfassung'!$D$22:$D$36),1,0)*'ZD Vorerfassung'!$Q$22:$Q$36),
IF(OR(D275="SF",D275="FH"),SUM(IF(B275&gt;=_xlfn.NUMBERVALUE('ZD Vorerfassung'!$C$22:$C$36),1,0)*IF(B275&lt;=_xlfn.NUMBERVALUE('ZD Vorerfassung'!$D$22:$D$36),1,0)*'ZD Vorerfassung'!$R$22:$R$36*IF(D275="FH",0.5,1)),
"prüfen")))</f>
        <v>0</v>
      </c>
      <c r="AX275" s="110">
        <f t="array" ref="AX275">IF(OR(D275="UU",D275="FT",D275="WE",E275="Ferien"),0,
IF(D275="NR",SUM(IF(B275&gt;=_xlfn.NUMBERVALUE('ZD Vorerfassung'!$C$22:$C$36),1,0)*IF(B275&lt;=_xlfn.NUMBERVALUE('ZD Vorerfassung'!$D$22:$D$36),1,0)*'ZD Vorerfassung'!$W$22:$W$36),
IF(OR(D275="SF",D275="FH"),SUM(IF(B275&gt;=_xlfn.NUMBERVALUE('ZD Vorerfassung'!$C$22:$C$36),1,0)*IF(B275&lt;=_xlfn.NUMBERVALUE('ZD Vorerfassung'!$D$22:$D$36),1,0)*'ZD Vorerfassung'!$X$22:$X$36*IF(D275="FH",0.5,1)),
"prüfen")))</f>
        <v>0</v>
      </c>
      <c r="AY275" s="110">
        <f t="array" ref="AY275">IF(OR(D275="UU",D275="FT",D275="WE",E275="Ferien"),0,
IF(D275="NR",SUM(IF(B275&gt;=_xlfn.NUMBERVALUE('ZD Vorerfassung'!$C$22:$C$36),1,0)*IF(B275&lt;=_xlfn.NUMBERVALUE('ZD Vorerfassung'!$D$22:$D$36),1,0)*'ZD Vorerfassung'!$U$22:$U$36),
IF(OR(D275="SF",D275="FH"),SUM(IF(B275&gt;=_xlfn.NUMBERVALUE('ZD Vorerfassung'!$C$22:$C$36),1,0)*IF(B275&lt;=_xlfn.NUMBERVALUE('ZD Vorerfassung'!$D$22:$D$36),1,0)*'ZD Vorerfassung'!$V$22:$V$36*IF(D275="FH",0.5,1)),
"prüfen")))</f>
        <v>0</v>
      </c>
      <c r="AZ275" s="110">
        <f t="array" ref="AZ275">IF(OR(D275="UU",D275="FT",D275="WE",E275="Ferien"),0,
IF(D275="NR",SUM(IF(B275&gt;=_xlfn.NUMBERVALUE('ZD Vorerfassung'!$C$22:$C$36),1,0)*IF(B275&lt;=_xlfn.NUMBERVALUE('ZD Vorerfassung'!$D$22:$D$36),1,0)*'ZD Vorerfassung'!$S$22:$S$36),
IF(OR(D275="SF",D275="FH"),SUM(IF(B275&gt;=_xlfn.NUMBERVALUE('ZD Vorerfassung'!$C$22:$C$36),1,0)*IF(B275&lt;=_xlfn.NUMBERVALUE('ZD Vorerfassung'!$D$22:$D$36),1,0)*'ZD Vorerfassung'!$T$22:$T$36*IF(D275="FH",0.5,1)),
"prüfen")))</f>
        <v>0</v>
      </c>
      <c r="BA275" s="112">
        <f t="shared" si="56"/>
        <v>4</v>
      </c>
    </row>
    <row r="276" spans="2:53" ht="19.5" thickTop="1" thickBot="1" x14ac:dyDescent="0.3">
      <c r="B276" s="99">
        <f t="shared" si="53"/>
        <v>45041</v>
      </c>
      <c r="C276" s="100">
        <f t="shared" si="57"/>
        <v>45041</v>
      </c>
      <c r="D276" s="101" t="str">
        <f t="shared" si="58"/>
        <v>NR</v>
      </c>
      <c r="E276" s="102" t="str">
        <f t="shared" si="54"/>
        <v>Unterrichtstag</v>
      </c>
      <c r="F276" s="103">
        <f t="shared" si="59"/>
        <v>0</v>
      </c>
      <c r="G276" s="104">
        <f t="shared" si="60"/>
        <v>0</v>
      </c>
      <c r="H276" s="104">
        <f>IFERROR(IF('ZD Vorerfassung'!$E$11="manuell",SUM(I276),IF(OR(E276="Feiertag",E276="Wochenende"),0,IF('ZD Vorerfassung'!$E$11="automatisch",AX276,IF(D276="UU","UU",IF(E276=Param2,AX276/24,IF(E276=Param9,AX276/48,"")))))),0)</f>
        <v>0</v>
      </c>
      <c r="I276" s="105"/>
      <c r="J276" s="106">
        <f>IF('ZD Vorerfassung'!$E$12="manuell",SUM(K276:AI276),IF(OR(E276="Feiertag",E276="Wochenende"),0,IF('ZD Vorerfassung'!$E$12="automatisch",AY276,IF(D276="UU","UU",IF(E276=Param2,AY276/24,IF(E276=Param9,AY276/48,""))))))</f>
        <v>0</v>
      </c>
      <c r="K276" s="105"/>
      <c r="L276" s="105"/>
      <c r="M276" s="105"/>
      <c r="N276" s="105"/>
      <c r="O276" s="105"/>
      <c r="P276" s="105"/>
      <c r="Q276" s="105"/>
      <c r="R276" s="105"/>
      <c r="S276" s="105"/>
      <c r="T276" s="105"/>
      <c r="U276" s="105"/>
      <c r="V276" s="105"/>
      <c r="W276" s="105"/>
      <c r="X276" s="105"/>
      <c r="Y276" s="105"/>
      <c r="Z276" s="105"/>
      <c r="AA276" s="105"/>
      <c r="AB276" s="105"/>
      <c r="AC276" s="105"/>
      <c r="AD276" s="105"/>
      <c r="AE276" s="105"/>
      <c r="AF276" s="105"/>
      <c r="AG276" s="105"/>
      <c r="AH276" s="105"/>
      <c r="AI276" s="105"/>
      <c r="AJ276" s="107">
        <f t="shared" si="61"/>
        <v>0</v>
      </c>
      <c r="AK276" s="105"/>
      <c r="AL276" s="105"/>
      <c r="AM276" s="105"/>
      <c r="AN276" s="105"/>
      <c r="AO276" s="105"/>
      <c r="AP276" s="105"/>
      <c r="AQ276" s="108">
        <f t="shared" si="62"/>
        <v>0</v>
      </c>
      <c r="AR276" s="108">
        <f t="shared" si="63"/>
        <v>0</v>
      </c>
      <c r="AS276" s="109">
        <f t="shared" si="64"/>
        <v>0</v>
      </c>
      <c r="AU276" s="110">
        <f t="shared" si="55"/>
        <v>0</v>
      </c>
      <c r="AV276" s="111">
        <f>IF(D276="NR",
IF('ZD Vorerfassung'!$E$22="",0,IF(AND(B276&gt;='ZD Vorerfassung'!$C$22,B276&lt;='ZD Vorerfassung'!$D$22),HLOOKUP(TEXT(C276,"ttt"),'ZD Vorerfassung'!$H$21:$L$36,2,0),0))+
IF('ZD Vorerfassung'!$E$23="",0,IF(AND(B276&gt;='ZD Vorerfassung'!$C$23,B276&lt;='ZD Vorerfassung'!$D$23),HLOOKUP(TEXT(C276,"ttt"),'ZD Vorerfassung'!$H$21:$L$36,3,0),0))+
IF('ZD Vorerfassung'!$E$24="",0,IF(AND(B276&gt;='ZD Vorerfassung'!$C$24,B276&lt;='ZD Vorerfassung'!$D$24),HLOOKUP(TEXT(C276,"ttt"),'ZD Vorerfassung'!$H$21:$L$36,4,0),0))+
IF('ZD Vorerfassung'!$E$25="",0,IF(AND(B276&gt;='ZD Vorerfassung'!$C$25,B276&lt;='ZD Vorerfassung'!$D$25),HLOOKUP(TEXT(C276,"ttt"),'ZD Vorerfassung'!$H$21:$L$36,5,0),0))+
IF('ZD Vorerfassung'!$E$26="",0,IF(AND(B276&gt;='ZD Vorerfassung'!$C$26,B276&lt;='ZD Vorerfassung'!$D$26),HLOOKUP(TEXT(C276,"ttt"),'ZD Vorerfassung'!$H$21:$L$36,6,0),0))+
IF('ZD Vorerfassung'!$E$27="",0,IF(AND(B276&gt;='ZD Vorerfassung'!$C$27,B276&lt;='ZD Vorerfassung'!$D$27),HLOOKUP(TEXT(C276,"ttt"),'ZD Vorerfassung'!$H$21:$L$36,7,0),0))+
IF('ZD Vorerfassung'!$E$28="",0,IF(AND(B276&gt;='ZD Vorerfassung'!$C$28,B276&lt;='ZD Vorerfassung'!$D$28),HLOOKUP(TEXT(C276,"ttt"),'ZD Vorerfassung'!$H$21:$L$36,8,0),0))+
IF('ZD Vorerfassung'!$E$29="",0,IF(AND(B276&gt;='ZD Vorerfassung'!$C$29,B276&lt;='ZD Vorerfassung'!$D$29),HLOOKUP(TEXT(C276,"ttt"),'ZD Vorerfassung'!$H$21:$L$36,9,0),0))+
IF('ZD Vorerfassung'!$E$30="",0,IF(AND(B276&gt;='ZD Vorerfassung'!$C$30,B276&lt;='ZD Vorerfassung'!$D$30),HLOOKUP(TEXT(C276,"ttt"),'ZD Vorerfassung'!$H$21:$L$36,10,0),0))+
IF('ZD Vorerfassung'!$E$31="",0,IF(AND(B276&gt;='ZD Vorerfassung'!$C$31,B276&lt;='ZD Vorerfassung'!$D$31),HLOOKUP(TEXT(C276,"ttt"),'ZD Vorerfassung'!$H$21:$L$36,11,0),0))+
IF('ZD Vorerfassung'!$E$32="",0,IF(AND(B276&gt;='ZD Vorerfassung'!$C$32,B276&lt;='ZD Vorerfassung'!$D$32),HLOOKUP(TEXT(C276,"ttt"),'ZD Vorerfassung'!$H$21:$L$36,12,0),0))+
IF('ZD Vorerfassung'!$E$33="",0,IF(AND(B276&gt;='ZD Vorerfassung'!$C$33,B276&lt;='ZD Vorerfassung'!$D$33),HLOOKUP(TEXT(C276,"ttt"),'ZD Vorerfassung'!$H$21:$L$36,13,0),0))+
IF('ZD Vorerfassung'!$E$34="",0,IF(AND(B276&gt;='ZD Vorerfassung'!$C$34,B276&lt;='ZD Vorerfassung'!$D$34),HLOOKUP(TEXT(C276,"ttt"),'ZD Vorerfassung'!$H$21:$L$36,14,0),0))+
IF('ZD Vorerfassung'!$E$35="",0,IF(AND(B276&gt;='ZD Vorerfassung'!$C$35,B276&lt;='ZD Vorerfassung'!$D$35),HLOOKUP(TEXT(C276,"ttt"),'ZD Vorerfassung'!$H$21:$L$36,15,0),0))+
IF('ZD Vorerfassung'!$E$36="",0,IF(AND(B276&gt;='ZD Vorerfassung'!$C$36,B276&lt;='ZD Vorerfassung'!$D$36),HLOOKUP(TEXT(C276,"ttt"),'ZD Vorerfassung'!$H$21:$L$36,16,0),0)),"")</f>
        <v>0</v>
      </c>
      <c r="AW276" s="110">
        <f t="array" ref="AW276">IF(OR(D276="UU",D276="FT",D276="WE"),0,
IF(D276="NR",SUM(IF(B276&gt;=_xlfn.NUMBERVALUE('ZD Vorerfassung'!$C$22:$C$36),1,0)*IF(B276&lt;=_xlfn.NUMBERVALUE('ZD Vorerfassung'!$D$22:$D$36),1,0)*'ZD Vorerfassung'!$Q$22:$Q$36),
IF(OR(D276="SF",D276="FH"),SUM(IF(B276&gt;=_xlfn.NUMBERVALUE('ZD Vorerfassung'!$C$22:$C$36),1,0)*IF(B276&lt;=_xlfn.NUMBERVALUE('ZD Vorerfassung'!$D$22:$D$36),1,0)*'ZD Vorerfassung'!$R$22:$R$36*IF(D276="FH",0.5,1)),
"prüfen")))</f>
        <v>0</v>
      </c>
      <c r="AX276" s="110">
        <f t="array" ref="AX276">IF(OR(D276="UU",D276="FT",D276="WE",E276="Ferien"),0,
IF(D276="NR",SUM(IF(B276&gt;=_xlfn.NUMBERVALUE('ZD Vorerfassung'!$C$22:$C$36),1,0)*IF(B276&lt;=_xlfn.NUMBERVALUE('ZD Vorerfassung'!$D$22:$D$36),1,0)*'ZD Vorerfassung'!$W$22:$W$36),
IF(OR(D276="SF",D276="FH"),SUM(IF(B276&gt;=_xlfn.NUMBERVALUE('ZD Vorerfassung'!$C$22:$C$36),1,0)*IF(B276&lt;=_xlfn.NUMBERVALUE('ZD Vorerfassung'!$D$22:$D$36),1,0)*'ZD Vorerfassung'!$X$22:$X$36*IF(D276="FH",0.5,1)),
"prüfen")))</f>
        <v>0</v>
      </c>
      <c r="AY276" s="110">
        <f t="array" ref="AY276">IF(OR(D276="UU",D276="FT",D276="WE",E276="Ferien"),0,
IF(D276="NR",SUM(IF(B276&gt;=_xlfn.NUMBERVALUE('ZD Vorerfassung'!$C$22:$C$36),1,0)*IF(B276&lt;=_xlfn.NUMBERVALUE('ZD Vorerfassung'!$D$22:$D$36),1,0)*'ZD Vorerfassung'!$U$22:$U$36),
IF(OR(D276="SF",D276="FH"),SUM(IF(B276&gt;=_xlfn.NUMBERVALUE('ZD Vorerfassung'!$C$22:$C$36),1,0)*IF(B276&lt;=_xlfn.NUMBERVALUE('ZD Vorerfassung'!$D$22:$D$36),1,0)*'ZD Vorerfassung'!$V$22:$V$36*IF(D276="FH",0.5,1)),
"prüfen")))</f>
        <v>0</v>
      </c>
      <c r="AZ276" s="110">
        <f t="array" ref="AZ276">IF(OR(D276="UU",D276="FT",D276="WE",E276="Ferien"),0,
IF(D276="NR",SUM(IF(B276&gt;=_xlfn.NUMBERVALUE('ZD Vorerfassung'!$C$22:$C$36),1,0)*IF(B276&lt;=_xlfn.NUMBERVALUE('ZD Vorerfassung'!$D$22:$D$36),1,0)*'ZD Vorerfassung'!$S$22:$S$36),
IF(OR(D276="SF",D276="FH"),SUM(IF(B276&gt;=_xlfn.NUMBERVALUE('ZD Vorerfassung'!$C$22:$C$36),1,0)*IF(B276&lt;=_xlfn.NUMBERVALUE('ZD Vorerfassung'!$D$22:$D$36),1,0)*'ZD Vorerfassung'!$T$22:$T$36*IF(D276="FH",0.5,1)),
"prüfen")))</f>
        <v>0</v>
      </c>
      <c r="BA276" s="112">
        <f t="shared" si="56"/>
        <v>4</v>
      </c>
    </row>
    <row r="277" spans="2:53" ht="19.5" thickTop="1" thickBot="1" x14ac:dyDescent="0.3">
      <c r="B277" s="99">
        <f t="shared" si="53"/>
        <v>45042</v>
      </c>
      <c r="C277" s="100">
        <f t="shared" si="57"/>
        <v>45042</v>
      </c>
      <c r="D277" s="101" t="str">
        <f t="shared" si="58"/>
        <v>NR</v>
      </c>
      <c r="E277" s="102" t="str">
        <f t="shared" si="54"/>
        <v>Unterrichtstag</v>
      </c>
      <c r="F277" s="103">
        <f t="shared" si="59"/>
        <v>0</v>
      </c>
      <c r="G277" s="104">
        <f t="shared" si="60"/>
        <v>0</v>
      </c>
      <c r="H277" s="104">
        <f>IFERROR(IF('ZD Vorerfassung'!$E$11="manuell",SUM(I277),IF(OR(E277="Feiertag",E277="Wochenende"),0,IF('ZD Vorerfassung'!$E$11="automatisch",AX277,IF(D277="UU","UU",IF(E277=Param2,AX277/24,IF(E277=Param9,AX277/48,"")))))),0)</f>
        <v>0</v>
      </c>
      <c r="I277" s="105"/>
      <c r="J277" s="106">
        <f>IF('ZD Vorerfassung'!$E$12="manuell",SUM(K277:AI277),IF(OR(E277="Feiertag",E277="Wochenende"),0,IF('ZD Vorerfassung'!$E$12="automatisch",AY277,IF(D277="UU","UU",IF(E277=Param2,AY277/24,IF(E277=Param9,AY277/48,""))))))</f>
        <v>0</v>
      </c>
      <c r="K277" s="105"/>
      <c r="L277" s="105"/>
      <c r="M277" s="105"/>
      <c r="N277" s="105"/>
      <c r="O277" s="105"/>
      <c r="P277" s="105"/>
      <c r="Q277" s="105"/>
      <c r="R277" s="105"/>
      <c r="S277" s="105"/>
      <c r="T277" s="105"/>
      <c r="U277" s="105"/>
      <c r="V277" s="105"/>
      <c r="W277" s="105"/>
      <c r="X277" s="105"/>
      <c r="Y277" s="105"/>
      <c r="Z277" s="105"/>
      <c r="AA277" s="105"/>
      <c r="AB277" s="105"/>
      <c r="AC277" s="105"/>
      <c r="AD277" s="105"/>
      <c r="AE277" s="105"/>
      <c r="AF277" s="105"/>
      <c r="AG277" s="105"/>
      <c r="AH277" s="105"/>
      <c r="AI277" s="105"/>
      <c r="AJ277" s="107">
        <f t="shared" si="61"/>
        <v>0</v>
      </c>
      <c r="AK277" s="105"/>
      <c r="AL277" s="105"/>
      <c r="AM277" s="105"/>
      <c r="AN277" s="105"/>
      <c r="AO277" s="105"/>
      <c r="AP277" s="105"/>
      <c r="AQ277" s="108">
        <f t="shared" si="62"/>
        <v>0</v>
      </c>
      <c r="AR277" s="108">
        <f t="shared" si="63"/>
        <v>0</v>
      </c>
      <c r="AS277" s="109">
        <f t="shared" si="64"/>
        <v>0</v>
      </c>
      <c r="AU277" s="110">
        <f t="shared" si="55"/>
        <v>0</v>
      </c>
      <c r="AV277" s="111">
        <f>IF(D277="NR",
IF('ZD Vorerfassung'!$E$22="",0,IF(AND(B277&gt;='ZD Vorerfassung'!$C$22,B277&lt;='ZD Vorerfassung'!$D$22),HLOOKUP(TEXT(C277,"ttt"),'ZD Vorerfassung'!$H$21:$L$36,2,0),0))+
IF('ZD Vorerfassung'!$E$23="",0,IF(AND(B277&gt;='ZD Vorerfassung'!$C$23,B277&lt;='ZD Vorerfassung'!$D$23),HLOOKUP(TEXT(C277,"ttt"),'ZD Vorerfassung'!$H$21:$L$36,3,0),0))+
IF('ZD Vorerfassung'!$E$24="",0,IF(AND(B277&gt;='ZD Vorerfassung'!$C$24,B277&lt;='ZD Vorerfassung'!$D$24),HLOOKUP(TEXT(C277,"ttt"),'ZD Vorerfassung'!$H$21:$L$36,4,0),0))+
IF('ZD Vorerfassung'!$E$25="",0,IF(AND(B277&gt;='ZD Vorerfassung'!$C$25,B277&lt;='ZD Vorerfassung'!$D$25),HLOOKUP(TEXT(C277,"ttt"),'ZD Vorerfassung'!$H$21:$L$36,5,0),0))+
IF('ZD Vorerfassung'!$E$26="",0,IF(AND(B277&gt;='ZD Vorerfassung'!$C$26,B277&lt;='ZD Vorerfassung'!$D$26),HLOOKUP(TEXT(C277,"ttt"),'ZD Vorerfassung'!$H$21:$L$36,6,0),0))+
IF('ZD Vorerfassung'!$E$27="",0,IF(AND(B277&gt;='ZD Vorerfassung'!$C$27,B277&lt;='ZD Vorerfassung'!$D$27),HLOOKUP(TEXT(C277,"ttt"),'ZD Vorerfassung'!$H$21:$L$36,7,0),0))+
IF('ZD Vorerfassung'!$E$28="",0,IF(AND(B277&gt;='ZD Vorerfassung'!$C$28,B277&lt;='ZD Vorerfassung'!$D$28),HLOOKUP(TEXT(C277,"ttt"),'ZD Vorerfassung'!$H$21:$L$36,8,0),0))+
IF('ZD Vorerfassung'!$E$29="",0,IF(AND(B277&gt;='ZD Vorerfassung'!$C$29,B277&lt;='ZD Vorerfassung'!$D$29),HLOOKUP(TEXT(C277,"ttt"),'ZD Vorerfassung'!$H$21:$L$36,9,0),0))+
IF('ZD Vorerfassung'!$E$30="",0,IF(AND(B277&gt;='ZD Vorerfassung'!$C$30,B277&lt;='ZD Vorerfassung'!$D$30),HLOOKUP(TEXT(C277,"ttt"),'ZD Vorerfassung'!$H$21:$L$36,10,0),0))+
IF('ZD Vorerfassung'!$E$31="",0,IF(AND(B277&gt;='ZD Vorerfassung'!$C$31,B277&lt;='ZD Vorerfassung'!$D$31),HLOOKUP(TEXT(C277,"ttt"),'ZD Vorerfassung'!$H$21:$L$36,11,0),0))+
IF('ZD Vorerfassung'!$E$32="",0,IF(AND(B277&gt;='ZD Vorerfassung'!$C$32,B277&lt;='ZD Vorerfassung'!$D$32),HLOOKUP(TEXT(C277,"ttt"),'ZD Vorerfassung'!$H$21:$L$36,12,0),0))+
IF('ZD Vorerfassung'!$E$33="",0,IF(AND(B277&gt;='ZD Vorerfassung'!$C$33,B277&lt;='ZD Vorerfassung'!$D$33),HLOOKUP(TEXT(C277,"ttt"),'ZD Vorerfassung'!$H$21:$L$36,13,0),0))+
IF('ZD Vorerfassung'!$E$34="",0,IF(AND(B277&gt;='ZD Vorerfassung'!$C$34,B277&lt;='ZD Vorerfassung'!$D$34),HLOOKUP(TEXT(C277,"ttt"),'ZD Vorerfassung'!$H$21:$L$36,14,0),0))+
IF('ZD Vorerfassung'!$E$35="",0,IF(AND(B277&gt;='ZD Vorerfassung'!$C$35,B277&lt;='ZD Vorerfassung'!$D$35),HLOOKUP(TEXT(C277,"ttt"),'ZD Vorerfassung'!$H$21:$L$36,15,0),0))+
IF('ZD Vorerfassung'!$E$36="",0,IF(AND(B277&gt;='ZD Vorerfassung'!$C$36,B277&lt;='ZD Vorerfassung'!$D$36),HLOOKUP(TEXT(C277,"ttt"),'ZD Vorerfassung'!$H$21:$L$36,16,0),0)),"")</f>
        <v>0</v>
      </c>
      <c r="AW277" s="110">
        <f t="array" ref="AW277">IF(OR(D277="UU",D277="FT",D277="WE"),0,
IF(D277="NR",SUM(IF(B277&gt;=_xlfn.NUMBERVALUE('ZD Vorerfassung'!$C$22:$C$36),1,0)*IF(B277&lt;=_xlfn.NUMBERVALUE('ZD Vorerfassung'!$D$22:$D$36),1,0)*'ZD Vorerfassung'!$Q$22:$Q$36),
IF(OR(D277="SF",D277="FH"),SUM(IF(B277&gt;=_xlfn.NUMBERVALUE('ZD Vorerfassung'!$C$22:$C$36),1,0)*IF(B277&lt;=_xlfn.NUMBERVALUE('ZD Vorerfassung'!$D$22:$D$36),1,0)*'ZD Vorerfassung'!$R$22:$R$36*IF(D277="FH",0.5,1)),
"prüfen")))</f>
        <v>0</v>
      </c>
      <c r="AX277" s="110">
        <f t="array" ref="AX277">IF(OR(D277="UU",D277="FT",D277="WE",E277="Ferien"),0,
IF(D277="NR",SUM(IF(B277&gt;=_xlfn.NUMBERVALUE('ZD Vorerfassung'!$C$22:$C$36),1,0)*IF(B277&lt;=_xlfn.NUMBERVALUE('ZD Vorerfassung'!$D$22:$D$36),1,0)*'ZD Vorerfassung'!$W$22:$W$36),
IF(OR(D277="SF",D277="FH"),SUM(IF(B277&gt;=_xlfn.NUMBERVALUE('ZD Vorerfassung'!$C$22:$C$36),1,0)*IF(B277&lt;=_xlfn.NUMBERVALUE('ZD Vorerfassung'!$D$22:$D$36),1,0)*'ZD Vorerfassung'!$X$22:$X$36*IF(D277="FH",0.5,1)),
"prüfen")))</f>
        <v>0</v>
      </c>
      <c r="AY277" s="110">
        <f t="array" ref="AY277">IF(OR(D277="UU",D277="FT",D277="WE",E277="Ferien"),0,
IF(D277="NR",SUM(IF(B277&gt;=_xlfn.NUMBERVALUE('ZD Vorerfassung'!$C$22:$C$36),1,0)*IF(B277&lt;=_xlfn.NUMBERVALUE('ZD Vorerfassung'!$D$22:$D$36),1,0)*'ZD Vorerfassung'!$U$22:$U$36),
IF(OR(D277="SF",D277="FH"),SUM(IF(B277&gt;=_xlfn.NUMBERVALUE('ZD Vorerfassung'!$C$22:$C$36),1,0)*IF(B277&lt;=_xlfn.NUMBERVALUE('ZD Vorerfassung'!$D$22:$D$36),1,0)*'ZD Vorerfassung'!$V$22:$V$36*IF(D277="FH",0.5,1)),
"prüfen")))</f>
        <v>0</v>
      </c>
      <c r="AZ277" s="110">
        <f t="array" ref="AZ277">IF(OR(D277="UU",D277="FT",D277="WE",E277="Ferien"),0,
IF(D277="NR",SUM(IF(B277&gt;=_xlfn.NUMBERVALUE('ZD Vorerfassung'!$C$22:$C$36),1,0)*IF(B277&lt;=_xlfn.NUMBERVALUE('ZD Vorerfassung'!$D$22:$D$36),1,0)*'ZD Vorerfassung'!$S$22:$S$36),
IF(OR(D277="SF",D277="FH"),SUM(IF(B277&gt;=_xlfn.NUMBERVALUE('ZD Vorerfassung'!$C$22:$C$36),1,0)*IF(B277&lt;=_xlfn.NUMBERVALUE('ZD Vorerfassung'!$D$22:$D$36),1,0)*'ZD Vorerfassung'!$T$22:$T$36*IF(D277="FH",0.5,1)),
"prüfen")))</f>
        <v>0</v>
      </c>
      <c r="BA277" s="112">
        <f t="shared" si="56"/>
        <v>4</v>
      </c>
    </row>
    <row r="278" spans="2:53" ht="19.5" thickTop="1" thickBot="1" x14ac:dyDescent="0.3">
      <c r="B278" s="99">
        <f t="shared" si="53"/>
        <v>45043</v>
      </c>
      <c r="C278" s="100">
        <f t="shared" si="57"/>
        <v>45043</v>
      </c>
      <c r="D278" s="101" t="str">
        <f t="shared" si="58"/>
        <v>NR</v>
      </c>
      <c r="E278" s="102" t="str">
        <f t="shared" si="54"/>
        <v>Unterrichtstag</v>
      </c>
      <c r="F278" s="103">
        <f t="shared" si="59"/>
        <v>0</v>
      </c>
      <c r="G278" s="104">
        <f t="shared" si="60"/>
        <v>0</v>
      </c>
      <c r="H278" s="104">
        <f>IFERROR(IF('ZD Vorerfassung'!$E$11="manuell",SUM(I278),IF(OR(E278="Feiertag",E278="Wochenende"),0,IF('ZD Vorerfassung'!$E$11="automatisch",AX278,IF(D278="UU","UU",IF(E278=Param2,AX278/24,IF(E278=Param9,AX278/48,"")))))),0)</f>
        <v>0</v>
      </c>
      <c r="I278" s="105"/>
      <c r="J278" s="106">
        <f>IF('ZD Vorerfassung'!$E$12="manuell",SUM(K278:AI278),IF(OR(E278="Feiertag",E278="Wochenende"),0,IF('ZD Vorerfassung'!$E$12="automatisch",AY278,IF(D278="UU","UU",IF(E278=Param2,AY278/24,IF(E278=Param9,AY278/48,""))))))</f>
        <v>0</v>
      </c>
      <c r="K278" s="105"/>
      <c r="L278" s="105"/>
      <c r="M278" s="105"/>
      <c r="N278" s="105"/>
      <c r="O278" s="105"/>
      <c r="P278" s="105"/>
      <c r="Q278" s="105"/>
      <c r="R278" s="105"/>
      <c r="S278" s="105"/>
      <c r="T278" s="105"/>
      <c r="U278" s="105"/>
      <c r="V278" s="105"/>
      <c r="W278" s="105"/>
      <c r="X278" s="105"/>
      <c r="Y278" s="105"/>
      <c r="Z278" s="105"/>
      <c r="AA278" s="105"/>
      <c r="AB278" s="105"/>
      <c r="AC278" s="105"/>
      <c r="AD278" s="105"/>
      <c r="AE278" s="105"/>
      <c r="AF278" s="105"/>
      <c r="AG278" s="105"/>
      <c r="AH278" s="105"/>
      <c r="AI278" s="105"/>
      <c r="AJ278" s="107">
        <f t="shared" si="61"/>
        <v>0</v>
      </c>
      <c r="AK278" s="105"/>
      <c r="AL278" s="105"/>
      <c r="AM278" s="105"/>
      <c r="AN278" s="105"/>
      <c r="AO278" s="105"/>
      <c r="AP278" s="105"/>
      <c r="AQ278" s="108">
        <f t="shared" si="62"/>
        <v>0</v>
      </c>
      <c r="AR278" s="108">
        <f t="shared" si="63"/>
        <v>0</v>
      </c>
      <c r="AS278" s="109">
        <f t="shared" si="64"/>
        <v>0</v>
      </c>
      <c r="AU278" s="110">
        <f t="shared" si="55"/>
        <v>0</v>
      </c>
      <c r="AV278" s="111">
        <f>IF(D278="NR",
IF('ZD Vorerfassung'!$E$22="",0,IF(AND(B278&gt;='ZD Vorerfassung'!$C$22,B278&lt;='ZD Vorerfassung'!$D$22),HLOOKUP(TEXT(C278,"ttt"),'ZD Vorerfassung'!$H$21:$L$36,2,0),0))+
IF('ZD Vorerfassung'!$E$23="",0,IF(AND(B278&gt;='ZD Vorerfassung'!$C$23,B278&lt;='ZD Vorerfassung'!$D$23),HLOOKUP(TEXT(C278,"ttt"),'ZD Vorerfassung'!$H$21:$L$36,3,0),0))+
IF('ZD Vorerfassung'!$E$24="",0,IF(AND(B278&gt;='ZD Vorerfassung'!$C$24,B278&lt;='ZD Vorerfassung'!$D$24),HLOOKUP(TEXT(C278,"ttt"),'ZD Vorerfassung'!$H$21:$L$36,4,0),0))+
IF('ZD Vorerfassung'!$E$25="",0,IF(AND(B278&gt;='ZD Vorerfassung'!$C$25,B278&lt;='ZD Vorerfassung'!$D$25),HLOOKUP(TEXT(C278,"ttt"),'ZD Vorerfassung'!$H$21:$L$36,5,0),0))+
IF('ZD Vorerfassung'!$E$26="",0,IF(AND(B278&gt;='ZD Vorerfassung'!$C$26,B278&lt;='ZD Vorerfassung'!$D$26),HLOOKUP(TEXT(C278,"ttt"),'ZD Vorerfassung'!$H$21:$L$36,6,0),0))+
IF('ZD Vorerfassung'!$E$27="",0,IF(AND(B278&gt;='ZD Vorerfassung'!$C$27,B278&lt;='ZD Vorerfassung'!$D$27),HLOOKUP(TEXT(C278,"ttt"),'ZD Vorerfassung'!$H$21:$L$36,7,0),0))+
IF('ZD Vorerfassung'!$E$28="",0,IF(AND(B278&gt;='ZD Vorerfassung'!$C$28,B278&lt;='ZD Vorerfassung'!$D$28),HLOOKUP(TEXT(C278,"ttt"),'ZD Vorerfassung'!$H$21:$L$36,8,0),0))+
IF('ZD Vorerfassung'!$E$29="",0,IF(AND(B278&gt;='ZD Vorerfassung'!$C$29,B278&lt;='ZD Vorerfassung'!$D$29),HLOOKUP(TEXT(C278,"ttt"),'ZD Vorerfassung'!$H$21:$L$36,9,0),0))+
IF('ZD Vorerfassung'!$E$30="",0,IF(AND(B278&gt;='ZD Vorerfassung'!$C$30,B278&lt;='ZD Vorerfassung'!$D$30),HLOOKUP(TEXT(C278,"ttt"),'ZD Vorerfassung'!$H$21:$L$36,10,0),0))+
IF('ZD Vorerfassung'!$E$31="",0,IF(AND(B278&gt;='ZD Vorerfassung'!$C$31,B278&lt;='ZD Vorerfassung'!$D$31),HLOOKUP(TEXT(C278,"ttt"),'ZD Vorerfassung'!$H$21:$L$36,11,0),0))+
IF('ZD Vorerfassung'!$E$32="",0,IF(AND(B278&gt;='ZD Vorerfassung'!$C$32,B278&lt;='ZD Vorerfassung'!$D$32),HLOOKUP(TEXT(C278,"ttt"),'ZD Vorerfassung'!$H$21:$L$36,12,0),0))+
IF('ZD Vorerfassung'!$E$33="",0,IF(AND(B278&gt;='ZD Vorerfassung'!$C$33,B278&lt;='ZD Vorerfassung'!$D$33),HLOOKUP(TEXT(C278,"ttt"),'ZD Vorerfassung'!$H$21:$L$36,13,0),0))+
IF('ZD Vorerfassung'!$E$34="",0,IF(AND(B278&gt;='ZD Vorerfassung'!$C$34,B278&lt;='ZD Vorerfassung'!$D$34),HLOOKUP(TEXT(C278,"ttt"),'ZD Vorerfassung'!$H$21:$L$36,14,0),0))+
IF('ZD Vorerfassung'!$E$35="",0,IF(AND(B278&gt;='ZD Vorerfassung'!$C$35,B278&lt;='ZD Vorerfassung'!$D$35),HLOOKUP(TEXT(C278,"ttt"),'ZD Vorerfassung'!$H$21:$L$36,15,0),0))+
IF('ZD Vorerfassung'!$E$36="",0,IF(AND(B278&gt;='ZD Vorerfassung'!$C$36,B278&lt;='ZD Vorerfassung'!$D$36),HLOOKUP(TEXT(C278,"ttt"),'ZD Vorerfassung'!$H$21:$L$36,16,0),0)),"")</f>
        <v>0</v>
      </c>
      <c r="AW278" s="110">
        <f t="array" ref="AW278">IF(OR(D278="UU",D278="FT",D278="WE"),0,
IF(D278="NR",SUM(IF(B278&gt;=_xlfn.NUMBERVALUE('ZD Vorerfassung'!$C$22:$C$36),1,0)*IF(B278&lt;=_xlfn.NUMBERVALUE('ZD Vorerfassung'!$D$22:$D$36),1,0)*'ZD Vorerfassung'!$Q$22:$Q$36),
IF(OR(D278="SF",D278="FH"),SUM(IF(B278&gt;=_xlfn.NUMBERVALUE('ZD Vorerfassung'!$C$22:$C$36),1,0)*IF(B278&lt;=_xlfn.NUMBERVALUE('ZD Vorerfassung'!$D$22:$D$36),1,0)*'ZD Vorerfassung'!$R$22:$R$36*IF(D278="FH",0.5,1)),
"prüfen")))</f>
        <v>0</v>
      </c>
      <c r="AX278" s="110">
        <f t="array" ref="AX278">IF(OR(D278="UU",D278="FT",D278="WE",E278="Ferien"),0,
IF(D278="NR",SUM(IF(B278&gt;=_xlfn.NUMBERVALUE('ZD Vorerfassung'!$C$22:$C$36),1,0)*IF(B278&lt;=_xlfn.NUMBERVALUE('ZD Vorerfassung'!$D$22:$D$36),1,0)*'ZD Vorerfassung'!$W$22:$W$36),
IF(OR(D278="SF",D278="FH"),SUM(IF(B278&gt;=_xlfn.NUMBERVALUE('ZD Vorerfassung'!$C$22:$C$36),1,0)*IF(B278&lt;=_xlfn.NUMBERVALUE('ZD Vorerfassung'!$D$22:$D$36),1,0)*'ZD Vorerfassung'!$X$22:$X$36*IF(D278="FH",0.5,1)),
"prüfen")))</f>
        <v>0</v>
      </c>
      <c r="AY278" s="110">
        <f t="array" ref="AY278">IF(OR(D278="UU",D278="FT",D278="WE",E278="Ferien"),0,
IF(D278="NR",SUM(IF(B278&gt;=_xlfn.NUMBERVALUE('ZD Vorerfassung'!$C$22:$C$36),1,0)*IF(B278&lt;=_xlfn.NUMBERVALUE('ZD Vorerfassung'!$D$22:$D$36),1,0)*'ZD Vorerfassung'!$U$22:$U$36),
IF(OR(D278="SF",D278="FH"),SUM(IF(B278&gt;=_xlfn.NUMBERVALUE('ZD Vorerfassung'!$C$22:$C$36),1,0)*IF(B278&lt;=_xlfn.NUMBERVALUE('ZD Vorerfassung'!$D$22:$D$36),1,0)*'ZD Vorerfassung'!$V$22:$V$36*IF(D278="FH",0.5,1)),
"prüfen")))</f>
        <v>0</v>
      </c>
      <c r="AZ278" s="110">
        <f t="array" ref="AZ278">IF(OR(D278="UU",D278="FT",D278="WE",E278="Ferien"),0,
IF(D278="NR",SUM(IF(B278&gt;=_xlfn.NUMBERVALUE('ZD Vorerfassung'!$C$22:$C$36),1,0)*IF(B278&lt;=_xlfn.NUMBERVALUE('ZD Vorerfassung'!$D$22:$D$36),1,0)*'ZD Vorerfassung'!$S$22:$S$36),
IF(OR(D278="SF",D278="FH"),SUM(IF(B278&gt;=_xlfn.NUMBERVALUE('ZD Vorerfassung'!$C$22:$C$36),1,0)*IF(B278&lt;=_xlfn.NUMBERVALUE('ZD Vorerfassung'!$D$22:$D$36),1,0)*'ZD Vorerfassung'!$T$22:$T$36*IF(D278="FH",0.5,1)),
"prüfen")))</f>
        <v>0</v>
      </c>
      <c r="BA278" s="112">
        <f t="shared" si="56"/>
        <v>4</v>
      </c>
    </row>
    <row r="279" spans="2:53" ht="19.5" thickTop="1" thickBot="1" x14ac:dyDescent="0.3">
      <c r="B279" s="99">
        <f t="shared" si="53"/>
        <v>45044</v>
      </c>
      <c r="C279" s="100">
        <f t="shared" si="57"/>
        <v>45044</v>
      </c>
      <c r="D279" s="101" t="str">
        <f t="shared" si="58"/>
        <v>NR</v>
      </c>
      <c r="E279" s="102" t="str">
        <f t="shared" si="54"/>
        <v>Unterrichtstag</v>
      </c>
      <c r="F279" s="103">
        <f t="shared" si="59"/>
        <v>0</v>
      </c>
      <c r="G279" s="104">
        <f t="shared" si="60"/>
        <v>0</v>
      </c>
      <c r="H279" s="104">
        <f>IFERROR(IF('ZD Vorerfassung'!$E$11="manuell",SUM(I279),IF(OR(E279="Feiertag",E279="Wochenende"),0,IF('ZD Vorerfassung'!$E$11="automatisch",AX279,IF(D279="UU","UU",IF(E279=Param2,AX279/24,IF(E279=Param9,AX279/48,"")))))),0)</f>
        <v>0</v>
      </c>
      <c r="I279" s="105"/>
      <c r="J279" s="106">
        <f>IF('ZD Vorerfassung'!$E$12="manuell",SUM(K279:AI279),IF(OR(E279="Feiertag",E279="Wochenende"),0,IF('ZD Vorerfassung'!$E$12="automatisch",AY279,IF(D279="UU","UU",IF(E279=Param2,AY279/24,IF(E279=Param9,AY279/48,""))))))</f>
        <v>0</v>
      </c>
      <c r="K279" s="105"/>
      <c r="L279" s="105"/>
      <c r="M279" s="105"/>
      <c r="N279" s="105"/>
      <c r="O279" s="105"/>
      <c r="P279" s="105"/>
      <c r="Q279" s="105"/>
      <c r="R279" s="105"/>
      <c r="S279" s="105"/>
      <c r="T279" s="105"/>
      <c r="U279" s="105"/>
      <c r="V279" s="105"/>
      <c r="W279" s="105"/>
      <c r="X279" s="105"/>
      <c r="Y279" s="105"/>
      <c r="Z279" s="105"/>
      <c r="AA279" s="105"/>
      <c r="AB279" s="105"/>
      <c r="AC279" s="105"/>
      <c r="AD279" s="105"/>
      <c r="AE279" s="105"/>
      <c r="AF279" s="105"/>
      <c r="AG279" s="105"/>
      <c r="AH279" s="105"/>
      <c r="AI279" s="105"/>
      <c r="AJ279" s="107">
        <f t="shared" si="61"/>
        <v>0</v>
      </c>
      <c r="AK279" s="105"/>
      <c r="AL279" s="105"/>
      <c r="AM279" s="105"/>
      <c r="AN279" s="105"/>
      <c r="AO279" s="105"/>
      <c r="AP279" s="105"/>
      <c r="AQ279" s="108">
        <f t="shared" si="62"/>
        <v>0</v>
      </c>
      <c r="AR279" s="108">
        <f t="shared" si="63"/>
        <v>0</v>
      </c>
      <c r="AS279" s="109">
        <f t="shared" si="64"/>
        <v>0</v>
      </c>
      <c r="AU279" s="110">
        <f t="shared" si="55"/>
        <v>0</v>
      </c>
      <c r="AV279" s="111">
        <f>IF(D279="NR",
IF('ZD Vorerfassung'!$E$22="",0,IF(AND(B279&gt;='ZD Vorerfassung'!$C$22,B279&lt;='ZD Vorerfassung'!$D$22),HLOOKUP(TEXT(C279,"ttt"),'ZD Vorerfassung'!$H$21:$L$36,2,0),0))+
IF('ZD Vorerfassung'!$E$23="",0,IF(AND(B279&gt;='ZD Vorerfassung'!$C$23,B279&lt;='ZD Vorerfassung'!$D$23),HLOOKUP(TEXT(C279,"ttt"),'ZD Vorerfassung'!$H$21:$L$36,3,0),0))+
IF('ZD Vorerfassung'!$E$24="",0,IF(AND(B279&gt;='ZD Vorerfassung'!$C$24,B279&lt;='ZD Vorerfassung'!$D$24),HLOOKUP(TEXT(C279,"ttt"),'ZD Vorerfassung'!$H$21:$L$36,4,0),0))+
IF('ZD Vorerfassung'!$E$25="",0,IF(AND(B279&gt;='ZD Vorerfassung'!$C$25,B279&lt;='ZD Vorerfassung'!$D$25),HLOOKUP(TEXT(C279,"ttt"),'ZD Vorerfassung'!$H$21:$L$36,5,0),0))+
IF('ZD Vorerfassung'!$E$26="",0,IF(AND(B279&gt;='ZD Vorerfassung'!$C$26,B279&lt;='ZD Vorerfassung'!$D$26),HLOOKUP(TEXT(C279,"ttt"),'ZD Vorerfassung'!$H$21:$L$36,6,0),0))+
IF('ZD Vorerfassung'!$E$27="",0,IF(AND(B279&gt;='ZD Vorerfassung'!$C$27,B279&lt;='ZD Vorerfassung'!$D$27),HLOOKUP(TEXT(C279,"ttt"),'ZD Vorerfassung'!$H$21:$L$36,7,0),0))+
IF('ZD Vorerfassung'!$E$28="",0,IF(AND(B279&gt;='ZD Vorerfassung'!$C$28,B279&lt;='ZD Vorerfassung'!$D$28),HLOOKUP(TEXT(C279,"ttt"),'ZD Vorerfassung'!$H$21:$L$36,8,0),0))+
IF('ZD Vorerfassung'!$E$29="",0,IF(AND(B279&gt;='ZD Vorerfassung'!$C$29,B279&lt;='ZD Vorerfassung'!$D$29),HLOOKUP(TEXT(C279,"ttt"),'ZD Vorerfassung'!$H$21:$L$36,9,0),0))+
IF('ZD Vorerfassung'!$E$30="",0,IF(AND(B279&gt;='ZD Vorerfassung'!$C$30,B279&lt;='ZD Vorerfassung'!$D$30),HLOOKUP(TEXT(C279,"ttt"),'ZD Vorerfassung'!$H$21:$L$36,10,0),0))+
IF('ZD Vorerfassung'!$E$31="",0,IF(AND(B279&gt;='ZD Vorerfassung'!$C$31,B279&lt;='ZD Vorerfassung'!$D$31),HLOOKUP(TEXT(C279,"ttt"),'ZD Vorerfassung'!$H$21:$L$36,11,0),0))+
IF('ZD Vorerfassung'!$E$32="",0,IF(AND(B279&gt;='ZD Vorerfassung'!$C$32,B279&lt;='ZD Vorerfassung'!$D$32),HLOOKUP(TEXT(C279,"ttt"),'ZD Vorerfassung'!$H$21:$L$36,12,0),0))+
IF('ZD Vorerfassung'!$E$33="",0,IF(AND(B279&gt;='ZD Vorerfassung'!$C$33,B279&lt;='ZD Vorerfassung'!$D$33),HLOOKUP(TEXT(C279,"ttt"),'ZD Vorerfassung'!$H$21:$L$36,13,0),0))+
IF('ZD Vorerfassung'!$E$34="",0,IF(AND(B279&gt;='ZD Vorerfassung'!$C$34,B279&lt;='ZD Vorerfassung'!$D$34),HLOOKUP(TEXT(C279,"ttt"),'ZD Vorerfassung'!$H$21:$L$36,14,0),0))+
IF('ZD Vorerfassung'!$E$35="",0,IF(AND(B279&gt;='ZD Vorerfassung'!$C$35,B279&lt;='ZD Vorerfassung'!$D$35),HLOOKUP(TEXT(C279,"ttt"),'ZD Vorerfassung'!$H$21:$L$36,15,0),0))+
IF('ZD Vorerfassung'!$E$36="",0,IF(AND(B279&gt;='ZD Vorerfassung'!$C$36,B279&lt;='ZD Vorerfassung'!$D$36),HLOOKUP(TEXT(C279,"ttt"),'ZD Vorerfassung'!$H$21:$L$36,16,0),0)),"")</f>
        <v>0</v>
      </c>
      <c r="AW279" s="110">
        <f t="array" ref="AW279">IF(OR(D279="UU",D279="FT",D279="WE"),0,
IF(D279="NR",SUM(IF(B279&gt;=_xlfn.NUMBERVALUE('ZD Vorerfassung'!$C$22:$C$36),1,0)*IF(B279&lt;=_xlfn.NUMBERVALUE('ZD Vorerfassung'!$D$22:$D$36),1,0)*'ZD Vorerfassung'!$Q$22:$Q$36),
IF(OR(D279="SF",D279="FH"),SUM(IF(B279&gt;=_xlfn.NUMBERVALUE('ZD Vorerfassung'!$C$22:$C$36),1,0)*IF(B279&lt;=_xlfn.NUMBERVALUE('ZD Vorerfassung'!$D$22:$D$36),1,0)*'ZD Vorerfassung'!$R$22:$R$36*IF(D279="FH",0.5,1)),
"prüfen")))</f>
        <v>0</v>
      </c>
      <c r="AX279" s="110">
        <f t="array" ref="AX279">IF(OR(D279="UU",D279="FT",D279="WE",E279="Ferien"),0,
IF(D279="NR",SUM(IF(B279&gt;=_xlfn.NUMBERVALUE('ZD Vorerfassung'!$C$22:$C$36),1,0)*IF(B279&lt;=_xlfn.NUMBERVALUE('ZD Vorerfassung'!$D$22:$D$36),1,0)*'ZD Vorerfassung'!$W$22:$W$36),
IF(OR(D279="SF",D279="FH"),SUM(IF(B279&gt;=_xlfn.NUMBERVALUE('ZD Vorerfassung'!$C$22:$C$36),1,0)*IF(B279&lt;=_xlfn.NUMBERVALUE('ZD Vorerfassung'!$D$22:$D$36),1,0)*'ZD Vorerfassung'!$X$22:$X$36*IF(D279="FH",0.5,1)),
"prüfen")))</f>
        <v>0</v>
      </c>
      <c r="AY279" s="110">
        <f t="array" ref="AY279">IF(OR(D279="UU",D279="FT",D279="WE",E279="Ferien"),0,
IF(D279="NR",SUM(IF(B279&gt;=_xlfn.NUMBERVALUE('ZD Vorerfassung'!$C$22:$C$36),1,0)*IF(B279&lt;=_xlfn.NUMBERVALUE('ZD Vorerfassung'!$D$22:$D$36),1,0)*'ZD Vorerfassung'!$U$22:$U$36),
IF(OR(D279="SF",D279="FH"),SUM(IF(B279&gt;=_xlfn.NUMBERVALUE('ZD Vorerfassung'!$C$22:$C$36),1,0)*IF(B279&lt;=_xlfn.NUMBERVALUE('ZD Vorerfassung'!$D$22:$D$36),1,0)*'ZD Vorerfassung'!$V$22:$V$36*IF(D279="FH",0.5,1)),
"prüfen")))</f>
        <v>0</v>
      </c>
      <c r="AZ279" s="110">
        <f t="array" ref="AZ279">IF(OR(D279="UU",D279="FT",D279="WE",E279="Ferien"),0,
IF(D279="NR",SUM(IF(B279&gt;=_xlfn.NUMBERVALUE('ZD Vorerfassung'!$C$22:$C$36),1,0)*IF(B279&lt;=_xlfn.NUMBERVALUE('ZD Vorerfassung'!$D$22:$D$36),1,0)*'ZD Vorerfassung'!$S$22:$S$36),
IF(OR(D279="SF",D279="FH"),SUM(IF(B279&gt;=_xlfn.NUMBERVALUE('ZD Vorerfassung'!$C$22:$C$36),1,0)*IF(B279&lt;=_xlfn.NUMBERVALUE('ZD Vorerfassung'!$D$22:$D$36),1,0)*'ZD Vorerfassung'!$T$22:$T$36*IF(D279="FH",0.5,1)),
"prüfen")))</f>
        <v>0</v>
      </c>
      <c r="BA279" s="112">
        <f t="shared" si="56"/>
        <v>4</v>
      </c>
    </row>
    <row r="280" spans="2:53" ht="19.5" thickTop="1" thickBot="1" x14ac:dyDescent="0.3">
      <c r="B280" s="99">
        <f t="shared" si="53"/>
        <v>45045</v>
      </c>
      <c r="C280" s="100">
        <f t="shared" si="57"/>
        <v>45045</v>
      </c>
      <c r="D280" s="101" t="str">
        <f t="shared" si="58"/>
        <v>NR</v>
      </c>
      <c r="E280" s="102" t="str">
        <f t="shared" si="54"/>
        <v>Unterrichtstag</v>
      </c>
      <c r="F280" s="103">
        <f t="shared" si="59"/>
        <v>0</v>
      </c>
      <c r="G280" s="104">
        <f t="shared" si="60"/>
        <v>0</v>
      </c>
      <c r="H280" s="104">
        <f>IFERROR(IF('ZD Vorerfassung'!$E$11="manuell",SUM(I280),IF(OR(E280="Feiertag",E280="Wochenende"),0,IF('ZD Vorerfassung'!$E$11="automatisch",AX280,IF(D280="UU","UU",IF(E280=Param2,AX280/24,IF(E280=Param9,AX280/48,"")))))),0)</f>
        <v>0</v>
      </c>
      <c r="I280" s="105"/>
      <c r="J280" s="106">
        <f>IF('ZD Vorerfassung'!$E$12="manuell",SUM(K280:AI280),IF(OR(E280="Feiertag",E280="Wochenende"),0,IF('ZD Vorerfassung'!$E$12="automatisch",AY280,IF(D280="UU","UU",IF(E280=Param2,AY280/24,IF(E280=Param9,AY280/48,""))))))</f>
        <v>0</v>
      </c>
      <c r="K280" s="105"/>
      <c r="L280" s="105"/>
      <c r="M280" s="105"/>
      <c r="N280" s="105"/>
      <c r="O280" s="105"/>
      <c r="P280" s="105"/>
      <c r="Q280" s="105"/>
      <c r="R280" s="105"/>
      <c r="S280" s="105"/>
      <c r="T280" s="105"/>
      <c r="U280" s="105"/>
      <c r="V280" s="105"/>
      <c r="W280" s="105"/>
      <c r="X280" s="105"/>
      <c r="Y280" s="105"/>
      <c r="Z280" s="105"/>
      <c r="AA280" s="105"/>
      <c r="AB280" s="105"/>
      <c r="AC280" s="105"/>
      <c r="AD280" s="105"/>
      <c r="AE280" s="105"/>
      <c r="AF280" s="105"/>
      <c r="AG280" s="105"/>
      <c r="AH280" s="105"/>
      <c r="AI280" s="105"/>
      <c r="AJ280" s="107">
        <f t="shared" si="61"/>
        <v>0</v>
      </c>
      <c r="AK280" s="105"/>
      <c r="AL280" s="105"/>
      <c r="AM280" s="105"/>
      <c r="AN280" s="105"/>
      <c r="AO280" s="105"/>
      <c r="AP280" s="105"/>
      <c r="AQ280" s="108">
        <f t="shared" si="62"/>
        <v>0</v>
      </c>
      <c r="AR280" s="108">
        <f t="shared" si="63"/>
        <v>0</v>
      </c>
      <c r="AS280" s="109">
        <f t="shared" si="64"/>
        <v>0</v>
      </c>
      <c r="AU280" s="110">
        <f t="shared" si="55"/>
        <v>0</v>
      </c>
      <c r="AV280" s="111">
        <f>IF(D280="NR",
IF('ZD Vorerfassung'!$E$22="",0,IF(AND(B280&gt;='ZD Vorerfassung'!$C$22,B280&lt;='ZD Vorerfassung'!$D$22),HLOOKUP(TEXT(C280,"ttt"),'ZD Vorerfassung'!$H$21:$L$36,2,0),0))+
IF('ZD Vorerfassung'!$E$23="",0,IF(AND(B280&gt;='ZD Vorerfassung'!$C$23,B280&lt;='ZD Vorerfassung'!$D$23),HLOOKUP(TEXT(C280,"ttt"),'ZD Vorerfassung'!$H$21:$L$36,3,0),0))+
IF('ZD Vorerfassung'!$E$24="",0,IF(AND(B280&gt;='ZD Vorerfassung'!$C$24,B280&lt;='ZD Vorerfassung'!$D$24),HLOOKUP(TEXT(C280,"ttt"),'ZD Vorerfassung'!$H$21:$L$36,4,0),0))+
IF('ZD Vorerfassung'!$E$25="",0,IF(AND(B280&gt;='ZD Vorerfassung'!$C$25,B280&lt;='ZD Vorerfassung'!$D$25),HLOOKUP(TEXT(C280,"ttt"),'ZD Vorerfassung'!$H$21:$L$36,5,0),0))+
IF('ZD Vorerfassung'!$E$26="",0,IF(AND(B280&gt;='ZD Vorerfassung'!$C$26,B280&lt;='ZD Vorerfassung'!$D$26),HLOOKUP(TEXT(C280,"ttt"),'ZD Vorerfassung'!$H$21:$L$36,6,0),0))+
IF('ZD Vorerfassung'!$E$27="",0,IF(AND(B280&gt;='ZD Vorerfassung'!$C$27,B280&lt;='ZD Vorerfassung'!$D$27),HLOOKUP(TEXT(C280,"ttt"),'ZD Vorerfassung'!$H$21:$L$36,7,0),0))+
IF('ZD Vorerfassung'!$E$28="",0,IF(AND(B280&gt;='ZD Vorerfassung'!$C$28,B280&lt;='ZD Vorerfassung'!$D$28),HLOOKUP(TEXT(C280,"ttt"),'ZD Vorerfassung'!$H$21:$L$36,8,0),0))+
IF('ZD Vorerfassung'!$E$29="",0,IF(AND(B280&gt;='ZD Vorerfassung'!$C$29,B280&lt;='ZD Vorerfassung'!$D$29),HLOOKUP(TEXT(C280,"ttt"),'ZD Vorerfassung'!$H$21:$L$36,9,0),0))+
IF('ZD Vorerfassung'!$E$30="",0,IF(AND(B280&gt;='ZD Vorerfassung'!$C$30,B280&lt;='ZD Vorerfassung'!$D$30),HLOOKUP(TEXT(C280,"ttt"),'ZD Vorerfassung'!$H$21:$L$36,10,0),0))+
IF('ZD Vorerfassung'!$E$31="",0,IF(AND(B280&gt;='ZD Vorerfassung'!$C$31,B280&lt;='ZD Vorerfassung'!$D$31),HLOOKUP(TEXT(C280,"ttt"),'ZD Vorerfassung'!$H$21:$L$36,11,0),0))+
IF('ZD Vorerfassung'!$E$32="",0,IF(AND(B280&gt;='ZD Vorerfassung'!$C$32,B280&lt;='ZD Vorerfassung'!$D$32),HLOOKUP(TEXT(C280,"ttt"),'ZD Vorerfassung'!$H$21:$L$36,12,0),0))+
IF('ZD Vorerfassung'!$E$33="",0,IF(AND(B280&gt;='ZD Vorerfassung'!$C$33,B280&lt;='ZD Vorerfassung'!$D$33),HLOOKUP(TEXT(C280,"ttt"),'ZD Vorerfassung'!$H$21:$L$36,13,0),0))+
IF('ZD Vorerfassung'!$E$34="",0,IF(AND(B280&gt;='ZD Vorerfassung'!$C$34,B280&lt;='ZD Vorerfassung'!$D$34),HLOOKUP(TEXT(C280,"ttt"),'ZD Vorerfassung'!$H$21:$L$36,14,0),0))+
IF('ZD Vorerfassung'!$E$35="",0,IF(AND(B280&gt;='ZD Vorerfassung'!$C$35,B280&lt;='ZD Vorerfassung'!$D$35),HLOOKUP(TEXT(C280,"ttt"),'ZD Vorerfassung'!$H$21:$L$36,15,0),0))+
IF('ZD Vorerfassung'!$E$36="",0,IF(AND(B280&gt;='ZD Vorerfassung'!$C$36,B280&lt;='ZD Vorerfassung'!$D$36),HLOOKUP(TEXT(C280,"ttt"),'ZD Vorerfassung'!$H$21:$L$36,16,0),0)),"")</f>
        <v>0</v>
      </c>
      <c r="AW280" s="110">
        <f t="array" ref="AW280">IF(OR(D280="UU",D280="FT",D280="WE"),0,
IF(D280="NR",SUM(IF(B280&gt;=_xlfn.NUMBERVALUE('ZD Vorerfassung'!$C$22:$C$36),1,0)*IF(B280&lt;=_xlfn.NUMBERVALUE('ZD Vorerfassung'!$D$22:$D$36),1,0)*'ZD Vorerfassung'!$Q$22:$Q$36),
IF(OR(D280="SF",D280="FH"),SUM(IF(B280&gt;=_xlfn.NUMBERVALUE('ZD Vorerfassung'!$C$22:$C$36),1,0)*IF(B280&lt;=_xlfn.NUMBERVALUE('ZD Vorerfassung'!$D$22:$D$36),1,0)*'ZD Vorerfassung'!$R$22:$R$36*IF(D280="FH",0.5,1)),
"prüfen")))</f>
        <v>0</v>
      </c>
      <c r="AX280" s="110">
        <f t="array" ref="AX280">IF(OR(D280="UU",D280="FT",D280="WE",E280="Ferien"),0,
IF(D280="NR",SUM(IF(B280&gt;=_xlfn.NUMBERVALUE('ZD Vorerfassung'!$C$22:$C$36),1,0)*IF(B280&lt;=_xlfn.NUMBERVALUE('ZD Vorerfassung'!$D$22:$D$36),1,0)*'ZD Vorerfassung'!$W$22:$W$36),
IF(OR(D280="SF",D280="FH"),SUM(IF(B280&gt;=_xlfn.NUMBERVALUE('ZD Vorerfassung'!$C$22:$C$36),1,0)*IF(B280&lt;=_xlfn.NUMBERVALUE('ZD Vorerfassung'!$D$22:$D$36),1,0)*'ZD Vorerfassung'!$X$22:$X$36*IF(D280="FH",0.5,1)),
"prüfen")))</f>
        <v>0</v>
      </c>
      <c r="AY280" s="110">
        <f t="array" ref="AY280">IF(OR(D280="UU",D280="FT",D280="WE",E280="Ferien"),0,
IF(D280="NR",SUM(IF(B280&gt;=_xlfn.NUMBERVALUE('ZD Vorerfassung'!$C$22:$C$36),1,0)*IF(B280&lt;=_xlfn.NUMBERVALUE('ZD Vorerfassung'!$D$22:$D$36),1,0)*'ZD Vorerfassung'!$U$22:$U$36),
IF(OR(D280="SF",D280="FH"),SUM(IF(B280&gt;=_xlfn.NUMBERVALUE('ZD Vorerfassung'!$C$22:$C$36),1,0)*IF(B280&lt;=_xlfn.NUMBERVALUE('ZD Vorerfassung'!$D$22:$D$36),1,0)*'ZD Vorerfassung'!$V$22:$V$36*IF(D280="FH",0.5,1)),
"prüfen")))</f>
        <v>0</v>
      </c>
      <c r="AZ280" s="110">
        <f t="array" ref="AZ280">IF(OR(D280="UU",D280="FT",D280="WE",E280="Ferien"),0,
IF(D280="NR",SUM(IF(B280&gt;=_xlfn.NUMBERVALUE('ZD Vorerfassung'!$C$22:$C$36),1,0)*IF(B280&lt;=_xlfn.NUMBERVALUE('ZD Vorerfassung'!$D$22:$D$36),1,0)*'ZD Vorerfassung'!$S$22:$S$36),
IF(OR(D280="SF",D280="FH"),SUM(IF(B280&gt;=_xlfn.NUMBERVALUE('ZD Vorerfassung'!$C$22:$C$36),1,0)*IF(B280&lt;=_xlfn.NUMBERVALUE('ZD Vorerfassung'!$D$22:$D$36),1,0)*'ZD Vorerfassung'!$T$22:$T$36*IF(D280="FH",0.5,1)),
"prüfen")))</f>
        <v>0</v>
      </c>
      <c r="BA280" s="112">
        <f t="shared" si="56"/>
        <v>4</v>
      </c>
    </row>
    <row r="281" spans="2:53" ht="19.5" thickTop="1" thickBot="1" x14ac:dyDescent="0.3">
      <c r="B281" s="99">
        <f t="shared" si="53"/>
        <v>45046</v>
      </c>
      <c r="C281" s="100">
        <f t="shared" si="57"/>
        <v>45046</v>
      </c>
      <c r="D281" s="101" t="str">
        <f t="shared" si="58"/>
        <v>WE</v>
      </c>
      <c r="E281" s="102" t="str">
        <f t="shared" si="54"/>
        <v>Wochenende</v>
      </c>
      <c r="F281" s="103" t="str">
        <f t="shared" si="59"/>
        <v/>
      </c>
      <c r="G281" s="104" t="str">
        <f t="shared" si="60"/>
        <v/>
      </c>
      <c r="H281" s="104">
        <f>IFERROR(IF('ZD Vorerfassung'!$E$11="manuell",SUM(I281),IF(OR(E281="Feiertag",E281="Wochenende"),0,IF('ZD Vorerfassung'!$E$11="automatisch",AX281,IF(D281="UU","UU",IF(E281=Param2,AX281/24,IF(E281=Param9,AX281/48,"")))))),0)</f>
        <v>0</v>
      </c>
      <c r="I281" s="105"/>
      <c r="J281" s="106">
        <f>IF('ZD Vorerfassung'!$E$12="manuell",SUM(K281:AI281),IF(OR(E281="Feiertag",E281="Wochenende"),0,IF('ZD Vorerfassung'!$E$12="automatisch",AY281,IF(D281="UU","UU",IF(E281=Param2,AY281/24,IF(E281=Param9,AY281/48,""))))))</f>
        <v>0</v>
      </c>
      <c r="K281" s="105"/>
      <c r="L281" s="105"/>
      <c r="M281" s="105"/>
      <c r="N281" s="105"/>
      <c r="O281" s="105"/>
      <c r="P281" s="105"/>
      <c r="Q281" s="105"/>
      <c r="R281" s="105"/>
      <c r="S281" s="105"/>
      <c r="T281" s="105"/>
      <c r="U281" s="105"/>
      <c r="V281" s="105"/>
      <c r="W281" s="105"/>
      <c r="X281" s="105"/>
      <c r="Y281" s="105"/>
      <c r="Z281" s="105"/>
      <c r="AA281" s="105"/>
      <c r="AB281" s="105"/>
      <c r="AC281" s="105"/>
      <c r="AD281" s="105"/>
      <c r="AE281" s="105"/>
      <c r="AF281" s="105"/>
      <c r="AG281" s="105"/>
      <c r="AH281" s="105"/>
      <c r="AI281" s="105"/>
      <c r="AJ281" s="107">
        <f t="shared" si="61"/>
        <v>0</v>
      </c>
      <c r="AK281" s="105"/>
      <c r="AL281" s="105"/>
      <c r="AM281" s="105"/>
      <c r="AN281" s="105"/>
      <c r="AO281" s="105"/>
      <c r="AP281" s="105"/>
      <c r="AQ281" s="108">
        <f t="shared" si="62"/>
        <v>0</v>
      </c>
      <c r="AR281" s="108">
        <f t="shared" si="63"/>
        <v>0</v>
      </c>
      <c r="AS281" s="109">
        <f t="shared" si="64"/>
        <v>0</v>
      </c>
      <c r="AU281" s="110">
        <f t="shared" si="55"/>
        <v>0</v>
      </c>
      <c r="AV281" s="111" t="str">
        <f>IF(D281="NR",
IF('ZD Vorerfassung'!$E$22="",0,IF(AND(B281&gt;='ZD Vorerfassung'!$C$22,B281&lt;='ZD Vorerfassung'!$D$22),HLOOKUP(TEXT(C281,"ttt"),'ZD Vorerfassung'!$H$21:$L$36,2,0),0))+
IF('ZD Vorerfassung'!$E$23="",0,IF(AND(B281&gt;='ZD Vorerfassung'!$C$23,B281&lt;='ZD Vorerfassung'!$D$23),HLOOKUP(TEXT(C281,"ttt"),'ZD Vorerfassung'!$H$21:$L$36,3,0),0))+
IF('ZD Vorerfassung'!$E$24="",0,IF(AND(B281&gt;='ZD Vorerfassung'!$C$24,B281&lt;='ZD Vorerfassung'!$D$24),HLOOKUP(TEXT(C281,"ttt"),'ZD Vorerfassung'!$H$21:$L$36,4,0),0))+
IF('ZD Vorerfassung'!$E$25="",0,IF(AND(B281&gt;='ZD Vorerfassung'!$C$25,B281&lt;='ZD Vorerfassung'!$D$25),HLOOKUP(TEXT(C281,"ttt"),'ZD Vorerfassung'!$H$21:$L$36,5,0),0))+
IF('ZD Vorerfassung'!$E$26="",0,IF(AND(B281&gt;='ZD Vorerfassung'!$C$26,B281&lt;='ZD Vorerfassung'!$D$26),HLOOKUP(TEXT(C281,"ttt"),'ZD Vorerfassung'!$H$21:$L$36,6,0),0))+
IF('ZD Vorerfassung'!$E$27="",0,IF(AND(B281&gt;='ZD Vorerfassung'!$C$27,B281&lt;='ZD Vorerfassung'!$D$27),HLOOKUP(TEXT(C281,"ttt"),'ZD Vorerfassung'!$H$21:$L$36,7,0),0))+
IF('ZD Vorerfassung'!$E$28="",0,IF(AND(B281&gt;='ZD Vorerfassung'!$C$28,B281&lt;='ZD Vorerfassung'!$D$28),HLOOKUP(TEXT(C281,"ttt"),'ZD Vorerfassung'!$H$21:$L$36,8,0),0))+
IF('ZD Vorerfassung'!$E$29="",0,IF(AND(B281&gt;='ZD Vorerfassung'!$C$29,B281&lt;='ZD Vorerfassung'!$D$29),HLOOKUP(TEXT(C281,"ttt"),'ZD Vorerfassung'!$H$21:$L$36,9,0),0))+
IF('ZD Vorerfassung'!$E$30="",0,IF(AND(B281&gt;='ZD Vorerfassung'!$C$30,B281&lt;='ZD Vorerfassung'!$D$30),HLOOKUP(TEXT(C281,"ttt"),'ZD Vorerfassung'!$H$21:$L$36,10,0),0))+
IF('ZD Vorerfassung'!$E$31="",0,IF(AND(B281&gt;='ZD Vorerfassung'!$C$31,B281&lt;='ZD Vorerfassung'!$D$31),HLOOKUP(TEXT(C281,"ttt"),'ZD Vorerfassung'!$H$21:$L$36,11,0),0))+
IF('ZD Vorerfassung'!$E$32="",0,IF(AND(B281&gt;='ZD Vorerfassung'!$C$32,B281&lt;='ZD Vorerfassung'!$D$32),HLOOKUP(TEXT(C281,"ttt"),'ZD Vorerfassung'!$H$21:$L$36,12,0),0))+
IF('ZD Vorerfassung'!$E$33="",0,IF(AND(B281&gt;='ZD Vorerfassung'!$C$33,B281&lt;='ZD Vorerfassung'!$D$33),HLOOKUP(TEXT(C281,"ttt"),'ZD Vorerfassung'!$H$21:$L$36,13,0),0))+
IF('ZD Vorerfassung'!$E$34="",0,IF(AND(B281&gt;='ZD Vorerfassung'!$C$34,B281&lt;='ZD Vorerfassung'!$D$34),HLOOKUP(TEXT(C281,"ttt"),'ZD Vorerfassung'!$H$21:$L$36,14,0),0))+
IF('ZD Vorerfassung'!$E$35="",0,IF(AND(B281&gt;='ZD Vorerfassung'!$C$35,B281&lt;='ZD Vorerfassung'!$D$35),HLOOKUP(TEXT(C281,"ttt"),'ZD Vorerfassung'!$H$21:$L$36,15,0),0))+
IF('ZD Vorerfassung'!$E$36="",0,IF(AND(B281&gt;='ZD Vorerfassung'!$C$36,B281&lt;='ZD Vorerfassung'!$D$36),HLOOKUP(TEXT(C281,"ttt"),'ZD Vorerfassung'!$H$21:$L$36,16,0),0)),"")</f>
        <v/>
      </c>
      <c r="AW281" s="110">
        <f t="array" ref="AW281">IF(OR(D281="UU",D281="FT",D281="WE"),0,
IF(D281="NR",SUM(IF(B281&gt;=_xlfn.NUMBERVALUE('ZD Vorerfassung'!$C$22:$C$36),1,0)*IF(B281&lt;=_xlfn.NUMBERVALUE('ZD Vorerfassung'!$D$22:$D$36),1,0)*'ZD Vorerfassung'!$Q$22:$Q$36),
IF(OR(D281="SF",D281="FH"),SUM(IF(B281&gt;=_xlfn.NUMBERVALUE('ZD Vorerfassung'!$C$22:$C$36),1,0)*IF(B281&lt;=_xlfn.NUMBERVALUE('ZD Vorerfassung'!$D$22:$D$36),1,0)*'ZD Vorerfassung'!$R$22:$R$36*IF(D281="FH",0.5,1)),
"prüfen")))</f>
        <v>0</v>
      </c>
      <c r="AX281" s="110">
        <f t="array" ref="AX281">IF(OR(D281="UU",D281="FT",D281="WE",E281="Ferien"),0,
IF(D281="NR",SUM(IF(B281&gt;=_xlfn.NUMBERVALUE('ZD Vorerfassung'!$C$22:$C$36),1,0)*IF(B281&lt;=_xlfn.NUMBERVALUE('ZD Vorerfassung'!$D$22:$D$36),1,0)*'ZD Vorerfassung'!$W$22:$W$36),
IF(OR(D281="SF",D281="FH"),SUM(IF(B281&gt;=_xlfn.NUMBERVALUE('ZD Vorerfassung'!$C$22:$C$36),1,0)*IF(B281&lt;=_xlfn.NUMBERVALUE('ZD Vorerfassung'!$D$22:$D$36),1,0)*'ZD Vorerfassung'!$X$22:$X$36*IF(D281="FH",0.5,1)),
"prüfen")))</f>
        <v>0</v>
      </c>
      <c r="AY281" s="110">
        <f t="array" ref="AY281">IF(OR(D281="UU",D281="FT",D281="WE",E281="Ferien"),0,
IF(D281="NR",SUM(IF(B281&gt;=_xlfn.NUMBERVALUE('ZD Vorerfassung'!$C$22:$C$36),1,0)*IF(B281&lt;=_xlfn.NUMBERVALUE('ZD Vorerfassung'!$D$22:$D$36),1,0)*'ZD Vorerfassung'!$U$22:$U$36),
IF(OR(D281="SF",D281="FH"),SUM(IF(B281&gt;=_xlfn.NUMBERVALUE('ZD Vorerfassung'!$C$22:$C$36),1,0)*IF(B281&lt;=_xlfn.NUMBERVALUE('ZD Vorerfassung'!$D$22:$D$36),1,0)*'ZD Vorerfassung'!$V$22:$V$36*IF(D281="FH",0.5,1)),
"prüfen")))</f>
        <v>0</v>
      </c>
      <c r="AZ281" s="110">
        <f t="array" ref="AZ281">IF(OR(D281="UU",D281="FT",D281="WE",E281="Ferien"),0,
IF(D281="NR",SUM(IF(B281&gt;=_xlfn.NUMBERVALUE('ZD Vorerfassung'!$C$22:$C$36),1,0)*IF(B281&lt;=_xlfn.NUMBERVALUE('ZD Vorerfassung'!$D$22:$D$36),1,0)*'ZD Vorerfassung'!$S$22:$S$36),
IF(OR(D281="SF",D281="FH"),SUM(IF(B281&gt;=_xlfn.NUMBERVALUE('ZD Vorerfassung'!$C$22:$C$36),1,0)*IF(B281&lt;=_xlfn.NUMBERVALUE('ZD Vorerfassung'!$D$22:$D$36),1,0)*'ZD Vorerfassung'!$T$22:$T$36*IF(D281="FH",0.5,1)),
"prüfen")))</f>
        <v>0</v>
      </c>
      <c r="BA281" s="112">
        <f t="shared" si="56"/>
        <v>5</v>
      </c>
    </row>
    <row r="282" spans="2:53" ht="19.5" thickTop="1" thickBot="1" x14ac:dyDescent="0.3">
      <c r="B282" s="99">
        <f t="shared" si="53"/>
        <v>45047</v>
      </c>
      <c r="C282" s="100">
        <f t="shared" si="57"/>
        <v>45047</v>
      </c>
      <c r="D282" s="101" t="str">
        <f t="shared" si="58"/>
        <v>WE</v>
      </c>
      <c r="E282" s="102" t="str">
        <f t="shared" si="54"/>
        <v>Wochenende</v>
      </c>
      <c r="F282" s="103" t="str">
        <f t="shared" si="59"/>
        <v/>
      </c>
      <c r="G282" s="104" t="str">
        <f t="shared" si="60"/>
        <v/>
      </c>
      <c r="H282" s="104">
        <f>IFERROR(IF('ZD Vorerfassung'!$E$11="manuell",SUM(I282),IF(OR(E282="Feiertag",E282="Wochenende"),0,IF('ZD Vorerfassung'!$E$11="automatisch",AX282,IF(D282="UU","UU",IF(E282=Param2,AX282/24,IF(E282=Param9,AX282/48,"")))))),0)</f>
        <v>0</v>
      </c>
      <c r="I282" s="105"/>
      <c r="J282" s="106">
        <f>IF('ZD Vorerfassung'!$E$12="manuell",SUM(K282:AI282),IF(OR(E282="Feiertag",E282="Wochenende"),0,IF('ZD Vorerfassung'!$E$12="automatisch",AY282,IF(D282="UU","UU",IF(E282=Param2,AY282/24,IF(E282=Param9,AY282/48,""))))))</f>
        <v>0</v>
      </c>
      <c r="K282" s="105"/>
      <c r="L282" s="105"/>
      <c r="M282" s="105"/>
      <c r="N282" s="105"/>
      <c r="O282" s="105"/>
      <c r="P282" s="105"/>
      <c r="Q282" s="105"/>
      <c r="R282" s="105"/>
      <c r="S282" s="105"/>
      <c r="T282" s="105"/>
      <c r="U282" s="105"/>
      <c r="V282" s="105"/>
      <c r="W282" s="105"/>
      <c r="X282" s="105"/>
      <c r="Y282" s="105"/>
      <c r="Z282" s="105"/>
      <c r="AA282" s="105"/>
      <c r="AB282" s="105"/>
      <c r="AC282" s="105"/>
      <c r="AD282" s="105"/>
      <c r="AE282" s="105"/>
      <c r="AF282" s="105"/>
      <c r="AG282" s="105"/>
      <c r="AH282" s="105"/>
      <c r="AI282" s="105"/>
      <c r="AJ282" s="107">
        <f t="shared" si="61"/>
        <v>0</v>
      </c>
      <c r="AK282" s="105"/>
      <c r="AL282" s="105"/>
      <c r="AM282" s="105"/>
      <c r="AN282" s="105"/>
      <c r="AO282" s="105"/>
      <c r="AP282" s="105"/>
      <c r="AQ282" s="108">
        <f t="shared" si="62"/>
        <v>0</v>
      </c>
      <c r="AR282" s="108">
        <f t="shared" si="63"/>
        <v>0</v>
      </c>
      <c r="AS282" s="109">
        <f t="shared" si="64"/>
        <v>0</v>
      </c>
      <c r="AU282" s="110">
        <f t="shared" si="55"/>
        <v>0</v>
      </c>
      <c r="AV282" s="111" t="str">
        <f>IF(D282="NR",
IF('ZD Vorerfassung'!$E$22="",0,IF(AND(B282&gt;='ZD Vorerfassung'!$C$22,B282&lt;='ZD Vorerfassung'!$D$22),HLOOKUP(TEXT(C282,"ttt"),'ZD Vorerfassung'!$H$21:$L$36,2,0),0))+
IF('ZD Vorerfassung'!$E$23="",0,IF(AND(B282&gt;='ZD Vorerfassung'!$C$23,B282&lt;='ZD Vorerfassung'!$D$23),HLOOKUP(TEXT(C282,"ttt"),'ZD Vorerfassung'!$H$21:$L$36,3,0),0))+
IF('ZD Vorerfassung'!$E$24="",0,IF(AND(B282&gt;='ZD Vorerfassung'!$C$24,B282&lt;='ZD Vorerfassung'!$D$24),HLOOKUP(TEXT(C282,"ttt"),'ZD Vorerfassung'!$H$21:$L$36,4,0),0))+
IF('ZD Vorerfassung'!$E$25="",0,IF(AND(B282&gt;='ZD Vorerfassung'!$C$25,B282&lt;='ZD Vorerfassung'!$D$25),HLOOKUP(TEXT(C282,"ttt"),'ZD Vorerfassung'!$H$21:$L$36,5,0),0))+
IF('ZD Vorerfassung'!$E$26="",0,IF(AND(B282&gt;='ZD Vorerfassung'!$C$26,B282&lt;='ZD Vorerfassung'!$D$26),HLOOKUP(TEXT(C282,"ttt"),'ZD Vorerfassung'!$H$21:$L$36,6,0),0))+
IF('ZD Vorerfassung'!$E$27="",0,IF(AND(B282&gt;='ZD Vorerfassung'!$C$27,B282&lt;='ZD Vorerfassung'!$D$27),HLOOKUP(TEXT(C282,"ttt"),'ZD Vorerfassung'!$H$21:$L$36,7,0),0))+
IF('ZD Vorerfassung'!$E$28="",0,IF(AND(B282&gt;='ZD Vorerfassung'!$C$28,B282&lt;='ZD Vorerfassung'!$D$28),HLOOKUP(TEXT(C282,"ttt"),'ZD Vorerfassung'!$H$21:$L$36,8,0),0))+
IF('ZD Vorerfassung'!$E$29="",0,IF(AND(B282&gt;='ZD Vorerfassung'!$C$29,B282&lt;='ZD Vorerfassung'!$D$29),HLOOKUP(TEXT(C282,"ttt"),'ZD Vorerfassung'!$H$21:$L$36,9,0),0))+
IF('ZD Vorerfassung'!$E$30="",0,IF(AND(B282&gt;='ZD Vorerfassung'!$C$30,B282&lt;='ZD Vorerfassung'!$D$30),HLOOKUP(TEXT(C282,"ttt"),'ZD Vorerfassung'!$H$21:$L$36,10,0),0))+
IF('ZD Vorerfassung'!$E$31="",0,IF(AND(B282&gt;='ZD Vorerfassung'!$C$31,B282&lt;='ZD Vorerfassung'!$D$31),HLOOKUP(TEXT(C282,"ttt"),'ZD Vorerfassung'!$H$21:$L$36,11,0),0))+
IF('ZD Vorerfassung'!$E$32="",0,IF(AND(B282&gt;='ZD Vorerfassung'!$C$32,B282&lt;='ZD Vorerfassung'!$D$32),HLOOKUP(TEXT(C282,"ttt"),'ZD Vorerfassung'!$H$21:$L$36,12,0),0))+
IF('ZD Vorerfassung'!$E$33="",0,IF(AND(B282&gt;='ZD Vorerfassung'!$C$33,B282&lt;='ZD Vorerfassung'!$D$33),HLOOKUP(TEXT(C282,"ttt"),'ZD Vorerfassung'!$H$21:$L$36,13,0),0))+
IF('ZD Vorerfassung'!$E$34="",0,IF(AND(B282&gt;='ZD Vorerfassung'!$C$34,B282&lt;='ZD Vorerfassung'!$D$34),HLOOKUP(TEXT(C282,"ttt"),'ZD Vorerfassung'!$H$21:$L$36,14,0),0))+
IF('ZD Vorerfassung'!$E$35="",0,IF(AND(B282&gt;='ZD Vorerfassung'!$C$35,B282&lt;='ZD Vorerfassung'!$D$35),HLOOKUP(TEXT(C282,"ttt"),'ZD Vorerfassung'!$H$21:$L$36,15,0),0))+
IF('ZD Vorerfassung'!$E$36="",0,IF(AND(B282&gt;='ZD Vorerfassung'!$C$36,B282&lt;='ZD Vorerfassung'!$D$36),HLOOKUP(TEXT(C282,"ttt"),'ZD Vorerfassung'!$H$21:$L$36,16,0),0)),"")</f>
        <v/>
      </c>
      <c r="AW282" s="110">
        <f t="array" ref="AW282">IF(OR(D282="UU",D282="FT",D282="WE"),0,
IF(D282="NR",SUM(IF(B282&gt;=_xlfn.NUMBERVALUE('ZD Vorerfassung'!$C$22:$C$36),1,0)*IF(B282&lt;=_xlfn.NUMBERVALUE('ZD Vorerfassung'!$D$22:$D$36),1,0)*'ZD Vorerfassung'!$Q$22:$Q$36),
IF(OR(D282="SF",D282="FH"),SUM(IF(B282&gt;=_xlfn.NUMBERVALUE('ZD Vorerfassung'!$C$22:$C$36),1,0)*IF(B282&lt;=_xlfn.NUMBERVALUE('ZD Vorerfassung'!$D$22:$D$36),1,0)*'ZD Vorerfassung'!$R$22:$R$36*IF(D282="FH",0.5,1)),
"prüfen")))</f>
        <v>0</v>
      </c>
      <c r="AX282" s="110">
        <f t="array" ref="AX282">IF(OR(D282="UU",D282="FT",D282="WE",E282="Ferien"),0,
IF(D282="NR",SUM(IF(B282&gt;=_xlfn.NUMBERVALUE('ZD Vorerfassung'!$C$22:$C$36),1,0)*IF(B282&lt;=_xlfn.NUMBERVALUE('ZD Vorerfassung'!$D$22:$D$36),1,0)*'ZD Vorerfassung'!$W$22:$W$36),
IF(OR(D282="SF",D282="FH"),SUM(IF(B282&gt;=_xlfn.NUMBERVALUE('ZD Vorerfassung'!$C$22:$C$36),1,0)*IF(B282&lt;=_xlfn.NUMBERVALUE('ZD Vorerfassung'!$D$22:$D$36),1,0)*'ZD Vorerfassung'!$X$22:$X$36*IF(D282="FH",0.5,1)),
"prüfen")))</f>
        <v>0</v>
      </c>
      <c r="AY282" s="110">
        <f t="array" ref="AY282">IF(OR(D282="UU",D282="FT",D282="WE",E282="Ferien"),0,
IF(D282="NR",SUM(IF(B282&gt;=_xlfn.NUMBERVALUE('ZD Vorerfassung'!$C$22:$C$36),1,0)*IF(B282&lt;=_xlfn.NUMBERVALUE('ZD Vorerfassung'!$D$22:$D$36),1,0)*'ZD Vorerfassung'!$U$22:$U$36),
IF(OR(D282="SF",D282="FH"),SUM(IF(B282&gt;=_xlfn.NUMBERVALUE('ZD Vorerfassung'!$C$22:$C$36),1,0)*IF(B282&lt;=_xlfn.NUMBERVALUE('ZD Vorerfassung'!$D$22:$D$36),1,0)*'ZD Vorerfassung'!$V$22:$V$36*IF(D282="FH",0.5,1)),
"prüfen")))</f>
        <v>0</v>
      </c>
      <c r="AZ282" s="110">
        <f t="array" ref="AZ282">IF(OR(D282="UU",D282="FT",D282="WE",E282="Ferien"),0,
IF(D282="NR",SUM(IF(B282&gt;=_xlfn.NUMBERVALUE('ZD Vorerfassung'!$C$22:$C$36),1,0)*IF(B282&lt;=_xlfn.NUMBERVALUE('ZD Vorerfassung'!$D$22:$D$36),1,0)*'ZD Vorerfassung'!$S$22:$S$36),
IF(OR(D282="SF",D282="FH"),SUM(IF(B282&gt;=_xlfn.NUMBERVALUE('ZD Vorerfassung'!$C$22:$C$36),1,0)*IF(B282&lt;=_xlfn.NUMBERVALUE('ZD Vorerfassung'!$D$22:$D$36),1,0)*'ZD Vorerfassung'!$T$22:$T$36*IF(D282="FH",0.5,1)),
"prüfen")))</f>
        <v>0</v>
      </c>
      <c r="BA282" s="112">
        <f t="shared" si="56"/>
        <v>5</v>
      </c>
    </row>
    <row r="283" spans="2:53" ht="19.5" thickTop="1" thickBot="1" x14ac:dyDescent="0.3">
      <c r="B283" s="99">
        <f t="shared" si="53"/>
        <v>45048</v>
      </c>
      <c r="C283" s="100">
        <f t="shared" si="57"/>
        <v>45048</v>
      </c>
      <c r="D283" s="101" t="str">
        <f t="shared" si="58"/>
        <v>NR</v>
      </c>
      <c r="E283" s="102" t="str">
        <f t="shared" si="54"/>
        <v>Unterrichtstag</v>
      </c>
      <c r="F283" s="103">
        <f t="shared" si="59"/>
        <v>0</v>
      </c>
      <c r="G283" s="104">
        <f t="shared" si="60"/>
        <v>0</v>
      </c>
      <c r="H283" s="104">
        <f>IFERROR(IF('ZD Vorerfassung'!$E$11="manuell",SUM(I283),IF(OR(E283="Feiertag",E283="Wochenende"),0,IF('ZD Vorerfassung'!$E$11="automatisch",AX283,IF(D283="UU","UU",IF(E283=Param2,AX283/24,IF(E283=Param9,AX283/48,"")))))),0)</f>
        <v>0</v>
      </c>
      <c r="I283" s="105"/>
      <c r="J283" s="106">
        <f>IF('ZD Vorerfassung'!$E$12="manuell",SUM(K283:AI283),IF(OR(E283="Feiertag",E283="Wochenende"),0,IF('ZD Vorerfassung'!$E$12="automatisch",AY283,IF(D283="UU","UU",IF(E283=Param2,AY283/24,IF(E283=Param9,AY283/48,""))))))</f>
        <v>0</v>
      </c>
      <c r="K283" s="105"/>
      <c r="L283" s="105"/>
      <c r="M283" s="105"/>
      <c r="N283" s="105"/>
      <c r="O283" s="105"/>
      <c r="P283" s="105"/>
      <c r="Q283" s="105"/>
      <c r="R283" s="105"/>
      <c r="S283" s="105"/>
      <c r="T283" s="105"/>
      <c r="U283" s="105"/>
      <c r="V283" s="105"/>
      <c r="W283" s="105"/>
      <c r="X283" s="105"/>
      <c r="Y283" s="105"/>
      <c r="Z283" s="105"/>
      <c r="AA283" s="105"/>
      <c r="AB283" s="105"/>
      <c r="AC283" s="105"/>
      <c r="AD283" s="105"/>
      <c r="AE283" s="105"/>
      <c r="AF283" s="105"/>
      <c r="AG283" s="105"/>
      <c r="AH283" s="105"/>
      <c r="AI283" s="105"/>
      <c r="AJ283" s="107">
        <f t="shared" si="61"/>
        <v>0</v>
      </c>
      <c r="AK283" s="105"/>
      <c r="AL283" s="105"/>
      <c r="AM283" s="105"/>
      <c r="AN283" s="105"/>
      <c r="AO283" s="105"/>
      <c r="AP283" s="105"/>
      <c r="AQ283" s="108">
        <f t="shared" si="62"/>
        <v>0</v>
      </c>
      <c r="AR283" s="108">
        <f t="shared" si="63"/>
        <v>0</v>
      </c>
      <c r="AS283" s="109">
        <f t="shared" si="64"/>
        <v>0</v>
      </c>
      <c r="AU283" s="110">
        <f t="shared" si="55"/>
        <v>0</v>
      </c>
      <c r="AV283" s="111">
        <f>IF(D283="NR",
IF('ZD Vorerfassung'!$E$22="",0,IF(AND(B283&gt;='ZD Vorerfassung'!$C$22,B283&lt;='ZD Vorerfassung'!$D$22),HLOOKUP(TEXT(C283,"ttt"),'ZD Vorerfassung'!$H$21:$L$36,2,0),0))+
IF('ZD Vorerfassung'!$E$23="",0,IF(AND(B283&gt;='ZD Vorerfassung'!$C$23,B283&lt;='ZD Vorerfassung'!$D$23),HLOOKUP(TEXT(C283,"ttt"),'ZD Vorerfassung'!$H$21:$L$36,3,0),0))+
IF('ZD Vorerfassung'!$E$24="",0,IF(AND(B283&gt;='ZD Vorerfassung'!$C$24,B283&lt;='ZD Vorerfassung'!$D$24),HLOOKUP(TEXT(C283,"ttt"),'ZD Vorerfassung'!$H$21:$L$36,4,0),0))+
IF('ZD Vorerfassung'!$E$25="",0,IF(AND(B283&gt;='ZD Vorerfassung'!$C$25,B283&lt;='ZD Vorerfassung'!$D$25),HLOOKUP(TEXT(C283,"ttt"),'ZD Vorerfassung'!$H$21:$L$36,5,0),0))+
IF('ZD Vorerfassung'!$E$26="",0,IF(AND(B283&gt;='ZD Vorerfassung'!$C$26,B283&lt;='ZD Vorerfassung'!$D$26),HLOOKUP(TEXT(C283,"ttt"),'ZD Vorerfassung'!$H$21:$L$36,6,0),0))+
IF('ZD Vorerfassung'!$E$27="",0,IF(AND(B283&gt;='ZD Vorerfassung'!$C$27,B283&lt;='ZD Vorerfassung'!$D$27),HLOOKUP(TEXT(C283,"ttt"),'ZD Vorerfassung'!$H$21:$L$36,7,0),0))+
IF('ZD Vorerfassung'!$E$28="",0,IF(AND(B283&gt;='ZD Vorerfassung'!$C$28,B283&lt;='ZD Vorerfassung'!$D$28),HLOOKUP(TEXT(C283,"ttt"),'ZD Vorerfassung'!$H$21:$L$36,8,0),0))+
IF('ZD Vorerfassung'!$E$29="",0,IF(AND(B283&gt;='ZD Vorerfassung'!$C$29,B283&lt;='ZD Vorerfassung'!$D$29),HLOOKUP(TEXT(C283,"ttt"),'ZD Vorerfassung'!$H$21:$L$36,9,0),0))+
IF('ZD Vorerfassung'!$E$30="",0,IF(AND(B283&gt;='ZD Vorerfassung'!$C$30,B283&lt;='ZD Vorerfassung'!$D$30),HLOOKUP(TEXT(C283,"ttt"),'ZD Vorerfassung'!$H$21:$L$36,10,0),0))+
IF('ZD Vorerfassung'!$E$31="",0,IF(AND(B283&gt;='ZD Vorerfassung'!$C$31,B283&lt;='ZD Vorerfassung'!$D$31),HLOOKUP(TEXT(C283,"ttt"),'ZD Vorerfassung'!$H$21:$L$36,11,0),0))+
IF('ZD Vorerfassung'!$E$32="",0,IF(AND(B283&gt;='ZD Vorerfassung'!$C$32,B283&lt;='ZD Vorerfassung'!$D$32),HLOOKUP(TEXT(C283,"ttt"),'ZD Vorerfassung'!$H$21:$L$36,12,0),0))+
IF('ZD Vorerfassung'!$E$33="",0,IF(AND(B283&gt;='ZD Vorerfassung'!$C$33,B283&lt;='ZD Vorerfassung'!$D$33),HLOOKUP(TEXT(C283,"ttt"),'ZD Vorerfassung'!$H$21:$L$36,13,0),0))+
IF('ZD Vorerfassung'!$E$34="",0,IF(AND(B283&gt;='ZD Vorerfassung'!$C$34,B283&lt;='ZD Vorerfassung'!$D$34),HLOOKUP(TEXT(C283,"ttt"),'ZD Vorerfassung'!$H$21:$L$36,14,0),0))+
IF('ZD Vorerfassung'!$E$35="",0,IF(AND(B283&gt;='ZD Vorerfassung'!$C$35,B283&lt;='ZD Vorerfassung'!$D$35),HLOOKUP(TEXT(C283,"ttt"),'ZD Vorerfassung'!$H$21:$L$36,15,0),0))+
IF('ZD Vorerfassung'!$E$36="",0,IF(AND(B283&gt;='ZD Vorerfassung'!$C$36,B283&lt;='ZD Vorerfassung'!$D$36),HLOOKUP(TEXT(C283,"ttt"),'ZD Vorerfassung'!$H$21:$L$36,16,0),0)),"")</f>
        <v>0</v>
      </c>
      <c r="AW283" s="110">
        <f t="array" ref="AW283">IF(OR(D283="UU",D283="FT",D283="WE"),0,
IF(D283="NR",SUM(IF(B283&gt;=_xlfn.NUMBERVALUE('ZD Vorerfassung'!$C$22:$C$36),1,0)*IF(B283&lt;=_xlfn.NUMBERVALUE('ZD Vorerfassung'!$D$22:$D$36),1,0)*'ZD Vorerfassung'!$Q$22:$Q$36),
IF(OR(D283="SF",D283="FH"),SUM(IF(B283&gt;=_xlfn.NUMBERVALUE('ZD Vorerfassung'!$C$22:$C$36),1,0)*IF(B283&lt;=_xlfn.NUMBERVALUE('ZD Vorerfassung'!$D$22:$D$36),1,0)*'ZD Vorerfassung'!$R$22:$R$36*IF(D283="FH",0.5,1)),
"prüfen")))</f>
        <v>0</v>
      </c>
      <c r="AX283" s="110">
        <f t="array" ref="AX283">IF(OR(D283="UU",D283="FT",D283="WE",E283="Ferien"),0,
IF(D283="NR",SUM(IF(B283&gt;=_xlfn.NUMBERVALUE('ZD Vorerfassung'!$C$22:$C$36),1,0)*IF(B283&lt;=_xlfn.NUMBERVALUE('ZD Vorerfassung'!$D$22:$D$36),1,0)*'ZD Vorerfassung'!$W$22:$W$36),
IF(OR(D283="SF",D283="FH"),SUM(IF(B283&gt;=_xlfn.NUMBERVALUE('ZD Vorerfassung'!$C$22:$C$36),1,0)*IF(B283&lt;=_xlfn.NUMBERVALUE('ZD Vorerfassung'!$D$22:$D$36),1,0)*'ZD Vorerfassung'!$X$22:$X$36*IF(D283="FH",0.5,1)),
"prüfen")))</f>
        <v>0</v>
      </c>
      <c r="AY283" s="110">
        <f t="array" ref="AY283">IF(OR(D283="UU",D283="FT",D283="WE",E283="Ferien"),0,
IF(D283="NR",SUM(IF(B283&gt;=_xlfn.NUMBERVALUE('ZD Vorerfassung'!$C$22:$C$36),1,0)*IF(B283&lt;=_xlfn.NUMBERVALUE('ZD Vorerfassung'!$D$22:$D$36),1,0)*'ZD Vorerfassung'!$U$22:$U$36),
IF(OR(D283="SF",D283="FH"),SUM(IF(B283&gt;=_xlfn.NUMBERVALUE('ZD Vorerfassung'!$C$22:$C$36),1,0)*IF(B283&lt;=_xlfn.NUMBERVALUE('ZD Vorerfassung'!$D$22:$D$36),1,0)*'ZD Vorerfassung'!$V$22:$V$36*IF(D283="FH",0.5,1)),
"prüfen")))</f>
        <v>0</v>
      </c>
      <c r="AZ283" s="110">
        <f t="array" ref="AZ283">IF(OR(D283="UU",D283="FT",D283="WE",E283="Ferien"),0,
IF(D283="NR",SUM(IF(B283&gt;=_xlfn.NUMBERVALUE('ZD Vorerfassung'!$C$22:$C$36),1,0)*IF(B283&lt;=_xlfn.NUMBERVALUE('ZD Vorerfassung'!$D$22:$D$36),1,0)*'ZD Vorerfassung'!$S$22:$S$36),
IF(OR(D283="SF",D283="FH"),SUM(IF(B283&gt;=_xlfn.NUMBERVALUE('ZD Vorerfassung'!$C$22:$C$36),1,0)*IF(B283&lt;=_xlfn.NUMBERVALUE('ZD Vorerfassung'!$D$22:$D$36),1,0)*'ZD Vorerfassung'!$T$22:$T$36*IF(D283="FH",0.5,1)),
"prüfen")))</f>
        <v>0</v>
      </c>
      <c r="BA283" s="112">
        <f t="shared" si="56"/>
        <v>5</v>
      </c>
    </row>
    <row r="284" spans="2:53" ht="19.5" thickTop="1" thickBot="1" x14ac:dyDescent="0.3">
      <c r="B284" s="99">
        <f t="shared" si="53"/>
        <v>45049</v>
      </c>
      <c r="C284" s="100">
        <f t="shared" si="57"/>
        <v>45049</v>
      </c>
      <c r="D284" s="101" t="str">
        <f t="shared" si="58"/>
        <v>NR</v>
      </c>
      <c r="E284" s="102" t="str">
        <f t="shared" si="54"/>
        <v>Unterrichtstag</v>
      </c>
      <c r="F284" s="103">
        <f t="shared" si="59"/>
        <v>0</v>
      </c>
      <c r="G284" s="104">
        <f t="shared" si="60"/>
        <v>0</v>
      </c>
      <c r="H284" s="104">
        <f>IFERROR(IF('ZD Vorerfassung'!$E$11="manuell",SUM(I284),IF(OR(E284="Feiertag",E284="Wochenende"),0,IF('ZD Vorerfassung'!$E$11="automatisch",AX284,IF(D284="UU","UU",IF(E284=Param2,AX284/24,IF(E284=Param9,AX284/48,"")))))),0)</f>
        <v>0</v>
      </c>
      <c r="I284" s="105"/>
      <c r="J284" s="106">
        <f>IF('ZD Vorerfassung'!$E$12="manuell",SUM(K284:AI284),IF(OR(E284="Feiertag",E284="Wochenende"),0,IF('ZD Vorerfassung'!$E$12="automatisch",AY284,IF(D284="UU","UU",IF(E284=Param2,AY284/24,IF(E284=Param9,AY284/48,""))))))</f>
        <v>0</v>
      </c>
      <c r="K284" s="105"/>
      <c r="L284" s="105"/>
      <c r="M284" s="105"/>
      <c r="N284" s="105"/>
      <c r="O284" s="105"/>
      <c r="P284" s="105"/>
      <c r="Q284" s="105"/>
      <c r="R284" s="105"/>
      <c r="S284" s="105"/>
      <c r="T284" s="105"/>
      <c r="U284" s="105"/>
      <c r="V284" s="105"/>
      <c r="W284" s="105"/>
      <c r="X284" s="105"/>
      <c r="Y284" s="105"/>
      <c r="Z284" s="105"/>
      <c r="AA284" s="105"/>
      <c r="AB284" s="105"/>
      <c r="AC284" s="105"/>
      <c r="AD284" s="105"/>
      <c r="AE284" s="105"/>
      <c r="AF284" s="105"/>
      <c r="AG284" s="105"/>
      <c r="AH284" s="105"/>
      <c r="AI284" s="105"/>
      <c r="AJ284" s="107">
        <f t="shared" si="61"/>
        <v>0</v>
      </c>
      <c r="AK284" s="105"/>
      <c r="AL284" s="105"/>
      <c r="AM284" s="105"/>
      <c r="AN284" s="105"/>
      <c r="AO284" s="105"/>
      <c r="AP284" s="105"/>
      <c r="AQ284" s="108">
        <f t="shared" si="62"/>
        <v>0</v>
      </c>
      <c r="AR284" s="108">
        <f t="shared" si="63"/>
        <v>0</v>
      </c>
      <c r="AS284" s="109">
        <f t="shared" si="64"/>
        <v>0</v>
      </c>
      <c r="AU284" s="110">
        <f t="shared" si="55"/>
        <v>0</v>
      </c>
      <c r="AV284" s="111">
        <f>IF(D284="NR",
IF('ZD Vorerfassung'!$E$22="",0,IF(AND(B284&gt;='ZD Vorerfassung'!$C$22,B284&lt;='ZD Vorerfassung'!$D$22),HLOOKUP(TEXT(C284,"ttt"),'ZD Vorerfassung'!$H$21:$L$36,2,0),0))+
IF('ZD Vorerfassung'!$E$23="",0,IF(AND(B284&gt;='ZD Vorerfassung'!$C$23,B284&lt;='ZD Vorerfassung'!$D$23),HLOOKUP(TEXT(C284,"ttt"),'ZD Vorerfassung'!$H$21:$L$36,3,0),0))+
IF('ZD Vorerfassung'!$E$24="",0,IF(AND(B284&gt;='ZD Vorerfassung'!$C$24,B284&lt;='ZD Vorerfassung'!$D$24),HLOOKUP(TEXT(C284,"ttt"),'ZD Vorerfassung'!$H$21:$L$36,4,0),0))+
IF('ZD Vorerfassung'!$E$25="",0,IF(AND(B284&gt;='ZD Vorerfassung'!$C$25,B284&lt;='ZD Vorerfassung'!$D$25),HLOOKUP(TEXT(C284,"ttt"),'ZD Vorerfassung'!$H$21:$L$36,5,0),0))+
IF('ZD Vorerfassung'!$E$26="",0,IF(AND(B284&gt;='ZD Vorerfassung'!$C$26,B284&lt;='ZD Vorerfassung'!$D$26),HLOOKUP(TEXT(C284,"ttt"),'ZD Vorerfassung'!$H$21:$L$36,6,0),0))+
IF('ZD Vorerfassung'!$E$27="",0,IF(AND(B284&gt;='ZD Vorerfassung'!$C$27,B284&lt;='ZD Vorerfassung'!$D$27),HLOOKUP(TEXT(C284,"ttt"),'ZD Vorerfassung'!$H$21:$L$36,7,0),0))+
IF('ZD Vorerfassung'!$E$28="",0,IF(AND(B284&gt;='ZD Vorerfassung'!$C$28,B284&lt;='ZD Vorerfassung'!$D$28),HLOOKUP(TEXT(C284,"ttt"),'ZD Vorerfassung'!$H$21:$L$36,8,0),0))+
IF('ZD Vorerfassung'!$E$29="",0,IF(AND(B284&gt;='ZD Vorerfassung'!$C$29,B284&lt;='ZD Vorerfassung'!$D$29),HLOOKUP(TEXT(C284,"ttt"),'ZD Vorerfassung'!$H$21:$L$36,9,0),0))+
IF('ZD Vorerfassung'!$E$30="",0,IF(AND(B284&gt;='ZD Vorerfassung'!$C$30,B284&lt;='ZD Vorerfassung'!$D$30),HLOOKUP(TEXT(C284,"ttt"),'ZD Vorerfassung'!$H$21:$L$36,10,0),0))+
IF('ZD Vorerfassung'!$E$31="",0,IF(AND(B284&gt;='ZD Vorerfassung'!$C$31,B284&lt;='ZD Vorerfassung'!$D$31),HLOOKUP(TEXT(C284,"ttt"),'ZD Vorerfassung'!$H$21:$L$36,11,0),0))+
IF('ZD Vorerfassung'!$E$32="",0,IF(AND(B284&gt;='ZD Vorerfassung'!$C$32,B284&lt;='ZD Vorerfassung'!$D$32),HLOOKUP(TEXT(C284,"ttt"),'ZD Vorerfassung'!$H$21:$L$36,12,0),0))+
IF('ZD Vorerfassung'!$E$33="",0,IF(AND(B284&gt;='ZD Vorerfassung'!$C$33,B284&lt;='ZD Vorerfassung'!$D$33),HLOOKUP(TEXT(C284,"ttt"),'ZD Vorerfassung'!$H$21:$L$36,13,0),0))+
IF('ZD Vorerfassung'!$E$34="",0,IF(AND(B284&gt;='ZD Vorerfassung'!$C$34,B284&lt;='ZD Vorerfassung'!$D$34),HLOOKUP(TEXT(C284,"ttt"),'ZD Vorerfassung'!$H$21:$L$36,14,0),0))+
IF('ZD Vorerfassung'!$E$35="",0,IF(AND(B284&gt;='ZD Vorerfassung'!$C$35,B284&lt;='ZD Vorerfassung'!$D$35),HLOOKUP(TEXT(C284,"ttt"),'ZD Vorerfassung'!$H$21:$L$36,15,0),0))+
IF('ZD Vorerfassung'!$E$36="",0,IF(AND(B284&gt;='ZD Vorerfassung'!$C$36,B284&lt;='ZD Vorerfassung'!$D$36),HLOOKUP(TEXT(C284,"ttt"),'ZD Vorerfassung'!$H$21:$L$36,16,0),0)),"")</f>
        <v>0</v>
      </c>
      <c r="AW284" s="110">
        <f t="array" ref="AW284">IF(OR(D284="UU",D284="FT",D284="WE"),0,
IF(D284="NR",SUM(IF(B284&gt;=_xlfn.NUMBERVALUE('ZD Vorerfassung'!$C$22:$C$36),1,0)*IF(B284&lt;=_xlfn.NUMBERVALUE('ZD Vorerfassung'!$D$22:$D$36),1,0)*'ZD Vorerfassung'!$Q$22:$Q$36),
IF(OR(D284="SF",D284="FH"),SUM(IF(B284&gt;=_xlfn.NUMBERVALUE('ZD Vorerfassung'!$C$22:$C$36),1,0)*IF(B284&lt;=_xlfn.NUMBERVALUE('ZD Vorerfassung'!$D$22:$D$36),1,0)*'ZD Vorerfassung'!$R$22:$R$36*IF(D284="FH",0.5,1)),
"prüfen")))</f>
        <v>0</v>
      </c>
      <c r="AX284" s="110">
        <f t="array" ref="AX284">IF(OR(D284="UU",D284="FT",D284="WE",E284="Ferien"),0,
IF(D284="NR",SUM(IF(B284&gt;=_xlfn.NUMBERVALUE('ZD Vorerfassung'!$C$22:$C$36),1,0)*IF(B284&lt;=_xlfn.NUMBERVALUE('ZD Vorerfassung'!$D$22:$D$36),1,0)*'ZD Vorerfassung'!$W$22:$W$36),
IF(OR(D284="SF",D284="FH"),SUM(IF(B284&gt;=_xlfn.NUMBERVALUE('ZD Vorerfassung'!$C$22:$C$36),1,0)*IF(B284&lt;=_xlfn.NUMBERVALUE('ZD Vorerfassung'!$D$22:$D$36),1,0)*'ZD Vorerfassung'!$X$22:$X$36*IF(D284="FH",0.5,1)),
"prüfen")))</f>
        <v>0</v>
      </c>
      <c r="AY284" s="110">
        <f t="array" ref="AY284">IF(OR(D284="UU",D284="FT",D284="WE",E284="Ferien"),0,
IF(D284="NR",SUM(IF(B284&gt;=_xlfn.NUMBERVALUE('ZD Vorerfassung'!$C$22:$C$36),1,0)*IF(B284&lt;=_xlfn.NUMBERVALUE('ZD Vorerfassung'!$D$22:$D$36),1,0)*'ZD Vorerfassung'!$U$22:$U$36),
IF(OR(D284="SF",D284="FH"),SUM(IF(B284&gt;=_xlfn.NUMBERVALUE('ZD Vorerfassung'!$C$22:$C$36),1,0)*IF(B284&lt;=_xlfn.NUMBERVALUE('ZD Vorerfassung'!$D$22:$D$36),1,0)*'ZD Vorerfassung'!$V$22:$V$36*IF(D284="FH",0.5,1)),
"prüfen")))</f>
        <v>0</v>
      </c>
      <c r="AZ284" s="110">
        <f t="array" ref="AZ284">IF(OR(D284="UU",D284="FT",D284="WE",E284="Ferien"),0,
IF(D284="NR",SUM(IF(B284&gt;=_xlfn.NUMBERVALUE('ZD Vorerfassung'!$C$22:$C$36),1,0)*IF(B284&lt;=_xlfn.NUMBERVALUE('ZD Vorerfassung'!$D$22:$D$36),1,0)*'ZD Vorerfassung'!$S$22:$S$36),
IF(OR(D284="SF",D284="FH"),SUM(IF(B284&gt;=_xlfn.NUMBERVALUE('ZD Vorerfassung'!$C$22:$C$36),1,0)*IF(B284&lt;=_xlfn.NUMBERVALUE('ZD Vorerfassung'!$D$22:$D$36),1,0)*'ZD Vorerfassung'!$T$22:$T$36*IF(D284="FH",0.5,1)),
"prüfen")))</f>
        <v>0</v>
      </c>
      <c r="BA284" s="112">
        <f t="shared" si="56"/>
        <v>5</v>
      </c>
    </row>
    <row r="285" spans="2:53" ht="19.5" thickTop="1" thickBot="1" x14ac:dyDescent="0.3">
      <c r="B285" s="99">
        <f t="shared" si="53"/>
        <v>45050</v>
      </c>
      <c r="C285" s="100">
        <f t="shared" si="57"/>
        <v>45050</v>
      </c>
      <c r="D285" s="101" t="str">
        <f t="shared" si="58"/>
        <v>NR</v>
      </c>
      <c r="E285" s="102" t="str">
        <f t="shared" si="54"/>
        <v>Unterrichtstag</v>
      </c>
      <c r="F285" s="103">
        <f t="shared" si="59"/>
        <v>0</v>
      </c>
      <c r="G285" s="104">
        <f t="shared" si="60"/>
        <v>0</v>
      </c>
      <c r="H285" s="104">
        <f>IFERROR(IF('ZD Vorerfassung'!$E$11="manuell",SUM(I285),IF(OR(E285="Feiertag",E285="Wochenende"),0,IF('ZD Vorerfassung'!$E$11="automatisch",AX285,IF(D285="UU","UU",IF(E285=Param2,AX285/24,IF(E285=Param9,AX285/48,"")))))),0)</f>
        <v>0</v>
      </c>
      <c r="I285" s="105"/>
      <c r="J285" s="106">
        <f>IF('ZD Vorerfassung'!$E$12="manuell",SUM(K285:AI285),IF(OR(E285="Feiertag",E285="Wochenende"),0,IF('ZD Vorerfassung'!$E$12="automatisch",AY285,IF(D285="UU","UU",IF(E285=Param2,AY285/24,IF(E285=Param9,AY285/48,""))))))</f>
        <v>0</v>
      </c>
      <c r="K285" s="105"/>
      <c r="L285" s="105"/>
      <c r="M285" s="105"/>
      <c r="N285" s="105"/>
      <c r="O285" s="105"/>
      <c r="P285" s="105"/>
      <c r="Q285" s="105"/>
      <c r="R285" s="105"/>
      <c r="S285" s="105"/>
      <c r="T285" s="105"/>
      <c r="U285" s="105"/>
      <c r="V285" s="105"/>
      <c r="W285" s="105"/>
      <c r="X285" s="105"/>
      <c r="Y285" s="105"/>
      <c r="Z285" s="105"/>
      <c r="AA285" s="105"/>
      <c r="AB285" s="105"/>
      <c r="AC285" s="105"/>
      <c r="AD285" s="105"/>
      <c r="AE285" s="105"/>
      <c r="AF285" s="105"/>
      <c r="AG285" s="105"/>
      <c r="AH285" s="105"/>
      <c r="AI285" s="105"/>
      <c r="AJ285" s="107">
        <f t="shared" si="61"/>
        <v>0</v>
      </c>
      <c r="AK285" s="105"/>
      <c r="AL285" s="105"/>
      <c r="AM285" s="105"/>
      <c r="AN285" s="105"/>
      <c r="AO285" s="105"/>
      <c r="AP285" s="105"/>
      <c r="AQ285" s="108">
        <f t="shared" si="62"/>
        <v>0</v>
      </c>
      <c r="AR285" s="108">
        <f t="shared" si="63"/>
        <v>0</v>
      </c>
      <c r="AS285" s="109">
        <f t="shared" si="64"/>
        <v>0</v>
      </c>
      <c r="AU285" s="110">
        <f t="shared" si="55"/>
        <v>0</v>
      </c>
      <c r="AV285" s="111">
        <f>IF(D285="NR",
IF('ZD Vorerfassung'!$E$22="",0,IF(AND(B285&gt;='ZD Vorerfassung'!$C$22,B285&lt;='ZD Vorerfassung'!$D$22),HLOOKUP(TEXT(C285,"ttt"),'ZD Vorerfassung'!$H$21:$L$36,2,0),0))+
IF('ZD Vorerfassung'!$E$23="",0,IF(AND(B285&gt;='ZD Vorerfassung'!$C$23,B285&lt;='ZD Vorerfassung'!$D$23),HLOOKUP(TEXT(C285,"ttt"),'ZD Vorerfassung'!$H$21:$L$36,3,0),0))+
IF('ZD Vorerfassung'!$E$24="",0,IF(AND(B285&gt;='ZD Vorerfassung'!$C$24,B285&lt;='ZD Vorerfassung'!$D$24),HLOOKUP(TEXT(C285,"ttt"),'ZD Vorerfassung'!$H$21:$L$36,4,0),0))+
IF('ZD Vorerfassung'!$E$25="",0,IF(AND(B285&gt;='ZD Vorerfassung'!$C$25,B285&lt;='ZD Vorerfassung'!$D$25),HLOOKUP(TEXT(C285,"ttt"),'ZD Vorerfassung'!$H$21:$L$36,5,0),0))+
IF('ZD Vorerfassung'!$E$26="",0,IF(AND(B285&gt;='ZD Vorerfassung'!$C$26,B285&lt;='ZD Vorerfassung'!$D$26),HLOOKUP(TEXT(C285,"ttt"),'ZD Vorerfassung'!$H$21:$L$36,6,0),0))+
IF('ZD Vorerfassung'!$E$27="",0,IF(AND(B285&gt;='ZD Vorerfassung'!$C$27,B285&lt;='ZD Vorerfassung'!$D$27),HLOOKUP(TEXT(C285,"ttt"),'ZD Vorerfassung'!$H$21:$L$36,7,0),0))+
IF('ZD Vorerfassung'!$E$28="",0,IF(AND(B285&gt;='ZD Vorerfassung'!$C$28,B285&lt;='ZD Vorerfassung'!$D$28),HLOOKUP(TEXT(C285,"ttt"),'ZD Vorerfassung'!$H$21:$L$36,8,0),0))+
IF('ZD Vorerfassung'!$E$29="",0,IF(AND(B285&gt;='ZD Vorerfassung'!$C$29,B285&lt;='ZD Vorerfassung'!$D$29),HLOOKUP(TEXT(C285,"ttt"),'ZD Vorerfassung'!$H$21:$L$36,9,0),0))+
IF('ZD Vorerfassung'!$E$30="",0,IF(AND(B285&gt;='ZD Vorerfassung'!$C$30,B285&lt;='ZD Vorerfassung'!$D$30),HLOOKUP(TEXT(C285,"ttt"),'ZD Vorerfassung'!$H$21:$L$36,10,0),0))+
IF('ZD Vorerfassung'!$E$31="",0,IF(AND(B285&gt;='ZD Vorerfassung'!$C$31,B285&lt;='ZD Vorerfassung'!$D$31),HLOOKUP(TEXT(C285,"ttt"),'ZD Vorerfassung'!$H$21:$L$36,11,0),0))+
IF('ZD Vorerfassung'!$E$32="",0,IF(AND(B285&gt;='ZD Vorerfassung'!$C$32,B285&lt;='ZD Vorerfassung'!$D$32),HLOOKUP(TEXT(C285,"ttt"),'ZD Vorerfassung'!$H$21:$L$36,12,0),0))+
IF('ZD Vorerfassung'!$E$33="",0,IF(AND(B285&gt;='ZD Vorerfassung'!$C$33,B285&lt;='ZD Vorerfassung'!$D$33),HLOOKUP(TEXT(C285,"ttt"),'ZD Vorerfassung'!$H$21:$L$36,13,0),0))+
IF('ZD Vorerfassung'!$E$34="",0,IF(AND(B285&gt;='ZD Vorerfassung'!$C$34,B285&lt;='ZD Vorerfassung'!$D$34),HLOOKUP(TEXT(C285,"ttt"),'ZD Vorerfassung'!$H$21:$L$36,14,0),0))+
IF('ZD Vorerfassung'!$E$35="",0,IF(AND(B285&gt;='ZD Vorerfassung'!$C$35,B285&lt;='ZD Vorerfassung'!$D$35),HLOOKUP(TEXT(C285,"ttt"),'ZD Vorerfassung'!$H$21:$L$36,15,0),0))+
IF('ZD Vorerfassung'!$E$36="",0,IF(AND(B285&gt;='ZD Vorerfassung'!$C$36,B285&lt;='ZD Vorerfassung'!$D$36),HLOOKUP(TEXT(C285,"ttt"),'ZD Vorerfassung'!$H$21:$L$36,16,0),0)),"")</f>
        <v>0</v>
      </c>
      <c r="AW285" s="110">
        <f t="array" ref="AW285">IF(OR(D285="UU",D285="FT",D285="WE"),0,
IF(D285="NR",SUM(IF(B285&gt;=_xlfn.NUMBERVALUE('ZD Vorerfassung'!$C$22:$C$36),1,0)*IF(B285&lt;=_xlfn.NUMBERVALUE('ZD Vorerfassung'!$D$22:$D$36),1,0)*'ZD Vorerfassung'!$Q$22:$Q$36),
IF(OR(D285="SF",D285="FH"),SUM(IF(B285&gt;=_xlfn.NUMBERVALUE('ZD Vorerfassung'!$C$22:$C$36),1,0)*IF(B285&lt;=_xlfn.NUMBERVALUE('ZD Vorerfassung'!$D$22:$D$36),1,0)*'ZD Vorerfassung'!$R$22:$R$36*IF(D285="FH",0.5,1)),
"prüfen")))</f>
        <v>0</v>
      </c>
      <c r="AX285" s="110">
        <f t="array" ref="AX285">IF(OR(D285="UU",D285="FT",D285="WE",E285="Ferien"),0,
IF(D285="NR",SUM(IF(B285&gt;=_xlfn.NUMBERVALUE('ZD Vorerfassung'!$C$22:$C$36),1,0)*IF(B285&lt;=_xlfn.NUMBERVALUE('ZD Vorerfassung'!$D$22:$D$36),1,0)*'ZD Vorerfassung'!$W$22:$W$36),
IF(OR(D285="SF",D285="FH"),SUM(IF(B285&gt;=_xlfn.NUMBERVALUE('ZD Vorerfassung'!$C$22:$C$36),1,0)*IF(B285&lt;=_xlfn.NUMBERVALUE('ZD Vorerfassung'!$D$22:$D$36),1,0)*'ZD Vorerfassung'!$X$22:$X$36*IF(D285="FH",0.5,1)),
"prüfen")))</f>
        <v>0</v>
      </c>
      <c r="AY285" s="110">
        <f t="array" ref="AY285">IF(OR(D285="UU",D285="FT",D285="WE",E285="Ferien"),0,
IF(D285="NR",SUM(IF(B285&gt;=_xlfn.NUMBERVALUE('ZD Vorerfassung'!$C$22:$C$36),1,0)*IF(B285&lt;=_xlfn.NUMBERVALUE('ZD Vorerfassung'!$D$22:$D$36),1,0)*'ZD Vorerfassung'!$U$22:$U$36),
IF(OR(D285="SF",D285="FH"),SUM(IF(B285&gt;=_xlfn.NUMBERVALUE('ZD Vorerfassung'!$C$22:$C$36),1,0)*IF(B285&lt;=_xlfn.NUMBERVALUE('ZD Vorerfassung'!$D$22:$D$36),1,0)*'ZD Vorerfassung'!$V$22:$V$36*IF(D285="FH",0.5,1)),
"prüfen")))</f>
        <v>0</v>
      </c>
      <c r="AZ285" s="110">
        <f t="array" ref="AZ285">IF(OR(D285="UU",D285="FT",D285="WE",E285="Ferien"),0,
IF(D285="NR",SUM(IF(B285&gt;=_xlfn.NUMBERVALUE('ZD Vorerfassung'!$C$22:$C$36),1,0)*IF(B285&lt;=_xlfn.NUMBERVALUE('ZD Vorerfassung'!$D$22:$D$36),1,0)*'ZD Vorerfassung'!$S$22:$S$36),
IF(OR(D285="SF",D285="FH"),SUM(IF(B285&gt;=_xlfn.NUMBERVALUE('ZD Vorerfassung'!$C$22:$C$36),1,0)*IF(B285&lt;=_xlfn.NUMBERVALUE('ZD Vorerfassung'!$D$22:$D$36),1,0)*'ZD Vorerfassung'!$T$22:$T$36*IF(D285="FH",0.5,1)),
"prüfen")))</f>
        <v>0</v>
      </c>
      <c r="BA285" s="112">
        <f t="shared" si="56"/>
        <v>5</v>
      </c>
    </row>
    <row r="286" spans="2:53" ht="19.5" thickTop="1" thickBot="1" x14ac:dyDescent="0.3">
      <c r="B286" s="99">
        <f t="shared" si="53"/>
        <v>45051</v>
      </c>
      <c r="C286" s="100">
        <f t="shared" si="57"/>
        <v>45051</v>
      </c>
      <c r="D286" s="101" t="str">
        <f t="shared" si="58"/>
        <v>FT</v>
      </c>
      <c r="E286" s="102" t="str">
        <f t="shared" si="54"/>
        <v>Feiertag</v>
      </c>
      <c r="F286" s="103" t="str">
        <f t="shared" si="59"/>
        <v/>
      </c>
      <c r="G286" s="104" t="str">
        <f t="shared" si="60"/>
        <v/>
      </c>
      <c r="H286" s="104">
        <f>IFERROR(IF('ZD Vorerfassung'!$E$11="manuell",SUM(I286),IF(OR(E286="Feiertag",E286="Wochenende"),0,IF('ZD Vorerfassung'!$E$11="automatisch",AX286,IF(D286="UU","UU",IF(E286=Param2,AX286/24,IF(E286=Param9,AX286/48,"")))))),0)</f>
        <v>0</v>
      </c>
      <c r="I286" s="105"/>
      <c r="J286" s="106">
        <f>IF('ZD Vorerfassung'!$E$12="manuell",SUM(K286:AI286),IF(OR(E286="Feiertag",E286="Wochenende"),0,IF('ZD Vorerfassung'!$E$12="automatisch",AY286,IF(D286="UU","UU",IF(E286=Param2,AY286/24,IF(E286=Param9,AY286/48,""))))))</f>
        <v>0</v>
      </c>
      <c r="K286" s="105"/>
      <c r="L286" s="105"/>
      <c r="M286" s="105"/>
      <c r="N286" s="105"/>
      <c r="O286" s="105"/>
      <c r="P286" s="105"/>
      <c r="Q286" s="105"/>
      <c r="R286" s="105"/>
      <c r="S286" s="105"/>
      <c r="T286" s="105"/>
      <c r="U286" s="105"/>
      <c r="V286" s="105"/>
      <c r="W286" s="105"/>
      <c r="X286" s="105"/>
      <c r="Y286" s="105"/>
      <c r="Z286" s="105"/>
      <c r="AA286" s="105"/>
      <c r="AB286" s="105"/>
      <c r="AC286" s="105"/>
      <c r="AD286" s="105"/>
      <c r="AE286" s="105"/>
      <c r="AF286" s="105"/>
      <c r="AG286" s="105"/>
      <c r="AH286" s="105"/>
      <c r="AI286" s="105"/>
      <c r="AJ286" s="107">
        <f t="shared" si="61"/>
        <v>0</v>
      </c>
      <c r="AK286" s="105"/>
      <c r="AL286" s="105"/>
      <c r="AM286" s="105"/>
      <c r="AN286" s="105"/>
      <c r="AO286" s="105"/>
      <c r="AP286" s="105"/>
      <c r="AQ286" s="108">
        <f t="shared" si="62"/>
        <v>0</v>
      </c>
      <c r="AR286" s="108">
        <f t="shared" si="63"/>
        <v>0</v>
      </c>
      <c r="AS286" s="109">
        <f t="shared" si="64"/>
        <v>0</v>
      </c>
      <c r="AU286" s="110">
        <f t="shared" si="55"/>
        <v>0</v>
      </c>
      <c r="AV286" s="111" t="str">
        <f>IF(D286="NR",
IF('ZD Vorerfassung'!$E$22="",0,IF(AND(B286&gt;='ZD Vorerfassung'!$C$22,B286&lt;='ZD Vorerfassung'!$D$22),HLOOKUP(TEXT(C286,"ttt"),'ZD Vorerfassung'!$H$21:$L$36,2,0),0))+
IF('ZD Vorerfassung'!$E$23="",0,IF(AND(B286&gt;='ZD Vorerfassung'!$C$23,B286&lt;='ZD Vorerfassung'!$D$23),HLOOKUP(TEXT(C286,"ttt"),'ZD Vorerfassung'!$H$21:$L$36,3,0),0))+
IF('ZD Vorerfassung'!$E$24="",0,IF(AND(B286&gt;='ZD Vorerfassung'!$C$24,B286&lt;='ZD Vorerfassung'!$D$24),HLOOKUP(TEXT(C286,"ttt"),'ZD Vorerfassung'!$H$21:$L$36,4,0),0))+
IF('ZD Vorerfassung'!$E$25="",0,IF(AND(B286&gt;='ZD Vorerfassung'!$C$25,B286&lt;='ZD Vorerfassung'!$D$25),HLOOKUP(TEXT(C286,"ttt"),'ZD Vorerfassung'!$H$21:$L$36,5,0),0))+
IF('ZD Vorerfassung'!$E$26="",0,IF(AND(B286&gt;='ZD Vorerfassung'!$C$26,B286&lt;='ZD Vorerfassung'!$D$26),HLOOKUP(TEXT(C286,"ttt"),'ZD Vorerfassung'!$H$21:$L$36,6,0),0))+
IF('ZD Vorerfassung'!$E$27="",0,IF(AND(B286&gt;='ZD Vorerfassung'!$C$27,B286&lt;='ZD Vorerfassung'!$D$27),HLOOKUP(TEXT(C286,"ttt"),'ZD Vorerfassung'!$H$21:$L$36,7,0),0))+
IF('ZD Vorerfassung'!$E$28="",0,IF(AND(B286&gt;='ZD Vorerfassung'!$C$28,B286&lt;='ZD Vorerfassung'!$D$28),HLOOKUP(TEXT(C286,"ttt"),'ZD Vorerfassung'!$H$21:$L$36,8,0),0))+
IF('ZD Vorerfassung'!$E$29="",0,IF(AND(B286&gt;='ZD Vorerfassung'!$C$29,B286&lt;='ZD Vorerfassung'!$D$29),HLOOKUP(TEXT(C286,"ttt"),'ZD Vorerfassung'!$H$21:$L$36,9,0),0))+
IF('ZD Vorerfassung'!$E$30="",0,IF(AND(B286&gt;='ZD Vorerfassung'!$C$30,B286&lt;='ZD Vorerfassung'!$D$30),HLOOKUP(TEXT(C286,"ttt"),'ZD Vorerfassung'!$H$21:$L$36,10,0),0))+
IF('ZD Vorerfassung'!$E$31="",0,IF(AND(B286&gt;='ZD Vorerfassung'!$C$31,B286&lt;='ZD Vorerfassung'!$D$31),HLOOKUP(TEXT(C286,"ttt"),'ZD Vorerfassung'!$H$21:$L$36,11,0),0))+
IF('ZD Vorerfassung'!$E$32="",0,IF(AND(B286&gt;='ZD Vorerfassung'!$C$32,B286&lt;='ZD Vorerfassung'!$D$32),HLOOKUP(TEXT(C286,"ttt"),'ZD Vorerfassung'!$H$21:$L$36,12,0),0))+
IF('ZD Vorerfassung'!$E$33="",0,IF(AND(B286&gt;='ZD Vorerfassung'!$C$33,B286&lt;='ZD Vorerfassung'!$D$33),HLOOKUP(TEXT(C286,"ttt"),'ZD Vorerfassung'!$H$21:$L$36,13,0),0))+
IF('ZD Vorerfassung'!$E$34="",0,IF(AND(B286&gt;='ZD Vorerfassung'!$C$34,B286&lt;='ZD Vorerfassung'!$D$34),HLOOKUP(TEXT(C286,"ttt"),'ZD Vorerfassung'!$H$21:$L$36,14,0),0))+
IF('ZD Vorerfassung'!$E$35="",0,IF(AND(B286&gt;='ZD Vorerfassung'!$C$35,B286&lt;='ZD Vorerfassung'!$D$35),HLOOKUP(TEXT(C286,"ttt"),'ZD Vorerfassung'!$H$21:$L$36,15,0),0))+
IF('ZD Vorerfassung'!$E$36="",0,IF(AND(B286&gt;='ZD Vorerfassung'!$C$36,B286&lt;='ZD Vorerfassung'!$D$36),HLOOKUP(TEXT(C286,"ttt"),'ZD Vorerfassung'!$H$21:$L$36,16,0),0)),"")</f>
        <v/>
      </c>
      <c r="AW286" s="110">
        <f t="array" ref="AW286">IF(OR(D286="UU",D286="FT",D286="WE"),0,
IF(D286="NR",SUM(IF(B286&gt;=_xlfn.NUMBERVALUE('ZD Vorerfassung'!$C$22:$C$36),1,0)*IF(B286&lt;=_xlfn.NUMBERVALUE('ZD Vorerfassung'!$D$22:$D$36),1,0)*'ZD Vorerfassung'!$Q$22:$Q$36),
IF(OR(D286="SF",D286="FH"),SUM(IF(B286&gt;=_xlfn.NUMBERVALUE('ZD Vorerfassung'!$C$22:$C$36),1,0)*IF(B286&lt;=_xlfn.NUMBERVALUE('ZD Vorerfassung'!$D$22:$D$36),1,0)*'ZD Vorerfassung'!$R$22:$R$36*IF(D286="FH",0.5,1)),
"prüfen")))</f>
        <v>0</v>
      </c>
      <c r="AX286" s="110">
        <f t="array" ref="AX286">IF(OR(D286="UU",D286="FT",D286="WE",E286="Ferien"),0,
IF(D286="NR",SUM(IF(B286&gt;=_xlfn.NUMBERVALUE('ZD Vorerfassung'!$C$22:$C$36),1,0)*IF(B286&lt;=_xlfn.NUMBERVALUE('ZD Vorerfassung'!$D$22:$D$36),1,0)*'ZD Vorerfassung'!$W$22:$W$36),
IF(OR(D286="SF",D286="FH"),SUM(IF(B286&gt;=_xlfn.NUMBERVALUE('ZD Vorerfassung'!$C$22:$C$36),1,0)*IF(B286&lt;=_xlfn.NUMBERVALUE('ZD Vorerfassung'!$D$22:$D$36),1,0)*'ZD Vorerfassung'!$X$22:$X$36*IF(D286="FH",0.5,1)),
"prüfen")))</f>
        <v>0</v>
      </c>
      <c r="AY286" s="110">
        <f t="array" ref="AY286">IF(OR(D286="UU",D286="FT",D286="WE",E286="Ferien"),0,
IF(D286="NR",SUM(IF(B286&gt;=_xlfn.NUMBERVALUE('ZD Vorerfassung'!$C$22:$C$36),1,0)*IF(B286&lt;=_xlfn.NUMBERVALUE('ZD Vorerfassung'!$D$22:$D$36),1,0)*'ZD Vorerfassung'!$U$22:$U$36),
IF(OR(D286="SF",D286="FH"),SUM(IF(B286&gt;=_xlfn.NUMBERVALUE('ZD Vorerfassung'!$C$22:$C$36),1,0)*IF(B286&lt;=_xlfn.NUMBERVALUE('ZD Vorerfassung'!$D$22:$D$36),1,0)*'ZD Vorerfassung'!$V$22:$V$36*IF(D286="FH",0.5,1)),
"prüfen")))</f>
        <v>0</v>
      </c>
      <c r="AZ286" s="110">
        <f t="array" ref="AZ286">IF(OR(D286="UU",D286="FT",D286="WE",E286="Ferien"),0,
IF(D286="NR",SUM(IF(B286&gt;=_xlfn.NUMBERVALUE('ZD Vorerfassung'!$C$22:$C$36),1,0)*IF(B286&lt;=_xlfn.NUMBERVALUE('ZD Vorerfassung'!$D$22:$D$36),1,0)*'ZD Vorerfassung'!$S$22:$S$36),
IF(OR(D286="SF",D286="FH"),SUM(IF(B286&gt;=_xlfn.NUMBERVALUE('ZD Vorerfassung'!$C$22:$C$36),1,0)*IF(B286&lt;=_xlfn.NUMBERVALUE('ZD Vorerfassung'!$D$22:$D$36),1,0)*'ZD Vorerfassung'!$T$22:$T$36*IF(D286="FH",0.5,1)),
"prüfen")))</f>
        <v>0</v>
      </c>
      <c r="BA286" s="112">
        <f t="shared" si="56"/>
        <v>5</v>
      </c>
    </row>
    <row r="287" spans="2:53" ht="19.5" thickTop="1" thickBot="1" x14ac:dyDescent="0.3">
      <c r="B287" s="99">
        <f t="shared" si="53"/>
        <v>45052</v>
      </c>
      <c r="C287" s="100">
        <f t="shared" si="57"/>
        <v>45052</v>
      </c>
      <c r="D287" s="101" t="str">
        <f t="shared" si="58"/>
        <v>FT</v>
      </c>
      <c r="E287" s="102" t="str">
        <f t="shared" si="54"/>
        <v>Feiertag</v>
      </c>
      <c r="F287" s="103" t="str">
        <f t="shared" si="59"/>
        <v/>
      </c>
      <c r="G287" s="104" t="str">
        <f t="shared" si="60"/>
        <v/>
      </c>
      <c r="H287" s="104">
        <f>IFERROR(IF('ZD Vorerfassung'!$E$11="manuell",SUM(I287),IF(OR(E287="Feiertag",E287="Wochenende"),0,IF('ZD Vorerfassung'!$E$11="automatisch",AX287,IF(D287="UU","UU",IF(E287=Param2,AX287/24,IF(E287=Param9,AX287/48,"")))))),0)</f>
        <v>0</v>
      </c>
      <c r="I287" s="105"/>
      <c r="J287" s="106">
        <f>IF('ZD Vorerfassung'!$E$12="manuell",SUM(K287:AI287),IF(OR(E287="Feiertag",E287="Wochenende"),0,IF('ZD Vorerfassung'!$E$12="automatisch",AY287,IF(D287="UU","UU",IF(E287=Param2,AY287/24,IF(E287=Param9,AY287/48,""))))))</f>
        <v>0</v>
      </c>
      <c r="K287" s="105"/>
      <c r="L287" s="105"/>
      <c r="M287" s="105"/>
      <c r="N287" s="105"/>
      <c r="O287" s="105"/>
      <c r="P287" s="105"/>
      <c r="Q287" s="105"/>
      <c r="R287" s="105"/>
      <c r="S287" s="105"/>
      <c r="T287" s="105"/>
      <c r="U287" s="105"/>
      <c r="V287" s="105"/>
      <c r="W287" s="105"/>
      <c r="X287" s="105"/>
      <c r="Y287" s="105"/>
      <c r="Z287" s="105"/>
      <c r="AA287" s="105"/>
      <c r="AB287" s="105"/>
      <c r="AC287" s="105"/>
      <c r="AD287" s="105"/>
      <c r="AE287" s="105"/>
      <c r="AF287" s="105"/>
      <c r="AG287" s="105"/>
      <c r="AH287" s="105"/>
      <c r="AI287" s="105"/>
      <c r="AJ287" s="107">
        <f t="shared" si="61"/>
        <v>0</v>
      </c>
      <c r="AK287" s="105"/>
      <c r="AL287" s="105"/>
      <c r="AM287" s="105"/>
      <c r="AN287" s="105"/>
      <c r="AO287" s="105"/>
      <c r="AP287" s="105"/>
      <c r="AQ287" s="108">
        <f t="shared" si="62"/>
        <v>0</v>
      </c>
      <c r="AR287" s="108">
        <f t="shared" si="63"/>
        <v>0</v>
      </c>
      <c r="AS287" s="109">
        <f t="shared" si="64"/>
        <v>0</v>
      </c>
      <c r="AU287" s="110">
        <f t="shared" si="55"/>
        <v>0</v>
      </c>
      <c r="AV287" s="111" t="str">
        <f>IF(D287="NR",
IF('ZD Vorerfassung'!$E$22="",0,IF(AND(B287&gt;='ZD Vorerfassung'!$C$22,B287&lt;='ZD Vorerfassung'!$D$22),HLOOKUP(TEXT(C287,"ttt"),'ZD Vorerfassung'!$H$21:$L$36,2,0),0))+
IF('ZD Vorerfassung'!$E$23="",0,IF(AND(B287&gt;='ZD Vorerfassung'!$C$23,B287&lt;='ZD Vorerfassung'!$D$23),HLOOKUP(TEXT(C287,"ttt"),'ZD Vorerfassung'!$H$21:$L$36,3,0),0))+
IF('ZD Vorerfassung'!$E$24="",0,IF(AND(B287&gt;='ZD Vorerfassung'!$C$24,B287&lt;='ZD Vorerfassung'!$D$24),HLOOKUP(TEXT(C287,"ttt"),'ZD Vorerfassung'!$H$21:$L$36,4,0),0))+
IF('ZD Vorerfassung'!$E$25="",0,IF(AND(B287&gt;='ZD Vorerfassung'!$C$25,B287&lt;='ZD Vorerfassung'!$D$25),HLOOKUP(TEXT(C287,"ttt"),'ZD Vorerfassung'!$H$21:$L$36,5,0),0))+
IF('ZD Vorerfassung'!$E$26="",0,IF(AND(B287&gt;='ZD Vorerfassung'!$C$26,B287&lt;='ZD Vorerfassung'!$D$26),HLOOKUP(TEXT(C287,"ttt"),'ZD Vorerfassung'!$H$21:$L$36,6,0),0))+
IF('ZD Vorerfassung'!$E$27="",0,IF(AND(B287&gt;='ZD Vorerfassung'!$C$27,B287&lt;='ZD Vorerfassung'!$D$27),HLOOKUP(TEXT(C287,"ttt"),'ZD Vorerfassung'!$H$21:$L$36,7,0),0))+
IF('ZD Vorerfassung'!$E$28="",0,IF(AND(B287&gt;='ZD Vorerfassung'!$C$28,B287&lt;='ZD Vorerfassung'!$D$28),HLOOKUP(TEXT(C287,"ttt"),'ZD Vorerfassung'!$H$21:$L$36,8,0),0))+
IF('ZD Vorerfassung'!$E$29="",0,IF(AND(B287&gt;='ZD Vorerfassung'!$C$29,B287&lt;='ZD Vorerfassung'!$D$29),HLOOKUP(TEXT(C287,"ttt"),'ZD Vorerfassung'!$H$21:$L$36,9,0),0))+
IF('ZD Vorerfassung'!$E$30="",0,IF(AND(B287&gt;='ZD Vorerfassung'!$C$30,B287&lt;='ZD Vorerfassung'!$D$30),HLOOKUP(TEXT(C287,"ttt"),'ZD Vorerfassung'!$H$21:$L$36,10,0),0))+
IF('ZD Vorerfassung'!$E$31="",0,IF(AND(B287&gt;='ZD Vorerfassung'!$C$31,B287&lt;='ZD Vorerfassung'!$D$31),HLOOKUP(TEXT(C287,"ttt"),'ZD Vorerfassung'!$H$21:$L$36,11,0),0))+
IF('ZD Vorerfassung'!$E$32="",0,IF(AND(B287&gt;='ZD Vorerfassung'!$C$32,B287&lt;='ZD Vorerfassung'!$D$32),HLOOKUP(TEXT(C287,"ttt"),'ZD Vorerfassung'!$H$21:$L$36,12,0),0))+
IF('ZD Vorerfassung'!$E$33="",0,IF(AND(B287&gt;='ZD Vorerfassung'!$C$33,B287&lt;='ZD Vorerfassung'!$D$33),HLOOKUP(TEXT(C287,"ttt"),'ZD Vorerfassung'!$H$21:$L$36,13,0),0))+
IF('ZD Vorerfassung'!$E$34="",0,IF(AND(B287&gt;='ZD Vorerfassung'!$C$34,B287&lt;='ZD Vorerfassung'!$D$34),HLOOKUP(TEXT(C287,"ttt"),'ZD Vorerfassung'!$H$21:$L$36,14,0),0))+
IF('ZD Vorerfassung'!$E$35="",0,IF(AND(B287&gt;='ZD Vorerfassung'!$C$35,B287&lt;='ZD Vorerfassung'!$D$35),HLOOKUP(TEXT(C287,"ttt"),'ZD Vorerfassung'!$H$21:$L$36,15,0),0))+
IF('ZD Vorerfassung'!$E$36="",0,IF(AND(B287&gt;='ZD Vorerfassung'!$C$36,B287&lt;='ZD Vorerfassung'!$D$36),HLOOKUP(TEXT(C287,"ttt"),'ZD Vorerfassung'!$H$21:$L$36,16,0),0)),"")</f>
        <v/>
      </c>
      <c r="AW287" s="110">
        <f t="array" ref="AW287">IF(OR(D287="UU",D287="FT",D287="WE"),0,
IF(D287="NR",SUM(IF(B287&gt;=_xlfn.NUMBERVALUE('ZD Vorerfassung'!$C$22:$C$36),1,0)*IF(B287&lt;=_xlfn.NUMBERVALUE('ZD Vorerfassung'!$D$22:$D$36),1,0)*'ZD Vorerfassung'!$Q$22:$Q$36),
IF(OR(D287="SF",D287="FH"),SUM(IF(B287&gt;=_xlfn.NUMBERVALUE('ZD Vorerfassung'!$C$22:$C$36),1,0)*IF(B287&lt;=_xlfn.NUMBERVALUE('ZD Vorerfassung'!$D$22:$D$36),1,0)*'ZD Vorerfassung'!$R$22:$R$36*IF(D287="FH",0.5,1)),
"prüfen")))</f>
        <v>0</v>
      </c>
      <c r="AX287" s="110">
        <f t="array" ref="AX287">IF(OR(D287="UU",D287="FT",D287="WE",E287="Ferien"),0,
IF(D287="NR",SUM(IF(B287&gt;=_xlfn.NUMBERVALUE('ZD Vorerfassung'!$C$22:$C$36),1,0)*IF(B287&lt;=_xlfn.NUMBERVALUE('ZD Vorerfassung'!$D$22:$D$36),1,0)*'ZD Vorerfassung'!$W$22:$W$36),
IF(OR(D287="SF",D287="FH"),SUM(IF(B287&gt;=_xlfn.NUMBERVALUE('ZD Vorerfassung'!$C$22:$C$36),1,0)*IF(B287&lt;=_xlfn.NUMBERVALUE('ZD Vorerfassung'!$D$22:$D$36),1,0)*'ZD Vorerfassung'!$X$22:$X$36*IF(D287="FH",0.5,1)),
"prüfen")))</f>
        <v>0</v>
      </c>
      <c r="AY287" s="110">
        <f t="array" ref="AY287">IF(OR(D287="UU",D287="FT",D287="WE",E287="Ferien"),0,
IF(D287="NR",SUM(IF(B287&gt;=_xlfn.NUMBERVALUE('ZD Vorerfassung'!$C$22:$C$36),1,0)*IF(B287&lt;=_xlfn.NUMBERVALUE('ZD Vorerfassung'!$D$22:$D$36),1,0)*'ZD Vorerfassung'!$U$22:$U$36),
IF(OR(D287="SF",D287="FH"),SUM(IF(B287&gt;=_xlfn.NUMBERVALUE('ZD Vorerfassung'!$C$22:$C$36),1,0)*IF(B287&lt;=_xlfn.NUMBERVALUE('ZD Vorerfassung'!$D$22:$D$36),1,0)*'ZD Vorerfassung'!$V$22:$V$36*IF(D287="FH",0.5,1)),
"prüfen")))</f>
        <v>0</v>
      </c>
      <c r="AZ287" s="110">
        <f t="array" ref="AZ287">IF(OR(D287="UU",D287="FT",D287="WE",E287="Ferien"),0,
IF(D287="NR",SUM(IF(B287&gt;=_xlfn.NUMBERVALUE('ZD Vorerfassung'!$C$22:$C$36),1,0)*IF(B287&lt;=_xlfn.NUMBERVALUE('ZD Vorerfassung'!$D$22:$D$36),1,0)*'ZD Vorerfassung'!$S$22:$S$36),
IF(OR(D287="SF",D287="FH"),SUM(IF(B287&gt;=_xlfn.NUMBERVALUE('ZD Vorerfassung'!$C$22:$C$36),1,0)*IF(B287&lt;=_xlfn.NUMBERVALUE('ZD Vorerfassung'!$D$22:$D$36),1,0)*'ZD Vorerfassung'!$T$22:$T$36*IF(D287="FH",0.5,1)),
"prüfen")))</f>
        <v>0</v>
      </c>
      <c r="BA287" s="112">
        <f t="shared" si="56"/>
        <v>5</v>
      </c>
    </row>
    <row r="288" spans="2:53" ht="19.5" thickTop="1" thickBot="1" x14ac:dyDescent="0.3">
      <c r="B288" s="99">
        <f t="shared" si="53"/>
        <v>45053</v>
      </c>
      <c r="C288" s="100">
        <f t="shared" si="57"/>
        <v>45053</v>
      </c>
      <c r="D288" s="101" t="str">
        <f t="shared" si="58"/>
        <v>WE</v>
      </c>
      <c r="E288" s="102" t="str">
        <f t="shared" si="54"/>
        <v>Wochenende</v>
      </c>
      <c r="F288" s="103" t="str">
        <f t="shared" si="59"/>
        <v/>
      </c>
      <c r="G288" s="104" t="str">
        <f t="shared" si="60"/>
        <v/>
      </c>
      <c r="H288" s="104">
        <f>IFERROR(IF('ZD Vorerfassung'!$E$11="manuell",SUM(I288),IF(OR(E288="Feiertag",E288="Wochenende"),0,IF('ZD Vorerfassung'!$E$11="automatisch",AX288,IF(D288="UU","UU",IF(E288=Param2,AX288/24,IF(E288=Param9,AX288/48,"")))))),0)</f>
        <v>0</v>
      </c>
      <c r="I288" s="105"/>
      <c r="J288" s="106">
        <f>IF('ZD Vorerfassung'!$E$12="manuell",SUM(K288:AI288),IF(OR(E288="Feiertag",E288="Wochenende"),0,IF('ZD Vorerfassung'!$E$12="automatisch",AY288,IF(D288="UU","UU",IF(E288=Param2,AY288/24,IF(E288=Param9,AY288/48,""))))))</f>
        <v>0</v>
      </c>
      <c r="K288" s="105"/>
      <c r="L288" s="105"/>
      <c r="M288" s="105"/>
      <c r="N288" s="105"/>
      <c r="O288" s="105"/>
      <c r="P288" s="105"/>
      <c r="Q288" s="105"/>
      <c r="R288" s="105"/>
      <c r="S288" s="105"/>
      <c r="T288" s="105"/>
      <c r="U288" s="105"/>
      <c r="V288" s="105"/>
      <c r="W288" s="105"/>
      <c r="X288" s="105"/>
      <c r="Y288" s="105"/>
      <c r="Z288" s="105"/>
      <c r="AA288" s="105"/>
      <c r="AB288" s="105"/>
      <c r="AC288" s="105"/>
      <c r="AD288" s="105"/>
      <c r="AE288" s="105"/>
      <c r="AF288" s="105"/>
      <c r="AG288" s="105"/>
      <c r="AH288" s="105"/>
      <c r="AI288" s="105"/>
      <c r="AJ288" s="107">
        <f t="shared" si="61"/>
        <v>0</v>
      </c>
      <c r="AK288" s="105"/>
      <c r="AL288" s="105"/>
      <c r="AM288" s="105"/>
      <c r="AN288" s="105"/>
      <c r="AO288" s="105"/>
      <c r="AP288" s="105"/>
      <c r="AQ288" s="108">
        <f t="shared" si="62"/>
        <v>0</v>
      </c>
      <c r="AR288" s="108">
        <f t="shared" si="63"/>
        <v>0</v>
      </c>
      <c r="AS288" s="109">
        <f t="shared" si="64"/>
        <v>0</v>
      </c>
      <c r="AU288" s="110">
        <f t="shared" si="55"/>
        <v>0</v>
      </c>
      <c r="AV288" s="111" t="str">
        <f>IF(D288="NR",
IF('ZD Vorerfassung'!$E$22="",0,IF(AND(B288&gt;='ZD Vorerfassung'!$C$22,B288&lt;='ZD Vorerfassung'!$D$22),HLOOKUP(TEXT(C288,"ttt"),'ZD Vorerfassung'!$H$21:$L$36,2,0),0))+
IF('ZD Vorerfassung'!$E$23="",0,IF(AND(B288&gt;='ZD Vorerfassung'!$C$23,B288&lt;='ZD Vorerfassung'!$D$23),HLOOKUP(TEXT(C288,"ttt"),'ZD Vorerfassung'!$H$21:$L$36,3,0),0))+
IF('ZD Vorerfassung'!$E$24="",0,IF(AND(B288&gt;='ZD Vorerfassung'!$C$24,B288&lt;='ZD Vorerfassung'!$D$24),HLOOKUP(TEXT(C288,"ttt"),'ZD Vorerfassung'!$H$21:$L$36,4,0),0))+
IF('ZD Vorerfassung'!$E$25="",0,IF(AND(B288&gt;='ZD Vorerfassung'!$C$25,B288&lt;='ZD Vorerfassung'!$D$25),HLOOKUP(TEXT(C288,"ttt"),'ZD Vorerfassung'!$H$21:$L$36,5,0),0))+
IF('ZD Vorerfassung'!$E$26="",0,IF(AND(B288&gt;='ZD Vorerfassung'!$C$26,B288&lt;='ZD Vorerfassung'!$D$26),HLOOKUP(TEXT(C288,"ttt"),'ZD Vorerfassung'!$H$21:$L$36,6,0),0))+
IF('ZD Vorerfassung'!$E$27="",0,IF(AND(B288&gt;='ZD Vorerfassung'!$C$27,B288&lt;='ZD Vorerfassung'!$D$27),HLOOKUP(TEXT(C288,"ttt"),'ZD Vorerfassung'!$H$21:$L$36,7,0),0))+
IF('ZD Vorerfassung'!$E$28="",0,IF(AND(B288&gt;='ZD Vorerfassung'!$C$28,B288&lt;='ZD Vorerfassung'!$D$28),HLOOKUP(TEXT(C288,"ttt"),'ZD Vorerfassung'!$H$21:$L$36,8,0),0))+
IF('ZD Vorerfassung'!$E$29="",0,IF(AND(B288&gt;='ZD Vorerfassung'!$C$29,B288&lt;='ZD Vorerfassung'!$D$29),HLOOKUP(TEXT(C288,"ttt"),'ZD Vorerfassung'!$H$21:$L$36,9,0),0))+
IF('ZD Vorerfassung'!$E$30="",0,IF(AND(B288&gt;='ZD Vorerfassung'!$C$30,B288&lt;='ZD Vorerfassung'!$D$30),HLOOKUP(TEXT(C288,"ttt"),'ZD Vorerfassung'!$H$21:$L$36,10,0),0))+
IF('ZD Vorerfassung'!$E$31="",0,IF(AND(B288&gt;='ZD Vorerfassung'!$C$31,B288&lt;='ZD Vorerfassung'!$D$31),HLOOKUP(TEXT(C288,"ttt"),'ZD Vorerfassung'!$H$21:$L$36,11,0),0))+
IF('ZD Vorerfassung'!$E$32="",0,IF(AND(B288&gt;='ZD Vorerfassung'!$C$32,B288&lt;='ZD Vorerfassung'!$D$32),HLOOKUP(TEXT(C288,"ttt"),'ZD Vorerfassung'!$H$21:$L$36,12,0),0))+
IF('ZD Vorerfassung'!$E$33="",0,IF(AND(B288&gt;='ZD Vorerfassung'!$C$33,B288&lt;='ZD Vorerfassung'!$D$33),HLOOKUP(TEXT(C288,"ttt"),'ZD Vorerfassung'!$H$21:$L$36,13,0),0))+
IF('ZD Vorerfassung'!$E$34="",0,IF(AND(B288&gt;='ZD Vorerfassung'!$C$34,B288&lt;='ZD Vorerfassung'!$D$34),HLOOKUP(TEXT(C288,"ttt"),'ZD Vorerfassung'!$H$21:$L$36,14,0),0))+
IF('ZD Vorerfassung'!$E$35="",0,IF(AND(B288&gt;='ZD Vorerfassung'!$C$35,B288&lt;='ZD Vorerfassung'!$D$35),HLOOKUP(TEXT(C288,"ttt"),'ZD Vorerfassung'!$H$21:$L$36,15,0),0))+
IF('ZD Vorerfassung'!$E$36="",0,IF(AND(B288&gt;='ZD Vorerfassung'!$C$36,B288&lt;='ZD Vorerfassung'!$D$36),HLOOKUP(TEXT(C288,"ttt"),'ZD Vorerfassung'!$H$21:$L$36,16,0),0)),"")</f>
        <v/>
      </c>
      <c r="AW288" s="110">
        <f t="array" ref="AW288">IF(OR(D288="UU",D288="FT",D288="WE"),0,
IF(D288="NR",SUM(IF(B288&gt;=_xlfn.NUMBERVALUE('ZD Vorerfassung'!$C$22:$C$36),1,0)*IF(B288&lt;=_xlfn.NUMBERVALUE('ZD Vorerfassung'!$D$22:$D$36),1,0)*'ZD Vorerfassung'!$Q$22:$Q$36),
IF(OR(D288="SF",D288="FH"),SUM(IF(B288&gt;=_xlfn.NUMBERVALUE('ZD Vorerfassung'!$C$22:$C$36),1,0)*IF(B288&lt;=_xlfn.NUMBERVALUE('ZD Vorerfassung'!$D$22:$D$36),1,0)*'ZD Vorerfassung'!$R$22:$R$36*IF(D288="FH",0.5,1)),
"prüfen")))</f>
        <v>0</v>
      </c>
      <c r="AX288" s="110">
        <f t="array" ref="AX288">IF(OR(D288="UU",D288="FT",D288="WE",E288="Ferien"),0,
IF(D288="NR",SUM(IF(B288&gt;=_xlfn.NUMBERVALUE('ZD Vorerfassung'!$C$22:$C$36),1,0)*IF(B288&lt;=_xlfn.NUMBERVALUE('ZD Vorerfassung'!$D$22:$D$36),1,0)*'ZD Vorerfassung'!$W$22:$W$36),
IF(OR(D288="SF",D288="FH"),SUM(IF(B288&gt;=_xlfn.NUMBERVALUE('ZD Vorerfassung'!$C$22:$C$36),1,0)*IF(B288&lt;=_xlfn.NUMBERVALUE('ZD Vorerfassung'!$D$22:$D$36),1,0)*'ZD Vorerfassung'!$X$22:$X$36*IF(D288="FH",0.5,1)),
"prüfen")))</f>
        <v>0</v>
      </c>
      <c r="AY288" s="110">
        <f t="array" ref="AY288">IF(OR(D288="UU",D288="FT",D288="WE",E288="Ferien"),0,
IF(D288="NR",SUM(IF(B288&gt;=_xlfn.NUMBERVALUE('ZD Vorerfassung'!$C$22:$C$36),1,0)*IF(B288&lt;=_xlfn.NUMBERVALUE('ZD Vorerfassung'!$D$22:$D$36),1,0)*'ZD Vorerfassung'!$U$22:$U$36),
IF(OR(D288="SF",D288="FH"),SUM(IF(B288&gt;=_xlfn.NUMBERVALUE('ZD Vorerfassung'!$C$22:$C$36),1,0)*IF(B288&lt;=_xlfn.NUMBERVALUE('ZD Vorerfassung'!$D$22:$D$36),1,0)*'ZD Vorerfassung'!$V$22:$V$36*IF(D288="FH",0.5,1)),
"prüfen")))</f>
        <v>0</v>
      </c>
      <c r="AZ288" s="110">
        <f t="array" ref="AZ288">IF(OR(D288="UU",D288="FT",D288="WE",E288="Ferien"),0,
IF(D288="NR",SUM(IF(B288&gt;=_xlfn.NUMBERVALUE('ZD Vorerfassung'!$C$22:$C$36),1,0)*IF(B288&lt;=_xlfn.NUMBERVALUE('ZD Vorerfassung'!$D$22:$D$36),1,0)*'ZD Vorerfassung'!$S$22:$S$36),
IF(OR(D288="SF",D288="FH"),SUM(IF(B288&gt;=_xlfn.NUMBERVALUE('ZD Vorerfassung'!$C$22:$C$36),1,0)*IF(B288&lt;=_xlfn.NUMBERVALUE('ZD Vorerfassung'!$D$22:$D$36),1,0)*'ZD Vorerfassung'!$T$22:$T$36*IF(D288="FH",0.5,1)),
"prüfen")))</f>
        <v>0</v>
      </c>
      <c r="BA288" s="112">
        <f t="shared" si="56"/>
        <v>5</v>
      </c>
    </row>
    <row r="289" spans="2:53" ht="19.5" thickTop="1" thickBot="1" x14ac:dyDescent="0.3">
      <c r="B289" s="99">
        <f t="shared" si="53"/>
        <v>45054</v>
      </c>
      <c r="C289" s="100">
        <f t="shared" si="57"/>
        <v>45054</v>
      </c>
      <c r="D289" s="101" t="str">
        <f t="shared" si="58"/>
        <v>WE</v>
      </c>
      <c r="E289" s="102" t="str">
        <f t="shared" si="54"/>
        <v>Wochenende</v>
      </c>
      <c r="F289" s="103" t="str">
        <f t="shared" si="59"/>
        <v/>
      </c>
      <c r="G289" s="104" t="str">
        <f t="shared" si="60"/>
        <v/>
      </c>
      <c r="H289" s="104">
        <f>IFERROR(IF('ZD Vorerfassung'!$E$11="manuell",SUM(I289),IF(OR(E289="Feiertag",E289="Wochenende"),0,IF('ZD Vorerfassung'!$E$11="automatisch",AX289,IF(D289="UU","UU",IF(E289=Param2,AX289/24,IF(E289=Param9,AX289/48,"")))))),0)</f>
        <v>0</v>
      </c>
      <c r="I289" s="105"/>
      <c r="J289" s="106">
        <f>IF('ZD Vorerfassung'!$E$12="manuell",SUM(K289:AI289),IF(OR(E289="Feiertag",E289="Wochenende"),0,IF('ZD Vorerfassung'!$E$12="automatisch",AY289,IF(D289="UU","UU",IF(E289=Param2,AY289/24,IF(E289=Param9,AY289/48,""))))))</f>
        <v>0</v>
      </c>
      <c r="K289" s="105"/>
      <c r="L289" s="105"/>
      <c r="M289" s="105"/>
      <c r="N289" s="105"/>
      <c r="O289" s="105"/>
      <c r="P289" s="105"/>
      <c r="Q289" s="105"/>
      <c r="R289" s="105"/>
      <c r="S289" s="105"/>
      <c r="T289" s="105"/>
      <c r="U289" s="105"/>
      <c r="V289" s="105"/>
      <c r="W289" s="105"/>
      <c r="X289" s="105"/>
      <c r="Y289" s="105"/>
      <c r="Z289" s="105"/>
      <c r="AA289" s="105"/>
      <c r="AB289" s="105"/>
      <c r="AC289" s="105"/>
      <c r="AD289" s="105"/>
      <c r="AE289" s="105"/>
      <c r="AF289" s="105"/>
      <c r="AG289" s="105"/>
      <c r="AH289" s="105"/>
      <c r="AI289" s="105"/>
      <c r="AJ289" s="107">
        <f t="shared" si="61"/>
        <v>0</v>
      </c>
      <c r="AK289" s="105"/>
      <c r="AL289" s="105"/>
      <c r="AM289" s="105"/>
      <c r="AN289" s="105"/>
      <c r="AO289" s="105"/>
      <c r="AP289" s="105"/>
      <c r="AQ289" s="108">
        <f t="shared" si="62"/>
        <v>0</v>
      </c>
      <c r="AR289" s="108">
        <f t="shared" si="63"/>
        <v>0</v>
      </c>
      <c r="AS289" s="109">
        <f t="shared" si="64"/>
        <v>0</v>
      </c>
      <c r="AU289" s="110">
        <f t="shared" si="55"/>
        <v>0</v>
      </c>
      <c r="AV289" s="111" t="str">
        <f>IF(D289="NR",
IF('ZD Vorerfassung'!$E$22="",0,IF(AND(B289&gt;='ZD Vorerfassung'!$C$22,B289&lt;='ZD Vorerfassung'!$D$22),HLOOKUP(TEXT(C289,"ttt"),'ZD Vorerfassung'!$H$21:$L$36,2,0),0))+
IF('ZD Vorerfassung'!$E$23="",0,IF(AND(B289&gt;='ZD Vorerfassung'!$C$23,B289&lt;='ZD Vorerfassung'!$D$23),HLOOKUP(TEXT(C289,"ttt"),'ZD Vorerfassung'!$H$21:$L$36,3,0),0))+
IF('ZD Vorerfassung'!$E$24="",0,IF(AND(B289&gt;='ZD Vorerfassung'!$C$24,B289&lt;='ZD Vorerfassung'!$D$24),HLOOKUP(TEXT(C289,"ttt"),'ZD Vorerfassung'!$H$21:$L$36,4,0),0))+
IF('ZD Vorerfassung'!$E$25="",0,IF(AND(B289&gt;='ZD Vorerfassung'!$C$25,B289&lt;='ZD Vorerfassung'!$D$25),HLOOKUP(TEXT(C289,"ttt"),'ZD Vorerfassung'!$H$21:$L$36,5,0),0))+
IF('ZD Vorerfassung'!$E$26="",0,IF(AND(B289&gt;='ZD Vorerfassung'!$C$26,B289&lt;='ZD Vorerfassung'!$D$26),HLOOKUP(TEXT(C289,"ttt"),'ZD Vorerfassung'!$H$21:$L$36,6,0),0))+
IF('ZD Vorerfassung'!$E$27="",0,IF(AND(B289&gt;='ZD Vorerfassung'!$C$27,B289&lt;='ZD Vorerfassung'!$D$27),HLOOKUP(TEXT(C289,"ttt"),'ZD Vorerfassung'!$H$21:$L$36,7,0),0))+
IF('ZD Vorerfassung'!$E$28="",0,IF(AND(B289&gt;='ZD Vorerfassung'!$C$28,B289&lt;='ZD Vorerfassung'!$D$28),HLOOKUP(TEXT(C289,"ttt"),'ZD Vorerfassung'!$H$21:$L$36,8,0),0))+
IF('ZD Vorerfassung'!$E$29="",0,IF(AND(B289&gt;='ZD Vorerfassung'!$C$29,B289&lt;='ZD Vorerfassung'!$D$29),HLOOKUP(TEXT(C289,"ttt"),'ZD Vorerfassung'!$H$21:$L$36,9,0),0))+
IF('ZD Vorerfassung'!$E$30="",0,IF(AND(B289&gt;='ZD Vorerfassung'!$C$30,B289&lt;='ZD Vorerfassung'!$D$30),HLOOKUP(TEXT(C289,"ttt"),'ZD Vorerfassung'!$H$21:$L$36,10,0),0))+
IF('ZD Vorerfassung'!$E$31="",0,IF(AND(B289&gt;='ZD Vorerfassung'!$C$31,B289&lt;='ZD Vorerfassung'!$D$31),HLOOKUP(TEXT(C289,"ttt"),'ZD Vorerfassung'!$H$21:$L$36,11,0),0))+
IF('ZD Vorerfassung'!$E$32="",0,IF(AND(B289&gt;='ZD Vorerfassung'!$C$32,B289&lt;='ZD Vorerfassung'!$D$32),HLOOKUP(TEXT(C289,"ttt"),'ZD Vorerfassung'!$H$21:$L$36,12,0),0))+
IF('ZD Vorerfassung'!$E$33="",0,IF(AND(B289&gt;='ZD Vorerfassung'!$C$33,B289&lt;='ZD Vorerfassung'!$D$33),HLOOKUP(TEXT(C289,"ttt"),'ZD Vorerfassung'!$H$21:$L$36,13,0),0))+
IF('ZD Vorerfassung'!$E$34="",0,IF(AND(B289&gt;='ZD Vorerfassung'!$C$34,B289&lt;='ZD Vorerfassung'!$D$34),HLOOKUP(TEXT(C289,"ttt"),'ZD Vorerfassung'!$H$21:$L$36,14,0),0))+
IF('ZD Vorerfassung'!$E$35="",0,IF(AND(B289&gt;='ZD Vorerfassung'!$C$35,B289&lt;='ZD Vorerfassung'!$D$35),HLOOKUP(TEXT(C289,"ttt"),'ZD Vorerfassung'!$H$21:$L$36,15,0),0))+
IF('ZD Vorerfassung'!$E$36="",0,IF(AND(B289&gt;='ZD Vorerfassung'!$C$36,B289&lt;='ZD Vorerfassung'!$D$36),HLOOKUP(TEXT(C289,"ttt"),'ZD Vorerfassung'!$H$21:$L$36,16,0),0)),"")</f>
        <v/>
      </c>
      <c r="AW289" s="110">
        <f t="array" ref="AW289">IF(OR(D289="UU",D289="FT",D289="WE"),0,
IF(D289="NR",SUM(IF(B289&gt;=_xlfn.NUMBERVALUE('ZD Vorerfassung'!$C$22:$C$36),1,0)*IF(B289&lt;=_xlfn.NUMBERVALUE('ZD Vorerfassung'!$D$22:$D$36),1,0)*'ZD Vorerfassung'!$Q$22:$Q$36),
IF(OR(D289="SF",D289="FH"),SUM(IF(B289&gt;=_xlfn.NUMBERVALUE('ZD Vorerfassung'!$C$22:$C$36),1,0)*IF(B289&lt;=_xlfn.NUMBERVALUE('ZD Vorerfassung'!$D$22:$D$36),1,0)*'ZD Vorerfassung'!$R$22:$R$36*IF(D289="FH",0.5,1)),
"prüfen")))</f>
        <v>0</v>
      </c>
      <c r="AX289" s="110">
        <f t="array" ref="AX289">IF(OR(D289="UU",D289="FT",D289="WE",E289="Ferien"),0,
IF(D289="NR",SUM(IF(B289&gt;=_xlfn.NUMBERVALUE('ZD Vorerfassung'!$C$22:$C$36),1,0)*IF(B289&lt;=_xlfn.NUMBERVALUE('ZD Vorerfassung'!$D$22:$D$36),1,0)*'ZD Vorerfassung'!$W$22:$W$36),
IF(OR(D289="SF",D289="FH"),SUM(IF(B289&gt;=_xlfn.NUMBERVALUE('ZD Vorerfassung'!$C$22:$C$36),1,0)*IF(B289&lt;=_xlfn.NUMBERVALUE('ZD Vorerfassung'!$D$22:$D$36),1,0)*'ZD Vorerfassung'!$X$22:$X$36*IF(D289="FH",0.5,1)),
"prüfen")))</f>
        <v>0</v>
      </c>
      <c r="AY289" s="110">
        <f t="array" ref="AY289">IF(OR(D289="UU",D289="FT",D289="WE",E289="Ferien"),0,
IF(D289="NR",SUM(IF(B289&gt;=_xlfn.NUMBERVALUE('ZD Vorerfassung'!$C$22:$C$36),1,0)*IF(B289&lt;=_xlfn.NUMBERVALUE('ZD Vorerfassung'!$D$22:$D$36),1,0)*'ZD Vorerfassung'!$U$22:$U$36),
IF(OR(D289="SF",D289="FH"),SUM(IF(B289&gt;=_xlfn.NUMBERVALUE('ZD Vorerfassung'!$C$22:$C$36),1,0)*IF(B289&lt;=_xlfn.NUMBERVALUE('ZD Vorerfassung'!$D$22:$D$36),1,0)*'ZD Vorerfassung'!$V$22:$V$36*IF(D289="FH",0.5,1)),
"prüfen")))</f>
        <v>0</v>
      </c>
      <c r="AZ289" s="110">
        <f t="array" ref="AZ289">IF(OR(D289="UU",D289="FT",D289="WE",E289="Ferien"),0,
IF(D289="NR",SUM(IF(B289&gt;=_xlfn.NUMBERVALUE('ZD Vorerfassung'!$C$22:$C$36),1,0)*IF(B289&lt;=_xlfn.NUMBERVALUE('ZD Vorerfassung'!$D$22:$D$36),1,0)*'ZD Vorerfassung'!$S$22:$S$36),
IF(OR(D289="SF",D289="FH"),SUM(IF(B289&gt;=_xlfn.NUMBERVALUE('ZD Vorerfassung'!$C$22:$C$36),1,0)*IF(B289&lt;=_xlfn.NUMBERVALUE('ZD Vorerfassung'!$D$22:$D$36),1,0)*'ZD Vorerfassung'!$T$22:$T$36*IF(D289="FH",0.5,1)),
"prüfen")))</f>
        <v>0</v>
      </c>
      <c r="BA289" s="112">
        <f t="shared" si="56"/>
        <v>5</v>
      </c>
    </row>
    <row r="290" spans="2:53" ht="19.5" thickTop="1" thickBot="1" x14ac:dyDescent="0.3">
      <c r="B290" s="99">
        <f t="shared" si="53"/>
        <v>45055</v>
      </c>
      <c r="C290" s="100">
        <f t="shared" si="57"/>
        <v>45055</v>
      </c>
      <c r="D290" s="101" t="str">
        <f t="shared" si="58"/>
        <v>NR</v>
      </c>
      <c r="E290" s="102" t="str">
        <f t="shared" si="54"/>
        <v>Unterrichtstag</v>
      </c>
      <c r="F290" s="103">
        <f t="shared" si="59"/>
        <v>0</v>
      </c>
      <c r="G290" s="104">
        <f t="shared" si="60"/>
        <v>0</v>
      </c>
      <c r="H290" s="104">
        <f>IFERROR(IF('ZD Vorerfassung'!$E$11="manuell",SUM(I290),IF(OR(E290="Feiertag",E290="Wochenende"),0,IF('ZD Vorerfassung'!$E$11="automatisch",AX290,IF(D290="UU","UU",IF(E290=Param2,AX290/24,IF(E290=Param9,AX290/48,"")))))),0)</f>
        <v>0</v>
      </c>
      <c r="I290" s="105"/>
      <c r="J290" s="106">
        <f>IF('ZD Vorerfassung'!$E$12="manuell",SUM(K290:AI290),IF(OR(E290="Feiertag",E290="Wochenende"),0,IF('ZD Vorerfassung'!$E$12="automatisch",AY290,IF(D290="UU","UU",IF(E290=Param2,AY290/24,IF(E290=Param9,AY290/48,""))))))</f>
        <v>0</v>
      </c>
      <c r="K290" s="105"/>
      <c r="L290" s="105"/>
      <c r="M290" s="105"/>
      <c r="N290" s="105"/>
      <c r="O290" s="105"/>
      <c r="P290" s="105"/>
      <c r="Q290" s="105"/>
      <c r="R290" s="105"/>
      <c r="S290" s="105"/>
      <c r="T290" s="105"/>
      <c r="U290" s="105"/>
      <c r="V290" s="105"/>
      <c r="W290" s="105"/>
      <c r="X290" s="105"/>
      <c r="Y290" s="105"/>
      <c r="Z290" s="105"/>
      <c r="AA290" s="105"/>
      <c r="AB290" s="105"/>
      <c r="AC290" s="105"/>
      <c r="AD290" s="105"/>
      <c r="AE290" s="105"/>
      <c r="AF290" s="105"/>
      <c r="AG290" s="105"/>
      <c r="AH290" s="105"/>
      <c r="AI290" s="105"/>
      <c r="AJ290" s="107">
        <f t="shared" si="61"/>
        <v>0</v>
      </c>
      <c r="AK290" s="105"/>
      <c r="AL290" s="105"/>
      <c r="AM290" s="105"/>
      <c r="AN290" s="105"/>
      <c r="AO290" s="105"/>
      <c r="AP290" s="105"/>
      <c r="AQ290" s="108">
        <f t="shared" si="62"/>
        <v>0</v>
      </c>
      <c r="AR290" s="108">
        <f t="shared" si="63"/>
        <v>0</v>
      </c>
      <c r="AS290" s="109">
        <f t="shared" si="64"/>
        <v>0</v>
      </c>
      <c r="AU290" s="110">
        <f t="shared" si="55"/>
        <v>0</v>
      </c>
      <c r="AV290" s="111">
        <f>IF(D290="NR",
IF('ZD Vorerfassung'!$E$22="",0,IF(AND(B290&gt;='ZD Vorerfassung'!$C$22,B290&lt;='ZD Vorerfassung'!$D$22),HLOOKUP(TEXT(C290,"ttt"),'ZD Vorerfassung'!$H$21:$L$36,2,0),0))+
IF('ZD Vorerfassung'!$E$23="",0,IF(AND(B290&gt;='ZD Vorerfassung'!$C$23,B290&lt;='ZD Vorerfassung'!$D$23),HLOOKUP(TEXT(C290,"ttt"),'ZD Vorerfassung'!$H$21:$L$36,3,0),0))+
IF('ZD Vorerfassung'!$E$24="",0,IF(AND(B290&gt;='ZD Vorerfassung'!$C$24,B290&lt;='ZD Vorerfassung'!$D$24),HLOOKUP(TEXT(C290,"ttt"),'ZD Vorerfassung'!$H$21:$L$36,4,0),0))+
IF('ZD Vorerfassung'!$E$25="",0,IF(AND(B290&gt;='ZD Vorerfassung'!$C$25,B290&lt;='ZD Vorerfassung'!$D$25),HLOOKUP(TEXT(C290,"ttt"),'ZD Vorerfassung'!$H$21:$L$36,5,0),0))+
IF('ZD Vorerfassung'!$E$26="",0,IF(AND(B290&gt;='ZD Vorerfassung'!$C$26,B290&lt;='ZD Vorerfassung'!$D$26),HLOOKUP(TEXT(C290,"ttt"),'ZD Vorerfassung'!$H$21:$L$36,6,0),0))+
IF('ZD Vorerfassung'!$E$27="",0,IF(AND(B290&gt;='ZD Vorerfassung'!$C$27,B290&lt;='ZD Vorerfassung'!$D$27),HLOOKUP(TEXT(C290,"ttt"),'ZD Vorerfassung'!$H$21:$L$36,7,0),0))+
IF('ZD Vorerfassung'!$E$28="",0,IF(AND(B290&gt;='ZD Vorerfassung'!$C$28,B290&lt;='ZD Vorerfassung'!$D$28),HLOOKUP(TEXT(C290,"ttt"),'ZD Vorerfassung'!$H$21:$L$36,8,0),0))+
IF('ZD Vorerfassung'!$E$29="",0,IF(AND(B290&gt;='ZD Vorerfassung'!$C$29,B290&lt;='ZD Vorerfassung'!$D$29),HLOOKUP(TEXT(C290,"ttt"),'ZD Vorerfassung'!$H$21:$L$36,9,0),0))+
IF('ZD Vorerfassung'!$E$30="",0,IF(AND(B290&gt;='ZD Vorerfassung'!$C$30,B290&lt;='ZD Vorerfassung'!$D$30),HLOOKUP(TEXT(C290,"ttt"),'ZD Vorerfassung'!$H$21:$L$36,10,0),0))+
IF('ZD Vorerfassung'!$E$31="",0,IF(AND(B290&gt;='ZD Vorerfassung'!$C$31,B290&lt;='ZD Vorerfassung'!$D$31),HLOOKUP(TEXT(C290,"ttt"),'ZD Vorerfassung'!$H$21:$L$36,11,0),0))+
IF('ZD Vorerfassung'!$E$32="",0,IF(AND(B290&gt;='ZD Vorerfassung'!$C$32,B290&lt;='ZD Vorerfassung'!$D$32),HLOOKUP(TEXT(C290,"ttt"),'ZD Vorerfassung'!$H$21:$L$36,12,0),0))+
IF('ZD Vorerfassung'!$E$33="",0,IF(AND(B290&gt;='ZD Vorerfassung'!$C$33,B290&lt;='ZD Vorerfassung'!$D$33),HLOOKUP(TEXT(C290,"ttt"),'ZD Vorerfassung'!$H$21:$L$36,13,0),0))+
IF('ZD Vorerfassung'!$E$34="",0,IF(AND(B290&gt;='ZD Vorerfassung'!$C$34,B290&lt;='ZD Vorerfassung'!$D$34),HLOOKUP(TEXT(C290,"ttt"),'ZD Vorerfassung'!$H$21:$L$36,14,0),0))+
IF('ZD Vorerfassung'!$E$35="",0,IF(AND(B290&gt;='ZD Vorerfassung'!$C$35,B290&lt;='ZD Vorerfassung'!$D$35),HLOOKUP(TEXT(C290,"ttt"),'ZD Vorerfassung'!$H$21:$L$36,15,0),0))+
IF('ZD Vorerfassung'!$E$36="",0,IF(AND(B290&gt;='ZD Vorerfassung'!$C$36,B290&lt;='ZD Vorerfassung'!$D$36),HLOOKUP(TEXT(C290,"ttt"),'ZD Vorerfassung'!$H$21:$L$36,16,0),0)),"")</f>
        <v>0</v>
      </c>
      <c r="AW290" s="110">
        <f t="array" ref="AW290">IF(OR(D290="UU",D290="FT",D290="WE"),0,
IF(D290="NR",SUM(IF(B290&gt;=_xlfn.NUMBERVALUE('ZD Vorerfassung'!$C$22:$C$36),1,0)*IF(B290&lt;=_xlfn.NUMBERVALUE('ZD Vorerfassung'!$D$22:$D$36),1,0)*'ZD Vorerfassung'!$Q$22:$Q$36),
IF(OR(D290="SF",D290="FH"),SUM(IF(B290&gt;=_xlfn.NUMBERVALUE('ZD Vorerfassung'!$C$22:$C$36),1,0)*IF(B290&lt;=_xlfn.NUMBERVALUE('ZD Vorerfassung'!$D$22:$D$36),1,0)*'ZD Vorerfassung'!$R$22:$R$36*IF(D290="FH",0.5,1)),
"prüfen")))</f>
        <v>0</v>
      </c>
      <c r="AX290" s="110">
        <f t="array" ref="AX290">IF(OR(D290="UU",D290="FT",D290="WE",E290="Ferien"),0,
IF(D290="NR",SUM(IF(B290&gt;=_xlfn.NUMBERVALUE('ZD Vorerfassung'!$C$22:$C$36),1,0)*IF(B290&lt;=_xlfn.NUMBERVALUE('ZD Vorerfassung'!$D$22:$D$36),1,0)*'ZD Vorerfassung'!$W$22:$W$36),
IF(OR(D290="SF",D290="FH"),SUM(IF(B290&gt;=_xlfn.NUMBERVALUE('ZD Vorerfassung'!$C$22:$C$36),1,0)*IF(B290&lt;=_xlfn.NUMBERVALUE('ZD Vorerfassung'!$D$22:$D$36),1,0)*'ZD Vorerfassung'!$X$22:$X$36*IF(D290="FH",0.5,1)),
"prüfen")))</f>
        <v>0</v>
      </c>
      <c r="AY290" s="110">
        <f t="array" ref="AY290">IF(OR(D290="UU",D290="FT",D290="WE",E290="Ferien"),0,
IF(D290="NR",SUM(IF(B290&gt;=_xlfn.NUMBERVALUE('ZD Vorerfassung'!$C$22:$C$36),1,0)*IF(B290&lt;=_xlfn.NUMBERVALUE('ZD Vorerfassung'!$D$22:$D$36),1,0)*'ZD Vorerfassung'!$U$22:$U$36),
IF(OR(D290="SF",D290="FH"),SUM(IF(B290&gt;=_xlfn.NUMBERVALUE('ZD Vorerfassung'!$C$22:$C$36),1,0)*IF(B290&lt;=_xlfn.NUMBERVALUE('ZD Vorerfassung'!$D$22:$D$36),1,0)*'ZD Vorerfassung'!$V$22:$V$36*IF(D290="FH",0.5,1)),
"prüfen")))</f>
        <v>0</v>
      </c>
      <c r="AZ290" s="110">
        <f t="array" ref="AZ290">IF(OR(D290="UU",D290="FT",D290="WE",E290="Ferien"),0,
IF(D290="NR",SUM(IF(B290&gt;=_xlfn.NUMBERVALUE('ZD Vorerfassung'!$C$22:$C$36),1,0)*IF(B290&lt;=_xlfn.NUMBERVALUE('ZD Vorerfassung'!$D$22:$D$36),1,0)*'ZD Vorerfassung'!$S$22:$S$36),
IF(OR(D290="SF",D290="FH"),SUM(IF(B290&gt;=_xlfn.NUMBERVALUE('ZD Vorerfassung'!$C$22:$C$36),1,0)*IF(B290&lt;=_xlfn.NUMBERVALUE('ZD Vorerfassung'!$D$22:$D$36),1,0)*'ZD Vorerfassung'!$T$22:$T$36*IF(D290="FH",0.5,1)),
"prüfen")))</f>
        <v>0</v>
      </c>
      <c r="BA290" s="112">
        <f t="shared" si="56"/>
        <v>5</v>
      </c>
    </row>
    <row r="291" spans="2:53" ht="19.5" thickTop="1" thickBot="1" x14ac:dyDescent="0.3">
      <c r="B291" s="99">
        <f t="shared" si="53"/>
        <v>45056</v>
      </c>
      <c r="C291" s="100">
        <f t="shared" si="57"/>
        <v>45056</v>
      </c>
      <c r="D291" s="101" t="str">
        <f t="shared" si="58"/>
        <v>NR</v>
      </c>
      <c r="E291" s="102" t="str">
        <f t="shared" si="54"/>
        <v>Unterrichtstag</v>
      </c>
      <c r="F291" s="103">
        <f t="shared" si="59"/>
        <v>0</v>
      </c>
      <c r="G291" s="104">
        <f t="shared" si="60"/>
        <v>0</v>
      </c>
      <c r="H291" s="104">
        <f>IFERROR(IF('ZD Vorerfassung'!$E$11="manuell",SUM(I291),IF(OR(E291="Feiertag",E291="Wochenende"),0,IF('ZD Vorerfassung'!$E$11="automatisch",AX291,IF(D291="UU","UU",IF(E291=Param2,AX291/24,IF(E291=Param9,AX291/48,"")))))),0)</f>
        <v>0</v>
      </c>
      <c r="I291" s="105"/>
      <c r="J291" s="106">
        <f>IF('ZD Vorerfassung'!$E$12="manuell",SUM(K291:AI291),IF(OR(E291="Feiertag",E291="Wochenende"),0,IF('ZD Vorerfassung'!$E$12="automatisch",AY291,IF(D291="UU","UU",IF(E291=Param2,AY291/24,IF(E291=Param9,AY291/48,""))))))</f>
        <v>0</v>
      </c>
      <c r="K291" s="105"/>
      <c r="L291" s="105"/>
      <c r="M291" s="105"/>
      <c r="N291" s="105"/>
      <c r="O291" s="105"/>
      <c r="P291" s="105"/>
      <c r="Q291" s="105"/>
      <c r="R291" s="105"/>
      <c r="S291" s="105"/>
      <c r="T291" s="105"/>
      <c r="U291" s="105"/>
      <c r="V291" s="105"/>
      <c r="W291" s="105"/>
      <c r="X291" s="105"/>
      <c r="Y291" s="105"/>
      <c r="Z291" s="105"/>
      <c r="AA291" s="105"/>
      <c r="AB291" s="105"/>
      <c r="AC291" s="105"/>
      <c r="AD291" s="105"/>
      <c r="AE291" s="105"/>
      <c r="AF291" s="105"/>
      <c r="AG291" s="105"/>
      <c r="AH291" s="105"/>
      <c r="AI291" s="105"/>
      <c r="AJ291" s="107">
        <f t="shared" si="61"/>
        <v>0</v>
      </c>
      <c r="AK291" s="105"/>
      <c r="AL291" s="105"/>
      <c r="AM291" s="105"/>
      <c r="AN291" s="105"/>
      <c r="AO291" s="105"/>
      <c r="AP291" s="105"/>
      <c r="AQ291" s="108">
        <f t="shared" si="62"/>
        <v>0</v>
      </c>
      <c r="AR291" s="108">
        <f t="shared" si="63"/>
        <v>0</v>
      </c>
      <c r="AS291" s="109">
        <f t="shared" si="64"/>
        <v>0</v>
      </c>
      <c r="AU291" s="110">
        <f t="shared" si="55"/>
        <v>0</v>
      </c>
      <c r="AV291" s="111">
        <f>IF(D291="NR",
IF('ZD Vorerfassung'!$E$22="",0,IF(AND(B291&gt;='ZD Vorerfassung'!$C$22,B291&lt;='ZD Vorerfassung'!$D$22),HLOOKUP(TEXT(C291,"ttt"),'ZD Vorerfassung'!$H$21:$L$36,2,0),0))+
IF('ZD Vorerfassung'!$E$23="",0,IF(AND(B291&gt;='ZD Vorerfassung'!$C$23,B291&lt;='ZD Vorerfassung'!$D$23),HLOOKUP(TEXT(C291,"ttt"),'ZD Vorerfassung'!$H$21:$L$36,3,0),0))+
IF('ZD Vorerfassung'!$E$24="",0,IF(AND(B291&gt;='ZD Vorerfassung'!$C$24,B291&lt;='ZD Vorerfassung'!$D$24),HLOOKUP(TEXT(C291,"ttt"),'ZD Vorerfassung'!$H$21:$L$36,4,0),0))+
IF('ZD Vorerfassung'!$E$25="",0,IF(AND(B291&gt;='ZD Vorerfassung'!$C$25,B291&lt;='ZD Vorerfassung'!$D$25),HLOOKUP(TEXT(C291,"ttt"),'ZD Vorerfassung'!$H$21:$L$36,5,0),0))+
IF('ZD Vorerfassung'!$E$26="",0,IF(AND(B291&gt;='ZD Vorerfassung'!$C$26,B291&lt;='ZD Vorerfassung'!$D$26),HLOOKUP(TEXT(C291,"ttt"),'ZD Vorerfassung'!$H$21:$L$36,6,0),0))+
IF('ZD Vorerfassung'!$E$27="",0,IF(AND(B291&gt;='ZD Vorerfassung'!$C$27,B291&lt;='ZD Vorerfassung'!$D$27),HLOOKUP(TEXT(C291,"ttt"),'ZD Vorerfassung'!$H$21:$L$36,7,0),0))+
IF('ZD Vorerfassung'!$E$28="",0,IF(AND(B291&gt;='ZD Vorerfassung'!$C$28,B291&lt;='ZD Vorerfassung'!$D$28),HLOOKUP(TEXT(C291,"ttt"),'ZD Vorerfassung'!$H$21:$L$36,8,0),0))+
IF('ZD Vorerfassung'!$E$29="",0,IF(AND(B291&gt;='ZD Vorerfassung'!$C$29,B291&lt;='ZD Vorerfassung'!$D$29),HLOOKUP(TEXT(C291,"ttt"),'ZD Vorerfassung'!$H$21:$L$36,9,0),0))+
IF('ZD Vorerfassung'!$E$30="",0,IF(AND(B291&gt;='ZD Vorerfassung'!$C$30,B291&lt;='ZD Vorerfassung'!$D$30),HLOOKUP(TEXT(C291,"ttt"),'ZD Vorerfassung'!$H$21:$L$36,10,0),0))+
IF('ZD Vorerfassung'!$E$31="",0,IF(AND(B291&gt;='ZD Vorerfassung'!$C$31,B291&lt;='ZD Vorerfassung'!$D$31),HLOOKUP(TEXT(C291,"ttt"),'ZD Vorerfassung'!$H$21:$L$36,11,0),0))+
IF('ZD Vorerfassung'!$E$32="",0,IF(AND(B291&gt;='ZD Vorerfassung'!$C$32,B291&lt;='ZD Vorerfassung'!$D$32),HLOOKUP(TEXT(C291,"ttt"),'ZD Vorerfassung'!$H$21:$L$36,12,0),0))+
IF('ZD Vorerfassung'!$E$33="",0,IF(AND(B291&gt;='ZD Vorerfassung'!$C$33,B291&lt;='ZD Vorerfassung'!$D$33),HLOOKUP(TEXT(C291,"ttt"),'ZD Vorerfassung'!$H$21:$L$36,13,0),0))+
IF('ZD Vorerfassung'!$E$34="",0,IF(AND(B291&gt;='ZD Vorerfassung'!$C$34,B291&lt;='ZD Vorerfassung'!$D$34),HLOOKUP(TEXT(C291,"ttt"),'ZD Vorerfassung'!$H$21:$L$36,14,0),0))+
IF('ZD Vorerfassung'!$E$35="",0,IF(AND(B291&gt;='ZD Vorerfassung'!$C$35,B291&lt;='ZD Vorerfassung'!$D$35),HLOOKUP(TEXT(C291,"ttt"),'ZD Vorerfassung'!$H$21:$L$36,15,0),0))+
IF('ZD Vorerfassung'!$E$36="",0,IF(AND(B291&gt;='ZD Vorerfassung'!$C$36,B291&lt;='ZD Vorerfassung'!$D$36),HLOOKUP(TEXT(C291,"ttt"),'ZD Vorerfassung'!$H$21:$L$36,16,0),0)),"")</f>
        <v>0</v>
      </c>
      <c r="AW291" s="110">
        <f t="array" ref="AW291">IF(OR(D291="UU",D291="FT",D291="WE"),0,
IF(D291="NR",SUM(IF(B291&gt;=_xlfn.NUMBERVALUE('ZD Vorerfassung'!$C$22:$C$36),1,0)*IF(B291&lt;=_xlfn.NUMBERVALUE('ZD Vorerfassung'!$D$22:$D$36),1,0)*'ZD Vorerfassung'!$Q$22:$Q$36),
IF(OR(D291="SF",D291="FH"),SUM(IF(B291&gt;=_xlfn.NUMBERVALUE('ZD Vorerfassung'!$C$22:$C$36),1,0)*IF(B291&lt;=_xlfn.NUMBERVALUE('ZD Vorerfassung'!$D$22:$D$36),1,0)*'ZD Vorerfassung'!$R$22:$R$36*IF(D291="FH",0.5,1)),
"prüfen")))</f>
        <v>0</v>
      </c>
      <c r="AX291" s="110">
        <f t="array" ref="AX291">IF(OR(D291="UU",D291="FT",D291="WE",E291="Ferien"),0,
IF(D291="NR",SUM(IF(B291&gt;=_xlfn.NUMBERVALUE('ZD Vorerfassung'!$C$22:$C$36),1,0)*IF(B291&lt;=_xlfn.NUMBERVALUE('ZD Vorerfassung'!$D$22:$D$36),1,0)*'ZD Vorerfassung'!$W$22:$W$36),
IF(OR(D291="SF",D291="FH"),SUM(IF(B291&gt;=_xlfn.NUMBERVALUE('ZD Vorerfassung'!$C$22:$C$36),1,0)*IF(B291&lt;=_xlfn.NUMBERVALUE('ZD Vorerfassung'!$D$22:$D$36),1,0)*'ZD Vorerfassung'!$X$22:$X$36*IF(D291="FH",0.5,1)),
"prüfen")))</f>
        <v>0</v>
      </c>
      <c r="AY291" s="110">
        <f t="array" ref="AY291">IF(OR(D291="UU",D291="FT",D291="WE",E291="Ferien"),0,
IF(D291="NR",SUM(IF(B291&gt;=_xlfn.NUMBERVALUE('ZD Vorerfassung'!$C$22:$C$36),1,0)*IF(B291&lt;=_xlfn.NUMBERVALUE('ZD Vorerfassung'!$D$22:$D$36),1,0)*'ZD Vorerfassung'!$U$22:$U$36),
IF(OR(D291="SF",D291="FH"),SUM(IF(B291&gt;=_xlfn.NUMBERVALUE('ZD Vorerfassung'!$C$22:$C$36),1,0)*IF(B291&lt;=_xlfn.NUMBERVALUE('ZD Vorerfassung'!$D$22:$D$36),1,0)*'ZD Vorerfassung'!$V$22:$V$36*IF(D291="FH",0.5,1)),
"prüfen")))</f>
        <v>0</v>
      </c>
      <c r="AZ291" s="110">
        <f t="array" ref="AZ291">IF(OR(D291="UU",D291="FT",D291="WE",E291="Ferien"),0,
IF(D291="NR",SUM(IF(B291&gt;=_xlfn.NUMBERVALUE('ZD Vorerfassung'!$C$22:$C$36),1,0)*IF(B291&lt;=_xlfn.NUMBERVALUE('ZD Vorerfassung'!$D$22:$D$36),1,0)*'ZD Vorerfassung'!$S$22:$S$36),
IF(OR(D291="SF",D291="FH"),SUM(IF(B291&gt;=_xlfn.NUMBERVALUE('ZD Vorerfassung'!$C$22:$C$36),1,0)*IF(B291&lt;=_xlfn.NUMBERVALUE('ZD Vorerfassung'!$D$22:$D$36),1,0)*'ZD Vorerfassung'!$T$22:$T$36*IF(D291="FH",0.5,1)),
"prüfen")))</f>
        <v>0</v>
      </c>
      <c r="BA291" s="112">
        <f t="shared" si="56"/>
        <v>5</v>
      </c>
    </row>
    <row r="292" spans="2:53" ht="19.5" thickTop="1" thickBot="1" x14ac:dyDescent="0.3">
      <c r="B292" s="99">
        <f t="shared" si="53"/>
        <v>45057</v>
      </c>
      <c r="C292" s="100">
        <f t="shared" si="57"/>
        <v>45057</v>
      </c>
      <c r="D292" s="101" t="str">
        <f t="shared" si="58"/>
        <v>NR</v>
      </c>
      <c r="E292" s="102" t="str">
        <f t="shared" si="54"/>
        <v>Unterrichtstag</v>
      </c>
      <c r="F292" s="103">
        <f t="shared" si="59"/>
        <v>0</v>
      </c>
      <c r="G292" s="104">
        <f t="shared" si="60"/>
        <v>0</v>
      </c>
      <c r="H292" s="104">
        <f>IFERROR(IF('ZD Vorerfassung'!$E$11="manuell",SUM(I292),IF(OR(E292="Feiertag",E292="Wochenende"),0,IF('ZD Vorerfassung'!$E$11="automatisch",AX292,IF(D292="UU","UU",IF(E292=Param2,AX292/24,IF(E292=Param9,AX292/48,"")))))),0)</f>
        <v>0</v>
      </c>
      <c r="I292" s="105"/>
      <c r="J292" s="106">
        <f>IF('ZD Vorerfassung'!$E$12="manuell",SUM(K292:AI292),IF(OR(E292="Feiertag",E292="Wochenende"),0,IF('ZD Vorerfassung'!$E$12="automatisch",AY292,IF(D292="UU","UU",IF(E292=Param2,AY292/24,IF(E292=Param9,AY292/48,""))))))</f>
        <v>0</v>
      </c>
      <c r="K292" s="105"/>
      <c r="L292" s="105"/>
      <c r="M292" s="105"/>
      <c r="N292" s="105"/>
      <c r="O292" s="105"/>
      <c r="P292" s="105"/>
      <c r="Q292" s="105"/>
      <c r="R292" s="105"/>
      <c r="S292" s="105"/>
      <c r="T292" s="105"/>
      <c r="U292" s="105"/>
      <c r="V292" s="105"/>
      <c r="W292" s="105"/>
      <c r="X292" s="105"/>
      <c r="Y292" s="105"/>
      <c r="Z292" s="105"/>
      <c r="AA292" s="105"/>
      <c r="AB292" s="105"/>
      <c r="AC292" s="105"/>
      <c r="AD292" s="105"/>
      <c r="AE292" s="105"/>
      <c r="AF292" s="105"/>
      <c r="AG292" s="105"/>
      <c r="AH292" s="105"/>
      <c r="AI292" s="105"/>
      <c r="AJ292" s="107">
        <f t="shared" si="61"/>
        <v>0</v>
      </c>
      <c r="AK292" s="105"/>
      <c r="AL292" s="105"/>
      <c r="AM292" s="105"/>
      <c r="AN292" s="105"/>
      <c r="AO292" s="105"/>
      <c r="AP292" s="105"/>
      <c r="AQ292" s="108">
        <f t="shared" si="62"/>
        <v>0</v>
      </c>
      <c r="AR292" s="108">
        <f t="shared" si="63"/>
        <v>0</v>
      </c>
      <c r="AS292" s="109">
        <f t="shared" si="64"/>
        <v>0</v>
      </c>
      <c r="AU292" s="110">
        <f t="shared" si="55"/>
        <v>0</v>
      </c>
      <c r="AV292" s="111">
        <f>IF(D292="NR",
IF('ZD Vorerfassung'!$E$22="",0,IF(AND(B292&gt;='ZD Vorerfassung'!$C$22,B292&lt;='ZD Vorerfassung'!$D$22),HLOOKUP(TEXT(C292,"ttt"),'ZD Vorerfassung'!$H$21:$L$36,2,0),0))+
IF('ZD Vorerfassung'!$E$23="",0,IF(AND(B292&gt;='ZD Vorerfassung'!$C$23,B292&lt;='ZD Vorerfassung'!$D$23),HLOOKUP(TEXT(C292,"ttt"),'ZD Vorerfassung'!$H$21:$L$36,3,0),0))+
IF('ZD Vorerfassung'!$E$24="",0,IF(AND(B292&gt;='ZD Vorerfassung'!$C$24,B292&lt;='ZD Vorerfassung'!$D$24),HLOOKUP(TEXT(C292,"ttt"),'ZD Vorerfassung'!$H$21:$L$36,4,0),0))+
IF('ZD Vorerfassung'!$E$25="",0,IF(AND(B292&gt;='ZD Vorerfassung'!$C$25,B292&lt;='ZD Vorerfassung'!$D$25),HLOOKUP(TEXT(C292,"ttt"),'ZD Vorerfassung'!$H$21:$L$36,5,0),0))+
IF('ZD Vorerfassung'!$E$26="",0,IF(AND(B292&gt;='ZD Vorerfassung'!$C$26,B292&lt;='ZD Vorerfassung'!$D$26),HLOOKUP(TEXT(C292,"ttt"),'ZD Vorerfassung'!$H$21:$L$36,6,0),0))+
IF('ZD Vorerfassung'!$E$27="",0,IF(AND(B292&gt;='ZD Vorerfassung'!$C$27,B292&lt;='ZD Vorerfassung'!$D$27),HLOOKUP(TEXT(C292,"ttt"),'ZD Vorerfassung'!$H$21:$L$36,7,0),0))+
IF('ZD Vorerfassung'!$E$28="",0,IF(AND(B292&gt;='ZD Vorerfassung'!$C$28,B292&lt;='ZD Vorerfassung'!$D$28),HLOOKUP(TEXT(C292,"ttt"),'ZD Vorerfassung'!$H$21:$L$36,8,0),0))+
IF('ZD Vorerfassung'!$E$29="",0,IF(AND(B292&gt;='ZD Vorerfassung'!$C$29,B292&lt;='ZD Vorerfassung'!$D$29),HLOOKUP(TEXT(C292,"ttt"),'ZD Vorerfassung'!$H$21:$L$36,9,0),0))+
IF('ZD Vorerfassung'!$E$30="",0,IF(AND(B292&gt;='ZD Vorerfassung'!$C$30,B292&lt;='ZD Vorerfassung'!$D$30),HLOOKUP(TEXT(C292,"ttt"),'ZD Vorerfassung'!$H$21:$L$36,10,0),0))+
IF('ZD Vorerfassung'!$E$31="",0,IF(AND(B292&gt;='ZD Vorerfassung'!$C$31,B292&lt;='ZD Vorerfassung'!$D$31),HLOOKUP(TEXT(C292,"ttt"),'ZD Vorerfassung'!$H$21:$L$36,11,0),0))+
IF('ZD Vorerfassung'!$E$32="",0,IF(AND(B292&gt;='ZD Vorerfassung'!$C$32,B292&lt;='ZD Vorerfassung'!$D$32),HLOOKUP(TEXT(C292,"ttt"),'ZD Vorerfassung'!$H$21:$L$36,12,0),0))+
IF('ZD Vorerfassung'!$E$33="",0,IF(AND(B292&gt;='ZD Vorerfassung'!$C$33,B292&lt;='ZD Vorerfassung'!$D$33),HLOOKUP(TEXT(C292,"ttt"),'ZD Vorerfassung'!$H$21:$L$36,13,0),0))+
IF('ZD Vorerfassung'!$E$34="",0,IF(AND(B292&gt;='ZD Vorerfassung'!$C$34,B292&lt;='ZD Vorerfassung'!$D$34),HLOOKUP(TEXT(C292,"ttt"),'ZD Vorerfassung'!$H$21:$L$36,14,0),0))+
IF('ZD Vorerfassung'!$E$35="",0,IF(AND(B292&gt;='ZD Vorerfassung'!$C$35,B292&lt;='ZD Vorerfassung'!$D$35),HLOOKUP(TEXT(C292,"ttt"),'ZD Vorerfassung'!$H$21:$L$36,15,0),0))+
IF('ZD Vorerfassung'!$E$36="",0,IF(AND(B292&gt;='ZD Vorerfassung'!$C$36,B292&lt;='ZD Vorerfassung'!$D$36),HLOOKUP(TEXT(C292,"ttt"),'ZD Vorerfassung'!$H$21:$L$36,16,0),0)),"")</f>
        <v>0</v>
      </c>
      <c r="AW292" s="110">
        <f t="array" ref="AW292">IF(OR(D292="UU",D292="FT",D292="WE"),0,
IF(D292="NR",SUM(IF(B292&gt;=_xlfn.NUMBERVALUE('ZD Vorerfassung'!$C$22:$C$36),1,0)*IF(B292&lt;=_xlfn.NUMBERVALUE('ZD Vorerfassung'!$D$22:$D$36),1,0)*'ZD Vorerfassung'!$Q$22:$Q$36),
IF(OR(D292="SF",D292="FH"),SUM(IF(B292&gt;=_xlfn.NUMBERVALUE('ZD Vorerfassung'!$C$22:$C$36),1,0)*IF(B292&lt;=_xlfn.NUMBERVALUE('ZD Vorerfassung'!$D$22:$D$36),1,0)*'ZD Vorerfassung'!$R$22:$R$36*IF(D292="FH",0.5,1)),
"prüfen")))</f>
        <v>0</v>
      </c>
      <c r="AX292" s="110">
        <f t="array" ref="AX292">IF(OR(D292="UU",D292="FT",D292="WE",E292="Ferien"),0,
IF(D292="NR",SUM(IF(B292&gt;=_xlfn.NUMBERVALUE('ZD Vorerfassung'!$C$22:$C$36),1,0)*IF(B292&lt;=_xlfn.NUMBERVALUE('ZD Vorerfassung'!$D$22:$D$36),1,0)*'ZD Vorerfassung'!$W$22:$W$36),
IF(OR(D292="SF",D292="FH"),SUM(IF(B292&gt;=_xlfn.NUMBERVALUE('ZD Vorerfassung'!$C$22:$C$36),1,0)*IF(B292&lt;=_xlfn.NUMBERVALUE('ZD Vorerfassung'!$D$22:$D$36),1,0)*'ZD Vorerfassung'!$X$22:$X$36*IF(D292="FH",0.5,1)),
"prüfen")))</f>
        <v>0</v>
      </c>
      <c r="AY292" s="110">
        <f t="array" ref="AY292">IF(OR(D292="UU",D292="FT",D292="WE",E292="Ferien"),0,
IF(D292="NR",SUM(IF(B292&gt;=_xlfn.NUMBERVALUE('ZD Vorerfassung'!$C$22:$C$36),1,0)*IF(B292&lt;=_xlfn.NUMBERVALUE('ZD Vorerfassung'!$D$22:$D$36),1,0)*'ZD Vorerfassung'!$U$22:$U$36),
IF(OR(D292="SF",D292="FH"),SUM(IF(B292&gt;=_xlfn.NUMBERVALUE('ZD Vorerfassung'!$C$22:$C$36),1,0)*IF(B292&lt;=_xlfn.NUMBERVALUE('ZD Vorerfassung'!$D$22:$D$36),1,0)*'ZD Vorerfassung'!$V$22:$V$36*IF(D292="FH",0.5,1)),
"prüfen")))</f>
        <v>0</v>
      </c>
      <c r="AZ292" s="110">
        <f t="array" ref="AZ292">IF(OR(D292="UU",D292="FT",D292="WE",E292="Ferien"),0,
IF(D292="NR",SUM(IF(B292&gt;=_xlfn.NUMBERVALUE('ZD Vorerfassung'!$C$22:$C$36),1,0)*IF(B292&lt;=_xlfn.NUMBERVALUE('ZD Vorerfassung'!$D$22:$D$36),1,0)*'ZD Vorerfassung'!$S$22:$S$36),
IF(OR(D292="SF",D292="FH"),SUM(IF(B292&gt;=_xlfn.NUMBERVALUE('ZD Vorerfassung'!$C$22:$C$36),1,0)*IF(B292&lt;=_xlfn.NUMBERVALUE('ZD Vorerfassung'!$D$22:$D$36),1,0)*'ZD Vorerfassung'!$T$22:$T$36*IF(D292="FH",0.5,1)),
"prüfen")))</f>
        <v>0</v>
      </c>
      <c r="BA292" s="112">
        <f t="shared" si="56"/>
        <v>5</v>
      </c>
    </row>
    <row r="293" spans="2:53" ht="19.5" thickTop="1" thickBot="1" x14ac:dyDescent="0.3">
      <c r="B293" s="99">
        <f t="shared" si="53"/>
        <v>45058</v>
      </c>
      <c r="C293" s="100">
        <f t="shared" si="57"/>
        <v>45058</v>
      </c>
      <c r="D293" s="101" t="str">
        <f t="shared" si="58"/>
        <v>NR</v>
      </c>
      <c r="E293" s="102" t="str">
        <f t="shared" si="54"/>
        <v>Unterrichtstag</v>
      </c>
      <c r="F293" s="103">
        <f t="shared" si="59"/>
        <v>0</v>
      </c>
      <c r="G293" s="104">
        <f t="shared" si="60"/>
        <v>0</v>
      </c>
      <c r="H293" s="104">
        <f>IFERROR(IF('ZD Vorerfassung'!$E$11="manuell",SUM(I293),IF(OR(E293="Feiertag",E293="Wochenende"),0,IF('ZD Vorerfassung'!$E$11="automatisch",AX293,IF(D293="UU","UU",IF(E293=Param2,AX293/24,IF(E293=Param9,AX293/48,"")))))),0)</f>
        <v>0</v>
      </c>
      <c r="I293" s="105"/>
      <c r="J293" s="106">
        <f>IF('ZD Vorerfassung'!$E$12="manuell",SUM(K293:AI293),IF(OR(E293="Feiertag",E293="Wochenende"),0,IF('ZD Vorerfassung'!$E$12="automatisch",AY293,IF(D293="UU","UU",IF(E293=Param2,AY293/24,IF(E293=Param9,AY293/48,""))))))</f>
        <v>0</v>
      </c>
      <c r="K293" s="105"/>
      <c r="L293" s="105"/>
      <c r="M293" s="105"/>
      <c r="N293" s="105"/>
      <c r="O293" s="105"/>
      <c r="P293" s="105"/>
      <c r="Q293" s="105"/>
      <c r="R293" s="105"/>
      <c r="S293" s="105"/>
      <c r="T293" s="105"/>
      <c r="U293" s="105"/>
      <c r="V293" s="105"/>
      <c r="W293" s="105"/>
      <c r="X293" s="105"/>
      <c r="Y293" s="105"/>
      <c r="Z293" s="105"/>
      <c r="AA293" s="105"/>
      <c r="AB293" s="105"/>
      <c r="AC293" s="105"/>
      <c r="AD293" s="105"/>
      <c r="AE293" s="105"/>
      <c r="AF293" s="105"/>
      <c r="AG293" s="105"/>
      <c r="AH293" s="105"/>
      <c r="AI293" s="105"/>
      <c r="AJ293" s="107">
        <f t="shared" si="61"/>
        <v>0</v>
      </c>
      <c r="AK293" s="105"/>
      <c r="AL293" s="105"/>
      <c r="AM293" s="105"/>
      <c r="AN293" s="105"/>
      <c r="AO293" s="105"/>
      <c r="AP293" s="105"/>
      <c r="AQ293" s="108">
        <f t="shared" si="62"/>
        <v>0</v>
      </c>
      <c r="AR293" s="108">
        <f t="shared" si="63"/>
        <v>0</v>
      </c>
      <c r="AS293" s="109">
        <f t="shared" si="64"/>
        <v>0</v>
      </c>
      <c r="AU293" s="110">
        <f t="shared" si="55"/>
        <v>0</v>
      </c>
      <c r="AV293" s="111">
        <f>IF(D293="NR",
IF('ZD Vorerfassung'!$E$22="",0,IF(AND(B293&gt;='ZD Vorerfassung'!$C$22,B293&lt;='ZD Vorerfassung'!$D$22),HLOOKUP(TEXT(C293,"ttt"),'ZD Vorerfassung'!$H$21:$L$36,2,0),0))+
IF('ZD Vorerfassung'!$E$23="",0,IF(AND(B293&gt;='ZD Vorerfassung'!$C$23,B293&lt;='ZD Vorerfassung'!$D$23),HLOOKUP(TEXT(C293,"ttt"),'ZD Vorerfassung'!$H$21:$L$36,3,0),0))+
IF('ZD Vorerfassung'!$E$24="",0,IF(AND(B293&gt;='ZD Vorerfassung'!$C$24,B293&lt;='ZD Vorerfassung'!$D$24),HLOOKUP(TEXT(C293,"ttt"),'ZD Vorerfassung'!$H$21:$L$36,4,0),0))+
IF('ZD Vorerfassung'!$E$25="",0,IF(AND(B293&gt;='ZD Vorerfassung'!$C$25,B293&lt;='ZD Vorerfassung'!$D$25),HLOOKUP(TEXT(C293,"ttt"),'ZD Vorerfassung'!$H$21:$L$36,5,0),0))+
IF('ZD Vorerfassung'!$E$26="",0,IF(AND(B293&gt;='ZD Vorerfassung'!$C$26,B293&lt;='ZD Vorerfassung'!$D$26),HLOOKUP(TEXT(C293,"ttt"),'ZD Vorerfassung'!$H$21:$L$36,6,0),0))+
IF('ZD Vorerfassung'!$E$27="",0,IF(AND(B293&gt;='ZD Vorerfassung'!$C$27,B293&lt;='ZD Vorerfassung'!$D$27),HLOOKUP(TEXT(C293,"ttt"),'ZD Vorerfassung'!$H$21:$L$36,7,0),0))+
IF('ZD Vorerfassung'!$E$28="",0,IF(AND(B293&gt;='ZD Vorerfassung'!$C$28,B293&lt;='ZD Vorerfassung'!$D$28),HLOOKUP(TEXT(C293,"ttt"),'ZD Vorerfassung'!$H$21:$L$36,8,0),0))+
IF('ZD Vorerfassung'!$E$29="",0,IF(AND(B293&gt;='ZD Vorerfassung'!$C$29,B293&lt;='ZD Vorerfassung'!$D$29),HLOOKUP(TEXT(C293,"ttt"),'ZD Vorerfassung'!$H$21:$L$36,9,0),0))+
IF('ZD Vorerfassung'!$E$30="",0,IF(AND(B293&gt;='ZD Vorerfassung'!$C$30,B293&lt;='ZD Vorerfassung'!$D$30),HLOOKUP(TEXT(C293,"ttt"),'ZD Vorerfassung'!$H$21:$L$36,10,0),0))+
IF('ZD Vorerfassung'!$E$31="",0,IF(AND(B293&gt;='ZD Vorerfassung'!$C$31,B293&lt;='ZD Vorerfassung'!$D$31),HLOOKUP(TEXT(C293,"ttt"),'ZD Vorerfassung'!$H$21:$L$36,11,0),0))+
IF('ZD Vorerfassung'!$E$32="",0,IF(AND(B293&gt;='ZD Vorerfassung'!$C$32,B293&lt;='ZD Vorerfassung'!$D$32),HLOOKUP(TEXT(C293,"ttt"),'ZD Vorerfassung'!$H$21:$L$36,12,0),0))+
IF('ZD Vorerfassung'!$E$33="",0,IF(AND(B293&gt;='ZD Vorerfassung'!$C$33,B293&lt;='ZD Vorerfassung'!$D$33),HLOOKUP(TEXT(C293,"ttt"),'ZD Vorerfassung'!$H$21:$L$36,13,0),0))+
IF('ZD Vorerfassung'!$E$34="",0,IF(AND(B293&gt;='ZD Vorerfassung'!$C$34,B293&lt;='ZD Vorerfassung'!$D$34),HLOOKUP(TEXT(C293,"ttt"),'ZD Vorerfassung'!$H$21:$L$36,14,0),0))+
IF('ZD Vorerfassung'!$E$35="",0,IF(AND(B293&gt;='ZD Vorerfassung'!$C$35,B293&lt;='ZD Vorerfassung'!$D$35),HLOOKUP(TEXT(C293,"ttt"),'ZD Vorerfassung'!$H$21:$L$36,15,0),0))+
IF('ZD Vorerfassung'!$E$36="",0,IF(AND(B293&gt;='ZD Vorerfassung'!$C$36,B293&lt;='ZD Vorerfassung'!$D$36),HLOOKUP(TEXT(C293,"ttt"),'ZD Vorerfassung'!$H$21:$L$36,16,0),0)),"")</f>
        <v>0</v>
      </c>
      <c r="AW293" s="110">
        <f t="array" ref="AW293">IF(OR(D293="UU",D293="FT",D293="WE"),0,
IF(D293="NR",SUM(IF(B293&gt;=_xlfn.NUMBERVALUE('ZD Vorerfassung'!$C$22:$C$36),1,0)*IF(B293&lt;=_xlfn.NUMBERVALUE('ZD Vorerfassung'!$D$22:$D$36),1,0)*'ZD Vorerfassung'!$Q$22:$Q$36),
IF(OR(D293="SF",D293="FH"),SUM(IF(B293&gt;=_xlfn.NUMBERVALUE('ZD Vorerfassung'!$C$22:$C$36),1,0)*IF(B293&lt;=_xlfn.NUMBERVALUE('ZD Vorerfassung'!$D$22:$D$36),1,0)*'ZD Vorerfassung'!$R$22:$R$36*IF(D293="FH",0.5,1)),
"prüfen")))</f>
        <v>0</v>
      </c>
      <c r="AX293" s="110">
        <f t="array" ref="AX293">IF(OR(D293="UU",D293="FT",D293="WE",E293="Ferien"),0,
IF(D293="NR",SUM(IF(B293&gt;=_xlfn.NUMBERVALUE('ZD Vorerfassung'!$C$22:$C$36),1,0)*IF(B293&lt;=_xlfn.NUMBERVALUE('ZD Vorerfassung'!$D$22:$D$36),1,0)*'ZD Vorerfassung'!$W$22:$W$36),
IF(OR(D293="SF",D293="FH"),SUM(IF(B293&gt;=_xlfn.NUMBERVALUE('ZD Vorerfassung'!$C$22:$C$36),1,0)*IF(B293&lt;=_xlfn.NUMBERVALUE('ZD Vorerfassung'!$D$22:$D$36),1,0)*'ZD Vorerfassung'!$X$22:$X$36*IF(D293="FH",0.5,1)),
"prüfen")))</f>
        <v>0</v>
      </c>
      <c r="AY293" s="110">
        <f t="array" ref="AY293">IF(OR(D293="UU",D293="FT",D293="WE",E293="Ferien"),0,
IF(D293="NR",SUM(IF(B293&gt;=_xlfn.NUMBERVALUE('ZD Vorerfassung'!$C$22:$C$36),1,0)*IF(B293&lt;=_xlfn.NUMBERVALUE('ZD Vorerfassung'!$D$22:$D$36),1,0)*'ZD Vorerfassung'!$U$22:$U$36),
IF(OR(D293="SF",D293="FH"),SUM(IF(B293&gt;=_xlfn.NUMBERVALUE('ZD Vorerfassung'!$C$22:$C$36),1,0)*IF(B293&lt;=_xlfn.NUMBERVALUE('ZD Vorerfassung'!$D$22:$D$36),1,0)*'ZD Vorerfassung'!$V$22:$V$36*IF(D293="FH",0.5,1)),
"prüfen")))</f>
        <v>0</v>
      </c>
      <c r="AZ293" s="110">
        <f t="array" ref="AZ293">IF(OR(D293="UU",D293="FT",D293="WE",E293="Ferien"),0,
IF(D293="NR",SUM(IF(B293&gt;=_xlfn.NUMBERVALUE('ZD Vorerfassung'!$C$22:$C$36),1,0)*IF(B293&lt;=_xlfn.NUMBERVALUE('ZD Vorerfassung'!$D$22:$D$36),1,0)*'ZD Vorerfassung'!$S$22:$S$36),
IF(OR(D293="SF",D293="FH"),SUM(IF(B293&gt;=_xlfn.NUMBERVALUE('ZD Vorerfassung'!$C$22:$C$36),1,0)*IF(B293&lt;=_xlfn.NUMBERVALUE('ZD Vorerfassung'!$D$22:$D$36),1,0)*'ZD Vorerfassung'!$T$22:$T$36*IF(D293="FH",0.5,1)),
"prüfen")))</f>
        <v>0</v>
      </c>
      <c r="BA293" s="112">
        <f t="shared" si="56"/>
        <v>5</v>
      </c>
    </row>
    <row r="294" spans="2:53" ht="19.5" thickTop="1" thickBot="1" x14ac:dyDescent="0.3">
      <c r="B294" s="99">
        <f t="shared" si="53"/>
        <v>45059</v>
      </c>
      <c r="C294" s="100">
        <f t="shared" si="57"/>
        <v>45059</v>
      </c>
      <c r="D294" s="101" t="str">
        <f t="shared" si="58"/>
        <v>NR</v>
      </c>
      <c r="E294" s="102" t="str">
        <f t="shared" si="54"/>
        <v>Unterrichtstag</v>
      </c>
      <c r="F294" s="103">
        <f t="shared" si="59"/>
        <v>0</v>
      </c>
      <c r="G294" s="104">
        <f t="shared" si="60"/>
        <v>0</v>
      </c>
      <c r="H294" s="104">
        <f>IFERROR(IF('ZD Vorerfassung'!$E$11="manuell",SUM(I294),IF(OR(E294="Feiertag",E294="Wochenende"),0,IF('ZD Vorerfassung'!$E$11="automatisch",AX294,IF(D294="UU","UU",IF(E294=Param2,AX294/24,IF(E294=Param9,AX294/48,"")))))),0)</f>
        <v>0</v>
      </c>
      <c r="I294" s="105"/>
      <c r="J294" s="106">
        <f>IF('ZD Vorerfassung'!$E$12="manuell",SUM(K294:AI294),IF(OR(E294="Feiertag",E294="Wochenende"),0,IF('ZD Vorerfassung'!$E$12="automatisch",AY294,IF(D294="UU","UU",IF(E294=Param2,AY294/24,IF(E294=Param9,AY294/48,""))))))</f>
        <v>0</v>
      </c>
      <c r="K294" s="105"/>
      <c r="L294" s="105"/>
      <c r="M294" s="105"/>
      <c r="N294" s="105"/>
      <c r="O294" s="105"/>
      <c r="P294" s="105"/>
      <c r="Q294" s="105"/>
      <c r="R294" s="105"/>
      <c r="S294" s="105"/>
      <c r="T294" s="105"/>
      <c r="U294" s="105"/>
      <c r="V294" s="105"/>
      <c r="W294" s="105"/>
      <c r="X294" s="105"/>
      <c r="Y294" s="105"/>
      <c r="Z294" s="105"/>
      <c r="AA294" s="105"/>
      <c r="AB294" s="105"/>
      <c r="AC294" s="105"/>
      <c r="AD294" s="105"/>
      <c r="AE294" s="105"/>
      <c r="AF294" s="105"/>
      <c r="AG294" s="105"/>
      <c r="AH294" s="105"/>
      <c r="AI294" s="105"/>
      <c r="AJ294" s="107">
        <f t="shared" si="61"/>
        <v>0</v>
      </c>
      <c r="AK294" s="105"/>
      <c r="AL294" s="105"/>
      <c r="AM294" s="105"/>
      <c r="AN294" s="105"/>
      <c r="AO294" s="105"/>
      <c r="AP294" s="105"/>
      <c r="AQ294" s="108">
        <f t="shared" si="62"/>
        <v>0</v>
      </c>
      <c r="AR294" s="108">
        <f t="shared" si="63"/>
        <v>0</v>
      </c>
      <c r="AS294" s="109">
        <f t="shared" si="64"/>
        <v>0</v>
      </c>
      <c r="AU294" s="110">
        <f t="shared" si="55"/>
        <v>0</v>
      </c>
      <c r="AV294" s="111">
        <f>IF(D294="NR",
IF('ZD Vorerfassung'!$E$22="",0,IF(AND(B294&gt;='ZD Vorerfassung'!$C$22,B294&lt;='ZD Vorerfassung'!$D$22),HLOOKUP(TEXT(C294,"ttt"),'ZD Vorerfassung'!$H$21:$L$36,2,0),0))+
IF('ZD Vorerfassung'!$E$23="",0,IF(AND(B294&gt;='ZD Vorerfassung'!$C$23,B294&lt;='ZD Vorerfassung'!$D$23),HLOOKUP(TEXT(C294,"ttt"),'ZD Vorerfassung'!$H$21:$L$36,3,0),0))+
IF('ZD Vorerfassung'!$E$24="",0,IF(AND(B294&gt;='ZD Vorerfassung'!$C$24,B294&lt;='ZD Vorerfassung'!$D$24),HLOOKUP(TEXT(C294,"ttt"),'ZD Vorerfassung'!$H$21:$L$36,4,0),0))+
IF('ZD Vorerfassung'!$E$25="",0,IF(AND(B294&gt;='ZD Vorerfassung'!$C$25,B294&lt;='ZD Vorerfassung'!$D$25),HLOOKUP(TEXT(C294,"ttt"),'ZD Vorerfassung'!$H$21:$L$36,5,0),0))+
IF('ZD Vorerfassung'!$E$26="",0,IF(AND(B294&gt;='ZD Vorerfassung'!$C$26,B294&lt;='ZD Vorerfassung'!$D$26),HLOOKUP(TEXT(C294,"ttt"),'ZD Vorerfassung'!$H$21:$L$36,6,0),0))+
IF('ZD Vorerfassung'!$E$27="",0,IF(AND(B294&gt;='ZD Vorerfassung'!$C$27,B294&lt;='ZD Vorerfassung'!$D$27),HLOOKUP(TEXT(C294,"ttt"),'ZD Vorerfassung'!$H$21:$L$36,7,0),0))+
IF('ZD Vorerfassung'!$E$28="",0,IF(AND(B294&gt;='ZD Vorerfassung'!$C$28,B294&lt;='ZD Vorerfassung'!$D$28),HLOOKUP(TEXT(C294,"ttt"),'ZD Vorerfassung'!$H$21:$L$36,8,0),0))+
IF('ZD Vorerfassung'!$E$29="",0,IF(AND(B294&gt;='ZD Vorerfassung'!$C$29,B294&lt;='ZD Vorerfassung'!$D$29),HLOOKUP(TEXT(C294,"ttt"),'ZD Vorerfassung'!$H$21:$L$36,9,0),0))+
IF('ZD Vorerfassung'!$E$30="",0,IF(AND(B294&gt;='ZD Vorerfassung'!$C$30,B294&lt;='ZD Vorerfassung'!$D$30),HLOOKUP(TEXT(C294,"ttt"),'ZD Vorerfassung'!$H$21:$L$36,10,0),0))+
IF('ZD Vorerfassung'!$E$31="",0,IF(AND(B294&gt;='ZD Vorerfassung'!$C$31,B294&lt;='ZD Vorerfassung'!$D$31),HLOOKUP(TEXT(C294,"ttt"),'ZD Vorerfassung'!$H$21:$L$36,11,0),0))+
IF('ZD Vorerfassung'!$E$32="",0,IF(AND(B294&gt;='ZD Vorerfassung'!$C$32,B294&lt;='ZD Vorerfassung'!$D$32),HLOOKUP(TEXT(C294,"ttt"),'ZD Vorerfassung'!$H$21:$L$36,12,0),0))+
IF('ZD Vorerfassung'!$E$33="",0,IF(AND(B294&gt;='ZD Vorerfassung'!$C$33,B294&lt;='ZD Vorerfassung'!$D$33),HLOOKUP(TEXT(C294,"ttt"),'ZD Vorerfassung'!$H$21:$L$36,13,0),0))+
IF('ZD Vorerfassung'!$E$34="",0,IF(AND(B294&gt;='ZD Vorerfassung'!$C$34,B294&lt;='ZD Vorerfassung'!$D$34),HLOOKUP(TEXT(C294,"ttt"),'ZD Vorerfassung'!$H$21:$L$36,14,0),0))+
IF('ZD Vorerfassung'!$E$35="",0,IF(AND(B294&gt;='ZD Vorerfassung'!$C$35,B294&lt;='ZD Vorerfassung'!$D$35),HLOOKUP(TEXT(C294,"ttt"),'ZD Vorerfassung'!$H$21:$L$36,15,0),0))+
IF('ZD Vorerfassung'!$E$36="",0,IF(AND(B294&gt;='ZD Vorerfassung'!$C$36,B294&lt;='ZD Vorerfassung'!$D$36),HLOOKUP(TEXT(C294,"ttt"),'ZD Vorerfassung'!$H$21:$L$36,16,0),0)),"")</f>
        <v>0</v>
      </c>
      <c r="AW294" s="110">
        <f t="array" ref="AW294">IF(OR(D294="UU",D294="FT",D294="WE"),0,
IF(D294="NR",SUM(IF(B294&gt;=_xlfn.NUMBERVALUE('ZD Vorerfassung'!$C$22:$C$36),1,0)*IF(B294&lt;=_xlfn.NUMBERVALUE('ZD Vorerfassung'!$D$22:$D$36),1,0)*'ZD Vorerfassung'!$Q$22:$Q$36),
IF(OR(D294="SF",D294="FH"),SUM(IF(B294&gt;=_xlfn.NUMBERVALUE('ZD Vorerfassung'!$C$22:$C$36),1,0)*IF(B294&lt;=_xlfn.NUMBERVALUE('ZD Vorerfassung'!$D$22:$D$36),1,0)*'ZD Vorerfassung'!$R$22:$R$36*IF(D294="FH",0.5,1)),
"prüfen")))</f>
        <v>0</v>
      </c>
      <c r="AX294" s="110">
        <f t="array" ref="AX294">IF(OR(D294="UU",D294="FT",D294="WE",E294="Ferien"),0,
IF(D294="NR",SUM(IF(B294&gt;=_xlfn.NUMBERVALUE('ZD Vorerfassung'!$C$22:$C$36),1,0)*IF(B294&lt;=_xlfn.NUMBERVALUE('ZD Vorerfassung'!$D$22:$D$36),1,0)*'ZD Vorerfassung'!$W$22:$W$36),
IF(OR(D294="SF",D294="FH"),SUM(IF(B294&gt;=_xlfn.NUMBERVALUE('ZD Vorerfassung'!$C$22:$C$36),1,0)*IF(B294&lt;=_xlfn.NUMBERVALUE('ZD Vorerfassung'!$D$22:$D$36),1,0)*'ZD Vorerfassung'!$X$22:$X$36*IF(D294="FH",0.5,1)),
"prüfen")))</f>
        <v>0</v>
      </c>
      <c r="AY294" s="110">
        <f t="array" ref="AY294">IF(OR(D294="UU",D294="FT",D294="WE",E294="Ferien"),0,
IF(D294="NR",SUM(IF(B294&gt;=_xlfn.NUMBERVALUE('ZD Vorerfassung'!$C$22:$C$36),1,0)*IF(B294&lt;=_xlfn.NUMBERVALUE('ZD Vorerfassung'!$D$22:$D$36),1,0)*'ZD Vorerfassung'!$U$22:$U$36),
IF(OR(D294="SF",D294="FH"),SUM(IF(B294&gt;=_xlfn.NUMBERVALUE('ZD Vorerfassung'!$C$22:$C$36),1,0)*IF(B294&lt;=_xlfn.NUMBERVALUE('ZD Vorerfassung'!$D$22:$D$36),1,0)*'ZD Vorerfassung'!$V$22:$V$36*IF(D294="FH",0.5,1)),
"prüfen")))</f>
        <v>0</v>
      </c>
      <c r="AZ294" s="110">
        <f t="array" ref="AZ294">IF(OR(D294="UU",D294="FT",D294="WE",E294="Ferien"),0,
IF(D294="NR",SUM(IF(B294&gt;=_xlfn.NUMBERVALUE('ZD Vorerfassung'!$C$22:$C$36),1,0)*IF(B294&lt;=_xlfn.NUMBERVALUE('ZD Vorerfassung'!$D$22:$D$36),1,0)*'ZD Vorerfassung'!$S$22:$S$36),
IF(OR(D294="SF",D294="FH"),SUM(IF(B294&gt;=_xlfn.NUMBERVALUE('ZD Vorerfassung'!$C$22:$C$36),1,0)*IF(B294&lt;=_xlfn.NUMBERVALUE('ZD Vorerfassung'!$D$22:$D$36),1,0)*'ZD Vorerfassung'!$T$22:$T$36*IF(D294="FH",0.5,1)),
"prüfen")))</f>
        <v>0</v>
      </c>
      <c r="BA294" s="112">
        <f t="shared" si="56"/>
        <v>5</v>
      </c>
    </row>
    <row r="295" spans="2:53" ht="19.5" thickTop="1" thickBot="1" x14ac:dyDescent="0.3">
      <c r="B295" s="99">
        <f t="shared" si="53"/>
        <v>45060</v>
      </c>
      <c r="C295" s="100">
        <f t="shared" si="57"/>
        <v>45060</v>
      </c>
      <c r="D295" s="101" t="str">
        <f t="shared" si="58"/>
        <v>WE</v>
      </c>
      <c r="E295" s="102" t="str">
        <f t="shared" si="54"/>
        <v>Wochenende</v>
      </c>
      <c r="F295" s="103" t="str">
        <f t="shared" si="59"/>
        <v/>
      </c>
      <c r="G295" s="104" t="str">
        <f t="shared" si="60"/>
        <v/>
      </c>
      <c r="H295" s="104">
        <f>IFERROR(IF('ZD Vorerfassung'!$E$11="manuell",SUM(I295),IF(OR(E295="Feiertag",E295="Wochenende"),0,IF('ZD Vorerfassung'!$E$11="automatisch",AX295,IF(D295="UU","UU",IF(E295=Param2,AX295/24,IF(E295=Param9,AX295/48,"")))))),0)</f>
        <v>0</v>
      </c>
      <c r="I295" s="105"/>
      <c r="J295" s="106">
        <f>IF('ZD Vorerfassung'!$E$12="manuell",SUM(K295:AI295),IF(OR(E295="Feiertag",E295="Wochenende"),0,IF('ZD Vorerfassung'!$E$12="automatisch",AY295,IF(D295="UU","UU",IF(E295=Param2,AY295/24,IF(E295=Param9,AY295/48,""))))))</f>
        <v>0</v>
      </c>
      <c r="K295" s="105"/>
      <c r="L295" s="105"/>
      <c r="M295" s="105"/>
      <c r="N295" s="105"/>
      <c r="O295" s="105"/>
      <c r="P295" s="105"/>
      <c r="Q295" s="105"/>
      <c r="R295" s="105"/>
      <c r="S295" s="105"/>
      <c r="T295" s="105"/>
      <c r="U295" s="105"/>
      <c r="V295" s="105"/>
      <c r="W295" s="105"/>
      <c r="X295" s="105"/>
      <c r="Y295" s="105"/>
      <c r="Z295" s="105"/>
      <c r="AA295" s="105"/>
      <c r="AB295" s="105"/>
      <c r="AC295" s="105"/>
      <c r="AD295" s="105"/>
      <c r="AE295" s="105"/>
      <c r="AF295" s="105"/>
      <c r="AG295" s="105"/>
      <c r="AH295" s="105"/>
      <c r="AI295" s="105"/>
      <c r="AJ295" s="107">
        <f t="shared" si="61"/>
        <v>0</v>
      </c>
      <c r="AK295" s="105"/>
      <c r="AL295" s="105"/>
      <c r="AM295" s="105"/>
      <c r="AN295" s="105"/>
      <c r="AO295" s="105"/>
      <c r="AP295" s="105"/>
      <c r="AQ295" s="108">
        <f t="shared" si="62"/>
        <v>0</v>
      </c>
      <c r="AR295" s="108">
        <f t="shared" si="63"/>
        <v>0</v>
      </c>
      <c r="AS295" s="109">
        <f t="shared" si="64"/>
        <v>0</v>
      </c>
      <c r="AU295" s="110">
        <f t="shared" si="55"/>
        <v>0</v>
      </c>
      <c r="AV295" s="111" t="str">
        <f>IF(D295="NR",
IF('ZD Vorerfassung'!$E$22="",0,IF(AND(B295&gt;='ZD Vorerfassung'!$C$22,B295&lt;='ZD Vorerfassung'!$D$22),HLOOKUP(TEXT(C295,"ttt"),'ZD Vorerfassung'!$H$21:$L$36,2,0),0))+
IF('ZD Vorerfassung'!$E$23="",0,IF(AND(B295&gt;='ZD Vorerfassung'!$C$23,B295&lt;='ZD Vorerfassung'!$D$23),HLOOKUP(TEXT(C295,"ttt"),'ZD Vorerfassung'!$H$21:$L$36,3,0),0))+
IF('ZD Vorerfassung'!$E$24="",0,IF(AND(B295&gt;='ZD Vorerfassung'!$C$24,B295&lt;='ZD Vorerfassung'!$D$24),HLOOKUP(TEXT(C295,"ttt"),'ZD Vorerfassung'!$H$21:$L$36,4,0),0))+
IF('ZD Vorerfassung'!$E$25="",0,IF(AND(B295&gt;='ZD Vorerfassung'!$C$25,B295&lt;='ZD Vorerfassung'!$D$25),HLOOKUP(TEXT(C295,"ttt"),'ZD Vorerfassung'!$H$21:$L$36,5,0),0))+
IF('ZD Vorerfassung'!$E$26="",0,IF(AND(B295&gt;='ZD Vorerfassung'!$C$26,B295&lt;='ZD Vorerfassung'!$D$26),HLOOKUP(TEXT(C295,"ttt"),'ZD Vorerfassung'!$H$21:$L$36,6,0),0))+
IF('ZD Vorerfassung'!$E$27="",0,IF(AND(B295&gt;='ZD Vorerfassung'!$C$27,B295&lt;='ZD Vorerfassung'!$D$27),HLOOKUP(TEXT(C295,"ttt"),'ZD Vorerfassung'!$H$21:$L$36,7,0),0))+
IF('ZD Vorerfassung'!$E$28="",0,IF(AND(B295&gt;='ZD Vorerfassung'!$C$28,B295&lt;='ZD Vorerfassung'!$D$28),HLOOKUP(TEXT(C295,"ttt"),'ZD Vorerfassung'!$H$21:$L$36,8,0),0))+
IF('ZD Vorerfassung'!$E$29="",0,IF(AND(B295&gt;='ZD Vorerfassung'!$C$29,B295&lt;='ZD Vorerfassung'!$D$29),HLOOKUP(TEXT(C295,"ttt"),'ZD Vorerfassung'!$H$21:$L$36,9,0),0))+
IF('ZD Vorerfassung'!$E$30="",0,IF(AND(B295&gt;='ZD Vorerfassung'!$C$30,B295&lt;='ZD Vorerfassung'!$D$30),HLOOKUP(TEXT(C295,"ttt"),'ZD Vorerfassung'!$H$21:$L$36,10,0),0))+
IF('ZD Vorerfassung'!$E$31="",0,IF(AND(B295&gt;='ZD Vorerfassung'!$C$31,B295&lt;='ZD Vorerfassung'!$D$31),HLOOKUP(TEXT(C295,"ttt"),'ZD Vorerfassung'!$H$21:$L$36,11,0),0))+
IF('ZD Vorerfassung'!$E$32="",0,IF(AND(B295&gt;='ZD Vorerfassung'!$C$32,B295&lt;='ZD Vorerfassung'!$D$32),HLOOKUP(TEXT(C295,"ttt"),'ZD Vorerfassung'!$H$21:$L$36,12,0),0))+
IF('ZD Vorerfassung'!$E$33="",0,IF(AND(B295&gt;='ZD Vorerfassung'!$C$33,B295&lt;='ZD Vorerfassung'!$D$33),HLOOKUP(TEXT(C295,"ttt"),'ZD Vorerfassung'!$H$21:$L$36,13,0),0))+
IF('ZD Vorerfassung'!$E$34="",0,IF(AND(B295&gt;='ZD Vorerfassung'!$C$34,B295&lt;='ZD Vorerfassung'!$D$34),HLOOKUP(TEXT(C295,"ttt"),'ZD Vorerfassung'!$H$21:$L$36,14,0),0))+
IF('ZD Vorerfassung'!$E$35="",0,IF(AND(B295&gt;='ZD Vorerfassung'!$C$35,B295&lt;='ZD Vorerfassung'!$D$35),HLOOKUP(TEXT(C295,"ttt"),'ZD Vorerfassung'!$H$21:$L$36,15,0),0))+
IF('ZD Vorerfassung'!$E$36="",0,IF(AND(B295&gt;='ZD Vorerfassung'!$C$36,B295&lt;='ZD Vorerfassung'!$D$36),HLOOKUP(TEXT(C295,"ttt"),'ZD Vorerfassung'!$H$21:$L$36,16,0),0)),"")</f>
        <v/>
      </c>
      <c r="AW295" s="110">
        <f t="array" ref="AW295">IF(OR(D295="UU",D295="FT",D295="WE"),0,
IF(D295="NR",SUM(IF(B295&gt;=_xlfn.NUMBERVALUE('ZD Vorerfassung'!$C$22:$C$36),1,0)*IF(B295&lt;=_xlfn.NUMBERVALUE('ZD Vorerfassung'!$D$22:$D$36),1,0)*'ZD Vorerfassung'!$Q$22:$Q$36),
IF(OR(D295="SF",D295="FH"),SUM(IF(B295&gt;=_xlfn.NUMBERVALUE('ZD Vorerfassung'!$C$22:$C$36),1,0)*IF(B295&lt;=_xlfn.NUMBERVALUE('ZD Vorerfassung'!$D$22:$D$36),1,0)*'ZD Vorerfassung'!$R$22:$R$36*IF(D295="FH",0.5,1)),
"prüfen")))</f>
        <v>0</v>
      </c>
      <c r="AX295" s="110">
        <f t="array" ref="AX295">IF(OR(D295="UU",D295="FT",D295="WE",E295="Ferien"),0,
IF(D295="NR",SUM(IF(B295&gt;=_xlfn.NUMBERVALUE('ZD Vorerfassung'!$C$22:$C$36),1,0)*IF(B295&lt;=_xlfn.NUMBERVALUE('ZD Vorerfassung'!$D$22:$D$36),1,0)*'ZD Vorerfassung'!$W$22:$W$36),
IF(OR(D295="SF",D295="FH"),SUM(IF(B295&gt;=_xlfn.NUMBERVALUE('ZD Vorerfassung'!$C$22:$C$36),1,0)*IF(B295&lt;=_xlfn.NUMBERVALUE('ZD Vorerfassung'!$D$22:$D$36),1,0)*'ZD Vorerfassung'!$X$22:$X$36*IF(D295="FH",0.5,1)),
"prüfen")))</f>
        <v>0</v>
      </c>
      <c r="AY295" s="110">
        <f t="array" ref="AY295">IF(OR(D295="UU",D295="FT",D295="WE",E295="Ferien"),0,
IF(D295="NR",SUM(IF(B295&gt;=_xlfn.NUMBERVALUE('ZD Vorerfassung'!$C$22:$C$36),1,0)*IF(B295&lt;=_xlfn.NUMBERVALUE('ZD Vorerfassung'!$D$22:$D$36),1,0)*'ZD Vorerfassung'!$U$22:$U$36),
IF(OR(D295="SF",D295="FH"),SUM(IF(B295&gt;=_xlfn.NUMBERVALUE('ZD Vorerfassung'!$C$22:$C$36),1,0)*IF(B295&lt;=_xlfn.NUMBERVALUE('ZD Vorerfassung'!$D$22:$D$36),1,0)*'ZD Vorerfassung'!$V$22:$V$36*IF(D295="FH",0.5,1)),
"prüfen")))</f>
        <v>0</v>
      </c>
      <c r="AZ295" s="110">
        <f t="array" ref="AZ295">IF(OR(D295="UU",D295="FT",D295="WE",E295="Ferien"),0,
IF(D295="NR",SUM(IF(B295&gt;=_xlfn.NUMBERVALUE('ZD Vorerfassung'!$C$22:$C$36),1,0)*IF(B295&lt;=_xlfn.NUMBERVALUE('ZD Vorerfassung'!$D$22:$D$36),1,0)*'ZD Vorerfassung'!$S$22:$S$36),
IF(OR(D295="SF",D295="FH"),SUM(IF(B295&gt;=_xlfn.NUMBERVALUE('ZD Vorerfassung'!$C$22:$C$36),1,0)*IF(B295&lt;=_xlfn.NUMBERVALUE('ZD Vorerfassung'!$D$22:$D$36),1,0)*'ZD Vorerfassung'!$T$22:$T$36*IF(D295="FH",0.5,1)),
"prüfen")))</f>
        <v>0</v>
      </c>
      <c r="BA295" s="112">
        <f t="shared" si="56"/>
        <v>5</v>
      </c>
    </row>
    <row r="296" spans="2:53" ht="19.5" thickTop="1" thickBot="1" x14ac:dyDescent="0.3">
      <c r="B296" s="99">
        <f t="shared" si="53"/>
        <v>45061</v>
      </c>
      <c r="C296" s="100">
        <f t="shared" si="57"/>
        <v>45061</v>
      </c>
      <c r="D296" s="101" t="str">
        <f t="shared" si="58"/>
        <v>WE</v>
      </c>
      <c r="E296" s="102" t="str">
        <f t="shared" si="54"/>
        <v>Wochenende</v>
      </c>
      <c r="F296" s="103" t="str">
        <f t="shared" si="59"/>
        <v/>
      </c>
      <c r="G296" s="104" t="str">
        <f t="shared" si="60"/>
        <v/>
      </c>
      <c r="H296" s="104">
        <f>IFERROR(IF('ZD Vorerfassung'!$E$11="manuell",SUM(I296),IF(OR(E296="Feiertag",E296="Wochenende"),0,IF('ZD Vorerfassung'!$E$11="automatisch",AX296,IF(D296="UU","UU",IF(E296=Param2,AX296/24,IF(E296=Param9,AX296/48,"")))))),0)</f>
        <v>0</v>
      </c>
      <c r="I296" s="105"/>
      <c r="J296" s="106">
        <f>IF('ZD Vorerfassung'!$E$12="manuell",SUM(K296:AI296),IF(OR(E296="Feiertag",E296="Wochenende"),0,IF('ZD Vorerfassung'!$E$12="automatisch",AY296,IF(D296="UU","UU",IF(E296=Param2,AY296/24,IF(E296=Param9,AY296/48,""))))))</f>
        <v>0</v>
      </c>
      <c r="K296" s="105"/>
      <c r="L296" s="105"/>
      <c r="M296" s="105"/>
      <c r="N296" s="105"/>
      <c r="O296" s="105"/>
      <c r="P296" s="105"/>
      <c r="Q296" s="105"/>
      <c r="R296" s="105"/>
      <c r="S296" s="105"/>
      <c r="T296" s="105"/>
      <c r="U296" s="105"/>
      <c r="V296" s="105"/>
      <c r="W296" s="105"/>
      <c r="X296" s="105"/>
      <c r="Y296" s="105"/>
      <c r="Z296" s="105"/>
      <c r="AA296" s="105"/>
      <c r="AB296" s="105"/>
      <c r="AC296" s="105"/>
      <c r="AD296" s="105"/>
      <c r="AE296" s="105"/>
      <c r="AF296" s="105"/>
      <c r="AG296" s="105"/>
      <c r="AH296" s="105"/>
      <c r="AI296" s="105"/>
      <c r="AJ296" s="107">
        <f t="shared" si="61"/>
        <v>0</v>
      </c>
      <c r="AK296" s="105"/>
      <c r="AL296" s="105"/>
      <c r="AM296" s="105"/>
      <c r="AN296" s="105"/>
      <c r="AO296" s="105"/>
      <c r="AP296" s="105"/>
      <c r="AQ296" s="108">
        <f t="shared" si="62"/>
        <v>0</v>
      </c>
      <c r="AR296" s="108">
        <f t="shared" si="63"/>
        <v>0</v>
      </c>
      <c r="AS296" s="109">
        <f t="shared" si="64"/>
        <v>0</v>
      </c>
      <c r="AU296" s="110">
        <f t="shared" si="55"/>
        <v>0</v>
      </c>
      <c r="AV296" s="111" t="str">
        <f>IF(D296="NR",
IF('ZD Vorerfassung'!$E$22="",0,IF(AND(B296&gt;='ZD Vorerfassung'!$C$22,B296&lt;='ZD Vorerfassung'!$D$22),HLOOKUP(TEXT(C296,"ttt"),'ZD Vorerfassung'!$H$21:$L$36,2,0),0))+
IF('ZD Vorerfassung'!$E$23="",0,IF(AND(B296&gt;='ZD Vorerfassung'!$C$23,B296&lt;='ZD Vorerfassung'!$D$23),HLOOKUP(TEXT(C296,"ttt"),'ZD Vorerfassung'!$H$21:$L$36,3,0),0))+
IF('ZD Vorerfassung'!$E$24="",0,IF(AND(B296&gt;='ZD Vorerfassung'!$C$24,B296&lt;='ZD Vorerfassung'!$D$24),HLOOKUP(TEXT(C296,"ttt"),'ZD Vorerfassung'!$H$21:$L$36,4,0),0))+
IF('ZD Vorerfassung'!$E$25="",0,IF(AND(B296&gt;='ZD Vorerfassung'!$C$25,B296&lt;='ZD Vorerfassung'!$D$25),HLOOKUP(TEXT(C296,"ttt"),'ZD Vorerfassung'!$H$21:$L$36,5,0),0))+
IF('ZD Vorerfassung'!$E$26="",0,IF(AND(B296&gt;='ZD Vorerfassung'!$C$26,B296&lt;='ZD Vorerfassung'!$D$26),HLOOKUP(TEXT(C296,"ttt"),'ZD Vorerfassung'!$H$21:$L$36,6,0),0))+
IF('ZD Vorerfassung'!$E$27="",0,IF(AND(B296&gt;='ZD Vorerfassung'!$C$27,B296&lt;='ZD Vorerfassung'!$D$27),HLOOKUP(TEXT(C296,"ttt"),'ZD Vorerfassung'!$H$21:$L$36,7,0),0))+
IF('ZD Vorerfassung'!$E$28="",0,IF(AND(B296&gt;='ZD Vorerfassung'!$C$28,B296&lt;='ZD Vorerfassung'!$D$28),HLOOKUP(TEXT(C296,"ttt"),'ZD Vorerfassung'!$H$21:$L$36,8,0),0))+
IF('ZD Vorerfassung'!$E$29="",0,IF(AND(B296&gt;='ZD Vorerfassung'!$C$29,B296&lt;='ZD Vorerfassung'!$D$29),HLOOKUP(TEXT(C296,"ttt"),'ZD Vorerfassung'!$H$21:$L$36,9,0),0))+
IF('ZD Vorerfassung'!$E$30="",0,IF(AND(B296&gt;='ZD Vorerfassung'!$C$30,B296&lt;='ZD Vorerfassung'!$D$30),HLOOKUP(TEXT(C296,"ttt"),'ZD Vorerfassung'!$H$21:$L$36,10,0),0))+
IF('ZD Vorerfassung'!$E$31="",0,IF(AND(B296&gt;='ZD Vorerfassung'!$C$31,B296&lt;='ZD Vorerfassung'!$D$31),HLOOKUP(TEXT(C296,"ttt"),'ZD Vorerfassung'!$H$21:$L$36,11,0),0))+
IF('ZD Vorerfassung'!$E$32="",0,IF(AND(B296&gt;='ZD Vorerfassung'!$C$32,B296&lt;='ZD Vorerfassung'!$D$32),HLOOKUP(TEXT(C296,"ttt"),'ZD Vorerfassung'!$H$21:$L$36,12,0),0))+
IF('ZD Vorerfassung'!$E$33="",0,IF(AND(B296&gt;='ZD Vorerfassung'!$C$33,B296&lt;='ZD Vorerfassung'!$D$33),HLOOKUP(TEXT(C296,"ttt"),'ZD Vorerfassung'!$H$21:$L$36,13,0),0))+
IF('ZD Vorerfassung'!$E$34="",0,IF(AND(B296&gt;='ZD Vorerfassung'!$C$34,B296&lt;='ZD Vorerfassung'!$D$34),HLOOKUP(TEXT(C296,"ttt"),'ZD Vorerfassung'!$H$21:$L$36,14,0),0))+
IF('ZD Vorerfassung'!$E$35="",0,IF(AND(B296&gt;='ZD Vorerfassung'!$C$35,B296&lt;='ZD Vorerfassung'!$D$35),HLOOKUP(TEXT(C296,"ttt"),'ZD Vorerfassung'!$H$21:$L$36,15,0),0))+
IF('ZD Vorerfassung'!$E$36="",0,IF(AND(B296&gt;='ZD Vorerfassung'!$C$36,B296&lt;='ZD Vorerfassung'!$D$36),HLOOKUP(TEXT(C296,"ttt"),'ZD Vorerfassung'!$H$21:$L$36,16,0),0)),"")</f>
        <v/>
      </c>
      <c r="AW296" s="110">
        <f t="array" ref="AW296">IF(OR(D296="UU",D296="FT",D296="WE"),0,
IF(D296="NR",SUM(IF(B296&gt;=_xlfn.NUMBERVALUE('ZD Vorerfassung'!$C$22:$C$36),1,0)*IF(B296&lt;=_xlfn.NUMBERVALUE('ZD Vorerfassung'!$D$22:$D$36),1,0)*'ZD Vorerfassung'!$Q$22:$Q$36),
IF(OR(D296="SF",D296="FH"),SUM(IF(B296&gt;=_xlfn.NUMBERVALUE('ZD Vorerfassung'!$C$22:$C$36),1,0)*IF(B296&lt;=_xlfn.NUMBERVALUE('ZD Vorerfassung'!$D$22:$D$36),1,0)*'ZD Vorerfassung'!$R$22:$R$36*IF(D296="FH",0.5,1)),
"prüfen")))</f>
        <v>0</v>
      </c>
      <c r="AX296" s="110">
        <f t="array" ref="AX296">IF(OR(D296="UU",D296="FT",D296="WE",E296="Ferien"),0,
IF(D296="NR",SUM(IF(B296&gt;=_xlfn.NUMBERVALUE('ZD Vorerfassung'!$C$22:$C$36),1,0)*IF(B296&lt;=_xlfn.NUMBERVALUE('ZD Vorerfassung'!$D$22:$D$36),1,0)*'ZD Vorerfassung'!$W$22:$W$36),
IF(OR(D296="SF",D296="FH"),SUM(IF(B296&gt;=_xlfn.NUMBERVALUE('ZD Vorerfassung'!$C$22:$C$36),1,0)*IF(B296&lt;=_xlfn.NUMBERVALUE('ZD Vorerfassung'!$D$22:$D$36),1,0)*'ZD Vorerfassung'!$X$22:$X$36*IF(D296="FH",0.5,1)),
"prüfen")))</f>
        <v>0</v>
      </c>
      <c r="AY296" s="110">
        <f t="array" ref="AY296">IF(OR(D296="UU",D296="FT",D296="WE",E296="Ferien"),0,
IF(D296="NR",SUM(IF(B296&gt;=_xlfn.NUMBERVALUE('ZD Vorerfassung'!$C$22:$C$36),1,0)*IF(B296&lt;=_xlfn.NUMBERVALUE('ZD Vorerfassung'!$D$22:$D$36),1,0)*'ZD Vorerfassung'!$U$22:$U$36),
IF(OR(D296="SF",D296="FH"),SUM(IF(B296&gt;=_xlfn.NUMBERVALUE('ZD Vorerfassung'!$C$22:$C$36),1,0)*IF(B296&lt;=_xlfn.NUMBERVALUE('ZD Vorerfassung'!$D$22:$D$36),1,0)*'ZD Vorerfassung'!$V$22:$V$36*IF(D296="FH",0.5,1)),
"prüfen")))</f>
        <v>0</v>
      </c>
      <c r="AZ296" s="110">
        <f t="array" ref="AZ296">IF(OR(D296="UU",D296="FT",D296="WE",E296="Ferien"),0,
IF(D296="NR",SUM(IF(B296&gt;=_xlfn.NUMBERVALUE('ZD Vorerfassung'!$C$22:$C$36),1,0)*IF(B296&lt;=_xlfn.NUMBERVALUE('ZD Vorerfassung'!$D$22:$D$36),1,0)*'ZD Vorerfassung'!$S$22:$S$36),
IF(OR(D296="SF",D296="FH"),SUM(IF(B296&gt;=_xlfn.NUMBERVALUE('ZD Vorerfassung'!$C$22:$C$36),1,0)*IF(B296&lt;=_xlfn.NUMBERVALUE('ZD Vorerfassung'!$D$22:$D$36),1,0)*'ZD Vorerfassung'!$T$22:$T$36*IF(D296="FH",0.5,1)),
"prüfen")))</f>
        <v>0</v>
      </c>
      <c r="BA296" s="112">
        <f t="shared" si="56"/>
        <v>5</v>
      </c>
    </row>
    <row r="297" spans="2:53" ht="19.5" thickTop="1" thickBot="1" x14ac:dyDescent="0.3">
      <c r="B297" s="99">
        <f t="shared" si="53"/>
        <v>45062</v>
      </c>
      <c r="C297" s="100">
        <f t="shared" si="57"/>
        <v>45062</v>
      </c>
      <c r="D297" s="101" t="str">
        <f t="shared" si="58"/>
        <v>FT</v>
      </c>
      <c r="E297" s="102" t="str">
        <f t="shared" si="54"/>
        <v>Feiertag</v>
      </c>
      <c r="F297" s="103" t="str">
        <f t="shared" si="59"/>
        <v/>
      </c>
      <c r="G297" s="104" t="str">
        <f t="shared" si="60"/>
        <v/>
      </c>
      <c r="H297" s="104">
        <f>IFERROR(IF('ZD Vorerfassung'!$E$11="manuell",SUM(I297),IF(OR(E297="Feiertag",E297="Wochenende"),0,IF('ZD Vorerfassung'!$E$11="automatisch",AX297,IF(D297="UU","UU",IF(E297=Param2,AX297/24,IF(E297=Param9,AX297/48,"")))))),0)</f>
        <v>0</v>
      </c>
      <c r="I297" s="105"/>
      <c r="J297" s="106">
        <f>IF('ZD Vorerfassung'!$E$12="manuell",SUM(K297:AI297),IF(OR(E297="Feiertag",E297="Wochenende"),0,IF('ZD Vorerfassung'!$E$12="automatisch",AY297,IF(D297="UU","UU",IF(E297=Param2,AY297/24,IF(E297=Param9,AY297/48,""))))))</f>
        <v>0</v>
      </c>
      <c r="K297" s="105"/>
      <c r="L297" s="105"/>
      <c r="M297" s="105"/>
      <c r="N297" s="105"/>
      <c r="O297" s="105"/>
      <c r="P297" s="105"/>
      <c r="Q297" s="105"/>
      <c r="R297" s="105"/>
      <c r="S297" s="105"/>
      <c r="T297" s="105"/>
      <c r="U297" s="105"/>
      <c r="V297" s="105"/>
      <c r="W297" s="105"/>
      <c r="X297" s="105"/>
      <c r="Y297" s="105"/>
      <c r="Z297" s="105"/>
      <c r="AA297" s="105"/>
      <c r="AB297" s="105"/>
      <c r="AC297" s="105"/>
      <c r="AD297" s="105"/>
      <c r="AE297" s="105"/>
      <c r="AF297" s="105"/>
      <c r="AG297" s="105"/>
      <c r="AH297" s="105"/>
      <c r="AI297" s="105"/>
      <c r="AJ297" s="107">
        <f t="shared" si="61"/>
        <v>0</v>
      </c>
      <c r="AK297" s="105"/>
      <c r="AL297" s="105"/>
      <c r="AM297" s="105"/>
      <c r="AN297" s="105"/>
      <c r="AO297" s="105"/>
      <c r="AP297" s="105"/>
      <c r="AQ297" s="108">
        <f t="shared" si="62"/>
        <v>0</v>
      </c>
      <c r="AR297" s="108">
        <f t="shared" si="63"/>
        <v>0</v>
      </c>
      <c r="AS297" s="109">
        <f t="shared" si="64"/>
        <v>0</v>
      </c>
      <c r="AU297" s="110">
        <f t="shared" si="55"/>
        <v>0</v>
      </c>
      <c r="AV297" s="111" t="str">
        <f>IF(D297="NR",
IF('ZD Vorerfassung'!$E$22="",0,IF(AND(B297&gt;='ZD Vorerfassung'!$C$22,B297&lt;='ZD Vorerfassung'!$D$22),HLOOKUP(TEXT(C297,"ttt"),'ZD Vorerfassung'!$H$21:$L$36,2,0),0))+
IF('ZD Vorerfassung'!$E$23="",0,IF(AND(B297&gt;='ZD Vorerfassung'!$C$23,B297&lt;='ZD Vorerfassung'!$D$23),HLOOKUP(TEXT(C297,"ttt"),'ZD Vorerfassung'!$H$21:$L$36,3,0),0))+
IF('ZD Vorerfassung'!$E$24="",0,IF(AND(B297&gt;='ZD Vorerfassung'!$C$24,B297&lt;='ZD Vorerfassung'!$D$24),HLOOKUP(TEXT(C297,"ttt"),'ZD Vorerfassung'!$H$21:$L$36,4,0),0))+
IF('ZD Vorerfassung'!$E$25="",0,IF(AND(B297&gt;='ZD Vorerfassung'!$C$25,B297&lt;='ZD Vorerfassung'!$D$25),HLOOKUP(TEXT(C297,"ttt"),'ZD Vorerfassung'!$H$21:$L$36,5,0),0))+
IF('ZD Vorerfassung'!$E$26="",0,IF(AND(B297&gt;='ZD Vorerfassung'!$C$26,B297&lt;='ZD Vorerfassung'!$D$26),HLOOKUP(TEXT(C297,"ttt"),'ZD Vorerfassung'!$H$21:$L$36,6,0),0))+
IF('ZD Vorerfassung'!$E$27="",0,IF(AND(B297&gt;='ZD Vorerfassung'!$C$27,B297&lt;='ZD Vorerfassung'!$D$27),HLOOKUP(TEXT(C297,"ttt"),'ZD Vorerfassung'!$H$21:$L$36,7,0),0))+
IF('ZD Vorerfassung'!$E$28="",0,IF(AND(B297&gt;='ZD Vorerfassung'!$C$28,B297&lt;='ZD Vorerfassung'!$D$28),HLOOKUP(TEXT(C297,"ttt"),'ZD Vorerfassung'!$H$21:$L$36,8,0),0))+
IF('ZD Vorerfassung'!$E$29="",0,IF(AND(B297&gt;='ZD Vorerfassung'!$C$29,B297&lt;='ZD Vorerfassung'!$D$29),HLOOKUP(TEXT(C297,"ttt"),'ZD Vorerfassung'!$H$21:$L$36,9,0),0))+
IF('ZD Vorerfassung'!$E$30="",0,IF(AND(B297&gt;='ZD Vorerfassung'!$C$30,B297&lt;='ZD Vorerfassung'!$D$30),HLOOKUP(TEXT(C297,"ttt"),'ZD Vorerfassung'!$H$21:$L$36,10,0),0))+
IF('ZD Vorerfassung'!$E$31="",0,IF(AND(B297&gt;='ZD Vorerfassung'!$C$31,B297&lt;='ZD Vorerfassung'!$D$31),HLOOKUP(TEXT(C297,"ttt"),'ZD Vorerfassung'!$H$21:$L$36,11,0),0))+
IF('ZD Vorerfassung'!$E$32="",0,IF(AND(B297&gt;='ZD Vorerfassung'!$C$32,B297&lt;='ZD Vorerfassung'!$D$32),HLOOKUP(TEXT(C297,"ttt"),'ZD Vorerfassung'!$H$21:$L$36,12,0),0))+
IF('ZD Vorerfassung'!$E$33="",0,IF(AND(B297&gt;='ZD Vorerfassung'!$C$33,B297&lt;='ZD Vorerfassung'!$D$33),HLOOKUP(TEXT(C297,"ttt"),'ZD Vorerfassung'!$H$21:$L$36,13,0),0))+
IF('ZD Vorerfassung'!$E$34="",0,IF(AND(B297&gt;='ZD Vorerfassung'!$C$34,B297&lt;='ZD Vorerfassung'!$D$34),HLOOKUP(TEXT(C297,"ttt"),'ZD Vorerfassung'!$H$21:$L$36,14,0),0))+
IF('ZD Vorerfassung'!$E$35="",0,IF(AND(B297&gt;='ZD Vorerfassung'!$C$35,B297&lt;='ZD Vorerfassung'!$D$35),HLOOKUP(TEXT(C297,"ttt"),'ZD Vorerfassung'!$H$21:$L$36,15,0),0))+
IF('ZD Vorerfassung'!$E$36="",0,IF(AND(B297&gt;='ZD Vorerfassung'!$C$36,B297&lt;='ZD Vorerfassung'!$D$36),HLOOKUP(TEXT(C297,"ttt"),'ZD Vorerfassung'!$H$21:$L$36,16,0),0)),"")</f>
        <v/>
      </c>
      <c r="AW297" s="110">
        <f t="array" ref="AW297">IF(OR(D297="UU",D297="FT",D297="WE"),0,
IF(D297="NR",SUM(IF(B297&gt;=_xlfn.NUMBERVALUE('ZD Vorerfassung'!$C$22:$C$36),1,0)*IF(B297&lt;=_xlfn.NUMBERVALUE('ZD Vorerfassung'!$D$22:$D$36),1,0)*'ZD Vorerfassung'!$Q$22:$Q$36),
IF(OR(D297="SF",D297="FH"),SUM(IF(B297&gt;=_xlfn.NUMBERVALUE('ZD Vorerfassung'!$C$22:$C$36),1,0)*IF(B297&lt;=_xlfn.NUMBERVALUE('ZD Vorerfassung'!$D$22:$D$36),1,0)*'ZD Vorerfassung'!$R$22:$R$36*IF(D297="FH",0.5,1)),
"prüfen")))</f>
        <v>0</v>
      </c>
      <c r="AX297" s="110">
        <f t="array" ref="AX297">IF(OR(D297="UU",D297="FT",D297="WE",E297="Ferien"),0,
IF(D297="NR",SUM(IF(B297&gt;=_xlfn.NUMBERVALUE('ZD Vorerfassung'!$C$22:$C$36),1,0)*IF(B297&lt;=_xlfn.NUMBERVALUE('ZD Vorerfassung'!$D$22:$D$36),1,0)*'ZD Vorerfassung'!$W$22:$W$36),
IF(OR(D297="SF",D297="FH"),SUM(IF(B297&gt;=_xlfn.NUMBERVALUE('ZD Vorerfassung'!$C$22:$C$36),1,0)*IF(B297&lt;=_xlfn.NUMBERVALUE('ZD Vorerfassung'!$D$22:$D$36),1,0)*'ZD Vorerfassung'!$X$22:$X$36*IF(D297="FH",0.5,1)),
"prüfen")))</f>
        <v>0</v>
      </c>
      <c r="AY297" s="110">
        <f t="array" ref="AY297">IF(OR(D297="UU",D297="FT",D297="WE",E297="Ferien"),0,
IF(D297="NR",SUM(IF(B297&gt;=_xlfn.NUMBERVALUE('ZD Vorerfassung'!$C$22:$C$36),1,0)*IF(B297&lt;=_xlfn.NUMBERVALUE('ZD Vorerfassung'!$D$22:$D$36),1,0)*'ZD Vorerfassung'!$U$22:$U$36),
IF(OR(D297="SF",D297="FH"),SUM(IF(B297&gt;=_xlfn.NUMBERVALUE('ZD Vorerfassung'!$C$22:$C$36),1,0)*IF(B297&lt;=_xlfn.NUMBERVALUE('ZD Vorerfassung'!$D$22:$D$36),1,0)*'ZD Vorerfassung'!$V$22:$V$36*IF(D297="FH",0.5,1)),
"prüfen")))</f>
        <v>0</v>
      </c>
      <c r="AZ297" s="110">
        <f t="array" ref="AZ297">IF(OR(D297="UU",D297="FT",D297="WE",E297="Ferien"),0,
IF(D297="NR",SUM(IF(B297&gt;=_xlfn.NUMBERVALUE('ZD Vorerfassung'!$C$22:$C$36),1,0)*IF(B297&lt;=_xlfn.NUMBERVALUE('ZD Vorerfassung'!$D$22:$D$36),1,0)*'ZD Vorerfassung'!$S$22:$S$36),
IF(OR(D297="SF",D297="FH"),SUM(IF(B297&gt;=_xlfn.NUMBERVALUE('ZD Vorerfassung'!$C$22:$C$36),1,0)*IF(B297&lt;=_xlfn.NUMBERVALUE('ZD Vorerfassung'!$D$22:$D$36),1,0)*'ZD Vorerfassung'!$T$22:$T$36*IF(D297="FH",0.5,1)),
"prüfen")))</f>
        <v>0</v>
      </c>
      <c r="BA297" s="112">
        <f t="shared" si="56"/>
        <v>5</v>
      </c>
    </row>
    <row r="298" spans="2:53" ht="19.5" thickTop="1" thickBot="1" x14ac:dyDescent="0.3">
      <c r="B298" s="99">
        <f t="shared" si="53"/>
        <v>45063</v>
      </c>
      <c r="C298" s="100">
        <f t="shared" si="57"/>
        <v>45063</v>
      </c>
      <c r="D298" s="101" t="str">
        <f t="shared" si="58"/>
        <v>NR</v>
      </c>
      <c r="E298" s="102" t="str">
        <f t="shared" si="54"/>
        <v>Unterrichtstag</v>
      </c>
      <c r="F298" s="103">
        <f t="shared" si="59"/>
        <v>0</v>
      </c>
      <c r="G298" s="104">
        <f t="shared" si="60"/>
        <v>0</v>
      </c>
      <c r="H298" s="104">
        <f>IFERROR(IF('ZD Vorerfassung'!$E$11="manuell",SUM(I298),IF(OR(E298="Feiertag",E298="Wochenende"),0,IF('ZD Vorerfassung'!$E$11="automatisch",AX298,IF(D298="UU","UU",IF(E298=Param2,AX298/24,IF(E298=Param9,AX298/48,"")))))),0)</f>
        <v>0</v>
      </c>
      <c r="I298" s="105"/>
      <c r="J298" s="106">
        <f>IF('ZD Vorerfassung'!$E$12="manuell",SUM(K298:AI298),IF(OR(E298="Feiertag",E298="Wochenende"),0,IF('ZD Vorerfassung'!$E$12="automatisch",AY298,IF(D298="UU","UU",IF(E298=Param2,AY298/24,IF(E298=Param9,AY298/48,""))))))</f>
        <v>0</v>
      </c>
      <c r="K298" s="105"/>
      <c r="L298" s="105"/>
      <c r="M298" s="105"/>
      <c r="N298" s="105"/>
      <c r="O298" s="105"/>
      <c r="P298" s="105"/>
      <c r="Q298" s="105"/>
      <c r="R298" s="105"/>
      <c r="S298" s="105"/>
      <c r="T298" s="105"/>
      <c r="U298" s="105"/>
      <c r="V298" s="105"/>
      <c r="W298" s="105"/>
      <c r="X298" s="105"/>
      <c r="Y298" s="105"/>
      <c r="Z298" s="105"/>
      <c r="AA298" s="105"/>
      <c r="AB298" s="105"/>
      <c r="AC298" s="105"/>
      <c r="AD298" s="105"/>
      <c r="AE298" s="105"/>
      <c r="AF298" s="105"/>
      <c r="AG298" s="105"/>
      <c r="AH298" s="105"/>
      <c r="AI298" s="105"/>
      <c r="AJ298" s="107">
        <f t="shared" si="61"/>
        <v>0</v>
      </c>
      <c r="AK298" s="105"/>
      <c r="AL298" s="105"/>
      <c r="AM298" s="105"/>
      <c r="AN298" s="105"/>
      <c r="AO298" s="105"/>
      <c r="AP298" s="105"/>
      <c r="AQ298" s="108">
        <f t="shared" si="62"/>
        <v>0</v>
      </c>
      <c r="AR298" s="108">
        <f t="shared" si="63"/>
        <v>0</v>
      </c>
      <c r="AS298" s="109">
        <f t="shared" si="64"/>
        <v>0</v>
      </c>
      <c r="AU298" s="110">
        <f t="shared" si="55"/>
        <v>0</v>
      </c>
      <c r="AV298" s="111">
        <f>IF(D298="NR",
IF('ZD Vorerfassung'!$E$22="",0,IF(AND(B298&gt;='ZD Vorerfassung'!$C$22,B298&lt;='ZD Vorerfassung'!$D$22),HLOOKUP(TEXT(C298,"ttt"),'ZD Vorerfassung'!$H$21:$L$36,2,0),0))+
IF('ZD Vorerfassung'!$E$23="",0,IF(AND(B298&gt;='ZD Vorerfassung'!$C$23,B298&lt;='ZD Vorerfassung'!$D$23),HLOOKUP(TEXT(C298,"ttt"),'ZD Vorerfassung'!$H$21:$L$36,3,0),0))+
IF('ZD Vorerfassung'!$E$24="",0,IF(AND(B298&gt;='ZD Vorerfassung'!$C$24,B298&lt;='ZD Vorerfassung'!$D$24),HLOOKUP(TEXT(C298,"ttt"),'ZD Vorerfassung'!$H$21:$L$36,4,0),0))+
IF('ZD Vorerfassung'!$E$25="",0,IF(AND(B298&gt;='ZD Vorerfassung'!$C$25,B298&lt;='ZD Vorerfassung'!$D$25),HLOOKUP(TEXT(C298,"ttt"),'ZD Vorerfassung'!$H$21:$L$36,5,0),0))+
IF('ZD Vorerfassung'!$E$26="",0,IF(AND(B298&gt;='ZD Vorerfassung'!$C$26,B298&lt;='ZD Vorerfassung'!$D$26),HLOOKUP(TEXT(C298,"ttt"),'ZD Vorerfassung'!$H$21:$L$36,6,0),0))+
IF('ZD Vorerfassung'!$E$27="",0,IF(AND(B298&gt;='ZD Vorerfassung'!$C$27,B298&lt;='ZD Vorerfassung'!$D$27),HLOOKUP(TEXT(C298,"ttt"),'ZD Vorerfassung'!$H$21:$L$36,7,0),0))+
IF('ZD Vorerfassung'!$E$28="",0,IF(AND(B298&gt;='ZD Vorerfassung'!$C$28,B298&lt;='ZD Vorerfassung'!$D$28),HLOOKUP(TEXT(C298,"ttt"),'ZD Vorerfassung'!$H$21:$L$36,8,0),0))+
IF('ZD Vorerfassung'!$E$29="",0,IF(AND(B298&gt;='ZD Vorerfassung'!$C$29,B298&lt;='ZD Vorerfassung'!$D$29),HLOOKUP(TEXT(C298,"ttt"),'ZD Vorerfassung'!$H$21:$L$36,9,0),0))+
IF('ZD Vorerfassung'!$E$30="",0,IF(AND(B298&gt;='ZD Vorerfassung'!$C$30,B298&lt;='ZD Vorerfassung'!$D$30),HLOOKUP(TEXT(C298,"ttt"),'ZD Vorerfassung'!$H$21:$L$36,10,0),0))+
IF('ZD Vorerfassung'!$E$31="",0,IF(AND(B298&gt;='ZD Vorerfassung'!$C$31,B298&lt;='ZD Vorerfassung'!$D$31),HLOOKUP(TEXT(C298,"ttt"),'ZD Vorerfassung'!$H$21:$L$36,11,0),0))+
IF('ZD Vorerfassung'!$E$32="",0,IF(AND(B298&gt;='ZD Vorerfassung'!$C$32,B298&lt;='ZD Vorerfassung'!$D$32),HLOOKUP(TEXT(C298,"ttt"),'ZD Vorerfassung'!$H$21:$L$36,12,0),0))+
IF('ZD Vorerfassung'!$E$33="",0,IF(AND(B298&gt;='ZD Vorerfassung'!$C$33,B298&lt;='ZD Vorerfassung'!$D$33),HLOOKUP(TEXT(C298,"ttt"),'ZD Vorerfassung'!$H$21:$L$36,13,0),0))+
IF('ZD Vorerfassung'!$E$34="",0,IF(AND(B298&gt;='ZD Vorerfassung'!$C$34,B298&lt;='ZD Vorerfassung'!$D$34),HLOOKUP(TEXT(C298,"ttt"),'ZD Vorerfassung'!$H$21:$L$36,14,0),0))+
IF('ZD Vorerfassung'!$E$35="",0,IF(AND(B298&gt;='ZD Vorerfassung'!$C$35,B298&lt;='ZD Vorerfassung'!$D$35),HLOOKUP(TEXT(C298,"ttt"),'ZD Vorerfassung'!$H$21:$L$36,15,0),0))+
IF('ZD Vorerfassung'!$E$36="",0,IF(AND(B298&gt;='ZD Vorerfassung'!$C$36,B298&lt;='ZD Vorerfassung'!$D$36),HLOOKUP(TEXT(C298,"ttt"),'ZD Vorerfassung'!$H$21:$L$36,16,0),0)),"")</f>
        <v>0</v>
      </c>
      <c r="AW298" s="110">
        <f t="array" ref="AW298">IF(OR(D298="UU",D298="FT",D298="WE"),0,
IF(D298="NR",SUM(IF(B298&gt;=_xlfn.NUMBERVALUE('ZD Vorerfassung'!$C$22:$C$36),1,0)*IF(B298&lt;=_xlfn.NUMBERVALUE('ZD Vorerfassung'!$D$22:$D$36),1,0)*'ZD Vorerfassung'!$Q$22:$Q$36),
IF(OR(D298="SF",D298="FH"),SUM(IF(B298&gt;=_xlfn.NUMBERVALUE('ZD Vorerfassung'!$C$22:$C$36),1,0)*IF(B298&lt;=_xlfn.NUMBERVALUE('ZD Vorerfassung'!$D$22:$D$36),1,0)*'ZD Vorerfassung'!$R$22:$R$36*IF(D298="FH",0.5,1)),
"prüfen")))</f>
        <v>0</v>
      </c>
      <c r="AX298" s="110">
        <f t="array" ref="AX298">IF(OR(D298="UU",D298="FT",D298="WE",E298="Ferien"),0,
IF(D298="NR",SUM(IF(B298&gt;=_xlfn.NUMBERVALUE('ZD Vorerfassung'!$C$22:$C$36),1,0)*IF(B298&lt;=_xlfn.NUMBERVALUE('ZD Vorerfassung'!$D$22:$D$36),1,0)*'ZD Vorerfassung'!$W$22:$W$36),
IF(OR(D298="SF",D298="FH"),SUM(IF(B298&gt;=_xlfn.NUMBERVALUE('ZD Vorerfassung'!$C$22:$C$36),1,0)*IF(B298&lt;=_xlfn.NUMBERVALUE('ZD Vorerfassung'!$D$22:$D$36),1,0)*'ZD Vorerfassung'!$X$22:$X$36*IF(D298="FH",0.5,1)),
"prüfen")))</f>
        <v>0</v>
      </c>
      <c r="AY298" s="110">
        <f t="array" ref="AY298">IF(OR(D298="UU",D298="FT",D298="WE",E298="Ferien"),0,
IF(D298="NR",SUM(IF(B298&gt;=_xlfn.NUMBERVALUE('ZD Vorerfassung'!$C$22:$C$36),1,0)*IF(B298&lt;=_xlfn.NUMBERVALUE('ZD Vorerfassung'!$D$22:$D$36),1,0)*'ZD Vorerfassung'!$U$22:$U$36),
IF(OR(D298="SF",D298="FH"),SUM(IF(B298&gt;=_xlfn.NUMBERVALUE('ZD Vorerfassung'!$C$22:$C$36),1,0)*IF(B298&lt;=_xlfn.NUMBERVALUE('ZD Vorerfassung'!$D$22:$D$36),1,0)*'ZD Vorerfassung'!$V$22:$V$36*IF(D298="FH",0.5,1)),
"prüfen")))</f>
        <v>0</v>
      </c>
      <c r="AZ298" s="110">
        <f t="array" ref="AZ298">IF(OR(D298="UU",D298="FT",D298="WE",E298="Ferien"),0,
IF(D298="NR",SUM(IF(B298&gt;=_xlfn.NUMBERVALUE('ZD Vorerfassung'!$C$22:$C$36),1,0)*IF(B298&lt;=_xlfn.NUMBERVALUE('ZD Vorerfassung'!$D$22:$D$36),1,0)*'ZD Vorerfassung'!$S$22:$S$36),
IF(OR(D298="SF",D298="FH"),SUM(IF(B298&gt;=_xlfn.NUMBERVALUE('ZD Vorerfassung'!$C$22:$C$36),1,0)*IF(B298&lt;=_xlfn.NUMBERVALUE('ZD Vorerfassung'!$D$22:$D$36),1,0)*'ZD Vorerfassung'!$T$22:$T$36*IF(D298="FH",0.5,1)),
"prüfen")))</f>
        <v>0</v>
      </c>
      <c r="BA298" s="112">
        <f t="shared" si="56"/>
        <v>5</v>
      </c>
    </row>
    <row r="299" spans="2:53" ht="19.5" thickTop="1" thickBot="1" x14ac:dyDescent="0.3">
      <c r="B299" s="99">
        <f t="shared" si="53"/>
        <v>45064</v>
      </c>
      <c r="C299" s="100">
        <f t="shared" si="57"/>
        <v>45064</v>
      </c>
      <c r="D299" s="101" t="str">
        <f t="shared" si="58"/>
        <v>NR</v>
      </c>
      <c r="E299" s="102" t="str">
        <f t="shared" si="54"/>
        <v>Unterrichtstag</v>
      </c>
      <c r="F299" s="103">
        <f t="shared" si="59"/>
        <v>0</v>
      </c>
      <c r="G299" s="104">
        <f t="shared" si="60"/>
        <v>0</v>
      </c>
      <c r="H299" s="104">
        <f>IFERROR(IF('ZD Vorerfassung'!$E$11="manuell",SUM(I299),IF(OR(E299="Feiertag",E299="Wochenende"),0,IF('ZD Vorerfassung'!$E$11="automatisch",AX299,IF(D299="UU","UU",IF(E299=Param2,AX299/24,IF(E299=Param9,AX299/48,"")))))),0)</f>
        <v>0</v>
      </c>
      <c r="I299" s="105"/>
      <c r="J299" s="106">
        <f>IF('ZD Vorerfassung'!$E$12="manuell",SUM(K299:AI299),IF(OR(E299="Feiertag",E299="Wochenende"),0,IF('ZD Vorerfassung'!$E$12="automatisch",AY299,IF(D299="UU","UU",IF(E299=Param2,AY299/24,IF(E299=Param9,AY299/48,""))))))</f>
        <v>0</v>
      </c>
      <c r="K299" s="105"/>
      <c r="L299" s="105"/>
      <c r="M299" s="105"/>
      <c r="N299" s="105"/>
      <c r="O299" s="105"/>
      <c r="P299" s="105"/>
      <c r="Q299" s="105"/>
      <c r="R299" s="105"/>
      <c r="S299" s="105"/>
      <c r="T299" s="105"/>
      <c r="U299" s="105"/>
      <c r="V299" s="105"/>
      <c r="W299" s="105"/>
      <c r="X299" s="105"/>
      <c r="Y299" s="105"/>
      <c r="Z299" s="105"/>
      <c r="AA299" s="105"/>
      <c r="AB299" s="105"/>
      <c r="AC299" s="105"/>
      <c r="AD299" s="105"/>
      <c r="AE299" s="105"/>
      <c r="AF299" s="105"/>
      <c r="AG299" s="105"/>
      <c r="AH299" s="105"/>
      <c r="AI299" s="105"/>
      <c r="AJ299" s="107">
        <f t="shared" si="61"/>
        <v>0</v>
      </c>
      <c r="AK299" s="105"/>
      <c r="AL299" s="105"/>
      <c r="AM299" s="105"/>
      <c r="AN299" s="105"/>
      <c r="AO299" s="105"/>
      <c r="AP299" s="105"/>
      <c r="AQ299" s="108">
        <f t="shared" si="62"/>
        <v>0</v>
      </c>
      <c r="AR299" s="108">
        <f t="shared" si="63"/>
        <v>0</v>
      </c>
      <c r="AS299" s="109">
        <f t="shared" si="64"/>
        <v>0</v>
      </c>
      <c r="AU299" s="110">
        <f t="shared" si="55"/>
        <v>0</v>
      </c>
      <c r="AV299" s="111">
        <f>IF(D299="NR",
IF('ZD Vorerfassung'!$E$22="",0,IF(AND(B299&gt;='ZD Vorerfassung'!$C$22,B299&lt;='ZD Vorerfassung'!$D$22),HLOOKUP(TEXT(C299,"ttt"),'ZD Vorerfassung'!$H$21:$L$36,2,0),0))+
IF('ZD Vorerfassung'!$E$23="",0,IF(AND(B299&gt;='ZD Vorerfassung'!$C$23,B299&lt;='ZD Vorerfassung'!$D$23),HLOOKUP(TEXT(C299,"ttt"),'ZD Vorerfassung'!$H$21:$L$36,3,0),0))+
IF('ZD Vorerfassung'!$E$24="",0,IF(AND(B299&gt;='ZD Vorerfassung'!$C$24,B299&lt;='ZD Vorerfassung'!$D$24),HLOOKUP(TEXT(C299,"ttt"),'ZD Vorerfassung'!$H$21:$L$36,4,0),0))+
IF('ZD Vorerfassung'!$E$25="",0,IF(AND(B299&gt;='ZD Vorerfassung'!$C$25,B299&lt;='ZD Vorerfassung'!$D$25),HLOOKUP(TEXT(C299,"ttt"),'ZD Vorerfassung'!$H$21:$L$36,5,0),0))+
IF('ZD Vorerfassung'!$E$26="",0,IF(AND(B299&gt;='ZD Vorerfassung'!$C$26,B299&lt;='ZD Vorerfassung'!$D$26),HLOOKUP(TEXT(C299,"ttt"),'ZD Vorerfassung'!$H$21:$L$36,6,0),0))+
IF('ZD Vorerfassung'!$E$27="",0,IF(AND(B299&gt;='ZD Vorerfassung'!$C$27,B299&lt;='ZD Vorerfassung'!$D$27),HLOOKUP(TEXT(C299,"ttt"),'ZD Vorerfassung'!$H$21:$L$36,7,0),0))+
IF('ZD Vorerfassung'!$E$28="",0,IF(AND(B299&gt;='ZD Vorerfassung'!$C$28,B299&lt;='ZD Vorerfassung'!$D$28),HLOOKUP(TEXT(C299,"ttt"),'ZD Vorerfassung'!$H$21:$L$36,8,0),0))+
IF('ZD Vorerfassung'!$E$29="",0,IF(AND(B299&gt;='ZD Vorerfassung'!$C$29,B299&lt;='ZD Vorerfassung'!$D$29),HLOOKUP(TEXT(C299,"ttt"),'ZD Vorerfassung'!$H$21:$L$36,9,0),0))+
IF('ZD Vorerfassung'!$E$30="",0,IF(AND(B299&gt;='ZD Vorerfassung'!$C$30,B299&lt;='ZD Vorerfassung'!$D$30),HLOOKUP(TEXT(C299,"ttt"),'ZD Vorerfassung'!$H$21:$L$36,10,0),0))+
IF('ZD Vorerfassung'!$E$31="",0,IF(AND(B299&gt;='ZD Vorerfassung'!$C$31,B299&lt;='ZD Vorerfassung'!$D$31),HLOOKUP(TEXT(C299,"ttt"),'ZD Vorerfassung'!$H$21:$L$36,11,0),0))+
IF('ZD Vorerfassung'!$E$32="",0,IF(AND(B299&gt;='ZD Vorerfassung'!$C$32,B299&lt;='ZD Vorerfassung'!$D$32),HLOOKUP(TEXT(C299,"ttt"),'ZD Vorerfassung'!$H$21:$L$36,12,0),0))+
IF('ZD Vorerfassung'!$E$33="",0,IF(AND(B299&gt;='ZD Vorerfassung'!$C$33,B299&lt;='ZD Vorerfassung'!$D$33),HLOOKUP(TEXT(C299,"ttt"),'ZD Vorerfassung'!$H$21:$L$36,13,0),0))+
IF('ZD Vorerfassung'!$E$34="",0,IF(AND(B299&gt;='ZD Vorerfassung'!$C$34,B299&lt;='ZD Vorerfassung'!$D$34),HLOOKUP(TEXT(C299,"ttt"),'ZD Vorerfassung'!$H$21:$L$36,14,0),0))+
IF('ZD Vorerfassung'!$E$35="",0,IF(AND(B299&gt;='ZD Vorerfassung'!$C$35,B299&lt;='ZD Vorerfassung'!$D$35),HLOOKUP(TEXT(C299,"ttt"),'ZD Vorerfassung'!$H$21:$L$36,15,0),0))+
IF('ZD Vorerfassung'!$E$36="",0,IF(AND(B299&gt;='ZD Vorerfassung'!$C$36,B299&lt;='ZD Vorerfassung'!$D$36),HLOOKUP(TEXT(C299,"ttt"),'ZD Vorerfassung'!$H$21:$L$36,16,0),0)),"")</f>
        <v>0</v>
      </c>
      <c r="AW299" s="110">
        <f t="array" ref="AW299">IF(OR(D299="UU",D299="FT",D299="WE"),0,
IF(D299="NR",SUM(IF(B299&gt;=_xlfn.NUMBERVALUE('ZD Vorerfassung'!$C$22:$C$36),1,0)*IF(B299&lt;=_xlfn.NUMBERVALUE('ZD Vorerfassung'!$D$22:$D$36),1,0)*'ZD Vorerfassung'!$Q$22:$Q$36),
IF(OR(D299="SF",D299="FH"),SUM(IF(B299&gt;=_xlfn.NUMBERVALUE('ZD Vorerfassung'!$C$22:$C$36),1,0)*IF(B299&lt;=_xlfn.NUMBERVALUE('ZD Vorerfassung'!$D$22:$D$36),1,0)*'ZD Vorerfassung'!$R$22:$R$36*IF(D299="FH",0.5,1)),
"prüfen")))</f>
        <v>0</v>
      </c>
      <c r="AX299" s="110">
        <f t="array" ref="AX299">IF(OR(D299="UU",D299="FT",D299="WE",E299="Ferien"),0,
IF(D299="NR",SUM(IF(B299&gt;=_xlfn.NUMBERVALUE('ZD Vorerfassung'!$C$22:$C$36),1,0)*IF(B299&lt;=_xlfn.NUMBERVALUE('ZD Vorerfassung'!$D$22:$D$36),1,0)*'ZD Vorerfassung'!$W$22:$W$36),
IF(OR(D299="SF",D299="FH"),SUM(IF(B299&gt;=_xlfn.NUMBERVALUE('ZD Vorerfassung'!$C$22:$C$36),1,0)*IF(B299&lt;=_xlfn.NUMBERVALUE('ZD Vorerfassung'!$D$22:$D$36),1,0)*'ZD Vorerfassung'!$X$22:$X$36*IF(D299="FH",0.5,1)),
"prüfen")))</f>
        <v>0</v>
      </c>
      <c r="AY299" s="110">
        <f t="array" ref="AY299">IF(OR(D299="UU",D299="FT",D299="WE",E299="Ferien"),0,
IF(D299="NR",SUM(IF(B299&gt;=_xlfn.NUMBERVALUE('ZD Vorerfassung'!$C$22:$C$36),1,0)*IF(B299&lt;=_xlfn.NUMBERVALUE('ZD Vorerfassung'!$D$22:$D$36),1,0)*'ZD Vorerfassung'!$U$22:$U$36),
IF(OR(D299="SF",D299="FH"),SUM(IF(B299&gt;=_xlfn.NUMBERVALUE('ZD Vorerfassung'!$C$22:$C$36),1,0)*IF(B299&lt;=_xlfn.NUMBERVALUE('ZD Vorerfassung'!$D$22:$D$36),1,0)*'ZD Vorerfassung'!$V$22:$V$36*IF(D299="FH",0.5,1)),
"prüfen")))</f>
        <v>0</v>
      </c>
      <c r="AZ299" s="110">
        <f t="array" ref="AZ299">IF(OR(D299="UU",D299="FT",D299="WE",E299="Ferien"),0,
IF(D299="NR",SUM(IF(B299&gt;=_xlfn.NUMBERVALUE('ZD Vorerfassung'!$C$22:$C$36),1,0)*IF(B299&lt;=_xlfn.NUMBERVALUE('ZD Vorerfassung'!$D$22:$D$36),1,0)*'ZD Vorerfassung'!$S$22:$S$36),
IF(OR(D299="SF",D299="FH"),SUM(IF(B299&gt;=_xlfn.NUMBERVALUE('ZD Vorerfassung'!$C$22:$C$36),1,0)*IF(B299&lt;=_xlfn.NUMBERVALUE('ZD Vorerfassung'!$D$22:$D$36),1,0)*'ZD Vorerfassung'!$T$22:$T$36*IF(D299="FH",0.5,1)),
"prüfen")))</f>
        <v>0</v>
      </c>
      <c r="BA299" s="112">
        <f t="shared" si="56"/>
        <v>5</v>
      </c>
    </row>
    <row r="300" spans="2:53" ht="19.5" thickTop="1" thickBot="1" x14ac:dyDescent="0.3">
      <c r="B300" s="99">
        <f t="shared" si="53"/>
        <v>45065</v>
      </c>
      <c r="C300" s="100">
        <f t="shared" si="57"/>
        <v>45065</v>
      </c>
      <c r="D300" s="101" t="str">
        <f t="shared" si="58"/>
        <v>NR</v>
      </c>
      <c r="E300" s="102" t="str">
        <f t="shared" si="54"/>
        <v>Unterrichtstag</v>
      </c>
      <c r="F300" s="103">
        <f t="shared" si="59"/>
        <v>0</v>
      </c>
      <c r="G300" s="104">
        <f t="shared" si="60"/>
        <v>0</v>
      </c>
      <c r="H300" s="104">
        <f>IFERROR(IF('ZD Vorerfassung'!$E$11="manuell",SUM(I300),IF(OR(E300="Feiertag",E300="Wochenende"),0,IF('ZD Vorerfassung'!$E$11="automatisch",AX300,IF(D300="UU","UU",IF(E300=Param2,AX300/24,IF(E300=Param9,AX300/48,"")))))),0)</f>
        <v>0</v>
      </c>
      <c r="I300" s="105"/>
      <c r="J300" s="106">
        <f>IF('ZD Vorerfassung'!$E$12="manuell",SUM(K300:AI300),IF(OR(E300="Feiertag",E300="Wochenende"),0,IF('ZD Vorerfassung'!$E$12="automatisch",AY300,IF(D300="UU","UU",IF(E300=Param2,AY300/24,IF(E300=Param9,AY300/48,""))))))</f>
        <v>0</v>
      </c>
      <c r="K300" s="105"/>
      <c r="L300" s="105"/>
      <c r="M300" s="105"/>
      <c r="N300" s="105"/>
      <c r="O300" s="105"/>
      <c r="P300" s="105"/>
      <c r="Q300" s="105"/>
      <c r="R300" s="105"/>
      <c r="S300" s="105"/>
      <c r="T300" s="105"/>
      <c r="U300" s="105"/>
      <c r="V300" s="105"/>
      <c r="W300" s="105"/>
      <c r="X300" s="105"/>
      <c r="Y300" s="105"/>
      <c r="Z300" s="105"/>
      <c r="AA300" s="105"/>
      <c r="AB300" s="105"/>
      <c r="AC300" s="105"/>
      <c r="AD300" s="105"/>
      <c r="AE300" s="105"/>
      <c r="AF300" s="105"/>
      <c r="AG300" s="105"/>
      <c r="AH300" s="105"/>
      <c r="AI300" s="105"/>
      <c r="AJ300" s="107">
        <f t="shared" si="61"/>
        <v>0</v>
      </c>
      <c r="AK300" s="105"/>
      <c r="AL300" s="105"/>
      <c r="AM300" s="105"/>
      <c r="AN300" s="105"/>
      <c r="AO300" s="105"/>
      <c r="AP300" s="105"/>
      <c r="AQ300" s="108">
        <f t="shared" si="62"/>
        <v>0</v>
      </c>
      <c r="AR300" s="108">
        <f t="shared" si="63"/>
        <v>0</v>
      </c>
      <c r="AS300" s="109">
        <f t="shared" si="64"/>
        <v>0</v>
      </c>
      <c r="AU300" s="110">
        <f t="shared" si="55"/>
        <v>0</v>
      </c>
      <c r="AV300" s="111">
        <f>IF(D300="NR",
IF('ZD Vorerfassung'!$E$22="",0,IF(AND(B300&gt;='ZD Vorerfassung'!$C$22,B300&lt;='ZD Vorerfassung'!$D$22),HLOOKUP(TEXT(C300,"ttt"),'ZD Vorerfassung'!$H$21:$L$36,2,0),0))+
IF('ZD Vorerfassung'!$E$23="",0,IF(AND(B300&gt;='ZD Vorerfassung'!$C$23,B300&lt;='ZD Vorerfassung'!$D$23),HLOOKUP(TEXT(C300,"ttt"),'ZD Vorerfassung'!$H$21:$L$36,3,0),0))+
IF('ZD Vorerfassung'!$E$24="",0,IF(AND(B300&gt;='ZD Vorerfassung'!$C$24,B300&lt;='ZD Vorerfassung'!$D$24),HLOOKUP(TEXT(C300,"ttt"),'ZD Vorerfassung'!$H$21:$L$36,4,0),0))+
IF('ZD Vorerfassung'!$E$25="",0,IF(AND(B300&gt;='ZD Vorerfassung'!$C$25,B300&lt;='ZD Vorerfassung'!$D$25),HLOOKUP(TEXT(C300,"ttt"),'ZD Vorerfassung'!$H$21:$L$36,5,0),0))+
IF('ZD Vorerfassung'!$E$26="",0,IF(AND(B300&gt;='ZD Vorerfassung'!$C$26,B300&lt;='ZD Vorerfassung'!$D$26),HLOOKUP(TEXT(C300,"ttt"),'ZD Vorerfassung'!$H$21:$L$36,6,0),0))+
IF('ZD Vorerfassung'!$E$27="",0,IF(AND(B300&gt;='ZD Vorerfassung'!$C$27,B300&lt;='ZD Vorerfassung'!$D$27),HLOOKUP(TEXT(C300,"ttt"),'ZD Vorerfassung'!$H$21:$L$36,7,0),0))+
IF('ZD Vorerfassung'!$E$28="",0,IF(AND(B300&gt;='ZD Vorerfassung'!$C$28,B300&lt;='ZD Vorerfassung'!$D$28),HLOOKUP(TEXT(C300,"ttt"),'ZD Vorerfassung'!$H$21:$L$36,8,0),0))+
IF('ZD Vorerfassung'!$E$29="",0,IF(AND(B300&gt;='ZD Vorerfassung'!$C$29,B300&lt;='ZD Vorerfassung'!$D$29),HLOOKUP(TEXT(C300,"ttt"),'ZD Vorerfassung'!$H$21:$L$36,9,0),0))+
IF('ZD Vorerfassung'!$E$30="",0,IF(AND(B300&gt;='ZD Vorerfassung'!$C$30,B300&lt;='ZD Vorerfassung'!$D$30),HLOOKUP(TEXT(C300,"ttt"),'ZD Vorerfassung'!$H$21:$L$36,10,0),0))+
IF('ZD Vorerfassung'!$E$31="",0,IF(AND(B300&gt;='ZD Vorerfassung'!$C$31,B300&lt;='ZD Vorerfassung'!$D$31),HLOOKUP(TEXT(C300,"ttt"),'ZD Vorerfassung'!$H$21:$L$36,11,0),0))+
IF('ZD Vorerfassung'!$E$32="",0,IF(AND(B300&gt;='ZD Vorerfassung'!$C$32,B300&lt;='ZD Vorerfassung'!$D$32),HLOOKUP(TEXT(C300,"ttt"),'ZD Vorerfassung'!$H$21:$L$36,12,0),0))+
IF('ZD Vorerfassung'!$E$33="",0,IF(AND(B300&gt;='ZD Vorerfassung'!$C$33,B300&lt;='ZD Vorerfassung'!$D$33),HLOOKUP(TEXT(C300,"ttt"),'ZD Vorerfassung'!$H$21:$L$36,13,0),0))+
IF('ZD Vorerfassung'!$E$34="",0,IF(AND(B300&gt;='ZD Vorerfassung'!$C$34,B300&lt;='ZD Vorerfassung'!$D$34),HLOOKUP(TEXT(C300,"ttt"),'ZD Vorerfassung'!$H$21:$L$36,14,0),0))+
IF('ZD Vorerfassung'!$E$35="",0,IF(AND(B300&gt;='ZD Vorerfassung'!$C$35,B300&lt;='ZD Vorerfassung'!$D$35),HLOOKUP(TEXT(C300,"ttt"),'ZD Vorerfassung'!$H$21:$L$36,15,0),0))+
IF('ZD Vorerfassung'!$E$36="",0,IF(AND(B300&gt;='ZD Vorerfassung'!$C$36,B300&lt;='ZD Vorerfassung'!$D$36),HLOOKUP(TEXT(C300,"ttt"),'ZD Vorerfassung'!$H$21:$L$36,16,0),0)),"")</f>
        <v>0</v>
      </c>
      <c r="AW300" s="110">
        <f t="array" ref="AW300">IF(OR(D300="UU",D300="FT",D300="WE"),0,
IF(D300="NR",SUM(IF(B300&gt;=_xlfn.NUMBERVALUE('ZD Vorerfassung'!$C$22:$C$36),1,0)*IF(B300&lt;=_xlfn.NUMBERVALUE('ZD Vorerfassung'!$D$22:$D$36),1,0)*'ZD Vorerfassung'!$Q$22:$Q$36),
IF(OR(D300="SF",D300="FH"),SUM(IF(B300&gt;=_xlfn.NUMBERVALUE('ZD Vorerfassung'!$C$22:$C$36),1,0)*IF(B300&lt;=_xlfn.NUMBERVALUE('ZD Vorerfassung'!$D$22:$D$36),1,0)*'ZD Vorerfassung'!$R$22:$R$36*IF(D300="FH",0.5,1)),
"prüfen")))</f>
        <v>0</v>
      </c>
      <c r="AX300" s="110">
        <f t="array" ref="AX300">IF(OR(D300="UU",D300="FT",D300="WE",E300="Ferien"),0,
IF(D300="NR",SUM(IF(B300&gt;=_xlfn.NUMBERVALUE('ZD Vorerfassung'!$C$22:$C$36),1,0)*IF(B300&lt;=_xlfn.NUMBERVALUE('ZD Vorerfassung'!$D$22:$D$36),1,0)*'ZD Vorerfassung'!$W$22:$W$36),
IF(OR(D300="SF",D300="FH"),SUM(IF(B300&gt;=_xlfn.NUMBERVALUE('ZD Vorerfassung'!$C$22:$C$36),1,0)*IF(B300&lt;=_xlfn.NUMBERVALUE('ZD Vorerfassung'!$D$22:$D$36),1,0)*'ZD Vorerfassung'!$X$22:$X$36*IF(D300="FH",0.5,1)),
"prüfen")))</f>
        <v>0</v>
      </c>
      <c r="AY300" s="110">
        <f t="array" ref="AY300">IF(OR(D300="UU",D300="FT",D300="WE",E300="Ferien"),0,
IF(D300="NR",SUM(IF(B300&gt;=_xlfn.NUMBERVALUE('ZD Vorerfassung'!$C$22:$C$36),1,0)*IF(B300&lt;=_xlfn.NUMBERVALUE('ZD Vorerfassung'!$D$22:$D$36),1,0)*'ZD Vorerfassung'!$U$22:$U$36),
IF(OR(D300="SF",D300="FH"),SUM(IF(B300&gt;=_xlfn.NUMBERVALUE('ZD Vorerfassung'!$C$22:$C$36),1,0)*IF(B300&lt;=_xlfn.NUMBERVALUE('ZD Vorerfassung'!$D$22:$D$36),1,0)*'ZD Vorerfassung'!$V$22:$V$36*IF(D300="FH",0.5,1)),
"prüfen")))</f>
        <v>0</v>
      </c>
      <c r="AZ300" s="110">
        <f t="array" ref="AZ300">IF(OR(D300="UU",D300="FT",D300="WE",E300="Ferien"),0,
IF(D300="NR",SUM(IF(B300&gt;=_xlfn.NUMBERVALUE('ZD Vorerfassung'!$C$22:$C$36),1,0)*IF(B300&lt;=_xlfn.NUMBERVALUE('ZD Vorerfassung'!$D$22:$D$36),1,0)*'ZD Vorerfassung'!$S$22:$S$36),
IF(OR(D300="SF",D300="FH"),SUM(IF(B300&gt;=_xlfn.NUMBERVALUE('ZD Vorerfassung'!$C$22:$C$36),1,0)*IF(B300&lt;=_xlfn.NUMBERVALUE('ZD Vorerfassung'!$D$22:$D$36),1,0)*'ZD Vorerfassung'!$T$22:$T$36*IF(D300="FH",0.5,1)),
"prüfen")))</f>
        <v>0</v>
      </c>
      <c r="BA300" s="112">
        <f t="shared" si="56"/>
        <v>5</v>
      </c>
    </row>
    <row r="301" spans="2:53" ht="19.5" thickTop="1" thickBot="1" x14ac:dyDescent="0.3">
      <c r="B301" s="99">
        <f t="shared" si="53"/>
        <v>45066</v>
      </c>
      <c r="C301" s="100">
        <f t="shared" si="57"/>
        <v>45066</v>
      </c>
      <c r="D301" s="101" t="str">
        <f t="shared" si="58"/>
        <v>NR</v>
      </c>
      <c r="E301" s="102" t="str">
        <f t="shared" si="54"/>
        <v>Unterrichtstag</v>
      </c>
      <c r="F301" s="103">
        <f t="shared" si="59"/>
        <v>0</v>
      </c>
      <c r="G301" s="104">
        <f t="shared" si="60"/>
        <v>0</v>
      </c>
      <c r="H301" s="104">
        <f>IFERROR(IF('ZD Vorerfassung'!$E$11="manuell",SUM(I301),IF(OR(E301="Feiertag",E301="Wochenende"),0,IF('ZD Vorerfassung'!$E$11="automatisch",AX301,IF(D301="UU","UU",IF(E301=Param2,AX301/24,IF(E301=Param9,AX301/48,"")))))),0)</f>
        <v>0</v>
      </c>
      <c r="I301" s="105"/>
      <c r="J301" s="106">
        <f>IF('ZD Vorerfassung'!$E$12="manuell",SUM(K301:AI301),IF(OR(E301="Feiertag",E301="Wochenende"),0,IF('ZD Vorerfassung'!$E$12="automatisch",AY301,IF(D301="UU","UU",IF(E301=Param2,AY301/24,IF(E301=Param9,AY301/48,""))))))</f>
        <v>0</v>
      </c>
      <c r="K301" s="105"/>
      <c r="L301" s="105"/>
      <c r="M301" s="105"/>
      <c r="N301" s="105"/>
      <c r="O301" s="105"/>
      <c r="P301" s="105"/>
      <c r="Q301" s="105"/>
      <c r="R301" s="105"/>
      <c r="S301" s="105"/>
      <c r="T301" s="105"/>
      <c r="U301" s="105"/>
      <c r="V301" s="105"/>
      <c r="W301" s="105"/>
      <c r="X301" s="105"/>
      <c r="Y301" s="105"/>
      <c r="Z301" s="105"/>
      <c r="AA301" s="105"/>
      <c r="AB301" s="105"/>
      <c r="AC301" s="105"/>
      <c r="AD301" s="105"/>
      <c r="AE301" s="105"/>
      <c r="AF301" s="105"/>
      <c r="AG301" s="105"/>
      <c r="AH301" s="105"/>
      <c r="AI301" s="105"/>
      <c r="AJ301" s="107">
        <f t="shared" si="61"/>
        <v>0</v>
      </c>
      <c r="AK301" s="105"/>
      <c r="AL301" s="105"/>
      <c r="AM301" s="105"/>
      <c r="AN301" s="105"/>
      <c r="AO301" s="105"/>
      <c r="AP301" s="105"/>
      <c r="AQ301" s="108">
        <f t="shared" si="62"/>
        <v>0</v>
      </c>
      <c r="AR301" s="108">
        <f t="shared" si="63"/>
        <v>0</v>
      </c>
      <c r="AS301" s="109">
        <f t="shared" si="64"/>
        <v>0</v>
      </c>
      <c r="AU301" s="110">
        <f t="shared" si="55"/>
        <v>0</v>
      </c>
      <c r="AV301" s="111">
        <f>IF(D301="NR",
IF('ZD Vorerfassung'!$E$22="",0,IF(AND(B301&gt;='ZD Vorerfassung'!$C$22,B301&lt;='ZD Vorerfassung'!$D$22),HLOOKUP(TEXT(C301,"ttt"),'ZD Vorerfassung'!$H$21:$L$36,2,0),0))+
IF('ZD Vorerfassung'!$E$23="",0,IF(AND(B301&gt;='ZD Vorerfassung'!$C$23,B301&lt;='ZD Vorerfassung'!$D$23),HLOOKUP(TEXT(C301,"ttt"),'ZD Vorerfassung'!$H$21:$L$36,3,0),0))+
IF('ZD Vorerfassung'!$E$24="",0,IF(AND(B301&gt;='ZD Vorerfassung'!$C$24,B301&lt;='ZD Vorerfassung'!$D$24),HLOOKUP(TEXT(C301,"ttt"),'ZD Vorerfassung'!$H$21:$L$36,4,0),0))+
IF('ZD Vorerfassung'!$E$25="",0,IF(AND(B301&gt;='ZD Vorerfassung'!$C$25,B301&lt;='ZD Vorerfassung'!$D$25),HLOOKUP(TEXT(C301,"ttt"),'ZD Vorerfassung'!$H$21:$L$36,5,0),0))+
IF('ZD Vorerfassung'!$E$26="",0,IF(AND(B301&gt;='ZD Vorerfassung'!$C$26,B301&lt;='ZD Vorerfassung'!$D$26),HLOOKUP(TEXT(C301,"ttt"),'ZD Vorerfassung'!$H$21:$L$36,6,0),0))+
IF('ZD Vorerfassung'!$E$27="",0,IF(AND(B301&gt;='ZD Vorerfassung'!$C$27,B301&lt;='ZD Vorerfassung'!$D$27),HLOOKUP(TEXT(C301,"ttt"),'ZD Vorerfassung'!$H$21:$L$36,7,0),0))+
IF('ZD Vorerfassung'!$E$28="",0,IF(AND(B301&gt;='ZD Vorerfassung'!$C$28,B301&lt;='ZD Vorerfassung'!$D$28),HLOOKUP(TEXT(C301,"ttt"),'ZD Vorerfassung'!$H$21:$L$36,8,0),0))+
IF('ZD Vorerfassung'!$E$29="",0,IF(AND(B301&gt;='ZD Vorerfassung'!$C$29,B301&lt;='ZD Vorerfassung'!$D$29),HLOOKUP(TEXT(C301,"ttt"),'ZD Vorerfassung'!$H$21:$L$36,9,0),0))+
IF('ZD Vorerfassung'!$E$30="",0,IF(AND(B301&gt;='ZD Vorerfassung'!$C$30,B301&lt;='ZD Vorerfassung'!$D$30),HLOOKUP(TEXT(C301,"ttt"),'ZD Vorerfassung'!$H$21:$L$36,10,0),0))+
IF('ZD Vorerfassung'!$E$31="",0,IF(AND(B301&gt;='ZD Vorerfassung'!$C$31,B301&lt;='ZD Vorerfassung'!$D$31),HLOOKUP(TEXT(C301,"ttt"),'ZD Vorerfassung'!$H$21:$L$36,11,0),0))+
IF('ZD Vorerfassung'!$E$32="",0,IF(AND(B301&gt;='ZD Vorerfassung'!$C$32,B301&lt;='ZD Vorerfassung'!$D$32),HLOOKUP(TEXT(C301,"ttt"),'ZD Vorerfassung'!$H$21:$L$36,12,0),0))+
IF('ZD Vorerfassung'!$E$33="",0,IF(AND(B301&gt;='ZD Vorerfassung'!$C$33,B301&lt;='ZD Vorerfassung'!$D$33),HLOOKUP(TEXT(C301,"ttt"),'ZD Vorerfassung'!$H$21:$L$36,13,0),0))+
IF('ZD Vorerfassung'!$E$34="",0,IF(AND(B301&gt;='ZD Vorerfassung'!$C$34,B301&lt;='ZD Vorerfassung'!$D$34),HLOOKUP(TEXT(C301,"ttt"),'ZD Vorerfassung'!$H$21:$L$36,14,0),0))+
IF('ZD Vorerfassung'!$E$35="",0,IF(AND(B301&gt;='ZD Vorerfassung'!$C$35,B301&lt;='ZD Vorerfassung'!$D$35),HLOOKUP(TEXT(C301,"ttt"),'ZD Vorerfassung'!$H$21:$L$36,15,0),0))+
IF('ZD Vorerfassung'!$E$36="",0,IF(AND(B301&gt;='ZD Vorerfassung'!$C$36,B301&lt;='ZD Vorerfassung'!$D$36),HLOOKUP(TEXT(C301,"ttt"),'ZD Vorerfassung'!$H$21:$L$36,16,0),0)),"")</f>
        <v>0</v>
      </c>
      <c r="AW301" s="110">
        <f t="array" ref="AW301">IF(OR(D301="UU",D301="FT",D301="WE"),0,
IF(D301="NR",SUM(IF(B301&gt;=_xlfn.NUMBERVALUE('ZD Vorerfassung'!$C$22:$C$36),1,0)*IF(B301&lt;=_xlfn.NUMBERVALUE('ZD Vorerfassung'!$D$22:$D$36),1,0)*'ZD Vorerfassung'!$Q$22:$Q$36),
IF(OR(D301="SF",D301="FH"),SUM(IF(B301&gt;=_xlfn.NUMBERVALUE('ZD Vorerfassung'!$C$22:$C$36),1,0)*IF(B301&lt;=_xlfn.NUMBERVALUE('ZD Vorerfassung'!$D$22:$D$36),1,0)*'ZD Vorerfassung'!$R$22:$R$36*IF(D301="FH",0.5,1)),
"prüfen")))</f>
        <v>0</v>
      </c>
      <c r="AX301" s="110">
        <f t="array" ref="AX301">IF(OR(D301="UU",D301="FT",D301="WE",E301="Ferien"),0,
IF(D301="NR",SUM(IF(B301&gt;=_xlfn.NUMBERVALUE('ZD Vorerfassung'!$C$22:$C$36),1,0)*IF(B301&lt;=_xlfn.NUMBERVALUE('ZD Vorerfassung'!$D$22:$D$36),1,0)*'ZD Vorerfassung'!$W$22:$W$36),
IF(OR(D301="SF",D301="FH"),SUM(IF(B301&gt;=_xlfn.NUMBERVALUE('ZD Vorerfassung'!$C$22:$C$36),1,0)*IF(B301&lt;=_xlfn.NUMBERVALUE('ZD Vorerfassung'!$D$22:$D$36),1,0)*'ZD Vorerfassung'!$X$22:$X$36*IF(D301="FH",0.5,1)),
"prüfen")))</f>
        <v>0</v>
      </c>
      <c r="AY301" s="110">
        <f t="array" ref="AY301">IF(OR(D301="UU",D301="FT",D301="WE",E301="Ferien"),0,
IF(D301="NR",SUM(IF(B301&gt;=_xlfn.NUMBERVALUE('ZD Vorerfassung'!$C$22:$C$36),1,0)*IF(B301&lt;=_xlfn.NUMBERVALUE('ZD Vorerfassung'!$D$22:$D$36),1,0)*'ZD Vorerfassung'!$U$22:$U$36),
IF(OR(D301="SF",D301="FH"),SUM(IF(B301&gt;=_xlfn.NUMBERVALUE('ZD Vorerfassung'!$C$22:$C$36),1,0)*IF(B301&lt;=_xlfn.NUMBERVALUE('ZD Vorerfassung'!$D$22:$D$36),1,0)*'ZD Vorerfassung'!$V$22:$V$36*IF(D301="FH",0.5,1)),
"prüfen")))</f>
        <v>0</v>
      </c>
      <c r="AZ301" s="110">
        <f t="array" ref="AZ301">IF(OR(D301="UU",D301="FT",D301="WE",E301="Ferien"),0,
IF(D301="NR",SUM(IF(B301&gt;=_xlfn.NUMBERVALUE('ZD Vorerfassung'!$C$22:$C$36),1,0)*IF(B301&lt;=_xlfn.NUMBERVALUE('ZD Vorerfassung'!$D$22:$D$36),1,0)*'ZD Vorerfassung'!$S$22:$S$36),
IF(OR(D301="SF",D301="FH"),SUM(IF(B301&gt;=_xlfn.NUMBERVALUE('ZD Vorerfassung'!$C$22:$C$36),1,0)*IF(B301&lt;=_xlfn.NUMBERVALUE('ZD Vorerfassung'!$D$22:$D$36),1,0)*'ZD Vorerfassung'!$T$22:$T$36*IF(D301="FH",0.5,1)),
"prüfen")))</f>
        <v>0</v>
      </c>
      <c r="BA301" s="112">
        <f t="shared" si="56"/>
        <v>5</v>
      </c>
    </row>
    <row r="302" spans="2:53" ht="19.5" thickTop="1" thickBot="1" x14ac:dyDescent="0.3">
      <c r="B302" s="99">
        <f t="shared" si="53"/>
        <v>45067</v>
      </c>
      <c r="C302" s="100">
        <f t="shared" si="57"/>
        <v>45067</v>
      </c>
      <c r="D302" s="101" t="str">
        <f t="shared" si="58"/>
        <v>WE</v>
      </c>
      <c r="E302" s="102" t="str">
        <f t="shared" si="54"/>
        <v>Wochenende</v>
      </c>
      <c r="F302" s="103" t="str">
        <f t="shared" si="59"/>
        <v/>
      </c>
      <c r="G302" s="104" t="str">
        <f t="shared" si="60"/>
        <v/>
      </c>
      <c r="H302" s="104">
        <f>IFERROR(IF('ZD Vorerfassung'!$E$11="manuell",SUM(I302),IF(OR(E302="Feiertag",E302="Wochenende"),0,IF('ZD Vorerfassung'!$E$11="automatisch",AX302,IF(D302="UU","UU",IF(E302=Param2,AX302/24,IF(E302=Param9,AX302/48,"")))))),0)</f>
        <v>0</v>
      </c>
      <c r="I302" s="105"/>
      <c r="J302" s="106">
        <f>IF('ZD Vorerfassung'!$E$12="manuell",SUM(K302:AI302),IF(OR(E302="Feiertag",E302="Wochenende"),0,IF('ZD Vorerfassung'!$E$12="automatisch",AY302,IF(D302="UU","UU",IF(E302=Param2,AY302/24,IF(E302=Param9,AY302/48,""))))))</f>
        <v>0</v>
      </c>
      <c r="K302" s="105"/>
      <c r="L302" s="105"/>
      <c r="M302" s="105"/>
      <c r="N302" s="105"/>
      <c r="O302" s="105"/>
      <c r="P302" s="105"/>
      <c r="Q302" s="105"/>
      <c r="R302" s="105"/>
      <c r="S302" s="105"/>
      <c r="T302" s="105"/>
      <c r="U302" s="105"/>
      <c r="V302" s="105"/>
      <c r="W302" s="105"/>
      <c r="X302" s="105"/>
      <c r="Y302" s="105"/>
      <c r="Z302" s="105"/>
      <c r="AA302" s="105"/>
      <c r="AB302" s="105"/>
      <c r="AC302" s="105"/>
      <c r="AD302" s="105"/>
      <c r="AE302" s="105"/>
      <c r="AF302" s="105"/>
      <c r="AG302" s="105"/>
      <c r="AH302" s="105"/>
      <c r="AI302" s="105"/>
      <c r="AJ302" s="107">
        <f t="shared" si="61"/>
        <v>0</v>
      </c>
      <c r="AK302" s="105"/>
      <c r="AL302" s="105"/>
      <c r="AM302" s="105"/>
      <c r="AN302" s="105"/>
      <c r="AO302" s="105"/>
      <c r="AP302" s="105"/>
      <c r="AQ302" s="108">
        <f t="shared" si="62"/>
        <v>0</v>
      </c>
      <c r="AR302" s="108">
        <f t="shared" si="63"/>
        <v>0</v>
      </c>
      <c r="AS302" s="109">
        <f t="shared" si="64"/>
        <v>0</v>
      </c>
      <c r="AU302" s="110">
        <f t="shared" si="55"/>
        <v>0</v>
      </c>
      <c r="AV302" s="111" t="str">
        <f>IF(D302="NR",
IF('ZD Vorerfassung'!$E$22="",0,IF(AND(B302&gt;='ZD Vorerfassung'!$C$22,B302&lt;='ZD Vorerfassung'!$D$22),HLOOKUP(TEXT(C302,"ttt"),'ZD Vorerfassung'!$H$21:$L$36,2,0),0))+
IF('ZD Vorerfassung'!$E$23="",0,IF(AND(B302&gt;='ZD Vorerfassung'!$C$23,B302&lt;='ZD Vorerfassung'!$D$23),HLOOKUP(TEXT(C302,"ttt"),'ZD Vorerfassung'!$H$21:$L$36,3,0),0))+
IF('ZD Vorerfassung'!$E$24="",0,IF(AND(B302&gt;='ZD Vorerfassung'!$C$24,B302&lt;='ZD Vorerfassung'!$D$24),HLOOKUP(TEXT(C302,"ttt"),'ZD Vorerfassung'!$H$21:$L$36,4,0),0))+
IF('ZD Vorerfassung'!$E$25="",0,IF(AND(B302&gt;='ZD Vorerfassung'!$C$25,B302&lt;='ZD Vorerfassung'!$D$25),HLOOKUP(TEXT(C302,"ttt"),'ZD Vorerfassung'!$H$21:$L$36,5,0),0))+
IF('ZD Vorerfassung'!$E$26="",0,IF(AND(B302&gt;='ZD Vorerfassung'!$C$26,B302&lt;='ZD Vorerfassung'!$D$26),HLOOKUP(TEXT(C302,"ttt"),'ZD Vorerfassung'!$H$21:$L$36,6,0),0))+
IF('ZD Vorerfassung'!$E$27="",0,IF(AND(B302&gt;='ZD Vorerfassung'!$C$27,B302&lt;='ZD Vorerfassung'!$D$27),HLOOKUP(TEXT(C302,"ttt"),'ZD Vorerfassung'!$H$21:$L$36,7,0),0))+
IF('ZD Vorerfassung'!$E$28="",0,IF(AND(B302&gt;='ZD Vorerfassung'!$C$28,B302&lt;='ZD Vorerfassung'!$D$28),HLOOKUP(TEXT(C302,"ttt"),'ZD Vorerfassung'!$H$21:$L$36,8,0),0))+
IF('ZD Vorerfassung'!$E$29="",0,IF(AND(B302&gt;='ZD Vorerfassung'!$C$29,B302&lt;='ZD Vorerfassung'!$D$29),HLOOKUP(TEXT(C302,"ttt"),'ZD Vorerfassung'!$H$21:$L$36,9,0),0))+
IF('ZD Vorerfassung'!$E$30="",0,IF(AND(B302&gt;='ZD Vorerfassung'!$C$30,B302&lt;='ZD Vorerfassung'!$D$30),HLOOKUP(TEXT(C302,"ttt"),'ZD Vorerfassung'!$H$21:$L$36,10,0),0))+
IF('ZD Vorerfassung'!$E$31="",0,IF(AND(B302&gt;='ZD Vorerfassung'!$C$31,B302&lt;='ZD Vorerfassung'!$D$31),HLOOKUP(TEXT(C302,"ttt"),'ZD Vorerfassung'!$H$21:$L$36,11,0),0))+
IF('ZD Vorerfassung'!$E$32="",0,IF(AND(B302&gt;='ZD Vorerfassung'!$C$32,B302&lt;='ZD Vorerfassung'!$D$32),HLOOKUP(TEXT(C302,"ttt"),'ZD Vorerfassung'!$H$21:$L$36,12,0),0))+
IF('ZD Vorerfassung'!$E$33="",0,IF(AND(B302&gt;='ZD Vorerfassung'!$C$33,B302&lt;='ZD Vorerfassung'!$D$33),HLOOKUP(TEXT(C302,"ttt"),'ZD Vorerfassung'!$H$21:$L$36,13,0),0))+
IF('ZD Vorerfassung'!$E$34="",0,IF(AND(B302&gt;='ZD Vorerfassung'!$C$34,B302&lt;='ZD Vorerfassung'!$D$34),HLOOKUP(TEXT(C302,"ttt"),'ZD Vorerfassung'!$H$21:$L$36,14,0),0))+
IF('ZD Vorerfassung'!$E$35="",0,IF(AND(B302&gt;='ZD Vorerfassung'!$C$35,B302&lt;='ZD Vorerfassung'!$D$35),HLOOKUP(TEXT(C302,"ttt"),'ZD Vorerfassung'!$H$21:$L$36,15,0),0))+
IF('ZD Vorerfassung'!$E$36="",0,IF(AND(B302&gt;='ZD Vorerfassung'!$C$36,B302&lt;='ZD Vorerfassung'!$D$36),HLOOKUP(TEXT(C302,"ttt"),'ZD Vorerfassung'!$H$21:$L$36,16,0),0)),"")</f>
        <v/>
      </c>
      <c r="AW302" s="110">
        <f t="array" ref="AW302">IF(OR(D302="UU",D302="FT",D302="WE"),0,
IF(D302="NR",SUM(IF(B302&gt;=_xlfn.NUMBERVALUE('ZD Vorerfassung'!$C$22:$C$36),1,0)*IF(B302&lt;=_xlfn.NUMBERVALUE('ZD Vorerfassung'!$D$22:$D$36),1,0)*'ZD Vorerfassung'!$Q$22:$Q$36),
IF(OR(D302="SF",D302="FH"),SUM(IF(B302&gt;=_xlfn.NUMBERVALUE('ZD Vorerfassung'!$C$22:$C$36),1,0)*IF(B302&lt;=_xlfn.NUMBERVALUE('ZD Vorerfassung'!$D$22:$D$36),1,0)*'ZD Vorerfassung'!$R$22:$R$36*IF(D302="FH",0.5,1)),
"prüfen")))</f>
        <v>0</v>
      </c>
      <c r="AX302" s="110">
        <f t="array" ref="AX302">IF(OR(D302="UU",D302="FT",D302="WE",E302="Ferien"),0,
IF(D302="NR",SUM(IF(B302&gt;=_xlfn.NUMBERVALUE('ZD Vorerfassung'!$C$22:$C$36),1,0)*IF(B302&lt;=_xlfn.NUMBERVALUE('ZD Vorerfassung'!$D$22:$D$36),1,0)*'ZD Vorerfassung'!$W$22:$W$36),
IF(OR(D302="SF",D302="FH"),SUM(IF(B302&gt;=_xlfn.NUMBERVALUE('ZD Vorerfassung'!$C$22:$C$36),1,0)*IF(B302&lt;=_xlfn.NUMBERVALUE('ZD Vorerfassung'!$D$22:$D$36),1,0)*'ZD Vorerfassung'!$X$22:$X$36*IF(D302="FH",0.5,1)),
"prüfen")))</f>
        <v>0</v>
      </c>
      <c r="AY302" s="110">
        <f t="array" ref="AY302">IF(OR(D302="UU",D302="FT",D302="WE",E302="Ferien"),0,
IF(D302="NR",SUM(IF(B302&gt;=_xlfn.NUMBERVALUE('ZD Vorerfassung'!$C$22:$C$36),1,0)*IF(B302&lt;=_xlfn.NUMBERVALUE('ZD Vorerfassung'!$D$22:$D$36),1,0)*'ZD Vorerfassung'!$U$22:$U$36),
IF(OR(D302="SF",D302="FH"),SUM(IF(B302&gt;=_xlfn.NUMBERVALUE('ZD Vorerfassung'!$C$22:$C$36),1,0)*IF(B302&lt;=_xlfn.NUMBERVALUE('ZD Vorerfassung'!$D$22:$D$36),1,0)*'ZD Vorerfassung'!$V$22:$V$36*IF(D302="FH",0.5,1)),
"prüfen")))</f>
        <v>0</v>
      </c>
      <c r="AZ302" s="110">
        <f t="array" ref="AZ302">IF(OR(D302="UU",D302="FT",D302="WE",E302="Ferien"),0,
IF(D302="NR",SUM(IF(B302&gt;=_xlfn.NUMBERVALUE('ZD Vorerfassung'!$C$22:$C$36),1,0)*IF(B302&lt;=_xlfn.NUMBERVALUE('ZD Vorerfassung'!$D$22:$D$36),1,0)*'ZD Vorerfassung'!$S$22:$S$36),
IF(OR(D302="SF",D302="FH"),SUM(IF(B302&gt;=_xlfn.NUMBERVALUE('ZD Vorerfassung'!$C$22:$C$36),1,0)*IF(B302&lt;=_xlfn.NUMBERVALUE('ZD Vorerfassung'!$D$22:$D$36),1,0)*'ZD Vorerfassung'!$T$22:$T$36*IF(D302="FH",0.5,1)),
"prüfen")))</f>
        <v>0</v>
      </c>
      <c r="BA302" s="112">
        <f t="shared" si="56"/>
        <v>5</v>
      </c>
    </row>
    <row r="303" spans="2:53" ht="19.5" thickTop="1" thickBot="1" x14ac:dyDescent="0.3">
      <c r="B303" s="99">
        <f t="shared" si="53"/>
        <v>45068</v>
      </c>
      <c r="C303" s="100">
        <f t="shared" si="57"/>
        <v>45068</v>
      </c>
      <c r="D303" s="101" t="str">
        <f t="shared" si="58"/>
        <v>WE</v>
      </c>
      <c r="E303" s="102" t="str">
        <f t="shared" si="54"/>
        <v>Wochenende</v>
      </c>
      <c r="F303" s="103" t="str">
        <f t="shared" si="59"/>
        <v/>
      </c>
      <c r="G303" s="104" t="str">
        <f t="shared" si="60"/>
        <v/>
      </c>
      <c r="H303" s="104">
        <f>IFERROR(IF('ZD Vorerfassung'!$E$11="manuell",SUM(I303),IF(OR(E303="Feiertag",E303="Wochenende"),0,IF('ZD Vorerfassung'!$E$11="automatisch",AX303,IF(D303="UU","UU",IF(E303=Param2,AX303/24,IF(E303=Param9,AX303/48,"")))))),0)</f>
        <v>0</v>
      </c>
      <c r="I303" s="105"/>
      <c r="J303" s="106">
        <f>IF('ZD Vorerfassung'!$E$12="manuell",SUM(K303:AI303),IF(OR(E303="Feiertag",E303="Wochenende"),0,IF('ZD Vorerfassung'!$E$12="automatisch",AY303,IF(D303="UU","UU",IF(E303=Param2,AY303/24,IF(E303=Param9,AY303/48,""))))))</f>
        <v>0</v>
      </c>
      <c r="K303" s="105"/>
      <c r="L303" s="105"/>
      <c r="M303" s="105"/>
      <c r="N303" s="105"/>
      <c r="O303" s="105"/>
      <c r="P303" s="105"/>
      <c r="Q303" s="105"/>
      <c r="R303" s="105"/>
      <c r="S303" s="105"/>
      <c r="T303" s="105"/>
      <c r="U303" s="105"/>
      <c r="V303" s="105"/>
      <c r="W303" s="105"/>
      <c r="X303" s="105"/>
      <c r="Y303" s="105"/>
      <c r="Z303" s="105"/>
      <c r="AA303" s="105"/>
      <c r="AB303" s="105"/>
      <c r="AC303" s="105"/>
      <c r="AD303" s="105"/>
      <c r="AE303" s="105"/>
      <c r="AF303" s="105"/>
      <c r="AG303" s="105"/>
      <c r="AH303" s="105"/>
      <c r="AI303" s="105"/>
      <c r="AJ303" s="107">
        <f t="shared" si="61"/>
        <v>0</v>
      </c>
      <c r="AK303" s="105"/>
      <c r="AL303" s="105"/>
      <c r="AM303" s="105"/>
      <c r="AN303" s="105"/>
      <c r="AO303" s="105"/>
      <c r="AP303" s="105"/>
      <c r="AQ303" s="108">
        <f t="shared" si="62"/>
        <v>0</v>
      </c>
      <c r="AR303" s="108">
        <f t="shared" si="63"/>
        <v>0</v>
      </c>
      <c r="AS303" s="109">
        <f t="shared" si="64"/>
        <v>0</v>
      </c>
      <c r="AU303" s="110">
        <f t="shared" si="55"/>
        <v>0</v>
      </c>
      <c r="AV303" s="111" t="str">
        <f>IF(D303="NR",
IF('ZD Vorerfassung'!$E$22="",0,IF(AND(B303&gt;='ZD Vorerfassung'!$C$22,B303&lt;='ZD Vorerfassung'!$D$22),HLOOKUP(TEXT(C303,"ttt"),'ZD Vorerfassung'!$H$21:$L$36,2,0),0))+
IF('ZD Vorerfassung'!$E$23="",0,IF(AND(B303&gt;='ZD Vorerfassung'!$C$23,B303&lt;='ZD Vorerfassung'!$D$23),HLOOKUP(TEXT(C303,"ttt"),'ZD Vorerfassung'!$H$21:$L$36,3,0),0))+
IF('ZD Vorerfassung'!$E$24="",0,IF(AND(B303&gt;='ZD Vorerfassung'!$C$24,B303&lt;='ZD Vorerfassung'!$D$24),HLOOKUP(TEXT(C303,"ttt"),'ZD Vorerfassung'!$H$21:$L$36,4,0),0))+
IF('ZD Vorerfassung'!$E$25="",0,IF(AND(B303&gt;='ZD Vorerfassung'!$C$25,B303&lt;='ZD Vorerfassung'!$D$25),HLOOKUP(TEXT(C303,"ttt"),'ZD Vorerfassung'!$H$21:$L$36,5,0),0))+
IF('ZD Vorerfassung'!$E$26="",0,IF(AND(B303&gt;='ZD Vorerfassung'!$C$26,B303&lt;='ZD Vorerfassung'!$D$26),HLOOKUP(TEXT(C303,"ttt"),'ZD Vorerfassung'!$H$21:$L$36,6,0),0))+
IF('ZD Vorerfassung'!$E$27="",0,IF(AND(B303&gt;='ZD Vorerfassung'!$C$27,B303&lt;='ZD Vorerfassung'!$D$27),HLOOKUP(TEXT(C303,"ttt"),'ZD Vorerfassung'!$H$21:$L$36,7,0),0))+
IF('ZD Vorerfassung'!$E$28="",0,IF(AND(B303&gt;='ZD Vorerfassung'!$C$28,B303&lt;='ZD Vorerfassung'!$D$28),HLOOKUP(TEXT(C303,"ttt"),'ZD Vorerfassung'!$H$21:$L$36,8,0),0))+
IF('ZD Vorerfassung'!$E$29="",0,IF(AND(B303&gt;='ZD Vorerfassung'!$C$29,B303&lt;='ZD Vorerfassung'!$D$29),HLOOKUP(TEXT(C303,"ttt"),'ZD Vorerfassung'!$H$21:$L$36,9,0),0))+
IF('ZD Vorerfassung'!$E$30="",0,IF(AND(B303&gt;='ZD Vorerfassung'!$C$30,B303&lt;='ZD Vorerfassung'!$D$30),HLOOKUP(TEXT(C303,"ttt"),'ZD Vorerfassung'!$H$21:$L$36,10,0),0))+
IF('ZD Vorerfassung'!$E$31="",0,IF(AND(B303&gt;='ZD Vorerfassung'!$C$31,B303&lt;='ZD Vorerfassung'!$D$31),HLOOKUP(TEXT(C303,"ttt"),'ZD Vorerfassung'!$H$21:$L$36,11,0),0))+
IF('ZD Vorerfassung'!$E$32="",0,IF(AND(B303&gt;='ZD Vorerfassung'!$C$32,B303&lt;='ZD Vorerfassung'!$D$32),HLOOKUP(TEXT(C303,"ttt"),'ZD Vorerfassung'!$H$21:$L$36,12,0),0))+
IF('ZD Vorerfassung'!$E$33="",0,IF(AND(B303&gt;='ZD Vorerfassung'!$C$33,B303&lt;='ZD Vorerfassung'!$D$33),HLOOKUP(TEXT(C303,"ttt"),'ZD Vorerfassung'!$H$21:$L$36,13,0),0))+
IF('ZD Vorerfassung'!$E$34="",0,IF(AND(B303&gt;='ZD Vorerfassung'!$C$34,B303&lt;='ZD Vorerfassung'!$D$34),HLOOKUP(TEXT(C303,"ttt"),'ZD Vorerfassung'!$H$21:$L$36,14,0),0))+
IF('ZD Vorerfassung'!$E$35="",0,IF(AND(B303&gt;='ZD Vorerfassung'!$C$35,B303&lt;='ZD Vorerfassung'!$D$35),HLOOKUP(TEXT(C303,"ttt"),'ZD Vorerfassung'!$H$21:$L$36,15,0),0))+
IF('ZD Vorerfassung'!$E$36="",0,IF(AND(B303&gt;='ZD Vorerfassung'!$C$36,B303&lt;='ZD Vorerfassung'!$D$36),HLOOKUP(TEXT(C303,"ttt"),'ZD Vorerfassung'!$H$21:$L$36,16,0),0)),"")</f>
        <v/>
      </c>
      <c r="AW303" s="110">
        <f t="array" ref="AW303">IF(OR(D303="UU",D303="FT",D303="WE"),0,
IF(D303="NR",SUM(IF(B303&gt;=_xlfn.NUMBERVALUE('ZD Vorerfassung'!$C$22:$C$36),1,0)*IF(B303&lt;=_xlfn.NUMBERVALUE('ZD Vorerfassung'!$D$22:$D$36),1,0)*'ZD Vorerfassung'!$Q$22:$Q$36),
IF(OR(D303="SF",D303="FH"),SUM(IF(B303&gt;=_xlfn.NUMBERVALUE('ZD Vorerfassung'!$C$22:$C$36),1,0)*IF(B303&lt;=_xlfn.NUMBERVALUE('ZD Vorerfassung'!$D$22:$D$36),1,0)*'ZD Vorerfassung'!$R$22:$R$36*IF(D303="FH",0.5,1)),
"prüfen")))</f>
        <v>0</v>
      </c>
      <c r="AX303" s="110">
        <f t="array" ref="AX303">IF(OR(D303="UU",D303="FT",D303="WE",E303="Ferien"),0,
IF(D303="NR",SUM(IF(B303&gt;=_xlfn.NUMBERVALUE('ZD Vorerfassung'!$C$22:$C$36),1,0)*IF(B303&lt;=_xlfn.NUMBERVALUE('ZD Vorerfassung'!$D$22:$D$36),1,0)*'ZD Vorerfassung'!$W$22:$W$36),
IF(OR(D303="SF",D303="FH"),SUM(IF(B303&gt;=_xlfn.NUMBERVALUE('ZD Vorerfassung'!$C$22:$C$36),1,0)*IF(B303&lt;=_xlfn.NUMBERVALUE('ZD Vorerfassung'!$D$22:$D$36),1,0)*'ZD Vorerfassung'!$X$22:$X$36*IF(D303="FH",0.5,1)),
"prüfen")))</f>
        <v>0</v>
      </c>
      <c r="AY303" s="110">
        <f t="array" ref="AY303">IF(OR(D303="UU",D303="FT",D303="WE",E303="Ferien"),0,
IF(D303="NR",SUM(IF(B303&gt;=_xlfn.NUMBERVALUE('ZD Vorerfassung'!$C$22:$C$36),1,0)*IF(B303&lt;=_xlfn.NUMBERVALUE('ZD Vorerfassung'!$D$22:$D$36),1,0)*'ZD Vorerfassung'!$U$22:$U$36),
IF(OR(D303="SF",D303="FH"),SUM(IF(B303&gt;=_xlfn.NUMBERVALUE('ZD Vorerfassung'!$C$22:$C$36),1,0)*IF(B303&lt;=_xlfn.NUMBERVALUE('ZD Vorerfassung'!$D$22:$D$36),1,0)*'ZD Vorerfassung'!$V$22:$V$36*IF(D303="FH",0.5,1)),
"prüfen")))</f>
        <v>0</v>
      </c>
      <c r="AZ303" s="110">
        <f t="array" ref="AZ303">IF(OR(D303="UU",D303="FT",D303="WE",E303="Ferien"),0,
IF(D303="NR",SUM(IF(B303&gt;=_xlfn.NUMBERVALUE('ZD Vorerfassung'!$C$22:$C$36),1,0)*IF(B303&lt;=_xlfn.NUMBERVALUE('ZD Vorerfassung'!$D$22:$D$36),1,0)*'ZD Vorerfassung'!$S$22:$S$36),
IF(OR(D303="SF",D303="FH"),SUM(IF(B303&gt;=_xlfn.NUMBERVALUE('ZD Vorerfassung'!$C$22:$C$36),1,0)*IF(B303&lt;=_xlfn.NUMBERVALUE('ZD Vorerfassung'!$D$22:$D$36),1,0)*'ZD Vorerfassung'!$T$22:$T$36*IF(D303="FH",0.5,1)),
"prüfen")))</f>
        <v>0</v>
      </c>
      <c r="BA303" s="112">
        <f t="shared" si="56"/>
        <v>5</v>
      </c>
    </row>
    <row r="304" spans="2:53" ht="19.5" thickTop="1" thickBot="1" x14ac:dyDescent="0.3">
      <c r="B304" s="99">
        <f t="shared" si="53"/>
        <v>45069</v>
      </c>
      <c r="C304" s="100">
        <f t="shared" si="57"/>
        <v>45069</v>
      </c>
      <c r="D304" s="101" t="str">
        <f t="shared" si="58"/>
        <v>NR</v>
      </c>
      <c r="E304" s="102" t="str">
        <f t="shared" si="54"/>
        <v>Unterrichtstag</v>
      </c>
      <c r="F304" s="103">
        <f t="shared" si="59"/>
        <v>0</v>
      </c>
      <c r="G304" s="104">
        <f t="shared" si="60"/>
        <v>0</v>
      </c>
      <c r="H304" s="104">
        <f>IFERROR(IF('ZD Vorerfassung'!$E$11="manuell",SUM(I304),IF(OR(E304="Feiertag",E304="Wochenende"),0,IF('ZD Vorerfassung'!$E$11="automatisch",AX304,IF(D304="UU","UU",IF(E304=Param2,AX304/24,IF(E304=Param9,AX304/48,"")))))),0)</f>
        <v>0</v>
      </c>
      <c r="I304" s="105"/>
      <c r="J304" s="106">
        <f>IF('ZD Vorerfassung'!$E$12="manuell",SUM(K304:AI304),IF(OR(E304="Feiertag",E304="Wochenende"),0,IF('ZD Vorerfassung'!$E$12="automatisch",AY304,IF(D304="UU","UU",IF(E304=Param2,AY304/24,IF(E304=Param9,AY304/48,""))))))</f>
        <v>0</v>
      </c>
      <c r="K304" s="105"/>
      <c r="L304" s="105"/>
      <c r="M304" s="105"/>
      <c r="N304" s="105"/>
      <c r="O304" s="105"/>
      <c r="P304" s="105"/>
      <c r="Q304" s="105"/>
      <c r="R304" s="105"/>
      <c r="S304" s="105"/>
      <c r="T304" s="105"/>
      <c r="U304" s="105"/>
      <c r="V304" s="105"/>
      <c r="W304" s="105"/>
      <c r="X304" s="105"/>
      <c r="Y304" s="105"/>
      <c r="Z304" s="105"/>
      <c r="AA304" s="105"/>
      <c r="AB304" s="105"/>
      <c r="AC304" s="105"/>
      <c r="AD304" s="105"/>
      <c r="AE304" s="105"/>
      <c r="AF304" s="105"/>
      <c r="AG304" s="105"/>
      <c r="AH304" s="105"/>
      <c r="AI304" s="105"/>
      <c r="AJ304" s="107">
        <f t="shared" si="61"/>
        <v>0</v>
      </c>
      <c r="AK304" s="105"/>
      <c r="AL304" s="105"/>
      <c r="AM304" s="105"/>
      <c r="AN304" s="105"/>
      <c r="AO304" s="105"/>
      <c r="AP304" s="105"/>
      <c r="AQ304" s="108">
        <f t="shared" si="62"/>
        <v>0</v>
      </c>
      <c r="AR304" s="108">
        <f t="shared" si="63"/>
        <v>0</v>
      </c>
      <c r="AS304" s="109">
        <f t="shared" si="64"/>
        <v>0</v>
      </c>
      <c r="AU304" s="110">
        <f t="shared" si="55"/>
        <v>0</v>
      </c>
      <c r="AV304" s="111">
        <f>IF(D304="NR",
IF('ZD Vorerfassung'!$E$22="",0,IF(AND(B304&gt;='ZD Vorerfassung'!$C$22,B304&lt;='ZD Vorerfassung'!$D$22),HLOOKUP(TEXT(C304,"ttt"),'ZD Vorerfassung'!$H$21:$L$36,2,0),0))+
IF('ZD Vorerfassung'!$E$23="",0,IF(AND(B304&gt;='ZD Vorerfassung'!$C$23,B304&lt;='ZD Vorerfassung'!$D$23),HLOOKUP(TEXT(C304,"ttt"),'ZD Vorerfassung'!$H$21:$L$36,3,0),0))+
IF('ZD Vorerfassung'!$E$24="",0,IF(AND(B304&gt;='ZD Vorerfassung'!$C$24,B304&lt;='ZD Vorerfassung'!$D$24),HLOOKUP(TEXT(C304,"ttt"),'ZD Vorerfassung'!$H$21:$L$36,4,0),0))+
IF('ZD Vorerfassung'!$E$25="",0,IF(AND(B304&gt;='ZD Vorerfassung'!$C$25,B304&lt;='ZD Vorerfassung'!$D$25),HLOOKUP(TEXT(C304,"ttt"),'ZD Vorerfassung'!$H$21:$L$36,5,0),0))+
IF('ZD Vorerfassung'!$E$26="",0,IF(AND(B304&gt;='ZD Vorerfassung'!$C$26,B304&lt;='ZD Vorerfassung'!$D$26),HLOOKUP(TEXT(C304,"ttt"),'ZD Vorerfassung'!$H$21:$L$36,6,0),0))+
IF('ZD Vorerfassung'!$E$27="",0,IF(AND(B304&gt;='ZD Vorerfassung'!$C$27,B304&lt;='ZD Vorerfassung'!$D$27),HLOOKUP(TEXT(C304,"ttt"),'ZD Vorerfassung'!$H$21:$L$36,7,0),0))+
IF('ZD Vorerfassung'!$E$28="",0,IF(AND(B304&gt;='ZD Vorerfassung'!$C$28,B304&lt;='ZD Vorerfassung'!$D$28),HLOOKUP(TEXT(C304,"ttt"),'ZD Vorerfassung'!$H$21:$L$36,8,0),0))+
IF('ZD Vorerfassung'!$E$29="",0,IF(AND(B304&gt;='ZD Vorerfassung'!$C$29,B304&lt;='ZD Vorerfassung'!$D$29),HLOOKUP(TEXT(C304,"ttt"),'ZD Vorerfassung'!$H$21:$L$36,9,0),0))+
IF('ZD Vorerfassung'!$E$30="",0,IF(AND(B304&gt;='ZD Vorerfassung'!$C$30,B304&lt;='ZD Vorerfassung'!$D$30),HLOOKUP(TEXT(C304,"ttt"),'ZD Vorerfassung'!$H$21:$L$36,10,0),0))+
IF('ZD Vorerfassung'!$E$31="",0,IF(AND(B304&gt;='ZD Vorerfassung'!$C$31,B304&lt;='ZD Vorerfassung'!$D$31),HLOOKUP(TEXT(C304,"ttt"),'ZD Vorerfassung'!$H$21:$L$36,11,0),0))+
IF('ZD Vorerfassung'!$E$32="",0,IF(AND(B304&gt;='ZD Vorerfassung'!$C$32,B304&lt;='ZD Vorerfassung'!$D$32),HLOOKUP(TEXT(C304,"ttt"),'ZD Vorerfassung'!$H$21:$L$36,12,0),0))+
IF('ZD Vorerfassung'!$E$33="",0,IF(AND(B304&gt;='ZD Vorerfassung'!$C$33,B304&lt;='ZD Vorerfassung'!$D$33),HLOOKUP(TEXT(C304,"ttt"),'ZD Vorerfassung'!$H$21:$L$36,13,0),0))+
IF('ZD Vorerfassung'!$E$34="",0,IF(AND(B304&gt;='ZD Vorerfassung'!$C$34,B304&lt;='ZD Vorerfassung'!$D$34),HLOOKUP(TEXT(C304,"ttt"),'ZD Vorerfassung'!$H$21:$L$36,14,0),0))+
IF('ZD Vorerfassung'!$E$35="",0,IF(AND(B304&gt;='ZD Vorerfassung'!$C$35,B304&lt;='ZD Vorerfassung'!$D$35),HLOOKUP(TEXT(C304,"ttt"),'ZD Vorerfassung'!$H$21:$L$36,15,0),0))+
IF('ZD Vorerfassung'!$E$36="",0,IF(AND(B304&gt;='ZD Vorerfassung'!$C$36,B304&lt;='ZD Vorerfassung'!$D$36),HLOOKUP(TEXT(C304,"ttt"),'ZD Vorerfassung'!$H$21:$L$36,16,0),0)),"")</f>
        <v>0</v>
      </c>
      <c r="AW304" s="110">
        <f t="array" ref="AW304">IF(OR(D304="UU",D304="FT",D304="WE"),0,
IF(D304="NR",SUM(IF(B304&gt;=_xlfn.NUMBERVALUE('ZD Vorerfassung'!$C$22:$C$36),1,0)*IF(B304&lt;=_xlfn.NUMBERVALUE('ZD Vorerfassung'!$D$22:$D$36),1,0)*'ZD Vorerfassung'!$Q$22:$Q$36),
IF(OR(D304="SF",D304="FH"),SUM(IF(B304&gt;=_xlfn.NUMBERVALUE('ZD Vorerfassung'!$C$22:$C$36),1,0)*IF(B304&lt;=_xlfn.NUMBERVALUE('ZD Vorerfassung'!$D$22:$D$36),1,0)*'ZD Vorerfassung'!$R$22:$R$36*IF(D304="FH",0.5,1)),
"prüfen")))</f>
        <v>0</v>
      </c>
      <c r="AX304" s="110">
        <f t="array" ref="AX304">IF(OR(D304="UU",D304="FT",D304="WE",E304="Ferien"),0,
IF(D304="NR",SUM(IF(B304&gt;=_xlfn.NUMBERVALUE('ZD Vorerfassung'!$C$22:$C$36),1,0)*IF(B304&lt;=_xlfn.NUMBERVALUE('ZD Vorerfassung'!$D$22:$D$36),1,0)*'ZD Vorerfassung'!$W$22:$W$36),
IF(OR(D304="SF",D304="FH"),SUM(IF(B304&gt;=_xlfn.NUMBERVALUE('ZD Vorerfassung'!$C$22:$C$36),1,0)*IF(B304&lt;=_xlfn.NUMBERVALUE('ZD Vorerfassung'!$D$22:$D$36),1,0)*'ZD Vorerfassung'!$X$22:$X$36*IF(D304="FH",0.5,1)),
"prüfen")))</f>
        <v>0</v>
      </c>
      <c r="AY304" s="110">
        <f t="array" ref="AY304">IF(OR(D304="UU",D304="FT",D304="WE",E304="Ferien"),0,
IF(D304="NR",SUM(IF(B304&gt;=_xlfn.NUMBERVALUE('ZD Vorerfassung'!$C$22:$C$36),1,0)*IF(B304&lt;=_xlfn.NUMBERVALUE('ZD Vorerfassung'!$D$22:$D$36),1,0)*'ZD Vorerfassung'!$U$22:$U$36),
IF(OR(D304="SF",D304="FH"),SUM(IF(B304&gt;=_xlfn.NUMBERVALUE('ZD Vorerfassung'!$C$22:$C$36),1,0)*IF(B304&lt;=_xlfn.NUMBERVALUE('ZD Vorerfassung'!$D$22:$D$36),1,0)*'ZD Vorerfassung'!$V$22:$V$36*IF(D304="FH",0.5,1)),
"prüfen")))</f>
        <v>0</v>
      </c>
      <c r="AZ304" s="110">
        <f t="array" ref="AZ304">IF(OR(D304="UU",D304="FT",D304="WE",E304="Ferien"),0,
IF(D304="NR",SUM(IF(B304&gt;=_xlfn.NUMBERVALUE('ZD Vorerfassung'!$C$22:$C$36),1,0)*IF(B304&lt;=_xlfn.NUMBERVALUE('ZD Vorerfassung'!$D$22:$D$36),1,0)*'ZD Vorerfassung'!$S$22:$S$36),
IF(OR(D304="SF",D304="FH"),SUM(IF(B304&gt;=_xlfn.NUMBERVALUE('ZD Vorerfassung'!$C$22:$C$36),1,0)*IF(B304&lt;=_xlfn.NUMBERVALUE('ZD Vorerfassung'!$D$22:$D$36),1,0)*'ZD Vorerfassung'!$T$22:$T$36*IF(D304="FH",0.5,1)),
"prüfen")))</f>
        <v>0</v>
      </c>
      <c r="BA304" s="112">
        <f t="shared" si="56"/>
        <v>5</v>
      </c>
    </row>
    <row r="305" spans="2:53" ht="19.5" thickTop="1" thickBot="1" x14ac:dyDescent="0.3">
      <c r="B305" s="99">
        <f t="shared" si="53"/>
        <v>45070</v>
      </c>
      <c r="C305" s="100">
        <f t="shared" si="57"/>
        <v>45070</v>
      </c>
      <c r="D305" s="101" t="str">
        <f t="shared" si="58"/>
        <v>NR</v>
      </c>
      <c r="E305" s="102" t="str">
        <f t="shared" si="54"/>
        <v>Unterrichtstag</v>
      </c>
      <c r="F305" s="103">
        <f t="shared" si="59"/>
        <v>0</v>
      </c>
      <c r="G305" s="104">
        <f t="shared" si="60"/>
        <v>0</v>
      </c>
      <c r="H305" s="104">
        <f>IFERROR(IF('ZD Vorerfassung'!$E$11="manuell",SUM(I305),IF(OR(E305="Feiertag",E305="Wochenende"),0,IF('ZD Vorerfassung'!$E$11="automatisch",AX305,IF(D305="UU","UU",IF(E305=Param2,AX305/24,IF(E305=Param9,AX305/48,"")))))),0)</f>
        <v>0</v>
      </c>
      <c r="I305" s="105"/>
      <c r="J305" s="106">
        <f>IF('ZD Vorerfassung'!$E$12="manuell",SUM(K305:AI305),IF(OR(E305="Feiertag",E305="Wochenende"),0,IF('ZD Vorerfassung'!$E$12="automatisch",AY305,IF(D305="UU","UU",IF(E305=Param2,AY305/24,IF(E305=Param9,AY305/48,""))))))</f>
        <v>0</v>
      </c>
      <c r="K305" s="105"/>
      <c r="L305" s="105"/>
      <c r="M305" s="105"/>
      <c r="N305" s="105"/>
      <c r="O305" s="105"/>
      <c r="P305" s="105"/>
      <c r="Q305" s="105"/>
      <c r="R305" s="105"/>
      <c r="S305" s="105"/>
      <c r="T305" s="105"/>
      <c r="U305" s="105"/>
      <c r="V305" s="105"/>
      <c r="W305" s="105"/>
      <c r="X305" s="105"/>
      <c r="Y305" s="105"/>
      <c r="Z305" s="105"/>
      <c r="AA305" s="105"/>
      <c r="AB305" s="105"/>
      <c r="AC305" s="105"/>
      <c r="AD305" s="105"/>
      <c r="AE305" s="105"/>
      <c r="AF305" s="105"/>
      <c r="AG305" s="105"/>
      <c r="AH305" s="105"/>
      <c r="AI305" s="105"/>
      <c r="AJ305" s="107">
        <f t="shared" si="61"/>
        <v>0</v>
      </c>
      <c r="AK305" s="105"/>
      <c r="AL305" s="105"/>
      <c r="AM305" s="105"/>
      <c r="AN305" s="105"/>
      <c r="AO305" s="105"/>
      <c r="AP305" s="105"/>
      <c r="AQ305" s="108">
        <f t="shared" si="62"/>
        <v>0</v>
      </c>
      <c r="AR305" s="108">
        <f t="shared" si="63"/>
        <v>0</v>
      </c>
      <c r="AS305" s="109">
        <f t="shared" si="64"/>
        <v>0</v>
      </c>
      <c r="AU305" s="110">
        <f t="shared" si="55"/>
        <v>0</v>
      </c>
      <c r="AV305" s="111">
        <f>IF(D305="NR",
IF('ZD Vorerfassung'!$E$22="",0,IF(AND(B305&gt;='ZD Vorerfassung'!$C$22,B305&lt;='ZD Vorerfassung'!$D$22),HLOOKUP(TEXT(C305,"ttt"),'ZD Vorerfassung'!$H$21:$L$36,2,0),0))+
IF('ZD Vorerfassung'!$E$23="",0,IF(AND(B305&gt;='ZD Vorerfassung'!$C$23,B305&lt;='ZD Vorerfassung'!$D$23),HLOOKUP(TEXT(C305,"ttt"),'ZD Vorerfassung'!$H$21:$L$36,3,0),0))+
IF('ZD Vorerfassung'!$E$24="",0,IF(AND(B305&gt;='ZD Vorerfassung'!$C$24,B305&lt;='ZD Vorerfassung'!$D$24),HLOOKUP(TEXT(C305,"ttt"),'ZD Vorerfassung'!$H$21:$L$36,4,0),0))+
IF('ZD Vorerfassung'!$E$25="",0,IF(AND(B305&gt;='ZD Vorerfassung'!$C$25,B305&lt;='ZD Vorerfassung'!$D$25),HLOOKUP(TEXT(C305,"ttt"),'ZD Vorerfassung'!$H$21:$L$36,5,0),0))+
IF('ZD Vorerfassung'!$E$26="",0,IF(AND(B305&gt;='ZD Vorerfassung'!$C$26,B305&lt;='ZD Vorerfassung'!$D$26),HLOOKUP(TEXT(C305,"ttt"),'ZD Vorerfassung'!$H$21:$L$36,6,0),0))+
IF('ZD Vorerfassung'!$E$27="",0,IF(AND(B305&gt;='ZD Vorerfassung'!$C$27,B305&lt;='ZD Vorerfassung'!$D$27),HLOOKUP(TEXT(C305,"ttt"),'ZD Vorerfassung'!$H$21:$L$36,7,0),0))+
IF('ZD Vorerfassung'!$E$28="",0,IF(AND(B305&gt;='ZD Vorerfassung'!$C$28,B305&lt;='ZD Vorerfassung'!$D$28),HLOOKUP(TEXT(C305,"ttt"),'ZD Vorerfassung'!$H$21:$L$36,8,0),0))+
IF('ZD Vorerfassung'!$E$29="",0,IF(AND(B305&gt;='ZD Vorerfassung'!$C$29,B305&lt;='ZD Vorerfassung'!$D$29),HLOOKUP(TEXT(C305,"ttt"),'ZD Vorerfassung'!$H$21:$L$36,9,0),0))+
IF('ZD Vorerfassung'!$E$30="",0,IF(AND(B305&gt;='ZD Vorerfassung'!$C$30,B305&lt;='ZD Vorerfassung'!$D$30),HLOOKUP(TEXT(C305,"ttt"),'ZD Vorerfassung'!$H$21:$L$36,10,0),0))+
IF('ZD Vorerfassung'!$E$31="",0,IF(AND(B305&gt;='ZD Vorerfassung'!$C$31,B305&lt;='ZD Vorerfassung'!$D$31),HLOOKUP(TEXT(C305,"ttt"),'ZD Vorerfassung'!$H$21:$L$36,11,0),0))+
IF('ZD Vorerfassung'!$E$32="",0,IF(AND(B305&gt;='ZD Vorerfassung'!$C$32,B305&lt;='ZD Vorerfassung'!$D$32),HLOOKUP(TEXT(C305,"ttt"),'ZD Vorerfassung'!$H$21:$L$36,12,0),0))+
IF('ZD Vorerfassung'!$E$33="",0,IF(AND(B305&gt;='ZD Vorerfassung'!$C$33,B305&lt;='ZD Vorerfassung'!$D$33),HLOOKUP(TEXT(C305,"ttt"),'ZD Vorerfassung'!$H$21:$L$36,13,0),0))+
IF('ZD Vorerfassung'!$E$34="",0,IF(AND(B305&gt;='ZD Vorerfassung'!$C$34,B305&lt;='ZD Vorerfassung'!$D$34),HLOOKUP(TEXT(C305,"ttt"),'ZD Vorerfassung'!$H$21:$L$36,14,0),0))+
IF('ZD Vorerfassung'!$E$35="",0,IF(AND(B305&gt;='ZD Vorerfassung'!$C$35,B305&lt;='ZD Vorerfassung'!$D$35),HLOOKUP(TEXT(C305,"ttt"),'ZD Vorerfassung'!$H$21:$L$36,15,0),0))+
IF('ZD Vorerfassung'!$E$36="",0,IF(AND(B305&gt;='ZD Vorerfassung'!$C$36,B305&lt;='ZD Vorerfassung'!$D$36),HLOOKUP(TEXT(C305,"ttt"),'ZD Vorerfassung'!$H$21:$L$36,16,0),0)),"")</f>
        <v>0</v>
      </c>
      <c r="AW305" s="110">
        <f t="array" ref="AW305">IF(OR(D305="UU",D305="FT",D305="WE"),0,
IF(D305="NR",SUM(IF(B305&gt;=_xlfn.NUMBERVALUE('ZD Vorerfassung'!$C$22:$C$36),1,0)*IF(B305&lt;=_xlfn.NUMBERVALUE('ZD Vorerfassung'!$D$22:$D$36),1,0)*'ZD Vorerfassung'!$Q$22:$Q$36),
IF(OR(D305="SF",D305="FH"),SUM(IF(B305&gt;=_xlfn.NUMBERVALUE('ZD Vorerfassung'!$C$22:$C$36),1,0)*IF(B305&lt;=_xlfn.NUMBERVALUE('ZD Vorerfassung'!$D$22:$D$36),1,0)*'ZD Vorerfassung'!$R$22:$R$36*IF(D305="FH",0.5,1)),
"prüfen")))</f>
        <v>0</v>
      </c>
      <c r="AX305" s="110">
        <f t="array" ref="AX305">IF(OR(D305="UU",D305="FT",D305="WE",E305="Ferien"),0,
IF(D305="NR",SUM(IF(B305&gt;=_xlfn.NUMBERVALUE('ZD Vorerfassung'!$C$22:$C$36),1,0)*IF(B305&lt;=_xlfn.NUMBERVALUE('ZD Vorerfassung'!$D$22:$D$36),1,0)*'ZD Vorerfassung'!$W$22:$W$36),
IF(OR(D305="SF",D305="FH"),SUM(IF(B305&gt;=_xlfn.NUMBERVALUE('ZD Vorerfassung'!$C$22:$C$36),1,0)*IF(B305&lt;=_xlfn.NUMBERVALUE('ZD Vorerfassung'!$D$22:$D$36),1,0)*'ZD Vorerfassung'!$X$22:$X$36*IF(D305="FH",0.5,1)),
"prüfen")))</f>
        <v>0</v>
      </c>
      <c r="AY305" s="110">
        <f t="array" ref="AY305">IF(OR(D305="UU",D305="FT",D305="WE",E305="Ferien"),0,
IF(D305="NR",SUM(IF(B305&gt;=_xlfn.NUMBERVALUE('ZD Vorerfassung'!$C$22:$C$36),1,0)*IF(B305&lt;=_xlfn.NUMBERVALUE('ZD Vorerfassung'!$D$22:$D$36),1,0)*'ZD Vorerfassung'!$U$22:$U$36),
IF(OR(D305="SF",D305="FH"),SUM(IF(B305&gt;=_xlfn.NUMBERVALUE('ZD Vorerfassung'!$C$22:$C$36),1,0)*IF(B305&lt;=_xlfn.NUMBERVALUE('ZD Vorerfassung'!$D$22:$D$36),1,0)*'ZD Vorerfassung'!$V$22:$V$36*IF(D305="FH",0.5,1)),
"prüfen")))</f>
        <v>0</v>
      </c>
      <c r="AZ305" s="110">
        <f t="array" ref="AZ305">IF(OR(D305="UU",D305="FT",D305="WE",E305="Ferien"),0,
IF(D305="NR",SUM(IF(B305&gt;=_xlfn.NUMBERVALUE('ZD Vorerfassung'!$C$22:$C$36),1,0)*IF(B305&lt;=_xlfn.NUMBERVALUE('ZD Vorerfassung'!$D$22:$D$36),1,0)*'ZD Vorerfassung'!$S$22:$S$36),
IF(OR(D305="SF",D305="FH"),SUM(IF(B305&gt;=_xlfn.NUMBERVALUE('ZD Vorerfassung'!$C$22:$C$36),1,0)*IF(B305&lt;=_xlfn.NUMBERVALUE('ZD Vorerfassung'!$D$22:$D$36),1,0)*'ZD Vorerfassung'!$T$22:$T$36*IF(D305="FH",0.5,1)),
"prüfen")))</f>
        <v>0</v>
      </c>
      <c r="BA305" s="112">
        <f t="shared" si="56"/>
        <v>5</v>
      </c>
    </row>
    <row r="306" spans="2:53" ht="19.5" thickTop="1" thickBot="1" x14ac:dyDescent="0.3">
      <c r="B306" s="99">
        <f t="shared" si="53"/>
        <v>45071</v>
      </c>
      <c r="C306" s="100">
        <f t="shared" si="57"/>
        <v>45071</v>
      </c>
      <c r="D306" s="101" t="str">
        <f t="shared" si="58"/>
        <v>NR</v>
      </c>
      <c r="E306" s="102" t="str">
        <f t="shared" si="54"/>
        <v>Unterrichtstag</v>
      </c>
      <c r="F306" s="103">
        <f t="shared" si="59"/>
        <v>0</v>
      </c>
      <c r="G306" s="104">
        <f t="shared" si="60"/>
        <v>0</v>
      </c>
      <c r="H306" s="104">
        <f>IFERROR(IF('ZD Vorerfassung'!$E$11="manuell",SUM(I306),IF(OR(E306="Feiertag",E306="Wochenende"),0,IF('ZD Vorerfassung'!$E$11="automatisch",AX306,IF(D306="UU","UU",IF(E306=Param2,AX306/24,IF(E306=Param9,AX306/48,"")))))),0)</f>
        <v>0</v>
      </c>
      <c r="I306" s="105"/>
      <c r="J306" s="106">
        <f>IF('ZD Vorerfassung'!$E$12="manuell",SUM(K306:AI306),IF(OR(E306="Feiertag",E306="Wochenende"),0,IF('ZD Vorerfassung'!$E$12="automatisch",AY306,IF(D306="UU","UU",IF(E306=Param2,AY306/24,IF(E306=Param9,AY306/48,""))))))</f>
        <v>0</v>
      </c>
      <c r="K306" s="105"/>
      <c r="L306" s="105"/>
      <c r="M306" s="105"/>
      <c r="N306" s="105"/>
      <c r="O306" s="105"/>
      <c r="P306" s="105"/>
      <c r="Q306" s="105"/>
      <c r="R306" s="105"/>
      <c r="S306" s="105"/>
      <c r="T306" s="105"/>
      <c r="U306" s="105"/>
      <c r="V306" s="105"/>
      <c r="W306" s="105"/>
      <c r="X306" s="105"/>
      <c r="Y306" s="105"/>
      <c r="Z306" s="105"/>
      <c r="AA306" s="105"/>
      <c r="AB306" s="105"/>
      <c r="AC306" s="105"/>
      <c r="AD306" s="105"/>
      <c r="AE306" s="105"/>
      <c r="AF306" s="105"/>
      <c r="AG306" s="105"/>
      <c r="AH306" s="105"/>
      <c r="AI306" s="105"/>
      <c r="AJ306" s="107">
        <f t="shared" si="61"/>
        <v>0</v>
      </c>
      <c r="AK306" s="105"/>
      <c r="AL306" s="105"/>
      <c r="AM306" s="105"/>
      <c r="AN306" s="105"/>
      <c r="AO306" s="105"/>
      <c r="AP306" s="105"/>
      <c r="AQ306" s="108">
        <f t="shared" si="62"/>
        <v>0</v>
      </c>
      <c r="AR306" s="108">
        <f t="shared" si="63"/>
        <v>0</v>
      </c>
      <c r="AS306" s="109">
        <f t="shared" si="64"/>
        <v>0</v>
      </c>
      <c r="AU306" s="110">
        <f t="shared" si="55"/>
        <v>0</v>
      </c>
      <c r="AV306" s="111">
        <f>IF(D306="NR",
IF('ZD Vorerfassung'!$E$22="",0,IF(AND(B306&gt;='ZD Vorerfassung'!$C$22,B306&lt;='ZD Vorerfassung'!$D$22),HLOOKUP(TEXT(C306,"ttt"),'ZD Vorerfassung'!$H$21:$L$36,2,0),0))+
IF('ZD Vorerfassung'!$E$23="",0,IF(AND(B306&gt;='ZD Vorerfassung'!$C$23,B306&lt;='ZD Vorerfassung'!$D$23),HLOOKUP(TEXT(C306,"ttt"),'ZD Vorerfassung'!$H$21:$L$36,3,0),0))+
IF('ZD Vorerfassung'!$E$24="",0,IF(AND(B306&gt;='ZD Vorerfassung'!$C$24,B306&lt;='ZD Vorerfassung'!$D$24),HLOOKUP(TEXT(C306,"ttt"),'ZD Vorerfassung'!$H$21:$L$36,4,0),0))+
IF('ZD Vorerfassung'!$E$25="",0,IF(AND(B306&gt;='ZD Vorerfassung'!$C$25,B306&lt;='ZD Vorerfassung'!$D$25),HLOOKUP(TEXT(C306,"ttt"),'ZD Vorerfassung'!$H$21:$L$36,5,0),0))+
IF('ZD Vorerfassung'!$E$26="",0,IF(AND(B306&gt;='ZD Vorerfassung'!$C$26,B306&lt;='ZD Vorerfassung'!$D$26),HLOOKUP(TEXT(C306,"ttt"),'ZD Vorerfassung'!$H$21:$L$36,6,0),0))+
IF('ZD Vorerfassung'!$E$27="",0,IF(AND(B306&gt;='ZD Vorerfassung'!$C$27,B306&lt;='ZD Vorerfassung'!$D$27),HLOOKUP(TEXT(C306,"ttt"),'ZD Vorerfassung'!$H$21:$L$36,7,0),0))+
IF('ZD Vorerfassung'!$E$28="",0,IF(AND(B306&gt;='ZD Vorerfassung'!$C$28,B306&lt;='ZD Vorerfassung'!$D$28),HLOOKUP(TEXT(C306,"ttt"),'ZD Vorerfassung'!$H$21:$L$36,8,0),0))+
IF('ZD Vorerfassung'!$E$29="",0,IF(AND(B306&gt;='ZD Vorerfassung'!$C$29,B306&lt;='ZD Vorerfassung'!$D$29),HLOOKUP(TEXT(C306,"ttt"),'ZD Vorerfassung'!$H$21:$L$36,9,0),0))+
IF('ZD Vorerfassung'!$E$30="",0,IF(AND(B306&gt;='ZD Vorerfassung'!$C$30,B306&lt;='ZD Vorerfassung'!$D$30),HLOOKUP(TEXT(C306,"ttt"),'ZD Vorerfassung'!$H$21:$L$36,10,0),0))+
IF('ZD Vorerfassung'!$E$31="",0,IF(AND(B306&gt;='ZD Vorerfassung'!$C$31,B306&lt;='ZD Vorerfassung'!$D$31),HLOOKUP(TEXT(C306,"ttt"),'ZD Vorerfassung'!$H$21:$L$36,11,0),0))+
IF('ZD Vorerfassung'!$E$32="",0,IF(AND(B306&gt;='ZD Vorerfassung'!$C$32,B306&lt;='ZD Vorerfassung'!$D$32),HLOOKUP(TEXT(C306,"ttt"),'ZD Vorerfassung'!$H$21:$L$36,12,0),0))+
IF('ZD Vorerfassung'!$E$33="",0,IF(AND(B306&gt;='ZD Vorerfassung'!$C$33,B306&lt;='ZD Vorerfassung'!$D$33),HLOOKUP(TEXT(C306,"ttt"),'ZD Vorerfassung'!$H$21:$L$36,13,0),0))+
IF('ZD Vorerfassung'!$E$34="",0,IF(AND(B306&gt;='ZD Vorerfassung'!$C$34,B306&lt;='ZD Vorerfassung'!$D$34),HLOOKUP(TEXT(C306,"ttt"),'ZD Vorerfassung'!$H$21:$L$36,14,0),0))+
IF('ZD Vorerfassung'!$E$35="",0,IF(AND(B306&gt;='ZD Vorerfassung'!$C$35,B306&lt;='ZD Vorerfassung'!$D$35),HLOOKUP(TEXT(C306,"ttt"),'ZD Vorerfassung'!$H$21:$L$36,15,0),0))+
IF('ZD Vorerfassung'!$E$36="",0,IF(AND(B306&gt;='ZD Vorerfassung'!$C$36,B306&lt;='ZD Vorerfassung'!$D$36),HLOOKUP(TEXT(C306,"ttt"),'ZD Vorerfassung'!$H$21:$L$36,16,0),0)),"")</f>
        <v>0</v>
      </c>
      <c r="AW306" s="110">
        <f t="array" ref="AW306">IF(OR(D306="UU",D306="FT",D306="WE"),0,
IF(D306="NR",SUM(IF(B306&gt;=_xlfn.NUMBERVALUE('ZD Vorerfassung'!$C$22:$C$36),1,0)*IF(B306&lt;=_xlfn.NUMBERVALUE('ZD Vorerfassung'!$D$22:$D$36),1,0)*'ZD Vorerfassung'!$Q$22:$Q$36),
IF(OR(D306="SF",D306="FH"),SUM(IF(B306&gt;=_xlfn.NUMBERVALUE('ZD Vorerfassung'!$C$22:$C$36),1,0)*IF(B306&lt;=_xlfn.NUMBERVALUE('ZD Vorerfassung'!$D$22:$D$36),1,0)*'ZD Vorerfassung'!$R$22:$R$36*IF(D306="FH",0.5,1)),
"prüfen")))</f>
        <v>0</v>
      </c>
      <c r="AX306" s="110">
        <f t="array" ref="AX306">IF(OR(D306="UU",D306="FT",D306="WE",E306="Ferien"),0,
IF(D306="NR",SUM(IF(B306&gt;=_xlfn.NUMBERVALUE('ZD Vorerfassung'!$C$22:$C$36),1,0)*IF(B306&lt;=_xlfn.NUMBERVALUE('ZD Vorerfassung'!$D$22:$D$36),1,0)*'ZD Vorerfassung'!$W$22:$W$36),
IF(OR(D306="SF",D306="FH"),SUM(IF(B306&gt;=_xlfn.NUMBERVALUE('ZD Vorerfassung'!$C$22:$C$36),1,0)*IF(B306&lt;=_xlfn.NUMBERVALUE('ZD Vorerfassung'!$D$22:$D$36),1,0)*'ZD Vorerfassung'!$X$22:$X$36*IF(D306="FH",0.5,1)),
"prüfen")))</f>
        <v>0</v>
      </c>
      <c r="AY306" s="110">
        <f t="array" ref="AY306">IF(OR(D306="UU",D306="FT",D306="WE",E306="Ferien"),0,
IF(D306="NR",SUM(IF(B306&gt;=_xlfn.NUMBERVALUE('ZD Vorerfassung'!$C$22:$C$36),1,0)*IF(B306&lt;=_xlfn.NUMBERVALUE('ZD Vorerfassung'!$D$22:$D$36),1,0)*'ZD Vorerfassung'!$U$22:$U$36),
IF(OR(D306="SF",D306="FH"),SUM(IF(B306&gt;=_xlfn.NUMBERVALUE('ZD Vorerfassung'!$C$22:$C$36),1,0)*IF(B306&lt;=_xlfn.NUMBERVALUE('ZD Vorerfassung'!$D$22:$D$36),1,0)*'ZD Vorerfassung'!$V$22:$V$36*IF(D306="FH",0.5,1)),
"prüfen")))</f>
        <v>0</v>
      </c>
      <c r="AZ306" s="110">
        <f t="array" ref="AZ306">IF(OR(D306="UU",D306="FT",D306="WE",E306="Ferien"),0,
IF(D306="NR",SUM(IF(B306&gt;=_xlfn.NUMBERVALUE('ZD Vorerfassung'!$C$22:$C$36),1,0)*IF(B306&lt;=_xlfn.NUMBERVALUE('ZD Vorerfassung'!$D$22:$D$36),1,0)*'ZD Vorerfassung'!$S$22:$S$36),
IF(OR(D306="SF",D306="FH"),SUM(IF(B306&gt;=_xlfn.NUMBERVALUE('ZD Vorerfassung'!$C$22:$C$36),1,0)*IF(B306&lt;=_xlfn.NUMBERVALUE('ZD Vorerfassung'!$D$22:$D$36),1,0)*'ZD Vorerfassung'!$T$22:$T$36*IF(D306="FH",0.5,1)),
"prüfen")))</f>
        <v>0</v>
      </c>
      <c r="BA306" s="112">
        <f t="shared" si="56"/>
        <v>5</v>
      </c>
    </row>
    <row r="307" spans="2:53" ht="19.5" thickTop="1" thickBot="1" x14ac:dyDescent="0.3">
      <c r="B307" s="99">
        <f t="shared" si="53"/>
        <v>45072</v>
      </c>
      <c r="C307" s="100">
        <f t="shared" si="57"/>
        <v>45072</v>
      </c>
      <c r="D307" s="101" t="str">
        <f t="shared" si="58"/>
        <v>NR</v>
      </c>
      <c r="E307" s="102" t="str">
        <f t="shared" si="54"/>
        <v>Unterrichtstag</v>
      </c>
      <c r="F307" s="103">
        <f t="shared" si="59"/>
        <v>0</v>
      </c>
      <c r="G307" s="104">
        <f t="shared" si="60"/>
        <v>0</v>
      </c>
      <c r="H307" s="104">
        <f>IFERROR(IF('ZD Vorerfassung'!$E$11="manuell",SUM(I307),IF(OR(E307="Feiertag",E307="Wochenende"),0,IF('ZD Vorerfassung'!$E$11="automatisch",AX307,IF(D307="UU","UU",IF(E307=Param2,AX307/24,IF(E307=Param9,AX307/48,"")))))),0)</f>
        <v>0</v>
      </c>
      <c r="I307" s="105"/>
      <c r="J307" s="106">
        <f>IF('ZD Vorerfassung'!$E$12="manuell",SUM(K307:AI307),IF(OR(E307="Feiertag",E307="Wochenende"),0,IF('ZD Vorerfassung'!$E$12="automatisch",AY307,IF(D307="UU","UU",IF(E307=Param2,AY307/24,IF(E307=Param9,AY307/48,""))))))</f>
        <v>0</v>
      </c>
      <c r="K307" s="105"/>
      <c r="L307" s="105"/>
      <c r="M307" s="105"/>
      <c r="N307" s="105"/>
      <c r="O307" s="105"/>
      <c r="P307" s="105"/>
      <c r="Q307" s="105"/>
      <c r="R307" s="105"/>
      <c r="S307" s="105"/>
      <c r="T307" s="105"/>
      <c r="U307" s="105"/>
      <c r="V307" s="105"/>
      <c r="W307" s="105"/>
      <c r="X307" s="105"/>
      <c r="Y307" s="105"/>
      <c r="Z307" s="105"/>
      <c r="AA307" s="105"/>
      <c r="AB307" s="105"/>
      <c r="AC307" s="105"/>
      <c r="AD307" s="105"/>
      <c r="AE307" s="105"/>
      <c r="AF307" s="105"/>
      <c r="AG307" s="105"/>
      <c r="AH307" s="105"/>
      <c r="AI307" s="105"/>
      <c r="AJ307" s="107">
        <f t="shared" si="61"/>
        <v>0</v>
      </c>
      <c r="AK307" s="105"/>
      <c r="AL307" s="105"/>
      <c r="AM307" s="105"/>
      <c r="AN307" s="105"/>
      <c r="AO307" s="105"/>
      <c r="AP307" s="105"/>
      <c r="AQ307" s="108">
        <f t="shared" si="62"/>
        <v>0</v>
      </c>
      <c r="AR307" s="108">
        <f t="shared" si="63"/>
        <v>0</v>
      </c>
      <c r="AS307" s="109">
        <f t="shared" si="64"/>
        <v>0</v>
      </c>
      <c r="AU307" s="110">
        <f t="shared" si="55"/>
        <v>0</v>
      </c>
      <c r="AV307" s="111">
        <f>IF(D307="NR",
IF('ZD Vorerfassung'!$E$22="",0,IF(AND(B307&gt;='ZD Vorerfassung'!$C$22,B307&lt;='ZD Vorerfassung'!$D$22),HLOOKUP(TEXT(C307,"ttt"),'ZD Vorerfassung'!$H$21:$L$36,2,0),0))+
IF('ZD Vorerfassung'!$E$23="",0,IF(AND(B307&gt;='ZD Vorerfassung'!$C$23,B307&lt;='ZD Vorerfassung'!$D$23),HLOOKUP(TEXT(C307,"ttt"),'ZD Vorerfassung'!$H$21:$L$36,3,0),0))+
IF('ZD Vorerfassung'!$E$24="",0,IF(AND(B307&gt;='ZD Vorerfassung'!$C$24,B307&lt;='ZD Vorerfassung'!$D$24),HLOOKUP(TEXT(C307,"ttt"),'ZD Vorerfassung'!$H$21:$L$36,4,0),0))+
IF('ZD Vorerfassung'!$E$25="",0,IF(AND(B307&gt;='ZD Vorerfassung'!$C$25,B307&lt;='ZD Vorerfassung'!$D$25),HLOOKUP(TEXT(C307,"ttt"),'ZD Vorerfassung'!$H$21:$L$36,5,0),0))+
IF('ZD Vorerfassung'!$E$26="",0,IF(AND(B307&gt;='ZD Vorerfassung'!$C$26,B307&lt;='ZD Vorerfassung'!$D$26),HLOOKUP(TEXT(C307,"ttt"),'ZD Vorerfassung'!$H$21:$L$36,6,0),0))+
IF('ZD Vorerfassung'!$E$27="",0,IF(AND(B307&gt;='ZD Vorerfassung'!$C$27,B307&lt;='ZD Vorerfassung'!$D$27),HLOOKUP(TEXT(C307,"ttt"),'ZD Vorerfassung'!$H$21:$L$36,7,0),0))+
IF('ZD Vorerfassung'!$E$28="",0,IF(AND(B307&gt;='ZD Vorerfassung'!$C$28,B307&lt;='ZD Vorerfassung'!$D$28),HLOOKUP(TEXT(C307,"ttt"),'ZD Vorerfassung'!$H$21:$L$36,8,0),0))+
IF('ZD Vorerfassung'!$E$29="",0,IF(AND(B307&gt;='ZD Vorerfassung'!$C$29,B307&lt;='ZD Vorerfassung'!$D$29),HLOOKUP(TEXT(C307,"ttt"),'ZD Vorerfassung'!$H$21:$L$36,9,0),0))+
IF('ZD Vorerfassung'!$E$30="",0,IF(AND(B307&gt;='ZD Vorerfassung'!$C$30,B307&lt;='ZD Vorerfassung'!$D$30),HLOOKUP(TEXT(C307,"ttt"),'ZD Vorerfassung'!$H$21:$L$36,10,0),0))+
IF('ZD Vorerfassung'!$E$31="",0,IF(AND(B307&gt;='ZD Vorerfassung'!$C$31,B307&lt;='ZD Vorerfassung'!$D$31),HLOOKUP(TEXT(C307,"ttt"),'ZD Vorerfassung'!$H$21:$L$36,11,0),0))+
IF('ZD Vorerfassung'!$E$32="",0,IF(AND(B307&gt;='ZD Vorerfassung'!$C$32,B307&lt;='ZD Vorerfassung'!$D$32),HLOOKUP(TEXT(C307,"ttt"),'ZD Vorerfassung'!$H$21:$L$36,12,0),0))+
IF('ZD Vorerfassung'!$E$33="",0,IF(AND(B307&gt;='ZD Vorerfassung'!$C$33,B307&lt;='ZD Vorerfassung'!$D$33),HLOOKUP(TEXT(C307,"ttt"),'ZD Vorerfassung'!$H$21:$L$36,13,0),0))+
IF('ZD Vorerfassung'!$E$34="",0,IF(AND(B307&gt;='ZD Vorerfassung'!$C$34,B307&lt;='ZD Vorerfassung'!$D$34),HLOOKUP(TEXT(C307,"ttt"),'ZD Vorerfassung'!$H$21:$L$36,14,0),0))+
IF('ZD Vorerfassung'!$E$35="",0,IF(AND(B307&gt;='ZD Vorerfassung'!$C$35,B307&lt;='ZD Vorerfassung'!$D$35),HLOOKUP(TEXT(C307,"ttt"),'ZD Vorerfassung'!$H$21:$L$36,15,0),0))+
IF('ZD Vorerfassung'!$E$36="",0,IF(AND(B307&gt;='ZD Vorerfassung'!$C$36,B307&lt;='ZD Vorerfassung'!$D$36),HLOOKUP(TEXT(C307,"ttt"),'ZD Vorerfassung'!$H$21:$L$36,16,0),0)),"")</f>
        <v>0</v>
      </c>
      <c r="AW307" s="110">
        <f t="array" ref="AW307">IF(OR(D307="UU",D307="FT",D307="WE"),0,
IF(D307="NR",SUM(IF(B307&gt;=_xlfn.NUMBERVALUE('ZD Vorerfassung'!$C$22:$C$36),1,0)*IF(B307&lt;=_xlfn.NUMBERVALUE('ZD Vorerfassung'!$D$22:$D$36),1,0)*'ZD Vorerfassung'!$Q$22:$Q$36),
IF(OR(D307="SF",D307="FH"),SUM(IF(B307&gt;=_xlfn.NUMBERVALUE('ZD Vorerfassung'!$C$22:$C$36),1,0)*IF(B307&lt;=_xlfn.NUMBERVALUE('ZD Vorerfassung'!$D$22:$D$36),1,0)*'ZD Vorerfassung'!$R$22:$R$36*IF(D307="FH",0.5,1)),
"prüfen")))</f>
        <v>0</v>
      </c>
      <c r="AX307" s="110">
        <f t="array" ref="AX307">IF(OR(D307="UU",D307="FT",D307="WE",E307="Ferien"),0,
IF(D307="NR",SUM(IF(B307&gt;=_xlfn.NUMBERVALUE('ZD Vorerfassung'!$C$22:$C$36),1,0)*IF(B307&lt;=_xlfn.NUMBERVALUE('ZD Vorerfassung'!$D$22:$D$36),1,0)*'ZD Vorerfassung'!$W$22:$W$36),
IF(OR(D307="SF",D307="FH"),SUM(IF(B307&gt;=_xlfn.NUMBERVALUE('ZD Vorerfassung'!$C$22:$C$36),1,0)*IF(B307&lt;=_xlfn.NUMBERVALUE('ZD Vorerfassung'!$D$22:$D$36),1,0)*'ZD Vorerfassung'!$X$22:$X$36*IF(D307="FH",0.5,1)),
"prüfen")))</f>
        <v>0</v>
      </c>
      <c r="AY307" s="110">
        <f t="array" ref="AY307">IF(OR(D307="UU",D307="FT",D307="WE",E307="Ferien"),0,
IF(D307="NR",SUM(IF(B307&gt;=_xlfn.NUMBERVALUE('ZD Vorerfassung'!$C$22:$C$36),1,0)*IF(B307&lt;=_xlfn.NUMBERVALUE('ZD Vorerfassung'!$D$22:$D$36),1,0)*'ZD Vorerfassung'!$U$22:$U$36),
IF(OR(D307="SF",D307="FH"),SUM(IF(B307&gt;=_xlfn.NUMBERVALUE('ZD Vorerfassung'!$C$22:$C$36),1,0)*IF(B307&lt;=_xlfn.NUMBERVALUE('ZD Vorerfassung'!$D$22:$D$36),1,0)*'ZD Vorerfassung'!$V$22:$V$36*IF(D307="FH",0.5,1)),
"prüfen")))</f>
        <v>0</v>
      </c>
      <c r="AZ307" s="110">
        <f t="array" ref="AZ307">IF(OR(D307="UU",D307="FT",D307="WE",E307="Ferien"),0,
IF(D307="NR",SUM(IF(B307&gt;=_xlfn.NUMBERVALUE('ZD Vorerfassung'!$C$22:$C$36),1,0)*IF(B307&lt;=_xlfn.NUMBERVALUE('ZD Vorerfassung'!$D$22:$D$36),1,0)*'ZD Vorerfassung'!$S$22:$S$36),
IF(OR(D307="SF",D307="FH"),SUM(IF(B307&gt;=_xlfn.NUMBERVALUE('ZD Vorerfassung'!$C$22:$C$36),1,0)*IF(B307&lt;=_xlfn.NUMBERVALUE('ZD Vorerfassung'!$D$22:$D$36),1,0)*'ZD Vorerfassung'!$T$22:$T$36*IF(D307="FH",0.5,1)),
"prüfen")))</f>
        <v>0</v>
      </c>
      <c r="BA307" s="112">
        <f t="shared" si="56"/>
        <v>5</v>
      </c>
    </row>
    <row r="308" spans="2:53" ht="19.5" thickTop="1" thickBot="1" x14ac:dyDescent="0.3">
      <c r="B308" s="99">
        <f t="shared" si="53"/>
        <v>45073</v>
      </c>
      <c r="C308" s="100">
        <f t="shared" si="57"/>
        <v>45073</v>
      </c>
      <c r="D308" s="101" t="str">
        <f t="shared" si="58"/>
        <v>NR</v>
      </c>
      <c r="E308" s="102" t="str">
        <f t="shared" si="54"/>
        <v>Unterrichtstag</v>
      </c>
      <c r="F308" s="103">
        <f t="shared" si="59"/>
        <v>0</v>
      </c>
      <c r="G308" s="104">
        <f t="shared" si="60"/>
        <v>0</v>
      </c>
      <c r="H308" s="104">
        <f>IFERROR(IF('ZD Vorerfassung'!$E$11="manuell",SUM(I308),IF(OR(E308="Feiertag",E308="Wochenende"),0,IF('ZD Vorerfassung'!$E$11="automatisch",AX308,IF(D308="UU","UU",IF(E308=Param2,AX308/24,IF(E308=Param9,AX308/48,"")))))),0)</f>
        <v>0</v>
      </c>
      <c r="I308" s="105"/>
      <c r="J308" s="106">
        <f>IF('ZD Vorerfassung'!$E$12="manuell",SUM(K308:AI308),IF(OR(E308="Feiertag",E308="Wochenende"),0,IF('ZD Vorerfassung'!$E$12="automatisch",AY308,IF(D308="UU","UU",IF(E308=Param2,AY308/24,IF(E308=Param9,AY308/48,""))))))</f>
        <v>0</v>
      </c>
      <c r="K308" s="105"/>
      <c r="L308" s="105"/>
      <c r="M308" s="105"/>
      <c r="N308" s="105"/>
      <c r="O308" s="105"/>
      <c r="P308" s="105"/>
      <c r="Q308" s="105"/>
      <c r="R308" s="105"/>
      <c r="S308" s="105"/>
      <c r="T308" s="105"/>
      <c r="U308" s="105"/>
      <c r="V308" s="105"/>
      <c r="W308" s="105"/>
      <c r="X308" s="105"/>
      <c r="Y308" s="105"/>
      <c r="Z308" s="105"/>
      <c r="AA308" s="105"/>
      <c r="AB308" s="105"/>
      <c r="AC308" s="105"/>
      <c r="AD308" s="105"/>
      <c r="AE308" s="105"/>
      <c r="AF308" s="105"/>
      <c r="AG308" s="105"/>
      <c r="AH308" s="105"/>
      <c r="AI308" s="105"/>
      <c r="AJ308" s="107">
        <f t="shared" si="61"/>
        <v>0</v>
      </c>
      <c r="AK308" s="105"/>
      <c r="AL308" s="105"/>
      <c r="AM308" s="105"/>
      <c r="AN308" s="105"/>
      <c r="AO308" s="105"/>
      <c r="AP308" s="105"/>
      <c r="AQ308" s="108">
        <f t="shared" si="62"/>
        <v>0</v>
      </c>
      <c r="AR308" s="108">
        <f t="shared" si="63"/>
        <v>0</v>
      </c>
      <c r="AS308" s="109">
        <f t="shared" si="64"/>
        <v>0</v>
      </c>
      <c r="AU308" s="110">
        <f t="shared" si="55"/>
        <v>0</v>
      </c>
      <c r="AV308" s="111">
        <f>IF(D308="NR",
IF('ZD Vorerfassung'!$E$22="",0,IF(AND(B308&gt;='ZD Vorerfassung'!$C$22,B308&lt;='ZD Vorerfassung'!$D$22),HLOOKUP(TEXT(C308,"ttt"),'ZD Vorerfassung'!$H$21:$L$36,2,0),0))+
IF('ZD Vorerfassung'!$E$23="",0,IF(AND(B308&gt;='ZD Vorerfassung'!$C$23,B308&lt;='ZD Vorerfassung'!$D$23),HLOOKUP(TEXT(C308,"ttt"),'ZD Vorerfassung'!$H$21:$L$36,3,0),0))+
IF('ZD Vorerfassung'!$E$24="",0,IF(AND(B308&gt;='ZD Vorerfassung'!$C$24,B308&lt;='ZD Vorerfassung'!$D$24),HLOOKUP(TEXT(C308,"ttt"),'ZD Vorerfassung'!$H$21:$L$36,4,0),0))+
IF('ZD Vorerfassung'!$E$25="",0,IF(AND(B308&gt;='ZD Vorerfassung'!$C$25,B308&lt;='ZD Vorerfassung'!$D$25),HLOOKUP(TEXT(C308,"ttt"),'ZD Vorerfassung'!$H$21:$L$36,5,0),0))+
IF('ZD Vorerfassung'!$E$26="",0,IF(AND(B308&gt;='ZD Vorerfassung'!$C$26,B308&lt;='ZD Vorerfassung'!$D$26),HLOOKUP(TEXT(C308,"ttt"),'ZD Vorerfassung'!$H$21:$L$36,6,0),0))+
IF('ZD Vorerfassung'!$E$27="",0,IF(AND(B308&gt;='ZD Vorerfassung'!$C$27,B308&lt;='ZD Vorerfassung'!$D$27),HLOOKUP(TEXT(C308,"ttt"),'ZD Vorerfassung'!$H$21:$L$36,7,0),0))+
IF('ZD Vorerfassung'!$E$28="",0,IF(AND(B308&gt;='ZD Vorerfassung'!$C$28,B308&lt;='ZD Vorerfassung'!$D$28),HLOOKUP(TEXT(C308,"ttt"),'ZD Vorerfassung'!$H$21:$L$36,8,0),0))+
IF('ZD Vorerfassung'!$E$29="",0,IF(AND(B308&gt;='ZD Vorerfassung'!$C$29,B308&lt;='ZD Vorerfassung'!$D$29),HLOOKUP(TEXT(C308,"ttt"),'ZD Vorerfassung'!$H$21:$L$36,9,0),0))+
IF('ZD Vorerfassung'!$E$30="",0,IF(AND(B308&gt;='ZD Vorerfassung'!$C$30,B308&lt;='ZD Vorerfassung'!$D$30),HLOOKUP(TEXT(C308,"ttt"),'ZD Vorerfassung'!$H$21:$L$36,10,0),0))+
IF('ZD Vorerfassung'!$E$31="",0,IF(AND(B308&gt;='ZD Vorerfassung'!$C$31,B308&lt;='ZD Vorerfassung'!$D$31),HLOOKUP(TEXT(C308,"ttt"),'ZD Vorerfassung'!$H$21:$L$36,11,0),0))+
IF('ZD Vorerfassung'!$E$32="",0,IF(AND(B308&gt;='ZD Vorerfassung'!$C$32,B308&lt;='ZD Vorerfassung'!$D$32),HLOOKUP(TEXT(C308,"ttt"),'ZD Vorerfassung'!$H$21:$L$36,12,0),0))+
IF('ZD Vorerfassung'!$E$33="",0,IF(AND(B308&gt;='ZD Vorerfassung'!$C$33,B308&lt;='ZD Vorerfassung'!$D$33),HLOOKUP(TEXT(C308,"ttt"),'ZD Vorerfassung'!$H$21:$L$36,13,0),0))+
IF('ZD Vorerfassung'!$E$34="",0,IF(AND(B308&gt;='ZD Vorerfassung'!$C$34,B308&lt;='ZD Vorerfassung'!$D$34),HLOOKUP(TEXT(C308,"ttt"),'ZD Vorerfassung'!$H$21:$L$36,14,0),0))+
IF('ZD Vorerfassung'!$E$35="",0,IF(AND(B308&gt;='ZD Vorerfassung'!$C$35,B308&lt;='ZD Vorerfassung'!$D$35),HLOOKUP(TEXT(C308,"ttt"),'ZD Vorerfassung'!$H$21:$L$36,15,0),0))+
IF('ZD Vorerfassung'!$E$36="",0,IF(AND(B308&gt;='ZD Vorerfassung'!$C$36,B308&lt;='ZD Vorerfassung'!$D$36),HLOOKUP(TEXT(C308,"ttt"),'ZD Vorerfassung'!$H$21:$L$36,16,0),0)),"")</f>
        <v>0</v>
      </c>
      <c r="AW308" s="110">
        <f t="array" ref="AW308">IF(OR(D308="UU",D308="FT",D308="WE"),0,
IF(D308="NR",SUM(IF(B308&gt;=_xlfn.NUMBERVALUE('ZD Vorerfassung'!$C$22:$C$36),1,0)*IF(B308&lt;=_xlfn.NUMBERVALUE('ZD Vorerfassung'!$D$22:$D$36),1,0)*'ZD Vorerfassung'!$Q$22:$Q$36),
IF(OR(D308="SF",D308="FH"),SUM(IF(B308&gt;=_xlfn.NUMBERVALUE('ZD Vorerfassung'!$C$22:$C$36),1,0)*IF(B308&lt;=_xlfn.NUMBERVALUE('ZD Vorerfassung'!$D$22:$D$36),1,0)*'ZD Vorerfassung'!$R$22:$R$36*IF(D308="FH",0.5,1)),
"prüfen")))</f>
        <v>0</v>
      </c>
      <c r="AX308" s="110">
        <f t="array" ref="AX308">IF(OR(D308="UU",D308="FT",D308="WE",E308="Ferien"),0,
IF(D308="NR",SUM(IF(B308&gt;=_xlfn.NUMBERVALUE('ZD Vorerfassung'!$C$22:$C$36),1,0)*IF(B308&lt;=_xlfn.NUMBERVALUE('ZD Vorerfassung'!$D$22:$D$36),1,0)*'ZD Vorerfassung'!$W$22:$W$36),
IF(OR(D308="SF",D308="FH"),SUM(IF(B308&gt;=_xlfn.NUMBERVALUE('ZD Vorerfassung'!$C$22:$C$36),1,0)*IF(B308&lt;=_xlfn.NUMBERVALUE('ZD Vorerfassung'!$D$22:$D$36),1,0)*'ZD Vorerfassung'!$X$22:$X$36*IF(D308="FH",0.5,1)),
"prüfen")))</f>
        <v>0</v>
      </c>
      <c r="AY308" s="110">
        <f t="array" ref="AY308">IF(OR(D308="UU",D308="FT",D308="WE",E308="Ferien"),0,
IF(D308="NR",SUM(IF(B308&gt;=_xlfn.NUMBERVALUE('ZD Vorerfassung'!$C$22:$C$36),1,0)*IF(B308&lt;=_xlfn.NUMBERVALUE('ZD Vorerfassung'!$D$22:$D$36),1,0)*'ZD Vorerfassung'!$U$22:$U$36),
IF(OR(D308="SF",D308="FH"),SUM(IF(B308&gt;=_xlfn.NUMBERVALUE('ZD Vorerfassung'!$C$22:$C$36),1,0)*IF(B308&lt;=_xlfn.NUMBERVALUE('ZD Vorerfassung'!$D$22:$D$36),1,0)*'ZD Vorerfassung'!$V$22:$V$36*IF(D308="FH",0.5,1)),
"prüfen")))</f>
        <v>0</v>
      </c>
      <c r="AZ308" s="110">
        <f t="array" ref="AZ308">IF(OR(D308="UU",D308="FT",D308="WE",E308="Ferien"),0,
IF(D308="NR",SUM(IF(B308&gt;=_xlfn.NUMBERVALUE('ZD Vorerfassung'!$C$22:$C$36),1,0)*IF(B308&lt;=_xlfn.NUMBERVALUE('ZD Vorerfassung'!$D$22:$D$36),1,0)*'ZD Vorerfassung'!$S$22:$S$36),
IF(OR(D308="SF",D308="FH"),SUM(IF(B308&gt;=_xlfn.NUMBERVALUE('ZD Vorerfassung'!$C$22:$C$36),1,0)*IF(B308&lt;=_xlfn.NUMBERVALUE('ZD Vorerfassung'!$D$22:$D$36),1,0)*'ZD Vorerfassung'!$T$22:$T$36*IF(D308="FH",0.5,1)),
"prüfen")))</f>
        <v>0</v>
      </c>
      <c r="BA308" s="112">
        <f t="shared" si="56"/>
        <v>5</v>
      </c>
    </row>
    <row r="309" spans="2:53" ht="19.5" thickTop="1" thickBot="1" x14ac:dyDescent="0.3">
      <c r="B309" s="99">
        <f t="shared" si="53"/>
        <v>45074</v>
      </c>
      <c r="C309" s="100">
        <f t="shared" si="57"/>
        <v>45074</v>
      </c>
      <c r="D309" s="101" t="str">
        <f t="shared" si="58"/>
        <v>WE</v>
      </c>
      <c r="E309" s="102" t="str">
        <f t="shared" si="54"/>
        <v>Wochenende</v>
      </c>
      <c r="F309" s="103" t="str">
        <f t="shared" si="59"/>
        <v/>
      </c>
      <c r="G309" s="104" t="str">
        <f t="shared" si="60"/>
        <v/>
      </c>
      <c r="H309" s="104">
        <f>IFERROR(IF('ZD Vorerfassung'!$E$11="manuell",SUM(I309),IF(OR(E309="Feiertag",E309="Wochenende"),0,IF('ZD Vorerfassung'!$E$11="automatisch",AX309,IF(D309="UU","UU",IF(E309=Param2,AX309/24,IF(E309=Param9,AX309/48,"")))))),0)</f>
        <v>0</v>
      </c>
      <c r="I309" s="105"/>
      <c r="J309" s="106">
        <f>IF('ZD Vorerfassung'!$E$12="manuell",SUM(K309:AI309),IF(OR(E309="Feiertag",E309="Wochenende"),0,IF('ZD Vorerfassung'!$E$12="automatisch",AY309,IF(D309="UU","UU",IF(E309=Param2,AY309/24,IF(E309=Param9,AY309/48,""))))))</f>
        <v>0</v>
      </c>
      <c r="K309" s="105"/>
      <c r="L309" s="105"/>
      <c r="M309" s="105"/>
      <c r="N309" s="105"/>
      <c r="O309" s="105"/>
      <c r="P309" s="105"/>
      <c r="Q309" s="105"/>
      <c r="R309" s="105"/>
      <c r="S309" s="105"/>
      <c r="T309" s="105"/>
      <c r="U309" s="105"/>
      <c r="V309" s="105"/>
      <c r="W309" s="105"/>
      <c r="X309" s="105"/>
      <c r="Y309" s="105"/>
      <c r="Z309" s="105"/>
      <c r="AA309" s="105"/>
      <c r="AB309" s="105"/>
      <c r="AC309" s="105"/>
      <c r="AD309" s="105"/>
      <c r="AE309" s="105"/>
      <c r="AF309" s="105"/>
      <c r="AG309" s="105"/>
      <c r="AH309" s="105"/>
      <c r="AI309" s="105"/>
      <c r="AJ309" s="107">
        <f t="shared" si="61"/>
        <v>0</v>
      </c>
      <c r="AK309" s="105"/>
      <c r="AL309" s="105"/>
      <c r="AM309" s="105"/>
      <c r="AN309" s="105"/>
      <c r="AO309" s="105"/>
      <c r="AP309" s="105"/>
      <c r="AQ309" s="108">
        <f t="shared" si="62"/>
        <v>0</v>
      </c>
      <c r="AR309" s="108">
        <f t="shared" si="63"/>
        <v>0</v>
      </c>
      <c r="AS309" s="109">
        <f t="shared" si="64"/>
        <v>0</v>
      </c>
      <c r="AU309" s="110">
        <f t="shared" si="55"/>
        <v>0</v>
      </c>
      <c r="AV309" s="111" t="str">
        <f>IF(D309="NR",
IF('ZD Vorerfassung'!$E$22="",0,IF(AND(B309&gt;='ZD Vorerfassung'!$C$22,B309&lt;='ZD Vorerfassung'!$D$22),HLOOKUP(TEXT(C309,"ttt"),'ZD Vorerfassung'!$H$21:$L$36,2,0),0))+
IF('ZD Vorerfassung'!$E$23="",0,IF(AND(B309&gt;='ZD Vorerfassung'!$C$23,B309&lt;='ZD Vorerfassung'!$D$23),HLOOKUP(TEXT(C309,"ttt"),'ZD Vorerfassung'!$H$21:$L$36,3,0),0))+
IF('ZD Vorerfassung'!$E$24="",0,IF(AND(B309&gt;='ZD Vorerfassung'!$C$24,B309&lt;='ZD Vorerfassung'!$D$24),HLOOKUP(TEXT(C309,"ttt"),'ZD Vorerfassung'!$H$21:$L$36,4,0),0))+
IF('ZD Vorerfassung'!$E$25="",0,IF(AND(B309&gt;='ZD Vorerfassung'!$C$25,B309&lt;='ZD Vorerfassung'!$D$25),HLOOKUP(TEXT(C309,"ttt"),'ZD Vorerfassung'!$H$21:$L$36,5,0),0))+
IF('ZD Vorerfassung'!$E$26="",0,IF(AND(B309&gt;='ZD Vorerfassung'!$C$26,B309&lt;='ZD Vorerfassung'!$D$26),HLOOKUP(TEXT(C309,"ttt"),'ZD Vorerfassung'!$H$21:$L$36,6,0),0))+
IF('ZD Vorerfassung'!$E$27="",0,IF(AND(B309&gt;='ZD Vorerfassung'!$C$27,B309&lt;='ZD Vorerfassung'!$D$27),HLOOKUP(TEXT(C309,"ttt"),'ZD Vorerfassung'!$H$21:$L$36,7,0),0))+
IF('ZD Vorerfassung'!$E$28="",0,IF(AND(B309&gt;='ZD Vorerfassung'!$C$28,B309&lt;='ZD Vorerfassung'!$D$28),HLOOKUP(TEXT(C309,"ttt"),'ZD Vorerfassung'!$H$21:$L$36,8,0),0))+
IF('ZD Vorerfassung'!$E$29="",0,IF(AND(B309&gt;='ZD Vorerfassung'!$C$29,B309&lt;='ZD Vorerfassung'!$D$29),HLOOKUP(TEXT(C309,"ttt"),'ZD Vorerfassung'!$H$21:$L$36,9,0),0))+
IF('ZD Vorerfassung'!$E$30="",0,IF(AND(B309&gt;='ZD Vorerfassung'!$C$30,B309&lt;='ZD Vorerfassung'!$D$30),HLOOKUP(TEXT(C309,"ttt"),'ZD Vorerfassung'!$H$21:$L$36,10,0),0))+
IF('ZD Vorerfassung'!$E$31="",0,IF(AND(B309&gt;='ZD Vorerfassung'!$C$31,B309&lt;='ZD Vorerfassung'!$D$31),HLOOKUP(TEXT(C309,"ttt"),'ZD Vorerfassung'!$H$21:$L$36,11,0),0))+
IF('ZD Vorerfassung'!$E$32="",0,IF(AND(B309&gt;='ZD Vorerfassung'!$C$32,B309&lt;='ZD Vorerfassung'!$D$32),HLOOKUP(TEXT(C309,"ttt"),'ZD Vorerfassung'!$H$21:$L$36,12,0),0))+
IF('ZD Vorerfassung'!$E$33="",0,IF(AND(B309&gt;='ZD Vorerfassung'!$C$33,B309&lt;='ZD Vorerfassung'!$D$33),HLOOKUP(TEXT(C309,"ttt"),'ZD Vorerfassung'!$H$21:$L$36,13,0),0))+
IF('ZD Vorerfassung'!$E$34="",0,IF(AND(B309&gt;='ZD Vorerfassung'!$C$34,B309&lt;='ZD Vorerfassung'!$D$34),HLOOKUP(TEXT(C309,"ttt"),'ZD Vorerfassung'!$H$21:$L$36,14,0),0))+
IF('ZD Vorerfassung'!$E$35="",0,IF(AND(B309&gt;='ZD Vorerfassung'!$C$35,B309&lt;='ZD Vorerfassung'!$D$35),HLOOKUP(TEXT(C309,"ttt"),'ZD Vorerfassung'!$H$21:$L$36,15,0),0))+
IF('ZD Vorerfassung'!$E$36="",0,IF(AND(B309&gt;='ZD Vorerfassung'!$C$36,B309&lt;='ZD Vorerfassung'!$D$36),HLOOKUP(TEXT(C309,"ttt"),'ZD Vorerfassung'!$H$21:$L$36,16,0),0)),"")</f>
        <v/>
      </c>
      <c r="AW309" s="110">
        <f t="array" ref="AW309">IF(OR(D309="UU",D309="FT",D309="WE"),0,
IF(D309="NR",SUM(IF(B309&gt;=_xlfn.NUMBERVALUE('ZD Vorerfassung'!$C$22:$C$36),1,0)*IF(B309&lt;=_xlfn.NUMBERVALUE('ZD Vorerfassung'!$D$22:$D$36),1,0)*'ZD Vorerfassung'!$Q$22:$Q$36),
IF(OR(D309="SF",D309="FH"),SUM(IF(B309&gt;=_xlfn.NUMBERVALUE('ZD Vorerfassung'!$C$22:$C$36),1,0)*IF(B309&lt;=_xlfn.NUMBERVALUE('ZD Vorerfassung'!$D$22:$D$36),1,0)*'ZD Vorerfassung'!$R$22:$R$36*IF(D309="FH",0.5,1)),
"prüfen")))</f>
        <v>0</v>
      </c>
      <c r="AX309" s="110">
        <f t="array" ref="AX309">IF(OR(D309="UU",D309="FT",D309="WE",E309="Ferien"),0,
IF(D309="NR",SUM(IF(B309&gt;=_xlfn.NUMBERVALUE('ZD Vorerfassung'!$C$22:$C$36),1,0)*IF(B309&lt;=_xlfn.NUMBERVALUE('ZD Vorerfassung'!$D$22:$D$36),1,0)*'ZD Vorerfassung'!$W$22:$W$36),
IF(OR(D309="SF",D309="FH"),SUM(IF(B309&gt;=_xlfn.NUMBERVALUE('ZD Vorerfassung'!$C$22:$C$36),1,0)*IF(B309&lt;=_xlfn.NUMBERVALUE('ZD Vorerfassung'!$D$22:$D$36),1,0)*'ZD Vorerfassung'!$X$22:$X$36*IF(D309="FH",0.5,1)),
"prüfen")))</f>
        <v>0</v>
      </c>
      <c r="AY309" s="110">
        <f t="array" ref="AY309">IF(OR(D309="UU",D309="FT",D309="WE",E309="Ferien"),0,
IF(D309="NR",SUM(IF(B309&gt;=_xlfn.NUMBERVALUE('ZD Vorerfassung'!$C$22:$C$36),1,0)*IF(B309&lt;=_xlfn.NUMBERVALUE('ZD Vorerfassung'!$D$22:$D$36),1,0)*'ZD Vorerfassung'!$U$22:$U$36),
IF(OR(D309="SF",D309="FH"),SUM(IF(B309&gt;=_xlfn.NUMBERVALUE('ZD Vorerfassung'!$C$22:$C$36),1,0)*IF(B309&lt;=_xlfn.NUMBERVALUE('ZD Vorerfassung'!$D$22:$D$36),1,0)*'ZD Vorerfassung'!$V$22:$V$36*IF(D309="FH",0.5,1)),
"prüfen")))</f>
        <v>0</v>
      </c>
      <c r="AZ309" s="110">
        <f t="array" ref="AZ309">IF(OR(D309="UU",D309="FT",D309="WE",E309="Ferien"),0,
IF(D309="NR",SUM(IF(B309&gt;=_xlfn.NUMBERVALUE('ZD Vorerfassung'!$C$22:$C$36),1,0)*IF(B309&lt;=_xlfn.NUMBERVALUE('ZD Vorerfassung'!$D$22:$D$36),1,0)*'ZD Vorerfassung'!$S$22:$S$36),
IF(OR(D309="SF",D309="FH"),SUM(IF(B309&gt;=_xlfn.NUMBERVALUE('ZD Vorerfassung'!$C$22:$C$36),1,0)*IF(B309&lt;=_xlfn.NUMBERVALUE('ZD Vorerfassung'!$D$22:$D$36),1,0)*'ZD Vorerfassung'!$T$22:$T$36*IF(D309="FH",0.5,1)),
"prüfen")))</f>
        <v>0</v>
      </c>
      <c r="BA309" s="112">
        <f t="shared" si="56"/>
        <v>5</v>
      </c>
    </row>
    <row r="310" spans="2:53" ht="19.5" thickTop="1" thickBot="1" x14ac:dyDescent="0.3">
      <c r="B310" s="99">
        <f t="shared" si="53"/>
        <v>45075</v>
      </c>
      <c r="C310" s="100">
        <f t="shared" si="57"/>
        <v>45075</v>
      </c>
      <c r="D310" s="101" t="str">
        <f t="shared" si="58"/>
        <v>WE</v>
      </c>
      <c r="E310" s="102" t="str">
        <f t="shared" si="54"/>
        <v>Wochenende</v>
      </c>
      <c r="F310" s="103" t="str">
        <f t="shared" si="59"/>
        <v/>
      </c>
      <c r="G310" s="104" t="str">
        <f t="shared" si="60"/>
        <v/>
      </c>
      <c r="H310" s="104">
        <f>IFERROR(IF('ZD Vorerfassung'!$E$11="manuell",SUM(I310),IF(OR(E310="Feiertag",E310="Wochenende"),0,IF('ZD Vorerfassung'!$E$11="automatisch",AX310,IF(D310="UU","UU",IF(E310=Param2,AX310/24,IF(E310=Param9,AX310/48,"")))))),0)</f>
        <v>0</v>
      </c>
      <c r="I310" s="105"/>
      <c r="J310" s="106">
        <f>IF('ZD Vorerfassung'!$E$12="manuell",SUM(K310:AI310),IF(OR(E310="Feiertag",E310="Wochenende"),0,IF('ZD Vorerfassung'!$E$12="automatisch",AY310,IF(D310="UU","UU",IF(E310=Param2,AY310/24,IF(E310=Param9,AY310/48,""))))))</f>
        <v>0</v>
      </c>
      <c r="K310" s="105"/>
      <c r="L310" s="105"/>
      <c r="M310" s="105"/>
      <c r="N310" s="105"/>
      <c r="O310" s="105"/>
      <c r="P310" s="105"/>
      <c r="Q310" s="105"/>
      <c r="R310" s="105"/>
      <c r="S310" s="105"/>
      <c r="T310" s="105"/>
      <c r="U310" s="105"/>
      <c r="V310" s="105"/>
      <c r="W310" s="105"/>
      <c r="X310" s="105"/>
      <c r="Y310" s="105"/>
      <c r="Z310" s="105"/>
      <c r="AA310" s="105"/>
      <c r="AB310" s="105"/>
      <c r="AC310" s="105"/>
      <c r="AD310" s="105"/>
      <c r="AE310" s="105"/>
      <c r="AF310" s="105"/>
      <c r="AG310" s="105"/>
      <c r="AH310" s="105"/>
      <c r="AI310" s="105"/>
      <c r="AJ310" s="107">
        <f t="shared" si="61"/>
        <v>0</v>
      </c>
      <c r="AK310" s="105"/>
      <c r="AL310" s="105"/>
      <c r="AM310" s="105"/>
      <c r="AN310" s="105"/>
      <c r="AO310" s="105"/>
      <c r="AP310" s="105"/>
      <c r="AQ310" s="108">
        <f t="shared" si="62"/>
        <v>0</v>
      </c>
      <c r="AR310" s="108">
        <f t="shared" si="63"/>
        <v>0</v>
      </c>
      <c r="AS310" s="109">
        <f t="shared" si="64"/>
        <v>0</v>
      </c>
      <c r="AU310" s="110">
        <f t="shared" si="55"/>
        <v>0</v>
      </c>
      <c r="AV310" s="111" t="str">
        <f>IF(D310="NR",
IF('ZD Vorerfassung'!$E$22="",0,IF(AND(B310&gt;='ZD Vorerfassung'!$C$22,B310&lt;='ZD Vorerfassung'!$D$22),HLOOKUP(TEXT(C310,"ttt"),'ZD Vorerfassung'!$H$21:$L$36,2,0),0))+
IF('ZD Vorerfassung'!$E$23="",0,IF(AND(B310&gt;='ZD Vorerfassung'!$C$23,B310&lt;='ZD Vorerfassung'!$D$23),HLOOKUP(TEXT(C310,"ttt"),'ZD Vorerfassung'!$H$21:$L$36,3,0),0))+
IF('ZD Vorerfassung'!$E$24="",0,IF(AND(B310&gt;='ZD Vorerfassung'!$C$24,B310&lt;='ZD Vorerfassung'!$D$24),HLOOKUP(TEXT(C310,"ttt"),'ZD Vorerfassung'!$H$21:$L$36,4,0),0))+
IF('ZD Vorerfassung'!$E$25="",0,IF(AND(B310&gt;='ZD Vorerfassung'!$C$25,B310&lt;='ZD Vorerfassung'!$D$25),HLOOKUP(TEXT(C310,"ttt"),'ZD Vorerfassung'!$H$21:$L$36,5,0),0))+
IF('ZD Vorerfassung'!$E$26="",0,IF(AND(B310&gt;='ZD Vorerfassung'!$C$26,B310&lt;='ZD Vorerfassung'!$D$26),HLOOKUP(TEXT(C310,"ttt"),'ZD Vorerfassung'!$H$21:$L$36,6,0),0))+
IF('ZD Vorerfassung'!$E$27="",0,IF(AND(B310&gt;='ZD Vorerfassung'!$C$27,B310&lt;='ZD Vorerfassung'!$D$27),HLOOKUP(TEXT(C310,"ttt"),'ZD Vorerfassung'!$H$21:$L$36,7,0),0))+
IF('ZD Vorerfassung'!$E$28="",0,IF(AND(B310&gt;='ZD Vorerfassung'!$C$28,B310&lt;='ZD Vorerfassung'!$D$28),HLOOKUP(TEXT(C310,"ttt"),'ZD Vorerfassung'!$H$21:$L$36,8,0),0))+
IF('ZD Vorerfassung'!$E$29="",0,IF(AND(B310&gt;='ZD Vorerfassung'!$C$29,B310&lt;='ZD Vorerfassung'!$D$29),HLOOKUP(TEXT(C310,"ttt"),'ZD Vorerfassung'!$H$21:$L$36,9,0),0))+
IF('ZD Vorerfassung'!$E$30="",0,IF(AND(B310&gt;='ZD Vorerfassung'!$C$30,B310&lt;='ZD Vorerfassung'!$D$30),HLOOKUP(TEXT(C310,"ttt"),'ZD Vorerfassung'!$H$21:$L$36,10,0),0))+
IF('ZD Vorerfassung'!$E$31="",0,IF(AND(B310&gt;='ZD Vorerfassung'!$C$31,B310&lt;='ZD Vorerfassung'!$D$31),HLOOKUP(TEXT(C310,"ttt"),'ZD Vorerfassung'!$H$21:$L$36,11,0),0))+
IF('ZD Vorerfassung'!$E$32="",0,IF(AND(B310&gt;='ZD Vorerfassung'!$C$32,B310&lt;='ZD Vorerfassung'!$D$32),HLOOKUP(TEXT(C310,"ttt"),'ZD Vorerfassung'!$H$21:$L$36,12,0),0))+
IF('ZD Vorerfassung'!$E$33="",0,IF(AND(B310&gt;='ZD Vorerfassung'!$C$33,B310&lt;='ZD Vorerfassung'!$D$33),HLOOKUP(TEXT(C310,"ttt"),'ZD Vorerfassung'!$H$21:$L$36,13,0),0))+
IF('ZD Vorerfassung'!$E$34="",0,IF(AND(B310&gt;='ZD Vorerfassung'!$C$34,B310&lt;='ZD Vorerfassung'!$D$34),HLOOKUP(TEXT(C310,"ttt"),'ZD Vorerfassung'!$H$21:$L$36,14,0),0))+
IF('ZD Vorerfassung'!$E$35="",0,IF(AND(B310&gt;='ZD Vorerfassung'!$C$35,B310&lt;='ZD Vorerfassung'!$D$35),HLOOKUP(TEXT(C310,"ttt"),'ZD Vorerfassung'!$H$21:$L$36,15,0),0))+
IF('ZD Vorerfassung'!$E$36="",0,IF(AND(B310&gt;='ZD Vorerfassung'!$C$36,B310&lt;='ZD Vorerfassung'!$D$36),HLOOKUP(TEXT(C310,"ttt"),'ZD Vorerfassung'!$H$21:$L$36,16,0),0)),"")</f>
        <v/>
      </c>
      <c r="AW310" s="110">
        <f t="array" ref="AW310">IF(OR(D310="UU",D310="FT",D310="WE"),0,
IF(D310="NR",SUM(IF(B310&gt;=_xlfn.NUMBERVALUE('ZD Vorerfassung'!$C$22:$C$36),1,0)*IF(B310&lt;=_xlfn.NUMBERVALUE('ZD Vorerfassung'!$D$22:$D$36),1,0)*'ZD Vorerfassung'!$Q$22:$Q$36),
IF(OR(D310="SF",D310="FH"),SUM(IF(B310&gt;=_xlfn.NUMBERVALUE('ZD Vorerfassung'!$C$22:$C$36),1,0)*IF(B310&lt;=_xlfn.NUMBERVALUE('ZD Vorerfassung'!$D$22:$D$36),1,0)*'ZD Vorerfassung'!$R$22:$R$36*IF(D310="FH",0.5,1)),
"prüfen")))</f>
        <v>0</v>
      </c>
      <c r="AX310" s="110">
        <f t="array" ref="AX310">IF(OR(D310="UU",D310="FT",D310="WE",E310="Ferien"),0,
IF(D310="NR",SUM(IF(B310&gt;=_xlfn.NUMBERVALUE('ZD Vorerfassung'!$C$22:$C$36),1,0)*IF(B310&lt;=_xlfn.NUMBERVALUE('ZD Vorerfassung'!$D$22:$D$36),1,0)*'ZD Vorerfassung'!$W$22:$W$36),
IF(OR(D310="SF",D310="FH"),SUM(IF(B310&gt;=_xlfn.NUMBERVALUE('ZD Vorerfassung'!$C$22:$C$36),1,0)*IF(B310&lt;=_xlfn.NUMBERVALUE('ZD Vorerfassung'!$D$22:$D$36),1,0)*'ZD Vorerfassung'!$X$22:$X$36*IF(D310="FH",0.5,1)),
"prüfen")))</f>
        <v>0</v>
      </c>
      <c r="AY310" s="110">
        <f t="array" ref="AY310">IF(OR(D310="UU",D310="FT",D310="WE",E310="Ferien"),0,
IF(D310="NR",SUM(IF(B310&gt;=_xlfn.NUMBERVALUE('ZD Vorerfassung'!$C$22:$C$36),1,0)*IF(B310&lt;=_xlfn.NUMBERVALUE('ZD Vorerfassung'!$D$22:$D$36),1,0)*'ZD Vorerfassung'!$U$22:$U$36),
IF(OR(D310="SF",D310="FH"),SUM(IF(B310&gt;=_xlfn.NUMBERVALUE('ZD Vorerfassung'!$C$22:$C$36),1,0)*IF(B310&lt;=_xlfn.NUMBERVALUE('ZD Vorerfassung'!$D$22:$D$36),1,0)*'ZD Vorerfassung'!$V$22:$V$36*IF(D310="FH",0.5,1)),
"prüfen")))</f>
        <v>0</v>
      </c>
      <c r="AZ310" s="110">
        <f t="array" ref="AZ310">IF(OR(D310="UU",D310="FT",D310="WE",E310="Ferien"),0,
IF(D310="NR",SUM(IF(B310&gt;=_xlfn.NUMBERVALUE('ZD Vorerfassung'!$C$22:$C$36),1,0)*IF(B310&lt;=_xlfn.NUMBERVALUE('ZD Vorerfassung'!$D$22:$D$36),1,0)*'ZD Vorerfassung'!$S$22:$S$36),
IF(OR(D310="SF",D310="FH"),SUM(IF(B310&gt;=_xlfn.NUMBERVALUE('ZD Vorerfassung'!$C$22:$C$36),1,0)*IF(B310&lt;=_xlfn.NUMBERVALUE('ZD Vorerfassung'!$D$22:$D$36),1,0)*'ZD Vorerfassung'!$T$22:$T$36*IF(D310="FH",0.5,1)),
"prüfen")))</f>
        <v>0</v>
      </c>
      <c r="BA310" s="112">
        <f t="shared" si="56"/>
        <v>5</v>
      </c>
    </row>
    <row r="311" spans="2:53" ht="19.5" thickTop="1" thickBot="1" x14ac:dyDescent="0.3">
      <c r="B311" s="99">
        <f t="shared" si="53"/>
        <v>45076</v>
      </c>
      <c r="C311" s="100">
        <f t="shared" si="57"/>
        <v>45076</v>
      </c>
      <c r="D311" s="101" t="str">
        <f t="shared" si="58"/>
        <v>NR</v>
      </c>
      <c r="E311" s="102" t="str">
        <f t="shared" si="54"/>
        <v>Unterrichtstag</v>
      </c>
      <c r="F311" s="103">
        <f t="shared" si="59"/>
        <v>0</v>
      </c>
      <c r="G311" s="104">
        <f t="shared" si="60"/>
        <v>0</v>
      </c>
      <c r="H311" s="104">
        <f>IFERROR(IF('ZD Vorerfassung'!$E$11="manuell",SUM(I311),IF(OR(E311="Feiertag",E311="Wochenende"),0,IF('ZD Vorerfassung'!$E$11="automatisch",AX311,IF(D311="UU","UU",IF(E311=Param2,AX311/24,IF(E311=Param9,AX311/48,"")))))),0)</f>
        <v>0</v>
      </c>
      <c r="I311" s="105"/>
      <c r="J311" s="106">
        <f>IF('ZD Vorerfassung'!$E$12="manuell",SUM(K311:AI311),IF(OR(E311="Feiertag",E311="Wochenende"),0,IF('ZD Vorerfassung'!$E$12="automatisch",AY311,IF(D311="UU","UU",IF(E311=Param2,AY311/24,IF(E311=Param9,AY311/48,""))))))</f>
        <v>0</v>
      </c>
      <c r="K311" s="105"/>
      <c r="L311" s="105"/>
      <c r="M311" s="105"/>
      <c r="N311" s="105"/>
      <c r="O311" s="105"/>
      <c r="P311" s="105"/>
      <c r="Q311" s="105"/>
      <c r="R311" s="105"/>
      <c r="S311" s="105"/>
      <c r="T311" s="105"/>
      <c r="U311" s="105"/>
      <c r="V311" s="105"/>
      <c r="W311" s="105"/>
      <c r="X311" s="105"/>
      <c r="Y311" s="105"/>
      <c r="Z311" s="105"/>
      <c r="AA311" s="105"/>
      <c r="AB311" s="105"/>
      <c r="AC311" s="105"/>
      <c r="AD311" s="105"/>
      <c r="AE311" s="105"/>
      <c r="AF311" s="105"/>
      <c r="AG311" s="105"/>
      <c r="AH311" s="105"/>
      <c r="AI311" s="105"/>
      <c r="AJ311" s="107">
        <f t="shared" si="61"/>
        <v>0</v>
      </c>
      <c r="AK311" s="105"/>
      <c r="AL311" s="105"/>
      <c r="AM311" s="105"/>
      <c r="AN311" s="105"/>
      <c r="AO311" s="105"/>
      <c r="AP311" s="105"/>
      <c r="AQ311" s="108">
        <f t="shared" si="62"/>
        <v>0</v>
      </c>
      <c r="AR311" s="108">
        <f t="shared" si="63"/>
        <v>0</v>
      </c>
      <c r="AS311" s="109">
        <f t="shared" si="64"/>
        <v>0</v>
      </c>
      <c r="AU311" s="110">
        <f t="shared" si="55"/>
        <v>0</v>
      </c>
      <c r="AV311" s="111">
        <f>IF(D311="NR",
IF('ZD Vorerfassung'!$E$22="",0,IF(AND(B311&gt;='ZD Vorerfassung'!$C$22,B311&lt;='ZD Vorerfassung'!$D$22),HLOOKUP(TEXT(C311,"ttt"),'ZD Vorerfassung'!$H$21:$L$36,2,0),0))+
IF('ZD Vorerfassung'!$E$23="",0,IF(AND(B311&gt;='ZD Vorerfassung'!$C$23,B311&lt;='ZD Vorerfassung'!$D$23),HLOOKUP(TEXT(C311,"ttt"),'ZD Vorerfassung'!$H$21:$L$36,3,0),0))+
IF('ZD Vorerfassung'!$E$24="",0,IF(AND(B311&gt;='ZD Vorerfassung'!$C$24,B311&lt;='ZD Vorerfassung'!$D$24),HLOOKUP(TEXT(C311,"ttt"),'ZD Vorerfassung'!$H$21:$L$36,4,0),0))+
IF('ZD Vorerfassung'!$E$25="",0,IF(AND(B311&gt;='ZD Vorerfassung'!$C$25,B311&lt;='ZD Vorerfassung'!$D$25),HLOOKUP(TEXT(C311,"ttt"),'ZD Vorerfassung'!$H$21:$L$36,5,0),0))+
IF('ZD Vorerfassung'!$E$26="",0,IF(AND(B311&gt;='ZD Vorerfassung'!$C$26,B311&lt;='ZD Vorerfassung'!$D$26),HLOOKUP(TEXT(C311,"ttt"),'ZD Vorerfassung'!$H$21:$L$36,6,0),0))+
IF('ZD Vorerfassung'!$E$27="",0,IF(AND(B311&gt;='ZD Vorerfassung'!$C$27,B311&lt;='ZD Vorerfassung'!$D$27),HLOOKUP(TEXT(C311,"ttt"),'ZD Vorerfassung'!$H$21:$L$36,7,0),0))+
IF('ZD Vorerfassung'!$E$28="",0,IF(AND(B311&gt;='ZD Vorerfassung'!$C$28,B311&lt;='ZD Vorerfassung'!$D$28),HLOOKUP(TEXT(C311,"ttt"),'ZD Vorerfassung'!$H$21:$L$36,8,0),0))+
IF('ZD Vorerfassung'!$E$29="",0,IF(AND(B311&gt;='ZD Vorerfassung'!$C$29,B311&lt;='ZD Vorerfassung'!$D$29),HLOOKUP(TEXT(C311,"ttt"),'ZD Vorerfassung'!$H$21:$L$36,9,0),0))+
IF('ZD Vorerfassung'!$E$30="",0,IF(AND(B311&gt;='ZD Vorerfassung'!$C$30,B311&lt;='ZD Vorerfassung'!$D$30),HLOOKUP(TEXT(C311,"ttt"),'ZD Vorerfassung'!$H$21:$L$36,10,0),0))+
IF('ZD Vorerfassung'!$E$31="",0,IF(AND(B311&gt;='ZD Vorerfassung'!$C$31,B311&lt;='ZD Vorerfassung'!$D$31),HLOOKUP(TEXT(C311,"ttt"),'ZD Vorerfassung'!$H$21:$L$36,11,0),0))+
IF('ZD Vorerfassung'!$E$32="",0,IF(AND(B311&gt;='ZD Vorerfassung'!$C$32,B311&lt;='ZD Vorerfassung'!$D$32),HLOOKUP(TEXT(C311,"ttt"),'ZD Vorerfassung'!$H$21:$L$36,12,0),0))+
IF('ZD Vorerfassung'!$E$33="",0,IF(AND(B311&gt;='ZD Vorerfassung'!$C$33,B311&lt;='ZD Vorerfassung'!$D$33),HLOOKUP(TEXT(C311,"ttt"),'ZD Vorerfassung'!$H$21:$L$36,13,0),0))+
IF('ZD Vorerfassung'!$E$34="",0,IF(AND(B311&gt;='ZD Vorerfassung'!$C$34,B311&lt;='ZD Vorerfassung'!$D$34),HLOOKUP(TEXT(C311,"ttt"),'ZD Vorerfassung'!$H$21:$L$36,14,0),0))+
IF('ZD Vorerfassung'!$E$35="",0,IF(AND(B311&gt;='ZD Vorerfassung'!$C$35,B311&lt;='ZD Vorerfassung'!$D$35),HLOOKUP(TEXT(C311,"ttt"),'ZD Vorerfassung'!$H$21:$L$36,15,0),0))+
IF('ZD Vorerfassung'!$E$36="",0,IF(AND(B311&gt;='ZD Vorerfassung'!$C$36,B311&lt;='ZD Vorerfassung'!$D$36),HLOOKUP(TEXT(C311,"ttt"),'ZD Vorerfassung'!$H$21:$L$36,16,0),0)),"")</f>
        <v>0</v>
      </c>
      <c r="AW311" s="110">
        <f t="array" ref="AW311">IF(OR(D311="UU",D311="FT",D311="WE"),0,
IF(D311="NR",SUM(IF(B311&gt;=_xlfn.NUMBERVALUE('ZD Vorerfassung'!$C$22:$C$36),1,0)*IF(B311&lt;=_xlfn.NUMBERVALUE('ZD Vorerfassung'!$D$22:$D$36),1,0)*'ZD Vorerfassung'!$Q$22:$Q$36),
IF(OR(D311="SF",D311="FH"),SUM(IF(B311&gt;=_xlfn.NUMBERVALUE('ZD Vorerfassung'!$C$22:$C$36),1,0)*IF(B311&lt;=_xlfn.NUMBERVALUE('ZD Vorerfassung'!$D$22:$D$36),1,0)*'ZD Vorerfassung'!$R$22:$R$36*IF(D311="FH",0.5,1)),
"prüfen")))</f>
        <v>0</v>
      </c>
      <c r="AX311" s="110">
        <f t="array" ref="AX311">IF(OR(D311="UU",D311="FT",D311="WE",E311="Ferien"),0,
IF(D311="NR",SUM(IF(B311&gt;=_xlfn.NUMBERVALUE('ZD Vorerfassung'!$C$22:$C$36),1,0)*IF(B311&lt;=_xlfn.NUMBERVALUE('ZD Vorerfassung'!$D$22:$D$36),1,0)*'ZD Vorerfassung'!$W$22:$W$36),
IF(OR(D311="SF",D311="FH"),SUM(IF(B311&gt;=_xlfn.NUMBERVALUE('ZD Vorerfassung'!$C$22:$C$36),1,0)*IF(B311&lt;=_xlfn.NUMBERVALUE('ZD Vorerfassung'!$D$22:$D$36),1,0)*'ZD Vorerfassung'!$X$22:$X$36*IF(D311="FH",0.5,1)),
"prüfen")))</f>
        <v>0</v>
      </c>
      <c r="AY311" s="110">
        <f t="array" ref="AY311">IF(OR(D311="UU",D311="FT",D311="WE",E311="Ferien"),0,
IF(D311="NR",SUM(IF(B311&gt;=_xlfn.NUMBERVALUE('ZD Vorerfassung'!$C$22:$C$36),1,0)*IF(B311&lt;=_xlfn.NUMBERVALUE('ZD Vorerfassung'!$D$22:$D$36),1,0)*'ZD Vorerfassung'!$U$22:$U$36),
IF(OR(D311="SF",D311="FH"),SUM(IF(B311&gt;=_xlfn.NUMBERVALUE('ZD Vorerfassung'!$C$22:$C$36),1,0)*IF(B311&lt;=_xlfn.NUMBERVALUE('ZD Vorerfassung'!$D$22:$D$36),1,0)*'ZD Vorerfassung'!$V$22:$V$36*IF(D311="FH",0.5,1)),
"prüfen")))</f>
        <v>0</v>
      </c>
      <c r="AZ311" s="110">
        <f t="array" ref="AZ311">IF(OR(D311="UU",D311="FT",D311="WE",E311="Ferien"),0,
IF(D311="NR",SUM(IF(B311&gt;=_xlfn.NUMBERVALUE('ZD Vorerfassung'!$C$22:$C$36),1,0)*IF(B311&lt;=_xlfn.NUMBERVALUE('ZD Vorerfassung'!$D$22:$D$36),1,0)*'ZD Vorerfassung'!$S$22:$S$36),
IF(OR(D311="SF",D311="FH"),SUM(IF(B311&gt;=_xlfn.NUMBERVALUE('ZD Vorerfassung'!$C$22:$C$36),1,0)*IF(B311&lt;=_xlfn.NUMBERVALUE('ZD Vorerfassung'!$D$22:$D$36),1,0)*'ZD Vorerfassung'!$T$22:$T$36*IF(D311="FH",0.5,1)),
"prüfen")))</f>
        <v>0</v>
      </c>
      <c r="BA311" s="112">
        <f t="shared" si="56"/>
        <v>5</v>
      </c>
    </row>
    <row r="312" spans="2:53" ht="19.5" thickTop="1" thickBot="1" x14ac:dyDescent="0.3">
      <c r="B312" s="99">
        <f t="shared" si="53"/>
        <v>45077</v>
      </c>
      <c r="C312" s="100">
        <f t="shared" si="57"/>
        <v>45077</v>
      </c>
      <c r="D312" s="101" t="str">
        <f t="shared" si="58"/>
        <v>NR</v>
      </c>
      <c r="E312" s="102" t="str">
        <f t="shared" si="54"/>
        <v>Unterrichtstag</v>
      </c>
      <c r="F312" s="103">
        <f t="shared" si="59"/>
        <v>0</v>
      </c>
      <c r="G312" s="104">
        <f t="shared" si="60"/>
        <v>0</v>
      </c>
      <c r="H312" s="104">
        <f>IFERROR(IF('ZD Vorerfassung'!$E$11="manuell",SUM(I312),IF(OR(E312="Feiertag",E312="Wochenende"),0,IF('ZD Vorerfassung'!$E$11="automatisch",AX312,IF(D312="UU","UU",IF(E312=Param2,AX312/24,IF(E312=Param9,AX312/48,"")))))),0)</f>
        <v>0</v>
      </c>
      <c r="I312" s="105"/>
      <c r="J312" s="106">
        <f>IF('ZD Vorerfassung'!$E$12="manuell",SUM(K312:AI312),IF(OR(E312="Feiertag",E312="Wochenende"),0,IF('ZD Vorerfassung'!$E$12="automatisch",AY312,IF(D312="UU","UU",IF(E312=Param2,AY312/24,IF(E312=Param9,AY312/48,""))))))</f>
        <v>0</v>
      </c>
      <c r="K312" s="105"/>
      <c r="L312" s="105"/>
      <c r="M312" s="105"/>
      <c r="N312" s="105"/>
      <c r="O312" s="105"/>
      <c r="P312" s="105"/>
      <c r="Q312" s="105"/>
      <c r="R312" s="105"/>
      <c r="S312" s="105"/>
      <c r="T312" s="105"/>
      <c r="U312" s="105"/>
      <c r="V312" s="105"/>
      <c r="W312" s="105"/>
      <c r="X312" s="105"/>
      <c r="Y312" s="105"/>
      <c r="Z312" s="105"/>
      <c r="AA312" s="105"/>
      <c r="AB312" s="105"/>
      <c r="AC312" s="105"/>
      <c r="AD312" s="105"/>
      <c r="AE312" s="105"/>
      <c r="AF312" s="105"/>
      <c r="AG312" s="105"/>
      <c r="AH312" s="105"/>
      <c r="AI312" s="105"/>
      <c r="AJ312" s="107">
        <f t="shared" si="61"/>
        <v>0</v>
      </c>
      <c r="AK312" s="105"/>
      <c r="AL312" s="105"/>
      <c r="AM312" s="105"/>
      <c r="AN312" s="105"/>
      <c r="AO312" s="105"/>
      <c r="AP312" s="105"/>
      <c r="AQ312" s="108">
        <f t="shared" si="62"/>
        <v>0</v>
      </c>
      <c r="AR312" s="108">
        <f t="shared" si="63"/>
        <v>0</v>
      </c>
      <c r="AS312" s="109">
        <f t="shared" si="64"/>
        <v>0</v>
      </c>
      <c r="AU312" s="110">
        <f t="shared" si="55"/>
        <v>0</v>
      </c>
      <c r="AV312" s="111">
        <f>IF(D312="NR",
IF('ZD Vorerfassung'!$E$22="",0,IF(AND(B312&gt;='ZD Vorerfassung'!$C$22,B312&lt;='ZD Vorerfassung'!$D$22),HLOOKUP(TEXT(C312,"ttt"),'ZD Vorerfassung'!$H$21:$L$36,2,0),0))+
IF('ZD Vorerfassung'!$E$23="",0,IF(AND(B312&gt;='ZD Vorerfassung'!$C$23,B312&lt;='ZD Vorerfassung'!$D$23),HLOOKUP(TEXT(C312,"ttt"),'ZD Vorerfassung'!$H$21:$L$36,3,0),0))+
IF('ZD Vorerfassung'!$E$24="",0,IF(AND(B312&gt;='ZD Vorerfassung'!$C$24,B312&lt;='ZD Vorerfassung'!$D$24),HLOOKUP(TEXT(C312,"ttt"),'ZD Vorerfassung'!$H$21:$L$36,4,0),0))+
IF('ZD Vorerfassung'!$E$25="",0,IF(AND(B312&gt;='ZD Vorerfassung'!$C$25,B312&lt;='ZD Vorerfassung'!$D$25),HLOOKUP(TEXT(C312,"ttt"),'ZD Vorerfassung'!$H$21:$L$36,5,0),0))+
IF('ZD Vorerfassung'!$E$26="",0,IF(AND(B312&gt;='ZD Vorerfassung'!$C$26,B312&lt;='ZD Vorerfassung'!$D$26),HLOOKUP(TEXT(C312,"ttt"),'ZD Vorerfassung'!$H$21:$L$36,6,0),0))+
IF('ZD Vorerfassung'!$E$27="",0,IF(AND(B312&gt;='ZD Vorerfassung'!$C$27,B312&lt;='ZD Vorerfassung'!$D$27),HLOOKUP(TEXT(C312,"ttt"),'ZD Vorerfassung'!$H$21:$L$36,7,0),0))+
IF('ZD Vorerfassung'!$E$28="",0,IF(AND(B312&gt;='ZD Vorerfassung'!$C$28,B312&lt;='ZD Vorerfassung'!$D$28),HLOOKUP(TEXT(C312,"ttt"),'ZD Vorerfassung'!$H$21:$L$36,8,0),0))+
IF('ZD Vorerfassung'!$E$29="",0,IF(AND(B312&gt;='ZD Vorerfassung'!$C$29,B312&lt;='ZD Vorerfassung'!$D$29),HLOOKUP(TEXT(C312,"ttt"),'ZD Vorerfassung'!$H$21:$L$36,9,0),0))+
IF('ZD Vorerfassung'!$E$30="",0,IF(AND(B312&gt;='ZD Vorerfassung'!$C$30,B312&lt;='ZD Vorerfassung'!$D$30),HLOOKUP(TEXT(C312,"ttt"),'ZD Vorerfassung'!$H$21:$L$36,10,0),0))+
IF('ZD Vorerfassung'!$E$31="",0,IF(AND(B312&gt;='ZD Vorerfassung'!$C$31,B312&lt;='ZD Vorerfassung'!$D$31),HLOOKUP(TEXT(C312,"ttt"),'ZD Vorerfassung'!$H$21:$L$36,11,0),0))+
IF('ZD Vorerfassung'!$E$32="",0,IF(AND(B312&gt;='ZD Vorerfassung'!$C$32,B312&lt;='ZD Vorerfassung'!$D$32),HLOOKUP(TEXT(C312,"ttt"),'ZD Vorerfassung'!$H$21:$L$36,12,0),0))+
IF('ZD Vorerfassung'!$E$33="",0,IF(AND(B312&gt;='ZD Vorerfassung'!$C$33,B312&lt;='ZD Vorerfassung'!$D$33),HLOOKUP(TEXT(C312,"ttt"),'ZD Vorerfassung'!$H$21:$L$36,13,0),0))+
IF('ZD Vorerfassung'!$E$34="",0,IF(AND(B312&gt;='ZD Vorerfassung'!$C$34,B312&lt;='ZD Vorerfassung'!$D$34),HLOOKUP(TEXT(C312,"ttt"),'ZD Vorerfassung'!$H$21:$L$36,14,0),0))+
IF('ZD Vorerfassung'!$E$35="",0,IF(AND(B312&gt;='ZD Vorerfassung'!$C$35,B312&lt;='ZD Vorerfassung'!$D$35),HLOOKUP(TEXT(C312,"ttt"),'ZD Vorerfassung'!$H$21:$L$36,15,0),0))+
IF('ZD Vorerfassung'!$E$36="",0,IF(AND(B312&gt;='ZD Vorerfassung'!$C$36,B312&lt;='ZD Vorerfassung'!$D$36),HLOOKUP(TEXT(C312,"ttt"),'ZD Vorerfassung'!$H$21:$L$36,16,0),0)),"")</f>
        <v>0</v>
      </c>
      <c r="AW312" s="110">
        <f t="array" ref="AW312">IF(OR(D312="UU",D312="FT",D312="WE"),0,
IF(D312="NR",SUM(IF(B312&gt;=_xlfn.NUMBERVALUE('ZD Vorerfassung'!$C$22:$C$36),1,0)*IF(B312&lt;=_xlfn.NUMBERVALUE('ZD Vorerfassung'!$D$22:$D$36),1,0)*'ZD Vorerfassung'!$Q$22:$Q$36),
IF(OR(D312="SF",D312="FH"),SUM(IF(B312&gt;=_xlfn.NUMBERVALUE('ZD Vorerfassung'!$C$22:$C$36),1,0)*IF(B312&lt;=_xlfn.NUMBERVALUE('ZD Vorerfassung'!$D$22:$D$36),1,0)*'ZD Vorerfassung'!$R$22:$R$36*IF(D312="FH",0.5,1)),
"prüfen")))</f>
        <v>0</v>
      </c>
      <c r="AX312" s="110">
        <f t="array" ref="AX312">IF(OR(D312="UU",D312="FT",D312="WE",E312="Ferien"),0,
IF(D312="NR",SUM(IF(B312&gt;=_xlfn.NUMBERVALUE('ZD Vorerfassung'!$C$22:$C$36),1,0)*IF(B312&lt;=_xlfn.NUMBERVALUE('ZD Vorerfassung'!$D$22:$D$36),1,0)*'ZD Vorerfassung'!$W$22:$W$36),
IF(OR(D312="SF",D312="FH"),SUM(IF(B312&gt;=_xlfn.NUMBERVALUE('ZD Vorerfassung'!$C$22:$C$36),1,0)*IF(B312&lt;=_xlfn.NUMBERVALUE('ZD Vorerfassung'!$D$22:$D$36),1,0)*'ZD Vorerfassung'!$X$22:$X$36*IF(D312="FH",0.5,1)),
"prüfen")))</f>
        <v>0</v>
      </c>
      <c r="AY312" s="110">
        <f t="array" ref="AY312">IF(OR(D312="UU",D312="FT",D312="WE",E312="Ferien"),0,
IF(D312="NR",SUM(IF(B312&gt;=_xlfn.NUMBERVALUE('ZD Vorerfassung'!$C$22:$C$36),1,0)*IF(B312&lt;=_xlfn.NUMBERVALUE('ZD Vorerfassung'!$D$22:$D$36),1,0)*'ZD Vorerfassung'!$U$22:$U$36),
IF(OR(D312="SF",D312="FH"),SUM(IF(B312&gt;=_xlfn.NUMBERVALUE('ZD Vorerfassung'!$C$22:$C$36),1,0)*IF(B312&lt;=_xlfn.NUMBERVALUE('ZD Vorerfassung'!$D$22:$D$36),1,0)*'ZD Vorerfassung'!$V$22:$V$36*IF(D312="FH",0.5,1)),
"prüfen")))</f>
        <v>0</v>
      </c>
      <c r="AZ312" s="110">
        <f t="array" ref="AZ312">IF(OR(D312="UU",D312="FT",D312="WE",E312="Ferien"),0,
IF(D312="NR",SUM(IF(B312&gt;=_xlfn.NUMBERVALUE('ZD Vorerfassung'!$C$22:$C$36),1,0)*IF(B312&lt;=_xlfn.NUMBERVALUE('ZD Vorerfassung'!$D$22:$D$36),1,0)*'ZD Vorerfassung'!$S$22:$S$36),
IF(OR(D312="SF",D312="FH"),SUM(IF(B312&gt;=_xlfn.NUMBERVALUE('ZD Vorerfassung'!$C$22:$C$36),1,0)*IF(B312&lt;=_xlfn.NUMBERVALUE('ZD Vorerfassung'!$D$22:$D$36),1,0)*'ZD Vorerfassung'!$T$22:$T$36*IF(D312="FH",0.5,1)),
"prüfen")))</f>
        <v>0</v>
      </c>
      <c r="BA312" s="112">
        <f t="shared" si="56"/>
        <v>6</v>
      </c>
    </row>
    <row r="313" spans="2:53" ht="19.5" thickTop="1" thickBot="1" x14ac:dyDescent="0.3">
      <c r="B313" s="99">
        <f t="shared" si="53"/>
        <v>45078</v>
      </c>
      <c r="C313" s="100">
        <f t="shared" si="57"/>
        <v>45078</v>
      </c>
      <c r="D313" s="101" t="str">
        <f t="shared" si="58"/>
        <v>NR</v>
      </c>
      <c r="E313" s="102" t="str">
        <f t="shared" si="54"/>
        <v>Unterrichtstag</v>
      </c>
      <c r="F313" s="103">
        <f t="shared" si="59"/>
        <v>0</v>
      </c>
      <c r="G313" s="104">
        <f t="shared" si="60"/>
        <v>0</v>
      </c>
      <c r="H313" s="104">
        <f>IFERROR(IF('ZD Vorerfassung'!$E$11="manuell",SUM(I313),IF(OR(E313="Feiertag",E313="Wochenende"),0,IF('ZD Vorerfassung'!$E$11="automatisch",AX313,IF(D313="UU","UU",IF(E313=Param2,AX313/24,IF(E313=Param9,AX313/48,"")))))),0)</f>
        <v>0</v>
      </c>
      <c r="I313" s="105"/>
      <c r="J313" s="106">
        <f>IF('ZD Vorerfassung'!$E$12="manuell",SUM(K313:AI313),IF(OR(E313="Feiertag",E313="Wochenende"),0,IF('ZD Vorerfassung'!$E$12="automatisch",AY313,IF(D313="UU","UU",IF(E313=Param2,AY313/24,IF(E313=Param9,AY313/48,""))))))</f>
        <v>0</v>
      </c>
      <c r="K313" s="105"/>
      <c r="L313" s="105"/>
      <c r="M313" s="105"/>
      <c r="N313" s="105"/>
      <c r="O313" s="105"/>
      <c r="P313" s="105"/>
      <c r="Q313" s="105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  <c r="AE313" s="105"/>
      <c r="AF313" s="105"/>
      <c r="AG313" s="105"/>
      <c r="AH313" s="105"/>
      <c r="AI313" s="105"/>
      <c r="AJ313" s="107">
        <f t="shared" si="61"/>
        <v>0</v>
      </c>
      <c r="AK313" s="105"/>
      <c r="AL313" s="105"/>
      <c r="AM313" s="105"/>
      <c r="AN313" s="105"/>
      <c r="AO313" s="105"/>
      <c r="AP313" s="105"/>
      <c r="AQ313" s="108">
        <f t="shared" si="62"/>
        <v>0</v>
      </c>
      <c r="AR313" s="108">
        <f t="shared" si="63"/>
        <v>0</v>
      </c>
      <c r="AS313" s="109">
        <f t="shared" si="64"/>
        <v>0</v>
      </c>
      <c r="AU313" s="110">
        <f t="shared" si="55"/>
        <v>0</v>
      </c>
      <c r="AV313" s="111">
        <f>IF(D313="NR",
IF('ZD Vorerfassung'!$E$22="",0,IF(AND(B313&gt;='ZD Vorerfassung'!$C$22,B313&lt;='ZD Vorerfassung'!$D$22),HLOOKUP(TEXT(C313,"ttt"),'ZD Vorerfassung'!$H$21:$L$36,2,0),0))+
IF('ZD Vorerfassung'!$E$23="",0,IF(AND(B313&gt;='ZD Vorerfassung'!$C$23,B313&lt;='ZD Vorerfassung'!$D$23),HLOOKUP(TEXT(C313,"ttt"),'ZD Vorerfassung'!$H$21:$L$36,3,0),0))+
IF('ZD Vorerfassung'!$E$24="",0,IF(AND(B313&gt;='ZD Vorerfassung'!$C$24,B313&lt;='ZD Vorerfassung'!$D$24),HLOOKUP(TEXT(C313,"ttt"),'ZD Vorerfassung'!$H$21:$L$36,4,0),0))+
IF('ZD Vorerfassung'!$E$25="",0,IF(AND(B313&gt;='ZD Vorerfassung'!$C$25,B313&lt;='ZD Vorerfassung'!$D$25),HLOOKUP(TEXT(C313,"ttt"),'ZD Vorerfassung'!$H$21:$L$36,5,0),0))+
IF('ZD Vorerfassung'!$E$26="",0,IF(AND(B313&gt;='ZD Vorerfassung'!$C$26,B313&lt;='ZD Vorerfassung'!$D$26),HLOOKUP(TEXT(C313,"ttt"),'ZD Vorerfassung'!$H$21:$L$36,6,0),0))+
IF('ZD Vorerfassung'!$E$27="",0,IF(AND(B313&gt;='ZD Vorerfassung'!$C$27,B313&lt;='ZD Vorerfassung'!$D$27),HLOOKUP(TEXT(C313,"ttt"),'ZD Vorerfassung'!$H$21:$L$36,7,0),0))+
IF('ZD Vorerfassung'!$E$28="",0,IF(AND(B313&gt;='ZD Vorerfassung'!$C$28,B313&lt;='ZD Vorerfassung'!$D$28),HLOOKUP(TEXT(C313,"ttt"),'ZD Vorerfassung'!$H$21:$L$36,8,0),0))+
IF('ZD Vorerfassung'!$E$29="",0,IF(AND(B313&gt;='ZD Vorerfassung'!$C$29,B313&lt;='ZD Vorerfassung'!$D$29),HLOOKUP(TEXT(C313,"ttt"),'ZD Vorerfassung'!$H$21:$L$36,9,0),0))+
IF('ZD Vorerfassung'!$E$30="",0,IF(AND(B313&gt;='ZD Vorerfassung'!$C$30,B313&lt;='ZD Vorerfassung'!$D$30),HLOOKUP(TEXT(C313,"ttt"),'ZD Vorerfassung'!$H$21:$L$36,10,0),0))+
IF('ZD Vorerfassung'!$E$31="",0,IF(AND(B313&gt;='ZD Vorerfassung'!$C$31,B313&lt;='ZD Vorerfassung'!$D$31),HLOOKUP(TEXT(C313,"ttt"),'ZD Vorerfassung'!$H$21:$L$36,11,0),0))+
IF('ZD Vorerfassung'!$E$32="",0,IF(AND(B313&gt;='ZD Vorerfassung'!$C$32,B313&lt;='ZD Vorerfassung'!$D$32),HLOOKUP(TEXT(C313,"ttt"),'ZD Vorerfassung'!$H$21:$L$36,12,0),0))+
IF('ZD Vorerfassung'!$E$33="",0,IF(AND(B313&gt;='ZD Vorerfassung'!$C$33,B313&lt;='ZD Vorerfassung'!$D$33),HLOOKUP(TEXT(C313,"ttt"),'ZD Vorerfassung'!$H$21:$L$36,13,0),0))+
IF('ZD Vorerfassung'!$E$34="",0,IF(AND(B313&gt;='ZD Vorerfassung'!$C$34,B313&lt;='ZD Vorerfassung'!$D$34),HLOOKUP(TEXT(C313,"ttt"),'ZD Vorerfassung'!$H$21:$L$36,14,0),0))+
IF('ZD Vorerfassung'!$E$35="",0,IF(AND(B313&gt;='ZD Vorerfassung'!$C$35,B313&lt;='ZD Vorerfassung'!$D$35),HLOOKUP(TEXT(C313,"ttt"),'ZD Vorerfassung'!$H$21:$L$36,15,0),0))+
IF('ZD Vorerfassung'!$E$36="",0,IF(AND(B313&gt;='ZD Vorerfassung'!$C$36,B313&lt;='ZD Vorerfassung'!$D$36),HLOOKUP(TEXT(C313,"ttt"),'ZD Vorerfassung'!$H$21:$L$36,16,0),0)),"")</f>
        <v>0</v>
      </c>
      <c r="AW313" s="110">
        <f t="array" ref="AW313">IF(OR(D313="UU",D313="FT",D313="WE"),0,
IF(D313="NR",SUM(IF(B313&gt;=_xlfn.NUMBERVALUE('ZD Vorerfassung'!$C$22:$C$36),1,0)*IF(B313&lt;=_xlfn.NUMBERVALUE('ZD Vorerfassung'!$D$22:$D$36),1,0)*'ZD Vorerfassung'!$Q$22:$Q$36),
IF(OR(D313="SF",D313="FH"),SUM(IF(B313&gt;=_xlfn.NUMBERVALUE('ZD Vorerfassung'!$C$22:$C$36),1,0)*IF(B313&lt;=_xlfn.NUMBERVALUE('ZD Vorerfassung'!$D$22:$D$36),1,0)*'ZD Vorerfassung'!$R$22:$R$36*IF(D313="FH",0.5,1)),
"prüfen")))</f>
        <v>0</v>
      </c>
      <c r="AX313" s="110">
        <f t="array" ref="AX313">IF(OR(D313="UU",D313="FT",D313="WE",E313="Ferien"),0,
IF(D313="NR",SUM(IF(B313&gt;=_xlfn.NUMBERVALUE('ZD Vorerfassung'!$C$22:$C$36),1,0)*IF(B313&lt;=_xlfn.NUMBERVALUE('ZD Vorerfassung'!$D$22:$D$36),1,0)*'ZD Vorerfassung'!$W$22:$W$36),
IF(OR(D313="SF",D313="FH"),SUM(IF(B313&gt;=_xlfn.NUMBERVALUE('ZD Vorerfassung'!$C$22:$C$36),1,0)*IF(B313&lt;=_xlfn.NUMBERVALUE('ZD Vorerfassung'!$D$22:$D$36),1,0)*'ZD Vorerfassung'!$X$22:$X$36*IF(D313="FH",0.5,1)),
"prüfen")))</f>
        <v>0</v>
      </c>
      <c r="AY313" s="110">
        <f t="array" ref="AY313">IF(OR(D313="UU",D313="FT",D313="WE",E313="Ferien"),0,
IF(D313="NR",SUM(IF(B313&gt;=_xlfn.NUMBERVALUE('ZD Vorerfassung'!$C$22:$C$36),1,0)*IF(B313&lt;=_xlfn.NUMBERVALUE('ZD Vorerfassung'!$D$22:$D$36),1,0)*'ZD Vorerfassung'!$U$22:$U$36),
IF(OR(D313="SF",D313="FH"),SUM(IF(B313&gt;=_xlfn.NUMBERVALUE('ZD Vorerfassung'!$C$22:$C$36),1,0)*IF(B313&lt;=_xlfn.NUMBERVALUE('ZD Vorerfassung'!$D$22:$D$36),1,0)*'ZD Vorerfassung'!$V$22:$V$36*IF(D313="FH",0.5,1)),
"prüfen")))</f>
        <v>0</v>
      </c>
      <c r="AZ313" s="110">
        <f t="array" ref="AZ313">IF(OR(D313="UU",D313="FT",D313="WE",E313="Ferien"),0,
IF(D313="NR",SUM(IF(B313&gt;=_xlfn.NUMBERVALUE('ZD Vorerfassung'!$C$22:$C$36),1,0)*IF(B313&lt;=_xlfn.NUMBERVALUE('ZD Vorerfassung'!$D$22:$D$36),1,0)*'ZD Vorerfassung'!$S$22:$S$36),
IF(OR(D313="SF",D313="FH"),SUM(IF(B313&gt;=_xlfn.NUMBERVALUE('ZD Vorerfassung'!$C$22:$C$36),1,0)*IF(B313&lt;=_xlfn.NUMBERVALUE('ZD Vorerfassung'!$D$22:$D$36),1,0)*'ZD Vorerfassung'!$T$22:$T$36*IF(D313="FH",0.5,1)),
"prüfen")))</f>
        <v>0</v>
      </c>
      <c r="BA313" s="112">
        <f t="shared" si="56"/>
        <v>6</v>
      </c>
    </row>
    <row r="314" spans="2:53" ht="19.5" thickTop="1" thickBot="1" x14ac:dyDescent="0.3">
      <c r="B314" s="99">
        <f t="shared" si="53"/>
        <v>45079</v>
      </c>
      <c r="C314" s="100">
        <f t="shared" si="57"/>
        <v>45079</v>
      </c>
      <c r="D314" s="101" t="str">
        <f t="shared" si="58"/>
        <v>NR</v>
      </c>
      <c r="E314" s="102" t="str">
        <f t="shared" si="54"/>
        <v>Unterrichtstag</v>
      </c>
      <c r="F314" s="103">
        <f t="shared" si="59"/>
        <v>0</v>
      </c>
      <c r="G314" s="104">
        <f t="shared" si="60"/>
        <v>0</v>
      </c>
      <c r="H314" s="104">
        <f>IFERROR(IF('ZD Vorerfassung'!$E$11="manuell",SUM(I314),IF(OR(E314="Feiertag",E314="Wochenende"),0,IF('ZD Vorerfassung'!$E$11="automatisch",AX314,IF(D314="UU","UU",IF(E314=Param2,AX314/24,IF(E314=Param9,AX314/48,"")))))),0)</f>
        <v>0</v>
      </c>
      <c r="I314" s="105"/>
      <c r="J314" s="106">
        <f>IF('ZD Vorerfassung'!$E$12="manuell",SUM(K314:AI314),IF(OR(E314="Feiertag",E314="Wochenende"),0,IF('ZD Vorerfassung'!$E$12="automatisch",AY314,IF(D314="UU","UU",IF(E314=Param2,AY314/24,IF(E314=Param9,AY314/48,""))))))</f>
        <v>0</v>
      </c>
      <c r="K314" s="105"/>
      <c r="L314" s="105"/>
      <c r="M314" s="105"/>
      <c r="N314" s="105"/>
      <c r="O314" s="105"/>
      <c r="P314" s="105"/>
      <c r="Q314" s="105"/>
      <c r="R314" s="105"/>
      <c r="S314" s="105"/>
      <c r="T314" s="105"/>
      <c r="U314" s="105"/>
      <c r="V314" s="105"/>
      <c r="W314" s="105"/>
      <c r="X314" s="105"/>
      <c r="Y314" s="105"/>
      <c r="Z314" s="105"/>
      <c r="AA314" s="105"/>
      <c r="AB314" s="105"/>
      <c r="AC314" s="105"/>
      <c r="AD314" s="105"/>
      <c r="AE314" s="105"/>
      <c r="AF314" s="105"/>
      <c r="AG314" s="105"/>
      <c r="AH314" s="105"/>
      <c r="AI314" s="105"/>
      <c r="AJ314" s="107">
        <f t="shared" si="61"/>
        <v>0</v>
      </c>
      <c r="AK314" s="105"/>
      <c r="AL314" s="105"/>
      <c r="AM314" s="105"/>
      <c r="AN314" s="105"/>
      <c r="AO314" s="105"/>
      <c r="AP314" s="105"/>
      <c r="AQ314" s="108">
        <f t="shared" si="62"/>
        <v>0</v>
      </c>
      <c r="AR314" s="108">
        <f t="shared" si="63"/>
        <v>0</v>
      </c>
      <c r="AS314" s="109">
        <f t="shared" si="64"/>
        <v>0</v>
      </c>
      <c r="AU314" s="110">
        <f t="shared" si="55"/>
        <v>0</v>
      </c>
      <c r="AV314" s="111">
        <f>IF(D314="NR",
IF('ZD Vorerfassung'!$E$22="",0,IF(AND(B314&gt;='ZD Vorerfassung'!$C$22,B314&lt;='ZD Vorerfassung'!$D$22),HLOOKUP(TEXT(C314,"ttt"),'ZD Vorerfassung'!$H$21:$L$36,2,0),0))+
IF('ZD Vorerfassung'!$E$23="",0,IF(AND(B314&gt;='ZD Vorerfassung'!$C$23,B314&lt;='ZD Vorerfassung'!$D$23),HLOOKUP(TEXT(C314,"ttt"),'ZD Vorerfassung'!$H$21:$L$36,3,0),0))+
IF('ZD Vorerfassung'!$E$24="",0,IF(AND(B314&gt;='ZD Vorerfassung'!$C$24,B314&lt;='ZD Vorerfassung'!$D$24),HLOOKUP(TEXT(C314,"ttt"),'ZD Vorerfassung'!$H$21:$L$36,4,0),0))+
IF('ZD Vorerfassung'!$E$25="",0,IF(AND(B314&gt;='ZD Vorerfassung'!$C$25,B314&lt;='ZD Vorerfassung'!$D$25),HLOOKUP(TEXT(C314,"ttt"),'ZD Vorerfassung'!$H$21:$L$36,5,0),0))+
IF('ZD Vorerfassung'!$E$26="",0,IF(AND(B314&gt;='ZD Vorerfassung'!$C$26,B314&lt;='ZD Vorerfassung'!$D$26),HLOOKUP(TEXT(C314,"ttt"),'ZD Vorerfassung'!$H$21:$L$36,6,0),0))+
IF('ZD Vorerfassung'!$E$27="",0,IF(AND(B314&gt;='ZD Vorerfassung'!$C$27,B314&lt;='ZD Vorerfassung'!$D$27),HLOOKUP(TEXT(C314,"ttt"),'ZD Vorerfassung'!$H$21:$L$36,7,0),0))+
IF('ZD Vorerfassung'!$E$28="",0,IF(AND(B314&gt;='ZD Vorerfassung'!$C$28,B314&lt;='ZD Vorerfassung'!$D$28),HLOOKUP(TEXT(C314,"ttt"),'ZD Vorerfassung'!$H$21:$L$36,8,0),0))+
IF('ZD Vorerfassung'!$E$29="",0,IF(AND(B314&gt;='ZD Vorerfassung'!$C$29,B314&lt;='ZD Vorerfassung'!$D$29),HLOOKUP(TEXT(C314,"ttt"),'ZD Vorerfassung'!$H$21:$L$36,9,0),0))+
IF('ZD Vorerfassung'!$E$30="",0,IF(AND(B314&gt;='ZD Vorerfassung'!$C$30,B314&lt;='ZD Vorerfassung'!$D$30),HLOOKUP(TEXT(C314,"ttt"),'ZD Vorerfassung'!$H$21:$L$36,10,0),0))+
IF('ZD Vorerfassung'!$E$31="",0,IF(AND(B314&gt;='ZD Vorerfassung'!$C$31,B314&lt;='ZD Vorerfassung'!$D$31),HLOOKUP(TEXT(C314,"ttt"),'ZD Vorerfassung'!$H$21:$L$36,11,0),0))+
IF('ZD Vorerfassung'!$E$32="",0,IF(AND(B314&gt;='ZD Vorerfassung'!$C$32,B314&lt;='ZD Vorerfassung'!$D$32),HLOOKUP(TEXT(C314,"ttt"),'ZD Vorerfassung'!$H$21:$L$36,12,0),0))+
IF('ZD Vorerfassung'!$E$33="",0,IF(AND(B314&gt;='ZD Vorerfassung'!$C$33,B314&lt;='ZD Vorerfassung'!$D$33),HLOOKUP(TEXT(C314,"ttt"),'ZD Vorerfassung'!$H$21:$L$36,13,0),0))+
IF('ZD Vorerfassung'!$E$34="",0,IF(AND(B314&gt;='ZD Vorerfassung'!$C$34,B314&lt;='ZD Vorerfassung'!$D$34),HLOOKUP(TEXT(C314,"ttt"),'ZD Vorerfassung'!$H$21:$L$36,14,0),0))+
IF('ZD Vorerfassung'!$E$35="",0,IF(AND(B314&gt;='ZD Vorerfassung'!$C$35,B314&lt;='ZD Vorerfassung'!$D$35),HLOOKUP(TEXT(C314,"ttt"),'ZD Vorerfassung'!$H$21:$L$36,15,0),0))+
IF('ZD Vorerfassung'!$E$36="",0,IF(AND(B314&gt;='ZD Vorerfassung'!$C$36,B314&lt;='ZD Vorerfassung'!$D$36),HLOOKUP(TEXT(C314,"ttt"),'ZD Vorerfassung'!$H$21:$L$36,16,0),0)),"")</f>
        <v>0</v>
      </c>
      <c r="AW314" s="110">
        <f t="array" ref="AW314">IF(OR(D314="UU",D314="FT",D314="WE"),0,
IF(D314="NR",SUM(IF(B314&gt;=_xlfn.NUMBERVALUE('ZD Vorerfassung'!$C$22:$C$36),1,0)*IF(B314&lt;=_xlfn.NUMBERVALUE('ZD Vorerfassung'!$D$22:$D$36),1,0)*'ZD Vorerfassung'!$Q$22:$Q$36),
IF(OR(D314="SF",D314="FH"),SUM(IF(B314&gt;=_xlfn.NUMBERVALUE('ZD Vorerfassung'!$C$22:$C$36),1,0)*IF(B314&lt;=_xlfn.NUMBERVALUE('ZD Vorerfassung'!$D$22:$D$36),1,0)*'ZD Vorerfassung'!$R$22:$R$36*IF(D314="FH",0.5,1)),
"prüfen")))</f>
        <v>0</v>
      </c>
      <c r="AX314" s="110">
        <f t="array" ref="AX314">IF(OR(D314="UU",D314="FT",D314="WE",E314="Ferien"),0,
IF(D314="NR",SUM(IF(B314&gt;=_xlfn.NUMBERVALUE('ZD Vorerfassung'!$C$22:$C$36),1,0)*IF(B314&lt;=_xlfn.NUMBERVALUE('ZD Vorerfassung'!$D$22:$D$36),1,0)*'ZD Vorerfassung'!$W$22:$W$36),
IF(OR(D314="SF",D314="FH"),SUM(IF(B314&gt;=_xlfn.NUMBERVALUE('ZD Vorerfassung'!$C$22:$C$36),1,0)*IF(B314&lt;=_xlfn.NUMBERVALUE('ZD Vorerfassung'!$D$22:$D$36),1,0)*'ZD Vorerfassung'!$X$22:$X$36*IF(D314="FH",0.5,1)),
"prüfen")))</f>
        <v>0</v>
      </c>
      <c r="AY314" s="110">
        <f t="array" ref="AY314">IF(OR(D314="UU",D314="FT",D314="WE",E314="Ferien"),0,
IF(D314="NR",SUM(IF(B314&gt;=_xlfn.NUMBERVALUE('ZD Vorerfassung'!$C$22:$C$36),1,0)*IF(B314&lt;=_xlfn.NUMBERVALUE('ZD Vorerfassung'!$D$22:$D$36),1,0)*'ZD Vorerfassung'!$U$22:$U$36),
IF(OR(D314="SF",D314="FH"),SUM(IF(B314&gt;=_xlfn.NUMBERVALUE('ZD Vorerfassung'!$C$22:$C$36),1,0)*IF(B314&lt;=_xlfn.NUMBERVALUE('ZD Vorerfassung'!$D$22:$D$36),1,0)*'ZD Vorerfassung'!$V$22:$V$36*IF(D314="FH",0.5,1)),
"prüfen")))</f>
        <v>0</v>
      </c>
      <c r="AZ314" s="110">
        <f t="array" ref="AZ314">IF(OR(D314="UU",D314="FT",D314="WE",E314="Ferien"),0,
IF(D314="NR",SUM(IF(B314&gt;=_xlfn.NUMBERVALUE('ZD Vorerfassung'!$C$22:$C$36),1,0)*IF(B314&lt;=_xlfn.NUMBERVALUE('ZD Vorerfassung'!$D$22:$D$36),1,0)*'ZD Vorerfassung'!$S$22:$S$36),
IF(OR(D314="SF",D314="FH"),SUM(IF(B314&gt;=_xlfn.NUMBERVALUE('ZD Vorerfassung'!$C$22:$C$36),1,0)*IF(B314&lt;=_xlfn.NUMBERVALUE('ZD Vorerfassung'!$D$22:$D$36),1,0)*'ZD Vorerfassung'!$T$22:$T$36*IF(D314="FH",0.5,1)),
"prüfen")))</f>
        <v>0</v>
      </c>
      <c r="BA314" s="112">
        <f t="shared" si="56"/>
        <v>6</v>
      </c>
    </row>
    <row r="315" spans="2:53" ht="19.5" thickTop="1" thickBot="1" x14ac:dyDescent="0.3">
      <c r="B315" s="99">
        <f t="shared" si="53"/>
        <v>45080</v>
      </c>
      <c r="C315" s="100">
        <f t="shared" si="57"/>
        <v>45080</v>
      </c>
      <c r="D315" s="101" t="str">
        <f t="shared" si="58"/>
        <v>NR</v>
      </c>
      <c r="E315" s="102" t="str">
        <f t="shared" si="54"/>
        <v>Unterrichtstag</v>
      </c>
      <c r="F315" s="103">
        <f t="shared" si="59"/>
        <v>0</v>
      </c>
      <c r="G315" s="104">
        <f t="shared" si="60"/>
        <v>0</v>
      </c>
      <c r="H315" s="104">
        <f>IFERROR(IF('ZD Vorerfassung'!$E$11="manuell",SUM(I315),IF(OR(E315="Feiertag",E315="Wochenende"),0,IF('ZD Vorerfassung'!$E$11="automatisch",AX315,IF(D315="UU","UU",IF(E315=Param2,AX315/24,IF(E315=Param9,AX315/48,"")))))),0)</f>
        <v>0</v>
      </c>
      <c r="I315" s="105"/>
      <c r="J315" s="106">
        <f>IF('ZD Vorerfassung'!$E$12="manuell",SUM(K315:AI315),IF(OR(E315="Feiertag",E315="Wochenende"),0,IF('ZD Vorerfassung'!$E$12="automatisch",AY315,IF(D315="UU","UU",IF(E315=Param2,AY315/24,IF(E315=Param9,AY315/48,""))))))</f>
        <v>0</v>
      </c>
      <c r="K315" s="105"/>
      <c r="L315" s="105"/>
      <c r="M315" s="105"/>
      <c r="N315" s="105"/>
      <c r="O315" s="105"/>
      <c r="P315" s="105"/>
      <c r="Q315" s="105"/>
      <c r="R315" s="105"/>
      <c r="S315" s="105"/>
      <c r="T315" s="105"/>
      <c r="U315" s="105"/>
      <c r="V315" s="105"/>
      <c r="W315" s="105"/>
      <c r="X315" s="105"/>
      <c r="Y315" s="105"/>
      <c r="Z315" s="105"/>
      <c r="AA315" s="105"/>
      <c r="AB315" s="105"/>
      <c r="AC315" s="105"/>
      <c r="AD315" s="105"/>
      <c r="AE315" s="105"/>
      <c r="AF315" s="105"/>
      <c r="AG315" s="105"/>
      <c r="AH315" s="105"/>
      <c r="AI315" s="105"/>
      <c r="AJ315" s="107">
        <f t="shared" si="61"/>
        <v>0</v>
      </c>
      <c r="AK315" s="105"/>
      <c r="AL315" s="105"/>
      <c r="AM315" s="105"/>
      <c r="AN315" s="105"/>
      <c r="AO315" s="105"/>
      <c r="AP315" s="105"/>
      <c r="AQ315" s="108">
        <f t="shared" si="62"/>
        <v>0</v>
      </c>
      <c r="AR315" s="108">
        <f t="shared" si="63"/>
        <v>0</v>
      </c>
      <c r="AS315" s="109">
        <f t="shared" si="64"/>
        <v>0</v>
      </c>
      <c r="AU315" s="110">
        <f t="shared" si="55"/>
        <v>0</v>
      </c>
      <c r="AV315" s="111">
        <f>IF(D315="NR",
IF('ZD Vorerfassung'!$E$22="",0,IF(AND(B315&gt;='ZD Vorerfassung'!$C$22,B315&lt;='ZD Vorerfassung'!$D$22),HLOOKUP(TEXT(C315,"ttt"),'ZD Vorerfassung'!$H$21:$L$36,2,0),0))+
IF('ZD Vorerfassung'!$E$23="",0,IF(AND(B315&gt;='ZD Vorerfassung'!$C$23,B315&lt;='ZD Vorerfassung'!$D$23),HLOOKUP(TEXT(C315,"ttt"),'ZD Vorerfassung'!$H$21:$L$36,3,0),0))+
IF('ZD Vorerfassung'!$E$24="",0,IF(AND(B315&gt;='ZD Vorerfassung'!$C$24,B315&lt;='ZD Vorerfassung'!$D$24),HLOOKUP(TEXT(C315,"ttt"),'ZD Vorerfassung'!$H$21:$L$36,4,0),0))+
IF('ZD Vorerfassung'!$E$25="",0,IF(AND(B315&gt;='ZD Vorerfassung'!$C$25,B315&lt;='ZD Vorerfassung'!$D$25),HLOOKUP(TEXT(C315,"ttt"),'ZD Vorerfassung'!$H$21:$L$36,5,0),0))+
IF('ZD Vorerfassung'!$E$26="",0,IF(AND(B315&gt;='ZD Vorerfassung'!$C$26,B315&lt;='ZD Vorerfassung'!$D$26),HLOOKUP(TEXT(C315,"ttt"),'ZD Vorerfassung'!$H$21:$L$36,6,0),0))+
IF('ZD Vorerfassung'!$E$27="",0,IF(AND(B315&gt;='ZD Vorerfassung'!$C$27,B315&lt;='ZD Vorerfassung'!$D$27),HLOOKUP(TEXT(C315,"ttt"),'ZD Vorerfassung'!$H$21:$L$36,7,0),0))+
IF('ZD Vorerfassung'!$E$28="",0,IF(AND(B315&gt;='ZD Vorerfassung'!$C$28,B315&lt;='ZD Vorerfassung'!$D$28),HLOOKUP(TEXT(C315,"ttt"),'ZD Vorerfassung'!$H$21:$L$36,8,0),0))+
IF('ZD Vorerfassung'!$E$29="",0,IF(AND(B315&gt;='ZD Vorerfassung'!$C$29,B315&lt;='ZD Vorerfassung'!$D$29),HLOOKUP(TEXT(C315,"ttt"),'ZD Vorerfassung'!$H$21:$L$36,9,0),0))+
IF('ZD Vorerfassung'!$E$30="",0,IF(AND(B315&gt;='ZD Vorerfassung'!$C$30,B315&lt;='ZD Vorerfassung'!$D$30),HLOOKUP(TEXT(C315,"ttt"),'ZD Vorerfassung'!$H$21:$L$36,10,0),0))+
IF('ZD Vorerfassung'!$E$31="",0,IF(AND(B315&gt;='ZD Vorerfassung'!$C$31,B315&lt;='ZD Vorerfassung'!$D$31),HLOOKUP(TEXT(C315,"ttt"),'ZD Vorerfassung'!$H$21:$L$36,11,0),0))+
IF('ZD Vorerfassung'!$E$32="",0,IF(AND(B315&gt;='ZD Vorerfassung'!$C$32,B315&lt;='ZD Vorerfassung'!$D$32),HLOOKUP(TEXT(C315,"ttt"),'ZD Vorerfassung'!$H$21:$L$36,12,0),0))+
IF('ZD Vorerfassung'!$E$33="",0,IF(AND(B315&gt;='ZD Vorerfassung'!$C$33,B315&lt;='ZD Vorerfassung'!$D$33),HLOOKUP(TEXT(C315,"ttt"),'ZD Vorerfassung'!$H$21:$L$36,13,0),0))+
IF('ZD Vorerfassung'!$E$34="",0,IF(AND(B315&gt;='ZD Vorerfassung'!$C$34,B315&lt;='ZD Vorerfassung'!$D$34),HLOOKUP(TEXT(C315,"ttt"),'ZD Vorerfassung'!$H$21:$L$36,14,0),0))+
IF('ZD Vorerfassung'!$E$35="",0,IF(AND(B315&gt;='ZD Vorerfassung'!$C$35,B315&lt;='ZD Vorerfassung'!$D$35),HLOOKUP(TEXT(C315,"ttt"),'ZD Vorerfassung'!$H$21:$L$36,15,0),0))+
IF('ZD Vorerfassung'!$E$36="",0,IF(AND(B315&gt;='ZD Vorerfassung'!$C$36,B315&lt;='ZD Vorerfassung'!$D$36),HLOOKUP(TEXT(C315,"ttt"),'ZD Vorerfassung'!$H$21:$L$36,16,0),0)),"")</f>
        <v>0</v>
      </c>
      <c r="AW315" s="110">
        <f t="array" ref="AW315">IF(OR(D315="UU",D315="FT",D315="WE"),0,
IF(D315="NR",SUM(IF(B315&gt;=_xlfn.NUMBERVALUE('ZD Vorerfassung'!$C$22:$C$36),1,0)*IF(B315&lt;=_xlfn.NUMBERVALUE('ZD Vorerfassung'!$D$22:$D$36),1,0)*'ZD Vorerfassung'!$Q$22:$Q$36),
IF(OR(D315="SF",D315="FH"),SUM(IF(B315&gt;=_xlfn.NUMBERVALUE('ZD Vorerfassung'!$C$22:$C$36),1,0)*IF(B315&lt;=_xlfn.NUMBERVALUE('ZD Vorerfassung'!$D$22:$D$36),1,0)*'ZD Vorerfassung'!$R$22:$R$36*IF(D315="FH",0.5,1)),
"prüfen")))</f>
        <v>0</v>
      </c>
      <c r="AX315" s="110">
        <f t="array" ref="AX315">IF(OR(D315="UU",D315="FT",D315="WE",E315="Ferien"),0,
IF(D315="NR",SUM(IF(B315&gt;=_xlfn.NUMBERVALUE('ZD Vorerfassung'!$C$22:$C$36),1,0)*IF(B315&lt;=_xlfn.NUMBERVALUE('ZD Vorerfassung'!$D$22:$D$36),1,0)*'ZD Vorerfassung'!$W$22:$W$36),
IF(OR(D315="SF",D315="FH"),SUM(IF(B315&gt;=_xlfn.NUMBERVALUE('ZD Vorerfassung'!$C$22:$C$36),1,0)*IF(B315&lt;=_xlfn.NUMBERVALUE('ZD Vorerfassung'!$D$22:$D$36),1,0)*'ZD Vorerfassung'!$X$22:$X$36*IF(D315="FH",0.5,1)),
"prüfen")))</f>
        <v>0</v>
      </c>
      <c r="AY315" s="110">
        <f t="array" ref="AY315">IF(OR(D315="UU",D315="FT",D315="WE",E315="Ferien"),0,
IF(D315="NR",SUM(IF(B315&gt;=_xlfn.NUMBERVALUE('ZD Vorerfassung'!$C$22:$C$36),1,0)*IF(B315&lt;=_xlfn.NUMBERVALUE('ZD Vorerfassung'!$D$22:$D$36),1,0)*'ZD Vorerfassung'!$U$22:$U$36),
IF(OR(D315="SF",D315="FH"),SUM(IF(B315&gt;=_xlfn.NUMBERVALUE('ZD Vorerfassung'!$C$22:$C$36),1,0)*IF(B315&lt;=_xlfn.NUMBERVALUE('ZD Vorerfassung'!$D$22:$D$36),1,0)*'ZD Vorerfassung'!$V$22:$V$36*IF(D315="FH",0.5,1)),
"prüfen")))</f>
        <v>0</v>
      </c>
      <c r="AZ315" s="110">
        <f t="array" ref="AZ315">IF(OR(D315="UU",D315="FT",D315="WE",E315="Ferien"),0,
IF(D315="NR",SUM(IF(B315&gt;=_xlfn.NUMBERVALUE('ZD Vorerfassung'!$C$22:$C$36),1,0)*IF(B315&lt;=_xlfn.NUMBERVALUE('ZD Vorerfassung'!$D$22:$D$36),1,0)*'ZD Vorerfassung'!$S$22:$S$36),
IF(OR(D315="SF",D315="FH"),SUM(IF(B315&gt;=_xlfn.NUMBERVALUE('ZD Vorerfassung'!$C$22:$C$36),1,0)*IF(B315&lt;=_xlfn.NUMBERVALUE('ZD Vorerfassung'!$D$22:$D$36),1,0)*'ZD Vorerfassung'!$T$22:$T$36*IF(D315="FH",0.5,1)),
"prüfen")))</f>
        <v>0</v>
      </c>
      <c r="BA315" s="112">
        <f t="shared" si="56"/>
        <v>6</v>
      </c>
    </row>
    <row r="316" spans="2:53" ht="19.5" thickTop="1" thickBot="1" x14ac:dyDescent="0.3">
      <c r="B316" s="99">
        <f t="shared" si="53"/>
        <v>45081</v>
      </c>
      <c r="C316" s="100">
        <f t="shared" si="57"/>
        <v>45081</v>
      </c>
      <c r="D316" s="101" t="str">
        <f t="shared" si="58"/>
        <v>WE</v>
      </c>
      <c r="E316" s="102" t="str">
        <f t="shared" si="54"/>
        <v>Wochenende</v>
      </c>
      <c r="F316" s="103" t="str">
        <f t="shared" si="59"/>
        <v/>
      </c>
      <c r="G316" s="104" t="str">
        <f t="shared" si="60"/>
        <v/>
      </c>
      <c r="H316" s="104">
        <f>IFERROR(IF('ZD Vorerfassung'!$E$11="manuell",SUM(I316),IF(OR(E316="Feiertag",E316="Wochenende"),0,IF('ZD Vorerfassung'!$E$11="automatisch",AX316,IF(D316="UU","UU",IF(E316=Param2,AX316/24,IF(E316=Param9,AX316/48,"")))))),0)</f>
        <v>0</v>
      </c>
      <c r="I316" s="105"/>
      <c r="J316" s="106">
        <f>IF('ZD Vorerfassung'!$E$12="manuell",SUM(K316:AI316),IF(OR(E316="Feiertag",E316="Wochenende"),0,IF('ZD Vorerfassung'!$E$12="automatisch",AY316,IF(D316="UU","UU",IF(E316=Param2,AY316/24,IF(E316=Param9,AY316/48,""))))))</f>
        <v>0</v>
      </c>
      <c r="K316" s="105"/>
      <c r="L316" s="105"/>
      <c r="M316" s="105"/>
      <c r="N316" s="105"/>
      <c r="O316" s="105"/>
      <c r="P316" s="105"/>
      <c r="Q316" s="105"/>
      <c r="R316" s="105"/>
      <c r="S316" s="105"/>
      <c r="T316" s="105"/>
      <c r="U316" s="105"/>
      <c r="V316" s="105"/>
      <c r="W316" s="105"/>
      <c r="X316" s="105"/>
      <c r="Y316" s="105"/>
      <c r="Z316" s="105"/>
      <c r="AA316" s="105"/>
      <c r="AB316" s="105"/>
      <c r="AC316" s="105"/>
      <c r="AD316" s="105"/>
      <c r="AE316" s="105"/>
      <c r="AF316" s="105"/>
      <c r="AG316" s="105"/>
      <c r="AH316" s="105"/>
      <c r="AI316" s="105"/>
      <c r="AJ316" s="107">
        <f t="shared" si="61"/>
        <v>0</v>
      </c>
      <c r="AK316" s="105"/>
      <c r="AL316" s="105"/>
      <c r="AM316" s="105"/>
      <c r="AN316" s="105"/>
      <c r="AO316" s="105"/>
      <c r="AP316" s="105"/>
      <c r="AQ316" s="108">
        <f t="shared" si="62"/>
        <v>0</v>
      </c>
      <c r="AR316" s="108">
        <f t="shared" si="63"/>
        <v>0</v>
      </c>
      <c r="AS316" s="109">
        <f t="shared" si="64"/>
        <v>0</v>
      </c>
      <c r="AU316" s="110">
        <f t="shared" si="55"/>
        <v>0</v>
      </c>
      <c r="AV316" s="111" t="str">
        <f>IF(D316="NR",
IF('ZD Vorerfassung'!$E$22="",0,IF(AND(B316&gt;='ZD Vorerfassung'!$C$22,B316&lt;='ZD Vorerfassung'!$D$22),HLOOKUP(TEXT(C316,"ttt"),'ZD Vorerfassung'!$H$21:$L$36,2,0),0))+
IF('ZD Vorerfassung'!$E$23="",0,IF(AND(B316&gt;='ZD Vorerfassung'!$C$23,B316&lt;='ZD Vorerfassung'!$D$23),HLOOKUP(TEXT(C316,"ttt"),'ZD Vorerfassung'!$H$21:$L$36,3,0),0))+
IF('ZD Vorerfassung'!$E$24="",0,IF(AND(B316&gt;='ZD Vorerfassung'!$C$24,B316&lt;='ZD Vorerfassung'!$D$24),HLOOKUP(TEXT(C316,"ttt"),'ZD Vorerfassung'!$H$21:$L$36,4,0),0))+
IF('ZD Vorerfassung'!$E$25="",0,IF(AND(B316&gt;='ZD Vorerfassung'!$C$25,B316&lt;='ZD Vorerfassung'!$D$25),HLOOKUP(TEXT(C316,"ttt"),'ZD Vorerfassung'!$H$21:$L$36,5,0),0))+
IF('ZD Vorerfassung'!$E$26="",0,IF(AND(B316&gt;='ZD Vorerfassung'!$C$26,B316&lt;='ZD Vorerfassung'!$D$26),HLOOKUP(TEXT(C316,"ttt"),'ZD Vorerfassung'!$H$21:$L$36,6,0),0))+
IF('ZD Vorerfassung'!$E$27="",0,IF(AND(B316&gt;='ZD Vorerfassung'!$C$27,B316&lt;='ZD Vorerfassung'!$D$27),HLOOKUP(TEXT(C316,"ttt"),'ZD Vorerfassung'!$H$21:$L$36,7,0),0))+
IF('ZD Vorerfassung'!$E$28="",0,IF(AND(B316&gt;='ZD Vorerfassung'!$C$28,B316&lt;='ZD Vorerfassung'!$D$28),HLOOKUP(TEXT(C316,"ttt"),'ZD Vorerfassung'!$H$21:$L$36,8,0),0))+
IF('ZD Vorerfassung'!$E$29="",0,IF(AND(B316&gt;='ZD Vorerfassung'!$C$29,B316&lt;='ZD Vorerfassung'!$D$29),HLOOKUP(TEXT(C316,"ttt"),'ZD Vorerfassung'!$H$21:$L$36,9,0),0))+
IF('ZD Vorerfassung'!$E$30="",0,IF(AND(B316&gt;='ZD Vorerfassung'!$C$30,B316&lt;='ZD Vorerfassung'!$D$30),HLOOKUP(TEXT(C316,"ttt"),'ZD Vorerfassung'!$H$21:$L$36,10,0),0))+
IF('ZD Vorerfassung'!$E$31="",0,IF(AND(B316&gt;='ZD Vorerfassung'!$C$31,B316&lt;='ZD Vorerfassung'!$D$31),HLOOKUP(TEXT(C316,"ttt"),'ZD Vorerfassung'!$H$21:$L$36,11,0),0))+
IF('ZD Vorerfassung'!$E$32="",0,IF(AND(B316&gt;='ZD Vorerfassung'!$C$32,B316&lt;='ZD Vorerfassung'!$D$32),HLOOKUP(TEXT(C316,"ttt"),'ZD Vorerfassung'!$H$21:$L$36,12,0),0))+
IF('ZD Vorerfassung'!$E$33="",0,IF(AND(B316&gt;='ZD Vorerfassung'!$C$33,B316&lt;='ZD Vorerfassung'!$D$33),HLOOKUP(TEXT(C316,"ttt"),'ZD Vorerfassung'!$H$21:$L$36,13,0),0))+
IF('ZD Vorerfassung'!$E$34="",0,IF(AND(B316&gt;='ZD Vorerfassung'!$C$34,B316&lt;='ZD Vorerfassung'!$D$34),HLOOKUP(TEXT(C316,"ttt"),'ZD Vorerfassung'!$H$21:$L$36,14,0),0))+
IF('ZD Vorerfassung'!$E$35="",0,IF(AND(B316&gt;='ZD Vorerfassung'!$C$35,B316&lt;='ZD Vorerfassung'!$D$35),HLOOKUP(TEXT(C316,"ttt"),'ZD Vorerfassung'!$H$21:$L$36,15,0),0))+
IF('ZD Vorerfassung'!$E$36="",0,IF(AND(B316&gt;='ZD Vorerfassung'!$C$36,B316&lt;='ZD Vorerfassung'!$D$36),HLOOKUP(TEXT(C316,"ttt"),'ZD Vorerfassung'!$H$21:$L$36,16,0),0)),"")</f>
        <v/>
      </c>
      <c r="AW316" s="110">
        <f t="array" ref="AW316">IF(OR(D316="UU",D316="FT",D316="WE"),0,
IF(D316="NR",SUM(IF(B316&gt;=_xlfn.NUMBERVALUE('ZD Vorerfassung'!$C$22:$C$36),1,0)*IF(B316&lt;=_xlfn.NUMBERVALUE('ZD Vorerfassung'!$D$22:$D$36),1,0)*'ZD Vorerfassung'!$Q$22:$Q$36),
IF(OR(D316="SF",D316="FH"),SUM(IF(B316&gt;=_xlfn.NUMBERVALUE('ZD Vorerfassung'!$C$22:$C$36),1,0)*IF(B316&lt;=_xlfn.NUMBERVALUE('ZD Vorerfassung'!$D$22:$D$36),1,0)*'ZD Vorerfassung'!$R$22:$R$36*IF(D316="FH",0.5,1)),
"prüfen")))</f>
        <v>0</v>
      </c>
      <c r="AX316" s="110">
        <f t="array" ref="AX316">IF(OR(D316="UU",D316="FT",D316="WE",E316="Ferien"),0,
IF(D316="NR",SUM(IF(B316&gt;=_xlfn.NUMBERVALUE('ZD Vorerfassung'!$C$22:$C$36),1,0)*IF(B316&lt;=_xlfn.NUMBERVALUE('ZD Vorerfassung'!$D$22:$D$36),1,0)*'ZD Vorerfassung'!$W$22:$W$36),
IF(OR(D316="SF",D316="FH"),SUM(IF(B316&gt;=_xlfn.NUMBERVALUE('ZD Vorerfassung'!$C$22:$C$36),1,0)*IF(B316&lt;=_xlfn.NUMBERVALUE('ZD Vorerfassung'!$D$22:$D$36),1,0)*'ZD Vorerfassung'!$X$22:$X$36*IF(D316="FH",0.5,1)),
"prüfen")))</f>
        <v>0</v>
      </c>
      <c r="AY316" s="110">
        <f t="array" ref="AY316">IF(OR(D316="UU",D316="FT",D316="WE",E316="Ferien"),0,
IF(D316="NR",SUM(IF(B316&gt;=_xlfn.NUMBERVALUE('ZD Vorerfassung'!$C$22:$C$36),1,0)*IF(B316&lt;=_xlfn.NUMBERVALUE('ZD Vorerfassung'!$D$22:$D$36),1,0)*'ZD Vorerfassung'!$U$22:$U$36),
IF(OR(D316="SF",D316="FH"),SUM(IF(B316&gt;=_xlfn.NUMBERVALUE('ZD Vorerfassung'!$C$22:$C$36),1,0)*IF(B316&lt;=_xlfn.NUMBERVALUE('ZD Vorerfassung'!$D$22:$D$36),1,0)*'ZD Vorerfassung'!$V$22:$V$36*IF(D316="FH",0.5,1)),
"prüfen")))</f>
        <v>0</v>
      </c>
      <c r="AZ316" s="110">
        <f t="array" ref="AZ316">IF(OR(D316="UU",D316="FT",D316="WE",E316="Ferien"),0,
IF(D316="NR",SUM(IF(B316&gt;=_xlfn.NUMBERVALUE('ZD Vorerfassung'!$C$22:$C$36),1,0)*IF(B316&lt;=_xlfn.NUMBERVALUE('ZD Vorerfassung'!$D$22:$D$36),1,0)*'ZD Vorerfassung'!$S$22:$S$36),
IF(OR(D316="SF",D316="FH"),SUM(IF(B316&gt;=_xlfn.NUMBERVALUE('ZD Vorerfassung'!$C$22:$C$36),1,0)*IF(B316&lt;=_xlfn.NUMBERVALUE('ZD Vorerfassung'!$D$22:$D$36),1,0)*'ZD Vorerfassung'!$T$22:$T$36*IF(D316="FH",0.5,1)),
"prüfen")))</f>
        <v>0</v>
      </c>
      <c r="BA316" s="112">
        <f t="shared" si="56"/>
        <v>6</v>
      </c>
    </row>
    <row r="317" spans="2:53" ht="19.5" thickTop="1" thickBot="1" x14ac:dyDescent="0.3">
      <c r="B317" s="99">
        <f t="shared" si="53"/>
        <v>45082</v>
      </c>
      <c r="C317" s="100">
        <f t="shared" si="57"/>
        <v>45082</v>
      </c>
      <c r="D317" s="101" t="str">
        <f t="shared" si="58"/>
        <v>WE</v>
      </c>
      <c r="E317" s="102" t="str">
        <f t="shared" si="54"/>
        <v>Wochenende</v>
      </c>
      <c r="F317" s="103" t="str">
        <f t="shared" si="59"/>
        <v/>
      </c>
      <c r="G317" s="104" t="str">
        <f t="shared" si="60"/>
        <v/>
      </c>
      <c r="H317" s="104">
        <f>IFERROR(IF('ZD Vorerfassung'!$E$11="manuell",SUM(I317),IF(OR(E317="Feiertag",E317="Wochenende"),0,IF('ZD Vorerfassung'!$E$11="automatisch",AX317,IF(D317="UU","UU",IF(E317=Param2,AX317/24,IF(E317=Param9,AX317/48,"")))))),0)</f>
        <v>0</v>
      </c>
      <c r="I317" s="105"/>
      <c r="J317" s="106">
        <f>IF('ZD Vorerfassung'!$E$12="manuell",SUM(K317:AI317),IF(OR(E317="Feiertag",E317="Wochenende"),0,IF('ZD Vorerfassung'!$E$12="automatisch",AY317,IF(D317="UU","UU",IF(E317=Param2,AY317/24,IF(E317=Param9,AY317/48,""))))))</f>
        <v>0</v>
      </c>
      <c r="K317" s="105"/>
      <c r="L317" s="105"/>
      <c r="M317" s="105"/>
      <c r="N317" s="105"/>
      <c r="O317" s="105"/>
      <c r="P317" s="105"/>
      <c r="Q317" s="105"/>
      <c r="R317" s="105"/>
      <c r="S317" s="105"/>
      <c r="T317" s="105"/>
      <c r="U317" s="105"/>
      <c r="V317" s="105"/>
      <c r="W317" s="105"/>
      <c r="X317" s="105"/>
      <c r="Y317" s="105"/>
      <c r="Z317" s="105"/>
      <c r="AA317" s="105"/>
      <c r="AB317" s="105"/>
      <c r="AC317" s="105"/>
      <c r="AD317" s="105"/>
      <c r="AE317" s="105"/>
      <c r="AF317" s="105"/>
      <c r="AG317" s="105"/>
      <c r="AH317" s="105"/>
      <c r="AI317" s="105"/>
      <c r="AJ317" s="107">
        <f t="shared" si="61"/>
        <v>0</v>
      </c>
      <c r="AK317" s="105"/>
      <c r="AL317" s="105"/>
      <c r="AM317" s="105"/>
      <c r="AN317" s="105"/>
      <c r="AO317" s="105"/>
      <c r="AP317" s="105"/>
      <c r="AQ317" s="108">
        <f t="shared" si="62"/>
        <v>0</v>
      </c>
      <c r="AR317" s="108">
        <f t="shared" si="63"/>
        <v>0</v>
      </c>
      <c r="AS317" s="109">
        <f t="shared" si="64"/>
        <v>0</v>
      </c>
      <c r="AU317" s="110">
        <f t="shared" si="55"/>
        <v>0</v>
      </c>
      <c r="AV317" s="111" t="str">
        <f>IF(D317="NR",
IF('ZD Vorerfassung'!$E$22="",0,IF(AND(B317&gt;='ZD Vorerfassung'!$C$22,B317&lt;='ZD Vorerfassung'!$D$22),HLOOKUP(TEXT(C317,"ttt"),'ZD Vorerfassung'!$H$21:$L$36,2,0),0))+
IF('ZD Vorerfassung'!$E$23="",0,IF(AND(B317&gt;='ZD Vorerfassung'!$C$23,B317&lt;='ZD Vorerfassung'!$D$23),HLOOKUP(TEXT(C317,"ttt"),'ZD Vorerfassung'!$H$21:$L$36,3,0),0))+
IF('ZD Vorerfassung'!$E$24="",0,IF(AND(B317&gt;='ZD Vorerfassung'!$C$24,B317&lt;='ZD Vorerfassung'!$D$24),HLOOKUP(TEXT(C317,"ttt"),'ZD Vorerfassung'!$H$21:$L$36,4,0),0))+
IF('ZD Vorerfassung'!$E$25="",0,IF(AND(B317&gt;='ZD Vorerfassung'!$C$25,B317&lt;='ZD Vorerfassung'!$D$25),HLOOKUP(TEXT(C317,"ttt"),'ZD Vorerfassung'!$H$21:$L$36,5,0),0))+
IF('ZD Vorerfassung'!$E$26="",0,IF(AND(B317&gt;='ZD Vorerfassung'!$C$26,B317&lt;='ZD Vorerfassung'!$D$26),HLOOKUP(TEXT(C317,"ttt"),'ZD Vorerfassung'!$H$21:$L$36,6,0),0))+
IF('ZD Vorerfassung'!$E$27="",0,IF(AND(B317&gt;='ZD Vorerfassung'!$C$27,B317&lt;='ZD Vorerfassung'!$D$27),HLOOKUP(TEXT(C317,"ttt"),'ZD Vorerfassung'!$H$21:$L$36,7,0),0))+
IF('ZD Vorerfassung'!$E$28="",0,IF(AND(B317&gt;='ZD Vorerfassung'!$C$28,B317&lt;='ZD Vorerfassung'!$D$28),HLOOKUP(TEXT(C317,"ttt"),'ZD Vorerfassung'!$H$21:$L$36,8,0),0))+
IF('ZD Vorerfassung'!$E$29="",0,IF(AND(B317&gt;='ZD Vorerfassung'!$C$29,B317&lt;='ZD Vorerfassung'!$D$29),HLOOKUP(TEXT(C317,"ttt"),'ZD Vorerfassung'!$H$21:$L$36,9,0),0))+
IF('ZD Vorerfassung'!$E$30="",0,IF(AND(B317&gt;='ZD Vorerfassung'!$C$30,B317&lt;='ZD Vorerfassung'!$D$30),HLOOKUP(TEXT(C317,"ttt"),'ZD Vorerfassung'!$H$21:$L$36,10,0),0))+
IF('ZD Vorerfassung'!$E$31="",0,IF(AND(B317&gt;='ZD Vorerfassung'!$C$31,B317&lt;='ZD Vorerfassung'!$D$31),HLOOKUP(TEXT(C317,"ttt"),'ZD Vorerfassung'!$H$21:$L$36,11,0),0))+
IF('ZD Vorerfassung'!$E$32="",0,IF(AND(B317&gt;='ZD Vorerfassung'!$C$32,B317&lt;='ZD Vorerfassung'!$D$32),HLOOKUP(TEXT(C317,"ttt"),'ZD Vorerfassung'!$H$21:$L$36,12,0),0))+
IF('ZD Vorerfassung'!$E$33="",0,IF(AND(B317&gt;='ZD Vorerfassung'!$C$33,B317&lt;='ZD Vorerfassung'!$D$33),HLOOKUP(TEXT(C317,"ttt"),'ZD Vorerfassung'!$H$21:$L$36,13,0),0))+
IF('ZD Vorerfassung'!$E$34="",0,IF(AND(B317&gt;='ZD Vorerfassung'!$C$34,B317&lt;='ZD Vorerfassung'!$D$34),HLOOKUP(TEXT(C317,"ttt"),'ZD Vorerfassung'!$H$21:$L$36,14,0),0))+
IF('ZD Vorerfassung'!$E$35="",0,IF(AND(B317&gt;='ZD Vorerfassung'!$C$35,B317&lt;='ZD Vorerfassung'!$D$35),HLOOKUP(TEXT(C317,"ttt"),'ZD Vorerfassung'!$H$21:$L$36,15,0),0))+
IF('ZD Vorerfassung'!$E$36="",0,IF(AND(B317&gt;='ZD Vorerfassung'!$C$36,B317&lt;='ZD Vorerfassung'!$D$36),HLOOKUP(TEXT(C317,"ttt"),'ZD Vorerfassung'!$H$21:$L$36,16,0),0)),"")</f>
        <v/>
      </c>
      <c r="AW317" s="110">
        <f t="array" ref="AW317">IF(OR(D317="UU",D317="FT",D317="WE"),0,
IF(D317="NR",SUM(IF(B317&gt;=_xlfn.NUMBERVALUE('ZD Vorerfassung'!$C$22:$C$36),1,0)*IF(B317&lt;=_xlfn.NUMBERVALUE('ZD Vorerfassung'!$D$22:$D$36),1,0)*'ZD Vorerfassung'!$Q$22:$Q$36),
IF(OR(D317="SF",D317="FH"),SUM(IF(B317&gt;=_xlfn.NUMBERVALUE('ZD Vorerfassung'!$C$22:$C$36),1,0)*IF(B317&lt;=_xlfn.NUMBERVALUE('ZD Vorerfassung'!$D$22:$D$36),1,0)*'ZD Vorerfassung'!$R$22:$R$36*IF(D317="FH",0.5,1)),
"prüfen")))</f>
        <v>0</v>
      </c>
      <c r="AX317" s="110">
        <f t="array" ref="AX317">IF(OR(D317="UU",D317="FT",D317="WE",E317="Ferien"),0,
IF(D317="NR",SUM(IF(B317&gt;=_xlfn.NUMBERVALUE('ZD Vorerfassung'!$C$22:$C$36),1,0)*IF(B317&lt;=_xlfn.NUMBERVALUE('ZD Vorerfassung'!$D$22:$D$36),1,0)*'ZD Vorerfassung'!$W$22:$W$36),
IF(OR(D317="SF",D317="FH"),SUM(IF(B317&gt;=_xlfn.NUMBERVALUE('ZD Vorerfassung'!$C$22:$C$36),1,0)*IF(B317&lt;=_xlfn.NUMBERVALUE('ZD Vorerfassung'!$D$22:$D$36),1,0)*'ZD Vorerfassung'!$X$22:$X$36*IF(D317="FH",0.5,1)),
"prüfen")))</f>
        <v>0</v>
      </c>
      <c r="AY317" s="110">
        <f t="array" ref="AY317">IF(OR(D317="UU",D317="FT",D317="WE",E317="Ferien"),0,
IF(D317="NR",SUM(IF(B317&gt;=_xlfn.NUMBERVALUE('ZD Vorerfassung'!$C$22:$C$36),1,0)*IF(B317&lt;=_xlfn.NUMBERVALUE('ZD Vorerfassung'!$D$22:$D$36),1,0)*'ZD Vorerfassung'!$U$22:$U$36),
IF(OR(D317="SF",D317="FH"),SUM(IF(B317&gt;=_xlfn.NUMBERVALUE('ZD Vorerfassung'!$C$22:$C$36),1,0)*IF(B317&lt;=_xlfn.NUMBERVALUE('ZD Vorerfassung'!$D$22:$D$36),1,0)*'ZD Vorerfassung'!$V$22:$V$36*IF(D317="FH",0.5,1)),
"prüfen")))</f>
        <v>0</v>
      </c>
      <c r="AZ317" s="110">
        <f t="array" ref="AZ317">IF(OR(D317="UU",D317="FT",D317="WE",E317="Ferien"),0,
IF(D317="NR",SUM(IF(B317&gt;=_xlfn.NUMBERVALUE('ZD Vorerfassung'!$C$22:$C$36),1,0)*IF(B317&lt;=_xlfn.NUMBERVALUE('ZD Vorerfassung'!$D$22:$D$36),1,0)*'ZD Vorerfassung'!$S$22:$S$36),
IF(OR(D317="SF",D317="FH"),SUM(IF(B317&gt;=_xlfn.NUMBERVALUE('ZD Vorerfassung'!$C$22:$C$36),1,0)*IF(B317&lt;=_xlfn.NUMBERVALUE('ZD Vorerfassung'!$D$22:$D$36),1,0)*'ZD Vorerfassung'!$T$22:$T$36*IF(D317="FH",0.5,1)),
"prüfen")))</f>
        <v>0</v>
      </c>
      <c r="BA317" s="112">
        <f t="shared" si="56"/>
        <v>6</v>
      </c>
    </row>
    <row r="318" spans="2:53" ht="19.5" thickTop="1" thickBot="1" x14ac:dyDescent="0.3">
      <c r="B318" s="99">
        <f t="shared" si="53"/>
        <v>45083</v>
      </c>
      <c r="C318" s="100">
        <f t="shared" si="57"/>
        <v>45083</v>
      </c>
      <c r="D318" s="101" t="str">
        <f t="shared" si="58"/>
        <v>NR</v>
      </c>
      <c r="E318" s="102" t="str">
        <f t="shared" si="54"/>
        <v>Unterrichtstag</v>
      </c>
      <c r="F318" s="103">
        <f t="shared" si="59"/>
        <v>0</v>
      </c>
      <c r="G318" s="104">
        <f t="shared" si="60"/>
        <v>0</v>
      </c>
      <c r="H318" s="104">
        <f>IFERROR(IF('ZD Vorerfassung'!$E$11="manuell",SUM(I318),IF(OR(E318="Feiertag",E318="Wochenende"),0,IF('ZD Vorerfassung'!$E$11="automatisch",AX318,IF(D318="UU","UU",IF(E318=Param2,AX318/24,IF(E318=Param9,AX318/48,"")))))),0)</f>
        <v>0</v>
      </c>
      <c r="I318" s="105"/>
      <c r="J318" s="106">
        <f>IF('ZD Vorerfassung'!$E$12="manuell",SUM(K318:AI318),IF(OR(E318="Feiertag",E318="Wochenende"),0,IF('ZD Vorerfassung'!$E$12="automatisch",AY318,IF(D318="UU","UU",IF(E318=Param2,AY318/24,IF(E318=Param9,AY318/48,""))))))</f>
        <v>0</v>
      </c>
      <c r="K318" s="105"/>
      <c r="L318" s="105"/>
      <c r="M318" s="105"/>
      <c r="N318" s="105"/>
      <c r="O318" s="105"/>
      <c r="P318" s="105"/>
      <c r="Q318" s="105"/>
      <c r="R318" s="105"/>
      <c r="S318" s="105"/>
      <c r="T318" s="105"/>
      <c r="U318" s="105"/>
      <c r="V318" s="105"/>
      <c r="W318" s="105"/>
      <c r="X318" s="105"/>
      <c r="Y318" s="105"/>
      <c r="Z318" s="105"/>
      <c r="AA318" s="105"/>
      <c r="AB318" s="105"/>
      <c r="AC318" s="105"/>
      <c r="AD318" s="105"/>
      <c r="AE318" s="105"/>
      <c r="AF318" s="105"/>
      <c r="AG318" s="105"/>
      <c r="AH318" s="105"/>
      <c r="AI318" s="105"/>
      <c r="AJ318" s="107">
        <f t="shared" si="61"/>
        <v>0</v>
      </c>
      <c r="AK318" s="105"/>
      <c r="AL318" s="105"/>
      <c r="AM318" s="105"/>
      <c r="AN318" s="105"/>
      <c r="AO318" s="105"/>
      <c r="AP318" s="105"/>
      <c r="AQ318" s="108">
        <f t="shared" si="62"/>
        <v>0</v>
      </c>
      <c r="AR318" s="108">
        <f t="shared" si="63"/>
        <v>0</v>
      </c>
      <c r="AS318" s="109">
        <f t="shared" si="64"/>
        <v>0</v>
      </c>
      <c r="AU318" s="110">
        <f t="shared" si="55"/>
        <v>0</v>
      </c>
      <c r="AV318" s="111">
        <f>IF(D318="NR",
IF('ZD Vorerfassung'!$E$22="",0,IF(AND(B318&gt;='ZD Vorerfassung'!$C$22,B318&lt;='ZD Vorerfassung'!$D$22),HLOOKUP(TEXT(C318,"ttt"),'ZD Vorerfassung'!$H$21:$L$36,2,0),0))+
IF('ZD Vorerfassung'!$E$23="",0,IF(AND(B318&gt;='ZD Vorerfassung'!$C$23,B318&lt;='ZD Vorerfassung'!$D$23),HLOOKUP(TEXT(C318,"ttt"),'ZD Vorerfassung'!$H$21:$L$36,3,0),0))+
IF('ZD Vorerfassung'!$E$24="",0,IF(AND(B318&gt;='ZD Vorerfassung'!$C$24,B318&lt;='ZD Vorerfassung'!$D$24),HLOOKUP(TEXT(C318,"ttt"),'ZD Vorerfassung'!$H$21:$L$36,4,0),0))+
IF('ZD Vorerfassung'!$E$25="",0,IF(AND(B318&gt;='ZD Vorerfassung'!$C$25,B318&lt;='ZD Vorerfassung'!$D$25),HLOOKUP(TEXT(C318,"ttt"),'ZD Vorerfassung'!$H$21:$L$36,5,0),0))+
IF('ZD Vorerfassung'!$E$26="",0,IF(AND(B318&gt;='ZD Vorerfassung'!$C$26,B318&lt;='ZD Vorerfassung'!$D$26),HLOOKUP(TEXT(C318,"ttt"),'ZD Vorerfassung'!$H$21:$L$36,6,0),0))+
IF('ZD Vorerfassung'!$E$27="",0,IF(AND(B318&gt;='ZD Vorerfassung'!$C$27,B318&lt;='ZD Vorerfassung'!$D$27),HLOOKUP(TEXT(C318,"ttt"),'ZD Vorerfassung'!$H$21:$L$36,7,0),0))+
IF('ZD Vorerfassung'!$E$28="",0,IF(AND(B318&gt;='ZD Vorerfassung'!$C$28,B318&lt;='ZD Vorerfassung'!$D$28),HLOOKUP(TEXT(C318,"ttt"),'ZD Vorerfassung'!$H$21:$L$36,8,0),0))+
IF('ZD Vorerfassung'!$E$29="",0,IF(AND(B318&gt;='ZD Vorerfassung'!$C$29,B318&lt;='ZD Vorerfassung'!$D$29),HLOOKUP(TEXT(C318,"ttt"),'ZD Vorerfassung'!$H$21:$L$36,9,0),0))+
IF('ZD Vorerfassung'!$E$30="",0,IF(AND(B318&gt;='ZD Vorerfassung'!$C$30,B318&lt;='ZD Vorerfassung'!$D$30),HLOOKUP(TEXT(C318,"ttt"),'ZD Vorerfassung'!$H$21:$L$36,10,0),0))+
IF('ZD Vorerfassung'!$E$31="",0,IF(AND(B318&gt;='ZD Vorerfassung'!$C$31,B318&lt;='ZD Vorerfassung'!$D$31),HLOOKUP(TEXT(C318,"ttt"),'ZD Vorerfassung'!$H$21:$L$36,11,0),0))+
IF('ZD Vorerfassung'!$E$32="",0,IF(AND(B318&gt;='ZD Vorerfassung'!$C$32,B318&lt;='ZD Vorerfassung'!$D$32),HLOOKUP(TEXT(C318,"ttt"),'ZD Vorerfassung'!$H$21:$L$36,12,0),0))+
IF('ZD Vorerfassung'!$E$33="",0,IF(AND(B318&gt;='ZD Vorerfassung'!$C$33,B318&lt;='ZD Vorerfassung'!$D$33),HLOOKUP(TEXT(C318,"ttt"),'ZD Vorerfassung'!$H$21:$L$36,13,0),0))+
IF('ZD Vorerfassung'!$E$34="",0,IF(AND(B318&gt;='ZD Vorerfassung'!$C$34,B318&lt;='ZD Vorerfassung'!$D$34),HLOOKUP(TEXT(C318,"ttt"),'ZD Vorerfassung'!$H$21:$L$36,14,0),0))+
IF('ZD Vorerfassung'!$E$35="",0,IF(AND(B318&gt;='ZD Vorerfassung'!$C$35,B318&lt;='ZD Vorerfassung'!$D$35),HLOOKUP(TEXT(C318,"ttt"),'ZD Vorerfassung'!$H$21:$L$36,15,0),0))+
IF('ZD Vorerfassung'!$E$36="",0,IF(AND(B318&gt;='ZD Vorerfassung'!$C$36,B318&lt;='ZD Vorerfassung'!$D$36),HLOOKUP(TEXT(C318,"ttt"),'ZD Vorerfassung'!$H$21:$L$36,16,0),0)),"")</f>
        <v>0</v>
      </c>
      <c r="AW318" s="110">
        <f t="array" ref="AW318">IF(OR(D318="UU",D318="FT",D318="WE"),0,
IF(D318="NR",SUM(IF(B318&gt;=_xlfn.NUMBERVALUE('ZD Vorerfassung'!$C$22:$C$36),1,0)*IF(B318&lt;=_xlfn.NUMBERVALUE('ZD Vorerfassung'!$D$22:$D$36),1,0)*'ZD Vorerfassung'!$Q$22:$Q$36),
IF(OR(D318="SF",D318="FH"),SUM(IF(B318&gt;=_xlfn.NUMBERVALUE('ZD Vorerfassung'!$C$22:$C$36),1,0)*IF(B318&lt;=_xlfn.NUMBERVALUE('ZD Vorerfassung'!$D$22:$D$36),1,0)*'ZD Vorerfassung'!$R$22:$R$36*IF(D318="FH",0.5,1)),
"prüfen")))</f>
        <v>0</v>
      </c>
      <c r="AX318" s="110">
        <f t="array" ref="AX318">IF(OR(D318="UU",D318="FT",D318="WE",E318="Ferien"),0,
IF(D318="NR",SUM(IF(B318&gt;=_xlfn.NUMBERVALUE('ZD Vorerfassung'!$C$22:$C$36),1,0)*IF(B318&lt;=_xlfn.NUMBERVALUE('ZD Vorerfassung'!$D$22:$D$36),1,0)*'ZD Vorerfassung'!$W$22:$W$36),
IF(OR(D318="SF",D318="FH"),SUM(IF(B318&gt;=_xlfn.NUMBERVALUE('ZD Vorerfassung'!$C$22:$C$36),1,0)*IF(B318&lt;=_xlfn.NUMBERVALUE('ZD Vorerfassung'!$D$22:$D$36),1,0)*'ZD Vorerfassung'!$X$22:$X$36*IF(D318="FH",0.5,1)),
"prüfen")))</f>
        <v>0</v>
      </c>
      <c r="AY318" s="110">
        <f t="array" ref="AY318">IF(OR(D318="UU",D318="FT",D318="WE",E318="Ferien"),0,
IF(D318="NR",SUM(IF(B318&gt;=_xlfn.NUMBERVALUE('ZD Vorerfassung'!$C$22:$C$36),1,0)*IF(B318&lt;=_xlfn.NUMBERVALUE('ZD Vorerfassung'!$D$22:$D$36),1,0)*'ZD Vorerfassung'!$U$22:$U$36),
IF(OR(D318="SF",D318="FH"),SUM(IF(B318&gt;=_xlfn.NUMBERVALUE('ZD Vorerfassung'!$C$22:$C$36),1,0)*IF(B318&lt;=_xlfn.NUMBERVALUE('ZD Vorerfassung'!$D$22:$D$36),1,0)*'ZD Vorerfassung'!$V$22:$V$36*IF(D318="FH",0.5,1)),
"prüfen")))</f>
        <v>0</v>
      </c>
      <c r="AZ318" s="110">
        <f t="array" ref="AZ318">IF(OR(D318="UU",D318="FT",D318="WE",E318="Ferien"),0,
IF(D318="NR",SUM(IF(B318&gt;=_xlfn.NUMBERVALUE('ZD Vorerfassung'!$C$22:$C$36),1,0)*IF(B318&lt;=_xlfn.NUMBERVALUE('ZD Vorerfassung'!$D$22:$D$36),1,0)*'ZD Vorerfassung'!$S$22:$S$36),
IF(OR(D318="SF",D318="FH"),SUM(IF(B318&gt;=_xlfn.NUMBERVALUE('ZD Vorerfassung'!$C$22:$C$36),1,0)*IF(B318&lt;=_xlfn.NUMBERVALUE('ZD Vorerfassung'!$D$22:$D$36),1,0)*'ZD Vorerfassung'!$T$22:$T$36*IF(D318="FH",0.5,1)),
"prüfen")))</f>
        <v>0</v>
      </c>
      <c r="BA318" s="112">
        <f t="shared" si="56"/>
        <v>6</v>
      </c>
    </row>
    <row r="319" spans="2:53" ht="19.5" thickTop="1" thickBot="1" x14ac:dyDescent="0.3">
      <c r="B319" s="99">
        <f t="shared" si="53"/>
        <v>45084</v>
      </c>
      <c r="C319" s="100">
        <f t="shared" si="57"/>
        <v>45084</v>
      </c>
      <c r="D319" s="101" t="str">
        <f t="shared" si="58"/>
        <v>NR</v>
      </c>
      <c r="E319" s="102" t="str">
        <f t="shared" si="54"/>
        <v>Unterrichtstag</v>
      </c>
      <c r="F319" s="103">
        <f t="shared" si="59"/>
        <v>0</v>
      </c>
      <c r="G319" s="104">
        <f t="shared" si="60"/>
        <v>0</v>
      </c>
      <c r="H319" s="104">
        <f>IFERROR(IF('ZD Vorerfassung'!$E$11="manuell",SUM(I319),IF(OR(E319="Feiertag",E319="Wochenende"),0,IF('ZD Vorerfassung'!$E$11="automatisch",AX319,IF(D319="UU","UU",IF(E319=Param2,AX319/24,IF(E319=Param9,AX319/48,"")))))),0)</f>
        <v>0</v>
      </c>
      <c r="I319" s="105"/>
      <c r="J319" s="106">
        <f>IF('ZD Vorerfassung'!$E$12="manuell",SUM(K319:AI319),IF(OR(E319="Feiertag",E319="Wochenende"),0,IF('ZD Vorerfassung'!$E$12="automatisch",AY319,IF(D319="UU","UU",IF(E319=Param2,AY319/24,IF(E319=Param9,AY319/48,""))))))</f>
        <v>0</v>
      </c>
      <c r="K319" s="105"/>
      <c r="L319" s="105"/>
      <c r="M319" s="105"/>
      <c r="N319" s="105"/>
      <c r="O319" s="105"/>
      <c r="P319" s="105"/>
      <c r="Q319" s="105"/>
      <c r="R319" s="105"/>
      <c r="S319" s="105"/>
      <c r="T319" s="105"/>
      <c r="U319" s="105"/>
      <c r="V319" s="105"/>
      <c r="W319" s="105"/>
      <c r="X319" s="105"/>
      <c r="Y319" s="105"/>
      <c r="Z319" s="105"/>
      <c r="AA319" s="105"/>
      <c r="AB319" s="105"/>
      <c r="AC319" s="105"/>
      <c r="AD319" s="105"/>
      <c r="AE319" s="105"/>
      <c r="AF319" s="105"/>
      <c r="AG319" s="105"/>
      <c r="AH319" s="105"/>
      <c r="AI319" s="105"/>
      <c r="AJ319" s="107">
        <f t="shared" si="61"/>
        <v>0</v>
      </c>
      <c r="AK319" s="105"/>
      <c r="AL319" s="105"/>
      <c r="AM319" s="105"/>
      <c r="AN319" s="105"/>
      <c r="AO319" s="105"/>
      <c r="AP319" s="105"/>
      <c r="AQ319" s="108">
        <f t="shared" si="62"/>
        <v>0</v>
      </c>
      <c r="AR319" s="108">
        <f t="shared" si="63"/>
        <v>0</v>
      </c>
      <c r="AS319" s="109">
        <f t="shared" si="64"/>
        <v>0</v>
      </c>
      <c r="AU319" s="110">
        <f t="shared" si="55"/>
        <v>0</v>
      </c>
      <c r="AV319" s="111">
        <f>IF(D319="NR",
IF('ZD Vorerfassung'!$E$22="",0,IF(AND(B319&gt;='ZD Vorerfassung'!$C$22,B319&lt;='ZD Vorerfassung'!$D$22),HLOOKUP(TEXT(C319,"ttt"),'ZD Vorerfassung'!$H$21:$L$36,2,0),0))+
IF('ZD Vorerfassung'!$E$23="",0,IF(AND(B319&gt;='ZD Vorerfassung'!$C$23,B319&lt;='ZD Vorerfassung'!$D$23),HLOOKUP(TEXT(C319,"ttt"),'ZD Vorerfassung'!$H$21:$L$36,3,0),0))+
IF('ZD Vorerfassung'!$E$24="",0,IF(AND(B319&gt;='ZD Vorerfassung'!$C$24,B319&lt;='ZD Vorerfassung'!$D$24),HLOOKUP(TEXT(C319,"ttt"),'ZD Vorerfassung'!$H$21:$L$36,4,0),0))+
IF('ZD Vorerfassung'!$E$25="",0,IF(AND(B319&gt;='ZD Vorerfassung'!$C$25,B319&lt;='ZD Vorerfassung'!$D$25),HLOOKUP(TEXT(C319,"ttt"),'ZD Vorerfassung'!$H$21:$L$36,5,0),0))+
IF('ZD Vorerfassung'!$E$26="",0,IF(AND(B319&gt;='ZD Vorerfassung'!$C$26,B319&lt;='ZD Vorerfassung'!$D$26),HLOOKUP(TEXT(C319,"ttt"),'ZD Vorerfassung'!$H$21:$L$36,6,0),0))+
IF('ZD Vorerfassung'!$E$27="",0,IF(AND(B319&gt;='ZD Vorerfassung'!$C$27,B319&lt;='ZD Vorerfassung'!$D$27),HLOOKUP(TEXT(C319,"ttt"),'ZD Vorerfassung'!$H$21:$L$36,7,0),0))+
IF('ZD Vorerfassung'!$E$28="",0,IF(AND(B319&gt;='ZD Vorerfassung'!$C$28,B319&lt;='ZD Vorerfassung'!$D$28),HLOOKUP(TEXT(C319,"ttt"),'ZD Vorerfassung'!$H$21:$L$36,8,0),0))+
IF('ZD Vorerfassung'!$E$29="",0,IF(AND(B319&gt;='ZD Vorerfassung'!$C$29,B319&lt;='ZD Vorerfassung'!$D$29),HLOOKUP(TEXT(C319,"ttt"),'ZD Vorerfassung'!$H$21:$L$36,9,0),0))+
IF('ZD Vorerfassung'!$E$30="",0,IF(AND(B319&gt;='ZD Vorerfassung'!$C$30,B319&lt;='ZD Vorerfassung'!$D$30),HLOOKUP(TEXT(C319,"ttt"),'ZD Vorerfassung'!$H$21:$L$36,10,0),0))+
IF('ZD Vorerfassung'!$E$31="",0,IF(AND(B319&gt;='ZD Vorerfassung'!$C$31,B319&lt;='ZD Vorerfassung'!$D$31),HLOOKUP(TEXT(C319,"ttt"),'ZD Vorerfassung'!$H$21:$L$36,11,0),0))+
IF('ZD Vorerfassung'!$E$32="",0,IF(AND(B319&gt;='ZD Vorerfassung'!$C$32,B319&lt;='ZD Vorerfassung'!$D$32),HLOOKUP(TEXT(C319,"ttt"),'ZD Vorerfassung'!$H$21:$L$36,12,0),0))+
IF('ZD Vorerfassung'!$E$33="",0,IF(AND(B319&gt;='ZD Vorerfassung'!$C$33,B319&lt;='ZD Vorerfassung'!$D$33),HLOOKUP(TEXT(C319,"ttt"),'ZD Vorerfassung'!$H$21:$L$36,13,0),0))+
IF('ZD Vorerfassung'!$E$34="",0,IF(AND(B319&gt;='ZD Vorerfassung'!$C$34,B319&lt;='ZD Vorerfassung'!$D$34),HLOOKUP(TEXT(C319,"ttt"),'ZD Vorerfassung'!$H$21:$L$36,14,0),0))+
IF('ZD Vorerfassung'!$E$35="",0,IF(AND(B319&gt;='ZD Vorerfassung'!$C$35,B319&lt;='ZD Vorerfassung'!$D$35),HLOOKUP(TEXT(C319,"ttt"),'ZD Vorerfassung'!$H$21:$L$36,15,0),0))+
IF('ZD Vorerfassung'!$E$36="",0,IF(AND(B319&gt;='ZD Vorerfassung'!$C$36,B319&lt;='ZD Vorerfassung'!$D$36),HLOOKUP(TEXT(C319,"ttt"),'ZD Vorerfassung'!$H$21:$L$36,16,0),0)),"")</f>
        <v>0</v>
      </c>
      <c r="AW319" s="110">
        <f t="array" ref="AW319">IF(OR(D319="UU",D319="FT",D319="WE"),0,
IF(D319="NR",SUM(IF(B319&gt;=_xlfn.NUMBERVALUE('ZD Vorerfassung'!$C$22:$C$36),1,0)*IF(B319&lt;=_xlfn.NUMBERVALUE('ZD Vorerfassung'!$D$22:$D$36),1,0)*'ZD Vorerfassung'!$Q$22:$Q$36),
IF(OR(D319="SF",D319="FH"),SUM(IF(B319&gt;=_xlfn.NUMBERVALUE('ZD Vorerfassung'!$C$22:$C$36),1,0)*IF(B319&lt;=_xlfn.NUMBERVALUE('ZD Vorerfassung'!$D$22:$D$36),1,0)*'ZD Vorerfassung'!$R$22:$R$36*IF(D319="FH",0.5,1)),
"prüfen")))</f>
        <v>0</v>
      </c>
      <c r="AX319" s="110">
        <f t="array" ref="AX319">IF(OR(D319="UU",D319="FT",D319="WE",E319="Ferien"),0,
IF(D319="NR",SUM(IF(B319&gt;=_xlfn.NUMBERVALUE('ZD Vorerfassung'!$C$22:$C$36),1,0)*IF(B319&lt;=_xlfn.NUMBERVALUE('ZD Vorerfassung'!$D$22:$D$36),1,0)*'ZD Vorerfassung'!$W$22:$W$36),
IF(OR(D319="SF",D319="FH"),SUM(IF(B319&gt;=_xlfn.NUMBERVALUE('ZD Vorerfassung'!$C$22:$C$36),1,0)*IF(B319&lt;=_xlfn.NUMBERVALUE('ZD Vorerfassung'!$D$22:$D$36),1,0)*'ZD Vorerfassung'!$X$22:$X$36*IF(D319="FH",0.5,1)),
"prüfen")))</f>
        <v>0</v>
      </c>
      <c r="AY319" s="110">
        <f t="array" ref="AY319">IF(OR(D319="UU",D319="FT",D319="WE",E319="Ferien"),0,
IF(D319="NR",SUM(IF(B319&gt;=_xlfn.NUMBERVALUE('ZD Vorerfassung'!$C$22:$C$36),1,0)*IF(B319&lt;=_xlfn.NUMBERVALUE('ZD Vorerfassung'!$D$22:$D$36),1,0)*'ZD Vorerfassung'!$U$22:$U$36),
IF(OR(D319="SF",D319="FH"),SUM(IF(B319&gt;=_xlfn.NUMBERVALUE('ZD Vorerfassung'!$C$22:$C$36),1,0)*IF(B319&lt;=_xlfn.NUMBERVALUE('ZD Vorerfassung'!$D$22:$D$36),1,0)*'ZD Vorerfassung'!$V$22:$V$36*IF(D319="FH",0.5,1)),
"prüfen")))</f>
        <v>0</v>
      </c>
      <c r="AZ319" s="110">
        <f t="array" ref="AZ319">IF(OR(D319="UU",D319="FT",D319="WE",E319="Ferien"),0,
IF(D319="NR",SUM(IF(B319&gt;=_xlfn.NUMBERVALUE('ZD Vorerfassung'!$C$22:$C$36),1,0)*IF(B319&lt;=_xlfn.NUMBERVALUE('ZD Vorerfassung'!$D$22:$D$36),1,0)*'ZD Vorerfassung'!$S$22:$S$36),
IF(OR(D319="SF",D319="FH"),SUM(IF(B319&gt;=_xlfn.NUMBERVALUE('ZD Vorerfassung'!$C$22:$C$36),1,0)*IF(B319&lt;=_xlfn.NUMBERVALUE('ZD Vorerfassung'!$D$22:$D$36),1,0)*'ZD Vorerfassung'!$T$22:$T$36*IF(D319="FH",0.5,1)),
"prüfen")))</f>
        <v>0</v>
      </c>
      <c r="BA319" s="112">
        <f t="shared" si="56"/>
        <v>6</v>
      </c>
    </row>
    <row r="320" spans="2:53" ht="19.5" thickTop="1" thickBot="1" x14ac:dyDescent="0.3">
      <c r="B320" s="99">
        <f t="shared" si="53"/>
        <v>45085</v>
      </c>
      <c r="C320" s="100">
        <f t="shared" si="57"/>
        <v>45085</v>
      </c>
      <c r="D320" s="101" t="str">
        <f t="shared" si="58"/>
        <v>NR</v>
      </c>
      <c r="E320" s="102" t="str">
        <f t="shared" si="54"/>
        <v>Unterrichtstag</v>
      </c>
      <c r="F320" s="103">
        <f t="shared" si="59"/>
        <v>0</v>
      </c>
      <c r="G320" s="104">
        <f t="shared" si="60"/>
        <v>0</v>
      </c>
      <c r="H320" s="104">
        <f>IFERROR(IF('ZD Vorerfassung'!$E$11="manuell",SUM(I320),IF(OR(E320="Feiertag",E320="Wochenende"),0,IF('ZD Vorerfassung'!$E$11="automatisch",AX320,IF(D320="UU","UU",IF(E320=Param2,AX320/24,IF(E320=Param9,AX320/48,"")))))),0)</f>
        <v>0</v>
      </c>
      <c r="I320" s="105"/>
      <c r="J320" s="106">
        <f>IF('ZD Vorerfassung'!$E$12="manuell",SUM(K320:AI320),IF(OR(E320="Feiertag",E320="Wochenende"),0,IF('ZD Vorerfassung'!$E$12="automatisch",AY320,IF(D320="UU","UU",IF(E320=Param2,AY320/24,IF(E320=Param9,AY320/48,""))))))</f>
        <v>0</v>
      </c>
      <c r="K320" s="105"/>
      <c r="L320" s="105"/>
      <c r="M320" s="105"/>
      <c r="N320" s="105"/>
      <c r="O320" s="105"/>
      <c r="P320" s="105"/>
      <c r="Q320" s="105"/>
      <c r="R320" s="105"/>
      <c r="S320" s="105"/>
      <c r="T320" s="105"/>
      <c r="U320" s="105"/>
      <c r="V320" s="105"/>
      <c r="W320" s="105"/>
      <c r="X320" s="105"/>
      <c r="Y320" s="105"/>
      <c r="Z320" s="105"/>
      <c r="AA320" s="105"/>
      <c r="AB320" s="105"/>
      <c r="AC320" s="105"/>
      <c r="AD320" s="105"/>
      <c r="AE320" s="105"/>
      <c r="AF320" s="105"/>
      <c r="AG320" s="105"/>
      <c r="AH320" s="105"/>
      <c r="AI320" s="105"/>
      <c r="AJ320" s="107">
        <f t="shared" si="61"/>
        <v>0</v>
      </c>
      <c r="AK320" s="105"/>
      <c r="AL320" s="105"/>
      <c r="AM320" s="105"/>
      <c r="AN320" s="105"/>
      <c r="AO320" s="105"/>
      <c r="AP320" s="105"/>
      <c r="AQ320" s="108">
        <f t="shared" si="62"/>
        <v>0</v>
      </c>
      <c r="AR320" s="108">
        <f t="shared" si="63"/>
        <v>0</v>
      </c>
      <c r="AS320" s="109">
        <f t="shared" si="64"/>
        <v>0</v>
      </c>
      <c r="AU320" s="110">
        <f t="shared" si="55"/>
        <v>0</v>
      </c>
      <c r="AV320" s="111">
        <f>IF(D320="NR",
IF('ZD Vorerfassung'!$E$22="",0,IF(AND(B320&gt;='ZD Vorerfassung'!$C$22,B320&lt;='ZD Vorerfassung'!$D$22),HLOOKUP(TEXT(C320,"ttt"),'ZD Vorerfassung'!$H$21:$L$36,2,0),0))+
IF('ZD Vorerfassung'!$E$23="",0,IF(AND(B320&gt;='ZD Vorerfassung'!$C$23,B320&lt;='ZD Vorerfassung'!$D$23),HLOOKUP(TEXT(C320,"ttt"),'ZD Vorerfassung'!$H$21:$L$36,3,0),0))+
IF('ZD Vorerfassung'!$E$24="",0,IF(AND(B320&gt;='ZD Vorerfassung'!$C$24,B320&lt;='ZD Vorerfassung'!$D$24),HLOOKUP(TEXT(C320,"ttt"),'ZD Vorerfassung'!$H$21:$L$36,4,0),0))+
IF('ZD Vorerfassung'!$E$25="",0,IF(AND(B320&gt;='ZD Vorerfassung'!$C$25,B320&lt;='ZD Vorerfassung'!$D$25),HLOOKUP(TEXT(C320,"ttt"),'ZD Vorerfassung'!$H$21:$L$36,5,0),0))+
IF('ZD Vorerfassung'!$E$26="",0,IF(AND(B320&gt;='ZD Vorerfassung'!$C$26,B320&lt;='ZD Vorerfassung'!$D$26),HLOOKUP(TEXT(C320,"ttt"),'ZD Vorerfassung'!$H$21:$L$36,6,0),0))+
IF('ZD Vorerfassung'!$E$27="",0,IF(AND(B320&gt;='ZD Vorerfassung'!$C$27,B320&lt;='ZD Vorerfassung'!$D$27),HLOOKUP(TEXT(C320,"ttt"),'ZD Vorerfassung'!$H$21:$L$36,7,0),0))+
IF('ZD Vorerfassung'!$E$28="",0,IF(AND(B320&gt;='ZD Vorerfassung'!$C$28,B320&lt;='ZD Vorerfassung'!$D$28),HLOOKUP(TEXT(C320,"ttt"),'ZD Vorerfassung'!$H$21:$L$36,8,0),0))+
IF('ZD Vorerfassung'!$E$29="",0,IF(AND(B320&gt;='ZD Vorerfassung'!$C$29,B320&lt;='ZD Vorerfassung'!$D$29),HLOOKUP(TEXT(C320,"ttt"),'ZD Vorerfassung'!$H$21:$L$36,9,0),0))+
IF('ZD Vorerfassung'!$E$30="",0,IF(AND(B320&gt;='ZD Vorerfassung'!$C$30,B320&lt;='ZD Vorerfassung'!$D$30),HLOOKUP(TEXT(C320,"ttt"),'ZD Vorerfassung'!$H$21:$L$36,10,0),0))+
IF('ZD Vorerfassung'!$E$31="",0,IF(AND(B320&gt;='ZD Vorerfassung'!$C$31,B320&lt;='ZD Vorerfassung'!$D$31),HLOOKUP(TEXT(C320,"ttt"),'ZD Vorerfassung'!$H$21:$L$36,11,0),0))+
IF('ZD Vorerfassung'!$E$32="",0,IF(AND(B320&gt;='ZD Vorerfassung'!$C$32,B320&lt;='ZD Vorerfassung'!$D$32),HLOOKUP(TEXT(C320,"ttt"),'ZD Vorerfassung'!$H$21:$L$36,12,0),0))+
IF('ZD Vorerfassung'!$E$33="",0,IF(AND(B320&gt;='ZD Vorerfassung'!$C$33,B320&lt;='ZD Vorerfassung'!$D$33),HLOOKUP(TEXT(C320,"ttt"),'ZD Vorerfassung'!$H$21:$L$36,13,0),0))+
IF('ZD Vorerfassung'!$E$34="",0,IF(AND(B320&gt;='ZD Vorerfassung'!$C$34,B320&lt;='ZD Vorerfassung'!$D$34),HLOOKUP(TEXT(C320,"ttt"),'ZD Vorerfassung'!$H$21:$L$36,14,0),0))+
IF('ZD Vorerfassung'!$E$35="",0,IF(AND(B320&gt;='ZD Vorerfassung'!$C$35,B320&lt;='ZD Vorerfassung'!$D$35),HLOOKUP(TEXT(C320,"ttt"),'ZD Vorerfassung'!$H$21:$L$36,15,0),0))+
IF('ZD Vorerfassung'!$E$36="",0,IF(AND(B320&gt;='ZD Vorerfassung'!$C$36,B320&lt;='ZD Vorerfassung'!$D$36),HLOOKUP(TEXT(C320,"ttt"),'ZD Vorerfassung'!$H$21:$L$36,16,0),0)),"")</f>
        <v>0</v>
      </c>
      <c r="AW320" s="110">
        <f t="array" ref="AW320">IF(OR(D320="UU",D320="FT",D320="WE"),0,
IF(D320="NR",SUM(IF(B320&gt;=_xlfn.NUMBERVALUE('ZD Vorerfassung'!$C$22:$C$36),1,0)*IF(B320&lt;=_xlfn.NUMBERVALUE('ZD Vorerfassung'!$D$22:$D$36),1,0)*'ZD Vorerfassung'!$Q$22:$Q$36),
IF(OR(D320="SF",D320="FH"),SUM(IF(B320&gt;=_xlfn.NUMBERVALUE('ZD Vorerfassung'!$C$22:$C$36),1,0)*IF(B320&lt;=_xlfn.NUMBERVALUE('ZD Vorerfassung'!$D$22:$D$36),1,0)*'ZD Vorerfassung'!$R$22:$R$36*IF(D320="FH",0.5,1)),
"prüfen")))</f>
        <v>0</v>
      </c>
      <c r="AX320" s="110">
        <f t="array" ref="AX320">IF(OR(D320="UU",D320="FT",D320="WE",E320="Ferien"),0,
IF(D320="NR",SUM(IF(B320&gt;=_xlfn.NUMBERVALUE('ZD Vorerfassung'!$C$22:$C$36),1,0)*IF(B320&lt;=_xlfn.NUMBERVALUE('ZD Vorerfassung'!$D$22:$D$36),1,0)*'ZD Vorerfassung'!$W$22:$W$36),
IF(OR(D320="SF",D320="FH"),SUM(IF(B320&gt;=_xlfn.NUMBERVALUE('ZD Vorerfassung'!$C$22:$C$36),1,0)*IF(B320&lt;=_xlfn.NUMBERVALUE('ZD Vorerfassung'!$D$22:$D$36),1,0)*'ZD Vorerfassung'!$X$22:$X$36*IF(D320="FH",0.5,1)),
"prüfen")))</f>
        <v>0</v>
      </c>
      <c r="AY320" s="110">
        <f t="array" ref="AY320">IF(OR(D320="UU",D320="FT",D320="WE",E320="Ferien"),0,
IF(D320="NR",SUM(IF(B320&gt;=_xlfn.NUMBERVALUE('ZD Vorerfassung'!$C$22:$C$36),1,0)*IF(B320&lt;=_xlfn.NUMBERVALUE('ZD Vorerfassung'!$D$22:$D$36),1,0)*'ZD Vorerfassung'!$U$22:$U$36),
IF(OR(D320="SF",D320="FH"),SUM(IF(B320&gt;=_xlfn.NUMBERVALUE('ZD Vorerfassung'!$C$22:$C$36),1,0)*IF(B320&lt;=_xlfn.NUMBERVALUE('ZD Vorerfassung'!$D$22:$D$36),1,0)*'ZD Vorerfassung'!$V$22:$V$36*IF(D320="FH",0.5,1)),
"prüfen")))</f>
        <v>0</v>
      </c>
      <c r="AZ320" s="110">
        <f t="array" ref="AZ320">IF(OR(D320="UU",D320="FT",D320="WE",E320="Ferien"),0,
IF(D320="NR",SUM(IF(B320&gt;=_xlfn.NUMBERVALUE('ZD Vorerfassung'!$C$22:$C$36),1,0)*IF(B320&lt;=_xlfn.NUMBERVALUE('ZD Vorerfassung'!$D$22:$D$36),1,0)*'ZD Vorerfassung'!$S$22:$S$36),
IF(OR(D320="SF",D320="FH"),SUM(IF(B320&gt;=_xlfn.NUMBERVALUE('ZD Vorerfassung'!$C$22:$C$36),1,0)*IF(B320&lt;=_xlfn.NUMBERVALUE('ZD Vorerfassung'!$D$22:$D$36),1,0)*'ZD Vorerfassung'!$T$22:$T$36*IF(D320="FH",0.5,1)),
"prüfen")))</f>
        <v>0</v>
      </c>
      <c r="BA320" s="112">
        <f t="shared" si="56"/>
        <v>6</v>
      </c>
    </row>
    <row r="321" spans="2:53" ht="19.5" thickTop="1" thickBot="1" x14ac:dyDescent="0.3">
      <c r="B321" s="99">
        <f t="shared" si="53"/>
        <v>45086</v>
      </c>
      <c r="C321" s="100">
        <f t="shared" si="57"/>
        <v>45086</v>
      </c>
      <c r="D321" s="101" t="str">
        <f t="shared" si="58"/>
        <v>NR</v>
      </c>
      <c r="E321" s="102" t="str">
        <f t="shared" si="54"/>
        <v>Unterrichtstag</v>
      </c>
      <c r="F321" s="103">
        <f t="shared" si="59"/>
        <v>0</v>
      </c>
      <c r="G321" s="104">
        <f t="shared" si="60"/>
        <v>0</v>
      </c>
      <c r="H321" s="104">
        <f>IFERROR(IF('ZD Vorerfassung'!$E$11="manuell",SUM(I321),IF(OR(E321="Feiertag",E321="Wochenende"),0,IF('ZD Vorerfassung'!$E$11="automatisch",AX321,IF(D321="UU","UU",IF(E321=Param2,AX321/24,IF(E321=Param9,AX321/48,"")))))),0)</f>
        <v>0</v>
      </c>
      <c r="I321" s="105"/>
      <c r="J321" s="106">
        <f>IF('ZD Vorerfassung'!$E$12="manuell",SUM(K321:AI321),IF(OR(E321="Feiertag",E321="Wochenende"),0,IF('ZD Vorerfassung'!$E$12="automatisch",AY321,IF(D321="UU","UU",IF(E321=Param2,AY321/24,IF(E321=Param9,AY321/48,""))))))</f>
        <v>0</v>
      </c>
      <c r="K321" s="105"/>
      <c r="L321" s="105"/>
      <c r="M321" s="105"/>
      <c r="N321" s="105"/>
      <c r="O321" s="105"/>
      <c r="P321" s="105"/>
      <c r="Q321" s="105"/>
      <c r="R321" s="105"/>
      <c r="S321" s="105"/>
      <c r="T321" s="105"/>
      <c r="U321" s="105"/>
      <c r="V321" s="105"/>
      <c r="W321" s="105"/>
      <c r="X321" s="105"/>
      <c r="Y321" s="105"/>
      <c r="Z321" s="105"/>
      <c r="AA321" s="105"/>
      <c r="AB321" s="105"/>
      <c r="AC321" s="105"/>
      <c r="AD321" s="105"/>
      <c r="AE321" s="105"/>
      <c r="AF321" s="105"/>
      <c r="AG321" s="105"/>
      <c r="AH321" s="105"/>
      <c r="AI321" s="105"/>
      <c r="AJ321" s="107">
        <f t="shared" si="61"/>
        <v>0</v>
      </c>
      <c r="AK321" s="105"/>
      <c r="AL321" s="105"/>
      <c r="AM321" s="105"/>
      <c r="AN321" s="105"/>
      <c r="AO321" s="105"/>
      <c r="AP321" s="105"/>
      <c r="AQ321" s="108">
        <f t="shared" si="62"/>
        <v>0</v>
      </c>
      <c r="AR321" s="108">
        <f t="shared" si="63"/>
        <v>0</v>
      </c>
      <c r="AS321" s="109">
        <f t="shared" si="64"/>
        <v>0</v>
      </c>
      <c r="AU321" s="110">
        <f t="shared" si="55"/>
        <v>0</v>
      </c>
      <c r="AV321" s="111">
        <f>IF(D321="NR",
IF('ZD Vorerfassung'!$E$22="",0,IF(AND(B321&gt;='ZD Vorerfassung'!$C$22,B321&lt;='ZD Vorerfassung'!$D$22),HLOOKUP(TEXT(C321,"ttt"),'ZD Vorerfassung'!$H$21:$L$36,2,0),0))+
IF('ZD Vorerfassung'!$E$23="",0,IF(AND(B321&gt;='ZD Vorerfassung'!$C$23,B321&lt;='ZD Vorerfassung'!$D$23),HLOOKUP(TEXT(C321,"ttt"),'ZD Vorerfassung'!$H$21:$L$36,3,0),0))+
IF('ZD Vorerfassung'!$E$24="",0,IF(AND(B321&gt;='ZD Vorerfassung'!$C$24,B321&lt;='ZD Vorerfassung'!$D$24),HLOOKUP(TEXT(C321,"ttt"),'ZD Vorerfassung'!$H$21:$L$36,4,0),0))+
IF('ZD Vorerfassung'!$E$25="",0,IF(AND(B321&gt;='ZD Vorerfassung'!$C$25,B321&lt;='ZD Vorerfassung'!$D$25),HLOOKUP(TEXT(C321,"ttt"),'ZD Vorerfassung'!$H$21:$L$36,5,0),0))+
IF('ZD Vorerfassung'!$E$26="",0,IF(AND(B321&gt;='ZD Vorerfassung'!$C$26,B321&lt;='ZD Vorerfassung'!$D$26),HLOOKUP(TEXT(C321,"ttt"),'ZD Vorerfassung'!$H$21:$L$36,6,0),0))+
IF('ZD Vorerfassung'!$E$27="",0,IF(AND(B321&gt;='ZD Vorerfassung'!$C$27,B321&lt;='ZD Vorerfassung'!$D$27),HLOOKUP(TEXT(C321,"ttt"),'ZD Vorerfassung'!$H$21:$L$36,7,0),0))+
IF('ZD Vorerfassung'!$E$28="",0,IF(AND(B321&gt;='ZD Vorerfassung'!$C$28,B321&lt;='ZD Vorerfassung'!$D$28),HLOOKUP(TEXT(C321,"ttt"),'ZD Vorerfassung'!$H$21:$L$36,8,0),0))+
IF('ZD Vorerfassung'!$E$29="",0,IF(AND(B321&gt;='ZD Vorerfassung'!$C$29,B321&lt;='ZD Vorerfassung'!$D$29),HLOOKUP(TEXT(C321,"ttt"),'ZD Vorerfassung'!$H$21:$L$36,9,0),0))+
IF('ZD Vorerfassung'!$E$30="",0,IF(AND(B321&gt;='ZD Vorerfassung'!$C$30,B321&lt;='ZD Vorerfassung'!$D$30),HLOOKUP(TEXT(C321,"ttt"),'ZD Vorerfassung'!$H$21:$L$36,10,0),0))+
IF('ZD Vorerfassung'!$E$31="",0,IF(AND(B321&gt;='ZD Vorerfassung'!$C$31,B321&lt;='ZD Vorerfassung'!$D$31),HLOOKUP(TEXT(C321,"ttt"),'ZD Vorerfassung'!$H$21:$L$36,11,0),0))+
IF('ZD Vorerfassung'!$E$32="",0,IF(AND(B321&gt;='ZD Vorerfassung'!$C$32,B321&lt;='ZD Vorerfassung'!$D$32),HLOOKUP(TEXT(C321,"ttt"),'ZD Vorerfassung'!$H$21:$L$36,12,0),0))+
IF('ZD Vorerfassung'!$E$33="",0,IF(AND(B321&gt;='ZD Vorerfassung'!$C$33,B321&lt;='ZD Vorerfassung'!$D$33),HLOOKUP(TEXT(C321,"ttt"),'ZD Vorerfassung'!$H$21:$L$36,13,0),0))+
IF('ZD Vorerfassung'!$E$34="",0,IF(AND(B321&gt;='ZD Vorerfassung'!$C$34,B321&lt;='ZD Vorerfassung'!$D$34),HLOOKUP(TEXT(C321,"ttt"),'ZD Vorerfassung'!$H$21:$L$36,14,0),0))+
IF('ZD Vorerfassung'!$E$35="",0,IF(AND(B321&gt;='ZD Vorerfassung'!$C$35,B321&lt;='ZD Vorerfassung'!$D$35),HLOOKUP(TEXT(C321,"ttt"),'ZD Vorerfassung'!$H$21:$L$36,15,0),0))+
IF('ZD Vorerfassung'!$E$36="",0,IF(AND(B321&gt;='ZD Vorerfassung'!$C$36,B321&lt;='ZD Vorerfassung'!$D$36),HLOOKUP(TEXT(C321,"ttt"),'ZD Vorerfassung'!$H$21:$L$36,16,0),0)),"")</f>
        <v>0</v>
      </c>
      <c r="AW321" s="110">
        <f t="array" ref="AW321">IF(OR(D321="UU",D321="FT",D321="WE"),0,
IF(D321="NR",SUM(IF(B321&gt;=_xlfn.NUMBERVALUE('ZD Vorerfassung'!$C$22:$C$36),1,0)*IF(B321&lt;=_xlfn.NUMBERVALUE('ZD Vorerfassung'!$D$22:$D$36),1,0)*'ZD Vorerfassung'!$Q$22:$Q$36),
IF(OR(D321="SF",D321="FH"),SUM(IF(B321&gt;=_xlfn.NUMBERVALUE('ZD Vorerfassung'!$C$22:$C$36),1,0)*IF(B321&lt;=_xlfn.NUMBERVALUE('ZD Vorerfassung'!$D$22:$D$36),1,0)*'ZD Vorerfassung'!$R$22:$R$36*IF(D321="FH",0.5,1)),
"prüfen")))</f>
        <v>0</v>
      </c>
      <c r="AX321" s="110">
        <f t="array" ref="AX321">IF(OR(D321="UU",D321="FT",D321="WE",E321="Ferien"),0,
IF(D321="NR",SUM(IF(B321&gt;=_xlfn.NUMBERVALUE('ZD Vorerfassung'!$C$22:$C$36),1,0)*IF(B321&lt;=_xlfn.NUMBERVALUE('ZD Vorerfassung'!$D$22:$D$36),1,0)*'ZD Vorerfassung'!$W$22:$W$36),
IF(OR(D321="SF",D321="FH"),SUM(IF(B321&gt;=_xlfn.NUMBERVALUE('ZD Vorerfassung'!$C$22:$C$36),1,0)*IF(B321&lt;=_xlfn.NUMBERVALUE('ZD Vorerfassung'!$D$22:$D$36),1,0)*'ZD Vorerfassung'!$X$22:$X$36*IF(D321="FH",0.5,1)),
"prüfen")))</f>
        <v>0</v>
      </c>
      <c r="AY321" s="110">
        <f t="array" ref="AY321">IF(OR(D321="UU",D321="FT",D321="WE",E321="Ferien"),0,
IF(D321="NR",SUM(IF(B321&gt;=_xlfn.NUMBERVALUE('ZD Vorerfassung'!$C$22:$C$36),1,0)*IF(B321&lt;=_xlfn.NUMBERVALUE('ZD Vorerfassung'!$D$22:$D$36),1,0)*'ZD Vorerfassung'!$U$22:$U$36),
IF(OR(D321="SF",D321="FH"),SUM(IF(B321&gt;=_xlfn.NUMBERVALUE('ZD Vorerfassung'!$C$22:$C$36),1,0)*IF(B321&lt;=_xlfn.NUMBERVALUE('ZD Vorerfassung'!$D$22:$D$36),1,0)*'ZD Vorerfassung'!$V$22:$V$36*IF(D321="FH",0.5,1)),
"prüfen")))</f>
        <v>0</v>
      </c>
      <c r="AZ321" s="110">
        <f t="array" ref="AZ321">IF(OR(D321="UU",D321="FT",D321="WE",E321="Ferien"),0,
IF(D321="NR",SUM(IF(B321&gt;=_xlfn.NUMBERVALUE('ZD Vorerfassung'!$C$22:$C$36),1,0)*IF(B321&lt;=_xlfn.NUMBERVALUE('ZD Vorerfassung'!$D$22:$D$36),1,0)*'ZD Vorerfassung'!$S$22:$S$36),
IF(OR(D321="SF",D321="FH"),SUM(IF(B321&gt;=_xlfn.NUMBERVALUE('ZD Vorerfassung'!$C$22:$C$36),1,0)*IF(B321&lt;=_xlfn.NUMBERVALUE('ZD Vorerfassung'!$D$22:$D$36),1,0)*'ZD Vorerfassung'!$T$22:$T$36*IF(D321="FH",0.5,1)),
"prüfen")))</f>
        <v>0</v>
      </c>
      <c r="BA321" s="112">
        <f t="shared" si="56"/>
        <v>6</v>
      </c>
    </row>
    <row r="322" spans="2:53" ht="19.5" thickTop="1" thickBot="1" x14ac:dyDescent="0.3">
      <c r="B322" s="99">
        <f t="shared" si="53"/>
        <v>45087</v>
      </c>
      <c r="C322" s="100">
        <f t="shared" si="57"/>
        <v>45087</v>
      </c>
      <c r="D322" s="101" t="str">
        <f t="shared" si="58"/>
        <v>NR</v>
      </c>
      <c r="E322" s="102" t="str">
        <f t="shared" si="54"/>
        <v>Unterrichtstag</v>
      </c>
      <c r="F322" s="103">
        <f t="shared" si="59"/>
        <v>0</v>
      </c>
      <c r="G322" s="104">
        <f t="shared" si="60"/>
        <v>0</v>
      </c>
      <c r="H322" s="104">
        <f>IFERROR(IF('ZD Vorerfassung'!$E$11="manuell",SUM(I322),IF(OR(E322="Feiertag",E322="Wochenende"),0,IF('ZD Vorerfassung'!$E$11="automatisch",AX322,IF(D322="UU","UU",IF(E322=Param2,AX322/24,IF(E322=Param9,AX322/48,"")))))),0)</f>
        <v>0</v>
      </c>
      <c r="I322" s="105"/>
      <c r="J322" s="106">
        <f>IF('ZD Vorerfassung'!$E$12="manuell",SUM(K322:AI322),IF(OR(E322="Feiertag",E322="Wochenende"),0,IF('ZD Vorerfassung'!$E$12="automatisch",AY322,IF(D322="UU","UU",IF(E322=Param2,AY322/24,IF(E322=Param9,AY322/48,""))))))</f>
        <v>0</v>
      </c>
      <c r="K322" s="105"/>
      <c r="L322" s="105"/>
      <c r="M322" s="105"/>
      <c r="N322" s="105"/>
      <c r="O322" s="105"/>
      <c r="P322" s="105"/>
      <c r="Q322" s="105"/>
      <c r="R322" s="105"/>
      <c r="S322" s="105"/>
      <c r="T322" s="105"/>
      <c r="U322" s="105"/>
      <c r="V322" s="105"/>
      <c r="W322" s="105"/>
      <c r="X322" s="105"/>
      <c r="Y322" s="105"/>
      <c r="Z322" s="105"/>
      <c r="AA322" s="105"/>
      <c r="AB322" s="105"/>
      <c r="AC322" s="105"/>
      <c r="AD322" s="105"/>
      <c r="AE322" s="105"/>
      <c r="AF322" s="105"/>
      <c r="AG322" s="105"/>
      <c r="AH322" s="105"/>
      <c r="AI322" s="105"/>
      <c r="AJ322" s="107">
        <f t="shared" si="61"/>
        <v>0</v>
      </c>
      <c r="AK322" s="105"/>
      <c r="AL322" s="105"/>
      <c r="AM322" s="105"/>
      <c r="AN322" s="105"/>
      <c r="AO322" s="105"/>
      <c r="AP322" s="105"/>
      <c r="AQ322" s="108">
        <f t="shared" si="62"/>
        <v>0</v>
      </c>
      <c r="AR322" s="108">
        <f t="shared" si="63"/>
        <v>0</v>
      </c>
      <c r="AS322" s="109">
        <f t="shared" si="64"/>
        <v>0</v>
      </c>
      <c r="AU322" s="110">
        <f t="shared" si="55"/>
        <v>0</v>
      </c>
      <c r="AV322" s="111">
        <f>IF(D322="NR",
IF('ZD Vorerfassung'!$E$22="",0,IF(AND(B322&gt;='ZD Vorerfassung'!$C$22,B322&lt;='ZD Vorerfassung'!$D$22),HLOOKUP(TEXT(C322,"ttt"),'ZD Vorerfassung'!$H$21:$L$36,2,0),0))+
IF('ZD Vorerfassung'!$E$23="",0,IF(AND(B322&gt;='ZD Vorerfassung'!$C$23,B322&lt;='ZD Vorerfassung'!$D$23),HLOOKUP(TEXT(C322,"ttt"),'ZD Vorerfassung'!$H$21:$L$36,3,0),0))+
IF('ZD Vorerfassung'!$E$24="",0,IF(AND(B322&gt;='ZD Vorerfassung'!$C$24,B322&lt;='ZD Vorerfassung'!$D$24),HLOOKUP(TEXT(C322,"ttt"),'ZD Vorerfassung'!$H$21:$L$36,4,0),0))+
IF('ZD Vorerfassung'!$E$25="",0,IF(AND(B322&gt;='ZD Vorerfassung'!$C$25,B322&lt;='ZD Vorerfassung'!$D$25),HLOOKUP(TEXT(C322,"ttt"),'ZD Vorerfassung'!$H$21:$L$36,5,0),0))+
IF('ZD Vorerfassung'!$E$26="",0,IF(AND(B322&gt;='ZD Vorerfassung'!$C$26,B322&lt;='ZD Vorerfassung'!$D$26),HLOOKUP(TEXT(C322,"ttt"),'ZD Vorerfassung'!$H$21:$L$36,6,0),0))+
IF('ZD Vorerfassung'!$E$27="",0,IF(AND(B322&gt;='ZD Vorerfassung'!$C$27,B322&lt;='ZD Vorerfassung'!$D$27),HLOOKUP(TEXT(C322,"ttt"),'ZD Vorerfassung'!$H$21:$L$36,7,0),0))+
IF('ZD Vorerfassung'!$E$28="",0,IF(AND(B322&gt;='ZD Vorerfassung'!$C$28,B322&lt;='ZD Vorerfassung'!$D$28),HLOOKUP(TEXT(C322,"ttt"),'ZD Vorerfassung'!$H$21:$L$36,8,0),0))+
IF('ZD Vorerfassung'!$E$29="",0,IF(AND(B322&gt;='ZD Vorerfassung'!$C$29,B322&lt;='ZD Vorerfassung'!$D$29),HLOOKUP(TEXT(C322,"ttt"),'ZD Vorerfassung'!$H$21:$L$36,9,0),0))+
IF('ZD Vorerfassung'!$E$30="",0,IF(AND(B322&gt;='ZD Vorerfassung'!$C$30,B322&lt;='ZD Vorerfassung'!$D$30),HLOOKUP(TEXT(C322,"ttt"),'ZD Vorerfassung'!$H$21:$L$36,10,0),0))+
IF('ZD Vorerfassung'!$E$31="",0,IF(AND(B322&gt;='ZD Vorerfassung'!$C$31,B322&lt;='ZD Vorerfassung'!$D$31),HLOOKUP(TEXT(C322,"ttt"),'ZD Vorerfassung'!$H$21:$L$36,11,0),0))+
IF('ZD Vorerfassung'!$E$32="",0,IF(AND(B322&gt;='ZD Vorerfassung'!$C$32,B322&lt;='ZD Vorerfassung'!$D$32),HLOOKUP(TEXT(C322,"ttt"),'ZD Vorerfassung'!$H$21:$L$36,12,0),0))+
IF('ZD Vorerfassung'!$E$33="",0,IF(AND(B322&gt;='ZD Vorerfassung'!$C$33,B322&lt;='ZD Vorerfassung'!$D$33),HLOOKUP(TEXT(C322,"ttt"),'ZD Vorerfassung'!$H$21:$L$36,13,0),0))+
IF('ZD Vorerfassung'!$E$34="",0,IF(AND(B322&gt;='ZD Vorerfassung'!$C$34,B322&lt;='ZD Vorerfassung'!$D$34),HLOOKUP(TEXT(C322,"ttt"),'ZD Vorerfassung'!$H$21:$L$36,14,0),0))+
IF('ZD Vorerfassung'!$E$35="",0,IF(AND(B322&gt;='ZD Vorerfassung'!$C$35,B322&lt;='ZD Vorerfassung'!$D$35),HLOOKUP(TEXT(C322,"ttt"),'ZD Vorerfassung'!$H$21:$L$36,15,0),0))+
IF('ZD Vorerfassung'!$E$36="",0,IF(AND(B322&gt;='ZD Vorerfassung'!$C$36,B322&lt;='ZD Vorerfassung'!$D$36),HLOOKUP(TEXT(C322,"ttt"),'ZD Vorerfassung'!$H$21:$L$36,16,0),0)),"")</f>
        <v>0</v>
      </c>
      <c r="AW322" s="110">
        <f t="array" ref="AW322">IF(OR(D322="UU",D322="FT",D322="WE"),0,
IF(D322="NR",SUM(IF(B322&gt;=_xlfn.NUMBERVALUE('ZD Vorerfassung'!$C$22:$C$36),1,0)*IF(B322&lt;=_xlfn.NUMBERVALUE('ZD Vorerfassung'!$D$22:$D$36),1,0)*'ZD Vorerfassung'!$Q$22:$Q$36),
IF(OR(D322="SF",D322="FH"),SUM(IF(B322&gt;=_xlfn.NUMBERVALUE('ZD Vorerfassung'!$C$22:$C$36),1,0)*IF(B322&lt;=_xlfn.NUMBERVALUE('ZD Vorerfassung'!$D$22:$D$36),1,0)*'ZD Vorerfassung'!$R$22:$R$36*IF(D322="FH",0.5,1)),
"prüfen")))</f>
        <v>0</v>
      </c>
      <c r="AX322" s="110">
        <f t="array" ref="AX322">IF(OR(D322="UU",D322="FT",D322="WE",E322="Ferien"),0,
IF(D322="NR",SUM(IF(B322&gt;=_xlfn.NUMBERVALUE('ZD Vorerfassung'!$C$22:$C$36),1,0)*IF(B322&lt;=_xlfn.NUMBERVALUE('ZD Vorerfassung'!$D$22:$D$36),1,0)*'ZD Vorerfassung'!$W$22:$W$36),
IF(OR(D322="SF",D322="FH"),SUM(IF(B322&gt;=_xlfn.NUMBERVALUE('ZD Vorerfassung'!$C$22:$C$36),1,0)*IF(B322&lt;=_xlfn.NUMBERVALUE('ZD Vorerfassung'!$D$22:$D$36),1,0)*'ZD Vorerfassung'!$X$22:$X$36*IF(D322="FH",0.5,1)),
"prüfen")))</f>
        <v>0</v>
      </c>
      <c r="AY322" s="110">
        <f t="array" ref="AY322">IF(OR(D322="UU",D322="FT",D322="WE",E322="Ferien"),0,
IF(D322="NR",SUM(IF(B322&gt;=_xlfn.NUMBERVALUE('ZD Vorerfassung'!$C$22:$C$36),1,0)*IF(B322&lt;=_xlfn.NUMBERVALUE('ZD Vorerfassung'!$D$22:$D$36),1,0)*'ZD Vorerfassung'!$U$22:$U$36),
IF(OR(D322="SF",D322="FH"),SUM(IF(B322&gt;=_xlfn.NUMBERVALUE('ZD Vorerfassung'!$C$22:$C$36),1,0)*IF(B322&lt;=_xlfn.NUMBERVALUE('ZD Vorerfassung'!$D$22:$D$36),1,0)*'ZD Vorerfassung'!$V$22:$V$36*IF(D322="FH",0.5,1)),
"prüfen")))</f>
        <v>0</v>
      </c>
      <c r="AZ322" s="110">
        <f t="array" ref="AZ322">IF(OR(D322="UU",D322="FT",D322="WE",E322="Ferien"),0,
IF(D322="NR",SUM(IF(B322&gt;=_xlfn.NUMBERVALUE('ZD Vorerfassung'!$C$22:$C$36),1,0)*IF(B322&lt;=_xlfn.NUMBERVALUE('ZD Vorerfassung'!$D$22:$D$36),1,0)*'ZD Vorerfassung'!$S$22:$S$36),
IF(OR(D322="SF",D322="FH"),SUM(IF(B322&gt;=_xlfn.NUMBERVALUE('ZD Vorerfassung'!$C$22:$C$36),1,0)*IF(B322&lt;=_xlfn.NUMBERVALUE('ZD Vorerfassung'!$D$22:$D$36),1,0)*'ZD Vorerfassung'!$T$22:$T$36*IF(D322="FH",0.5,1)),
"prüfen")))</f>
        <v>0</v>
      </c>
      <c r="BA322" s="112">
        <f t="shared" si="56"/>
        <v>6</v>
      </c>
    </row>
    <row r="323" spans="2:53" ht="19.5" thickTop="1" thickBot="1" x14ac:dyDescent="0.3">
      <c r="B323" s="99">
        <f t="shared" si="53"/>
        <v>45088</v>
      </c>
      <c r="C323" s="100">
        <f t="shared" si="57"/>
        <v>45088</v>
      </c>
      <c r="D323" s="101" t="str">
        <f t="shared" si="58"/>
        <v>WE</v>
      </c>
      <c r="E323" s="102" t="str">
        <f t="shared" si="54"/>
        <v>Wochenende</v>
      </c>
      <c r="F323" s="103" t="str">
        <f t="shared" si="59"/>
        <v/>
      </c>
      <c r="G323" s="104" t="str">
        <f t="shared" si="60"/>
        <v/>
      </c>
      <c r="H323" s="104">
        <f>IFERROR(IF('ZD Vorerfassung'!$E$11="manuell",SUM(I323),IF(OR(E323="Feiertag",E323="Wochenende"),0,IF('ZD Vorerfassung'!$E$11="automatisch",AX323,IF(D323="UU","UU",IF(E323=Param2,AX323/24,IF(E323=Param9,AX323/48,"")))))),0)</f>
        <v>0</v>
      </c>
      <c r="I323" s="105"/>
      <c r="J323" s="106">
        <f>IF('ZD Vorerfassung'!$E$12="manuell",SUM(K323:AI323),IF(OR(E323="Feiertag",E323="Wochenende"),0,IF('ZD Vorerfassung'!$E$12="automatisch",AY323,IF(D323="UU","UU",IF(E323=Param2,AY323/24,IF(E323=Param9,AY323/48,""))))))</f>
        <v>0</v>
      </c>
      <c r="K323" s="105"/>
      <c r="L323" s="105"/>
      <c r="M323" s="105"/>
      <c r="N323" s="105"/>
      <c r="O323" s="105"/>
      <c r="P323" s="105"/>
      <c r="Q323" s="105"/>
      <c r="R323" s="105"/>
      <c r="S323" s="105"/>
      <c r="T323" s="105"/>
      <c r="U323" s="105"/>
      <c r="V323" s="105"/>
      <c r="W323" s="105"/>
      <c r="X323" s="105"/>
      <c r="Y323" s="105"/>
      <c r="Z323" s="105"/>
      <c r="AA323" s="105"/>
      <c r="AB323" s="105"/>
      <c r="AC323" s="105"/>
      <c r="AD323" s="105"/>
      <c r="AE323" s="105"/>
      <c r="AF323" s="105"/>
      <c r="AG323" s="105"/>
      <c r="AH323" s="105"/>
      <c r="AI323" s="105"/>
      <c r="AJ323" s="107">
        <f t="shared" si="61"/>
        <v>0</v>
      </c>
      <c r="AK323" s="105"/>
      <c r="AL323" s="105"/>
      <c r="AM323" s="105"/>
      <c r="AN323" s="105"/>
      <c r="AO323" s="105"/>
      <c r="AP323" s="105"/>
      <c r="AQ323" s="108">
        <f t="shared" si="62"/>
        <v>0</v>
      </c>
      <c r="AR323" s="108">
        <f t="shared" si="63"/>
        <v>0</v>
      </c>
      <c r="AS323" s="109">
        <f t="shared" si="64"/>
        <v>0</v>
      </c>
      <c r="AU323" s="110">
        <f t="shared" si="55"/>
        <v>0</v>
      </c>
      <c r="AV323" s="111" t="str">
        <f>IF(D323="NR",
IF('ZD Vorerfassung'!$E$22="",0,IF(AND(B323&gt;='ZD Vorerfassung'!$C$22,B323&lt;='ZD Vorerfassung'!$D$22),HLOOKUP(TEXT(C323,"ttt"),'ZD Vorerfassung'!$H$21:$L$36,2,0),0))+
IF('ZD Vorerfassung'!$E$23="",0,IF(AND(B323&gt;='ZD Vorerfassung'!$C$23,B323&lt;='ZD Vorerfassung'!$D$23),HLOOKUP(TEXT(C323,"ttt"),'ZD Vorerfassung'!$H$21:$L$36,3,0),0))+
IF('ZD Vorerfassung'!$E$24="",0,IF(AND(B323&gt;='ZD Vorerfassung'!$C$24,B323&lt;='ZD Vorerfassung'!$D$24),HLOOKUP(TEXT(C323,"ttt"),'ZD Vorerfassung'!$H$21:$L$36,4,0),0))+
IF('ZD Vorerfassung'!$E$25="",0,IF(AND(B323&gt;='ZD Vorerfassung'!$C$25,B323&lt;='ZD Vorerfassung'!$D$25),HLOOKUP(TEXT(C323,"ttt"),'ZD Vorerfassung'!$H$21:$L$36,5,0),0))+
IF('ZD Vorerfassung'!$E$26="",0,IF(AND(B323&gt;='ZD Vorerfassung'!$C$26,B323&lt;='ZD Vorerfassung'!$D$26),HLOOKUP(TEXT(C323,"ttt"),'ZD Vorerfassung'!$H$21:$L$36,6,0),0))+
IF('ZD Vorerfassung'!$E$27="",0,IF(AND(B323&gt;='ZD Vorerfassung'!$C$27,B323&lt;='ZD Vorerfassung'!$D$27),HLOOKUP(TEXT(C323,"ttt"),'ZD Vorerfassung'!$H$21:$L$36,7,0),0))+
IF('ZD Vorerfassung'!$E$28="",0,IF(AND(B323&gt;='ZD Vorerfassung'!$C$28,B323&lt;='ZD Vorerfassung'!$D$28),HLOOKUP(TEXT(C323,"ttt"),'ZD Vorerfassung'!$H$21:$L$36,8,0),0))+
IF('ZD Vorerfassung'!$E$29="",0,IF(AND(B323&gt;='ZD Vorerfassung'!$C$29,B323&lt;='ZD Vorerfassung'!$D$29),HLOOKUP(TEXT(C323,"ttt"),'ZD Vorerfassung'!$H$21:$L$36,9,0),0))+
IF('ZD Vorerfassung'!$E$30="",0,IF(AND(B323&gt;='ZD Vorerfassung'!$C$30,B323&lt;='ZD Vorerfassung'!$D$30),HLOOKUP(TEXT(C323,"ttt"),'ZD Vorerfassung'!$H$21:$L$36,10,0),0))+
IF('ZD Vorerfassung'!$E$31="",0,IF(AND(B323&gt;='ZD Vorerfassung'!$C$31,B323&lt;='ZD Vorerfassung'!$D$31),HLOOKUP(TEXT(C323,"ttt"),'ZD Vorerfassung'!$H$21:$L$36,11,0),0))+
IF('ZD Vorerfassung'!$E$32="",0,IF(AND(B323&gt;='ZD Vorerfassung'!$C$32,B323&lt;='ZD Vorerfassung'!$D$32),HLOOKUP(TEXT(C323,"ttt"),'ZD Vorerfassung'!$H$21:$L$36,12,0),0))+
IF('ZD Vorerfassung'!$E$33="",0,IF(AND(B323&gt;='ZD Vorerfassung'!$C$33,B323&lt;='ZD Vorerfassung'!$D$33),HLOOKUP(TEXT(C323,"ttt"),'ZD Vorerfassung'!$H$21:$L$36,13,0),0))+
IF('ZD Vorerfassung'!$E$34="",0,IF(AND(B323&gt;='ZD Vorerfassung'!$C$34,B323&lt;='ZD Vorerfassung'!$D$34),HLOOKUP(TEXT(C323,"ttt"),'ZD Vorerfassung'!$H$21:$L$36,14,0),0))+
IF('ZD Vorerfassung'!$E$35="",0,IF(AND(B323&gt;='ZD Vorerfassung'!$C$35,B323&lt;='ZD Vorerfassung'!$D$35),HLOOKUP(TEXT(C323,"ttt"),'ZD Vorerfassung'!$H$21:$L$36,15,0),0))+
IF('ZD Vorerfassung'!$E$36="",0,IF(AND(B323&gt;='ZD Vorerfassung'!$C$36,B323&lt;='ZD Vorerfassung'!$D$36),HLOOKUP(TEXT(C323,"ttt"),'ZD Vorerfassung'!$H$21:$L$36,16,0),0)),"")</f>
        <v/>
      </c>
      <c r="AW323" s="110">
        <f t="array" ref="AW323">IF(OR(D323="UU",D323="FT",D323="WE"),0,
IF(D323="NR",SUM(IF(B323&gt;=_xlfn.NUMBERVALUE('ZD Vorerfassung'!$C$22:$C$36),1,0)*IF(B323&lt;=_xlfn.NUMBERVALUE('ZD Vorerfassung'!$D$22:$D$36),1,0)*'ZD Vorerfassung'!$Q$22:$Q$36),
IF(OR(D323="SF",D323="FH"),SUM(IF(B323&gt;=_xlfn.NUMBERVALUE('ZD Vorerfassung'!$C$22:$C$36),1,0)*IF(B323&lt;=_xlfn.NUMBERVALUE('ZD Vorerfassung'!$D$22:$D$36),1,0)*'ZD Vorerfassung'!$R$22:$R$36*IF(D323="FH",0.5,1)),
"prüfen")))</f>
        <v>0</v>
      </c>
      <c r="AX323" s="110">
        <f t="array" ref="AX323">IF(OR(D323="UU",D323="FT",D323="WE",E323="Ferien"),0,
IF(D323="NR",SUM(IF(B323&gt;=_xlfn.NUMBERVALUE('ZD Vorerfassung'!$C$22:$C$36),1,0)*IF(B323&lt;=_xlfn.NUMBERVALUE('ZD Vorerfassung'!$D$22:$D$36),1,0)*'ZD Vorerfassung'!$W$22:$W$36),
IF(OR(D323="SF",D323="FH"),SUM(IF(B323&gt;=_xlfn.NUMBERVALUE('ZD Vorerfassung'!$C$22:$C$36),1,0)*IF(B323&lt;=_xlfn.NUMBERVALUE('ZD Vorerfassung'!$D$22:$D$36),1,0)*'ZD Vorerfassung'!$X$22:$X$36*IF(D323="FH",0.5,1)),
"prüfen")))</f>
        <v>0</v>
      </c>
      <c r="AY323" s="110">
        <f t="array" ref="AY323">IF(OR(D323="UU",D323="FT",D323="WE",E323="Ferien"),0,
IF(D323="NR",SUM(IF(B323&gt;=_xlfn.NUMBERVALUE('ZD Vorerfassung'!$C$22:$C$36),1,0)*IF(B323&lt;=_xlfn.NUMBERVALUE('ZD Vorerfassung'!$D$22:$D$36),1,0)*'ZD Vorerfassung'!$U$22:$U$36),
IF(OR(D323="SF",D323="FH"),SUM(IF(B323&gt;=_xlfn.NUMBERVALUE('ZD Vorerfassung'!$C$22:$C$36),1,0)*IF(B323&lt;=_xlfn.NUMBERVALUE('ZD Vorerfassung'!$D$22:$D$36),1,0)*'ZD Vorerfassung'!$V$22:$V$36*IF(D323="FH",0.5,1)),
"prüfen")))</f>
        <v>0</v>
      </c>
      <c r="AZ323" s="110">
        <f t="array" ref="AZ323">IF(OR(D323="UU",D323="FT",D323="WE",E323="Ferien"),0,
IF(D323="NR",SUM(IF(B323&gt;=_xlfn.NUMBERVALUE('ZD Vorerfassung'!$C$22:$C$36),1,0)*IF(B323&lt;=_xlfn.NUMBERVALUE('ZD Vorerfassung'!$D$22:$D$36),1,0)*'ZD Vorerfassung'!$S$22:$S$36),
IF(OR(D323="SF",D323="FH"),SUM(IF(B323&gt;=_xlfn.NUMBERVALUE('ZD Vorerfassung'!$C$22:$C$36),1,0)*IF(B323&lt;=_xlfn.NUMBERVALUE('ZD Vorerfassung'!$D$22:$D$36),1,0)*'ZD Vorerfassung'!$T$22:$T$36*IF(D323="FH",0.5,1)),
"prüfen")))</f>
        <v>0</v>
      </c>
      <c r="BA323" s="112">
        <f t="shared" si="56"/>
        <v>6</v>
      </c>
    </row>
    <row r="324" spans="2:53" ht="19.5" thickTop="1" thickBot="1" x14ac:dyDescent="0.3">
      <c r="B324" s="99">
        <f t="shared" si="53"/>
        <v>45089</v>
      </c>
      <c r="C324" s="100">
        <f t="shared" si="57"/>
        <v>45089</v>
      </c>
      <c r="D324" s="101" t="str">
        <f t="shared" si="58"/>
        <v>WE</v>
      </c>
      <c r="E324" s="102" t="str">
        <f t="shared" si="54"/>
        <v>Wochenende</v>
      </c>
      <c r="F324" s="103" t="str">
        <f t="shared" si="59"/>
        <v/>
      </c>
      <c r="G324" s="104" t="str">
        <f t="shared" si="60"/>
        <v/>
      </c>
      <c r="H324" s="104">
        <f>IFERROR(IF('ZD Vorerfassung'!$E$11="manuell",SUM(I324),IF(OR(E324="Feiertag",E324="Wochenende"),0,IF('ZD Vorerfassung'!$E$11="automatisch",AX324,IF(D324="UU","UU",IF(E324=Param2,AX324/24,IF(E324=Param9,AX324/48,"")))))),0)</f>
        <v>0</v>
      </c>
      <c r="I324" s="105"/>
      <c r="J324" s="106">
        <f>IF('ZD Vorerfassung'!$E$12="manuell",SUM(K324:AI324),IF(OR(E324="Feiertag",E324="Wochenende"),0,IF('ZD Vorerfassung'!$E$12="automatisch",AY324,IF(D324="UU","UU",IF(E324=Param2,AY324/24,IF(E324=Param9,AY324/48,""))))))</f>
        <v>0</v>
      </c>
      <c r="K324" s="105"/>
      <c r="L324" s="105"/>
      <c r="M324" s="105"/>
      <c r="N324" s="105"/>
      <c r="O324" s="105"/>
      <c r="P324" s="105"/>
      <c r="Q324" s="105"/>
      <c r="R324" s="105"/>
      <c r="S324" s="105"/>
      <c r="T324" s="105"/>
      <c r="U324" s="105"/>
      <c r="V324" s="105"/>
      <c r="W324" s="105"/>
      <c r="X324" s="105"/>
      <c r="Y324" s="105"/>
      <c r="Z324" s="105"/>
      <c r="AA324" s="105"/>
      <c r="AB324" s="105"/>
      <c r="AC324" s="105"/>
      <c r="AD324" s="105"/>
      <c r="AE324" s="105"/>
      <c r="AF324" s="105"/>
      <c r="AG324" s="105"/>
      <c r="AH324" s="105"/>
      <c r="AI324" s="105"/>
      <c r="AJ324" s="107">
        <f t="shared" si="61"/>
        <v>0</v>
      </c>
      <c r="AK324" s="105"/>
      <c r="AL324" s="105"/>
      <c r="AM324" s="105"/>
      <c r="AN324" s="105"/>
      <c r="AO324" s="105"/>
      <c r="AP324" s="105"/>
      <c r="AQ324" s="108">
        <f t="shared" si="62"/>
        <v>0</v>
      </c>
      <c r="AR324" s="108">
        <f t="shared" si="63"/>
        <v>0</v>
      </c>
      <c r="AS324" s="109">
        <f t="shared" si="64"/>
        <v>0</v>
      </c>
      <c r="AU324" s="110">
        <f t="shared" si="55"/>
        <v>0</v>
      </c>
      <c r="AV324" s="111" t="str">
        <f>IF(D324="NR",
IF('ZD Vorerfassung'!$E$22="",0,IF(AND(B324&gt;='ZD Vorerfassung'!$C$22,B324&lt;='ZD Vorerfassung'!$D$22),HLOOKUP(TEXT(C324,"ttt"),'ZD Vorerfassung'!$H$21:$L$36,2,0),0))+
IF('ZD Vorerfassung'!$E$23="",0,IF(AND(B324&gt;='ZD Vorerfassung'!$C$23,B324&lt;='ZD Vorerfassung'!$D$23),HLOOKUP(TEXT(C324,"ttt"),'ZD Vorerfassung'!$H$21:$L$36,3,0),0))+
IF('ZD Vorerfassung'!$E$24="",0,IF(AND(B324&gt;='ZD Vorerfassung'!$C$24,B324&lt;='ZD Vorerfassung'!$D$24),HLOOKUP(TEXT(C324,"ttt"),'ZD Vorerfassung'!$H$21:$L$36,4,0),0))+
IF('ZD Vorerfassung'!$E$25="",0,IF(AND(B324&gt;='ZD Vorerfassung'!$C$25,B324&lt;='ZD Vorerfassung'!$D$25),HLOOKUP(TEXT(C324,"ttt"),'ZD Vorerfassung'!$H$21:$L$36,5,0),0))+
IF('ZD Vorerfassung'!$E$26="",0,IF(AND(B324&gt;='ZD Vorerfassung'!$C$26,B324&lt;='ZD Vorerfassung'!$D$26),HLOOKUP(TEXT(C324,"ttt"),'ZD Vorerfassung'!$H$21:$L$36,6,0),0))+
IF('ZD Vorerfassung'!$E$27="",0,IF(AND(B324&gt;='ZD Vorerfassung'!$C$27,B324&lt;='ZD Vorerfassung'!$D$27),HLOOKUP(TEXT(C324,"ttt"),'ZD Vorerfassung'!$H$21:$L$36,7,0),0))+
IF('ZD Vorerfassung'!$E$28="",0,IF(AND(B324&gt;='ZD Vorerfassung'!$C$28,B324&lt;='ZD Vorerfassung'!$D$28),HLOOKUP(TEXT(C324,"ttt"),'ZD Vorerfassung'!$H$21:$L$36,8,0),0))+
IF('ZD Vorerfassung'!$E$29="",0,IF(AND(B324&gt;='ZD Vorerfassung'!$C$29,B324&lt;='ZD Vorerfassung'!$D$29),HLOOKUP(TEXT(C324,"ttt"),'ZD Vorerfassung'!$H$21:$L$36,9,0),0))+
IF('ZD Vorerfassung'!$E$30="",0,IF(AND(B324&gt;='ZD Vorerfassung'!$C$30,B324&lt;='ZD Vorerfassung'!$D$30),HLOOKUP(TEXT(C324,"ttt"),'ZD Vorerfassung'!$H$21:$L$36,10,0),0))+
IF('ZD Vorerfassung'!$E$31="",0,IF(AND(B324&gt;='ZD Vorerfassung'!$C$31,B324&lt;='ZD Vorerfassung'!$D$31),HLOOKUP(TEXT(C324,"ttt"),'ZD Vorerfassung'!$H$21:$L$36,11,0),0))+
IF('ZD Vorerfassung'!$E$32="",0,IF(AND(B324&gt;='ZD Vorerfassung'!$C$32,B324&lt;='ZD Vorerfassung'!$D$32),HLOOKUP(TEXT(C324,"ttt"),'ZD Vorerfassung'!$H$21:$L$36,12,0),0))+
IF('ZD Vorerfassung'!$E$33="",0,IF(AND(B324&gt;='ZD Vorerfassung'!$C$33,B324&lt;='ZD Vorerfassung'!$D$33),HLOOKUP(TEXT(C324,"ttt"),'ZD Vorerfassung'!$H$21:$L$36,13,0),0))+
IF('ZD Vorerfassung'!$E$34="",0,IF(AND(B324&gt;='ZD Vorerfassung'!$C$34,B324&lt;='ZD Vorerfassung'!$D$34),HLOOKUP(TEXT(C324,"ttt"),'ZD Vorerfassung'!$H$21:$L$36,14,0),0))+
IF('ZD Vorerfassung'!$E$35="",0,IF(AND(B324&gt;='ZD Vorerfassung'!$C$35,B324&lt;='ZD Vorerfassung'!$D$35),HLOOKUP(TEXT(C324,"ttt"),'ZD Vorerfassung'!$H$21:$L$36,15,0),0))+
IF('ZD Vorerfassung'!$E$36="",0,IF(AND(B324&gt;='ZD Vorerfassung'!$C$36,B324&lt;='ZD Vorerfassung'!$D$36),HLOOKUP(TEXT(C324,"ttt"),'ZD Vorerfassung'!$H$21:$L$36,16,0),0)),"")</f>
        <v/>
      </c>
      <c r="AW324" s="110">
        <f t="array" ref="AW324">IF(OR(D324="UU",D324="FT",D324="WE"),0,
IF(D324="NR",SUM(IF(B324&gt;=_xlfn.NUMBERVALUE('ZD Vorerfassung'!$C$22:$C$36),1,0)*IF(B324&lt;=_xlfn.NUMBERVALUE('ZD Vorerfassung'!$D$22:$D$36),1,0)*'ZD Vorerfassung'!$Q$22:$Q$36),
IF(OR(D324="SF",D324="FH"),SUM(IF(B324&gt;=_xlfn.NUMBERVALUE('ZD Vorerfassung'!$C$22:$C$36),1,0)*IF(B324&lt;=_xlfn.NUMBERVALUE('ZD Vorerfassung'!$D$22:$D$36),1,0)*'ZD Vorerfassung'!$R$22:$R$36*IF(D324="FH",0.5,1)),
"prüfen")))</f>
        <v>0</v>
      </c>
      <c r="AX324" s="110">
        <f t="array" ref="AX324">IF(OR(D324="UU",D324="FT",D324="WE",E324="Ferien"),0,
IF(D324="NR",SUM(IF(B324&gt;=_xlfn.NUMBERVALUE('ZD Vorerfassung'!$C$22:$C$36),1,0)*IF(B324&lt;=_xlfn.NUMBERVALUE('ZD Vorerfassung'!$D$22:$D$36),1,0)*'ZD Vorerfassung'!$W$22:$W$36),
IF(OR(D324="SF",D324="FH"),SUM(IF(B324&gt;=_xlfn.NUMBERVALUE('ZD Vorerfassung'!$C$22:$C$36),1,0)*IF(B324&lt;=_xlfn.NUMBERVALUE('ZD Vorerfassung'!$D$22:$D$36),1,0)*'ZD Vorerfassung'!$X$22:$X$36*IF(D324="FH",0.5,1)),
"prüfen")))</f>
        <v>0</v>
      </c>
      <c r="AY324" s="110">
        <f t="array" ref="AY324">IF(OR(D324="UU",D324="FT",D324="WE",E324="Ferien"),0,
IF(D324="NR",SUM(IF(B324&gt;=_xlfn.NUMBERVALUE('ZD Vorerfassung'!$C$22:$C$36),1,0)*IF(B324&lt;=_xlfn.NUMBERVALUE('ZD Vorerfassung'!$D$22:$D$36),1,0)*'ZD Vorerfassung'!$U$22:$U$36),
IF(OR(D324="SF",D324="FH"),SUM(IF(B324&gt;=_xlfn.NUMBERVALUE('ZD Vorerfassung'!$C$22:$C$36),1,0)*IF(B324&lt;=_xlfn.NUMBERVALUE('ZD Vorerfassung'!$D$22:$D$36),1,0)*'ZD Vorerfassung'!$V$22:$V$36*IF(D324="FH",0.5,1)),
"prüfen")))</f>
        <v>0</v>
      </c>
      <c r="AZ324" s="110">
        <f t="array" ref="AZ324">IF(OR(D324="UU",D324="FT",D324="WE",E324="Ferien"),0,
IF(D324="NR",SUM(IF(B324&gt;=_xlfn.NUMBERVALUE('ZD Vorerfassung'!$C$22:$C$36),1,0)*IF(B324&lt;=_xlfn.NUMBERVALUE('ZD Vorerfassung'!$D$22:$D$36),1,0)*'ZD Vorerfassung'!$S$22:$S$36),
IF(OR(D324="SF",D324="FH"),SUM(IF(B324&gt;=_xlfn.NUMBERVALUE('ZD Vorerfassung'!$C$22:$C$36),1,0)*IF(B324&lt;=_xlfn.NUMBERVALUE('ZD Vorerfassung'!$D$22:$D$36),1,0)*'ZD Vorerfassung'!$T$22:$T$36*IF(D324="FH",0.5,1)),
"prüfen")))</f>
        <v>0</v>
      </c>
      <c r="BA324" s="112">
        <f t="shared" si="56"/>
        <v>6</v>
      </c>
    </row>
    <row r="325" spans="2:53" ht="19.5" thickTop="1" thickBot="1" x14ac:dyDescent="0.3">
      <c r="B325" s="99">
        <f t="shared" si="53"/>
        <v>45090</v>
      </c>
      <c r="C325" s="100">
        <f t="shared" si="57"/>
        <v>45090</v>
      </c>
      <c r="D325" s="101" t="str">
        <f t="shared" si="58"/>
        <v>NR</v>
      </c>
      <c r="E325" s="102" t="str">
        <f t="shared" si="54"/>
        <v>Unterrichtstag</v>
      </c>
      <c r="F325" s="103">
        <f t="shared" si="59"/>
        <v>0</v>
      </c>
      <c r="G325" s="104">
        <f t="shared" si="60"/>
        <v>0</v>
      </c>
      <c r="H325" s="104">
        <f>IFERROR(IF('ZD Vorerfassung'!$E$11="manuell",SUM(I325),IF(OR(E325="Feiertag",E325="Wochenende"),0,IF('ZD Vorerfassung'!$E$11="automatisch",AX325,IF(D325="UU","UU",IF(E325=Param2,AX325/24,IF(E325=Param9,AX325/48,"")))))),0)</f>
        <v>0</v>
      </c>
      <c r="I325" s="105"/>
      <c r="J325" s="106">
        <f>IF('ZD Vorerfassung'!$E$12="manuell",SUM(K325:AI325),IF(OR(E325="Feiertag",E325="Wochenende"),0,IF('ZD Vorerfassung'!$E$12="automatisch",AY325,IF(D325="UU","UU",IF(E325=Param2,AY325/24,IF(E325=Param9,AY325/48,""))))))</f>
        <v>0</v>
      </c>
      <c r="K325" s="105"/>
      <c r="L325" s="105"/>
      <c r="M325" s="105"/>
      <c r="N325" s="105"/>
      <c r="O325" s="105"/>
      <c r="P325" s="105"/>
      <c r="Q325" s="105"/>
      <c r="R325" s="105"/>
      <c r="S325" s="105"/>
      <c r="T325" s="105"/>
      <c r="U325" s="105"/>
      <c r="V325" s="105"/>
      <c r="W325" s="105"/>
      <c r="X325" s="105"/>
      <c r="Y325" s="105"/>
      <c r="Z325" s="105"/>
      <c r="AA325" s="105"/>
      <c r="AB325" s="105"/>
      <c r="AC325" s="105"/>
      <c r="AD325" s="105"/>
      <c r="AE325" s="105"/>
      <c r="AF325" s="105"/>
      <c r="AG325" s="105"/>
      <c r="AH325" s="105"/>
      <c r="AI325" s="105"/>
      <c r="AJ325" s="107">
        <f t="shared" si="61"/>
        <v>0</v>
      </c>
      <c r="AK325" s="105"/>
      <c r="AL325" s="105"/>
      <c r="AM325" s="105"/>
      <c r="AN325" s="105"/>
      <c r="AO325" s="105"/>
      <c r="AP325" s="105"/>
      <c r="AQ325" s="108">
        <f t="shared" si="62"/>
        <v>0</v>
      </c>
      <c r="AR325" s="108">
        <f t="shared" si="63"/>
        <v>0</v>
      </c>
      <c r="AS325" s="109">
        <f t="shared" si="64"/>
        <v>0</v>
      </c>
      <c r="AU325" s="110">
        <f t="shared" si="55"/>
        <v>0</v>
      </c>
      <c r="AV325" s="111">
        <f>IF(D325="NR",
IF('ZD Vorerfassung'!$E$22="",0,IF(AND(B325&gt;='ZD Vorerfassung'!$C$22,B325&lt;='ZD Vorerfassung'!$D$22),HLOOKUP(TEXT(C325,"ttt"),'ZD Vorerfassung'!$H$21:$L$36,2,0),0))+
IF('ZD Vorerfassung'!$E$23="",0,IF(AND(B325&gt;='ZD Vorerfassung'!$C$23,B325&lt;='ZD Vorerfassung'!$D$23),HLOOKUP(TEXT(C325,"ttt"),'ZD Vorerfassung'!$H$21:$L$36,3,0),0))+
IF('ZD Vorerfassung'!$E$24="",0,IF(AND(B325&gt;='ZD Vorerfassung'!$C$24,B325&lt;='ZD Vorerfassung'!$D$24),HLOOKUP(TEXT(C325,"ttt"),'ZD Vorerfassung'!$H$21:$L$36,4,0),0))+
IF('ZD Vorerfassung'!$E$25="",0,IF(AND(B325&gt;='ZD Vorerfassung'!$C$25,B325&lt;='ZD Vorerfassung'!$D$25),HLOOKUP(TEXT(C325,"ttt"),'ZD Vorerfassung'!$H$21:$L$36,5,0),0))+
IF('ZD Vorerfassung'!$E$26="",0,IF(AND(B325&gt;='ZD Vorerfassung'!$C$26,B325&lt;='ZD Vorerfassung'!$D$26),HLOOKUP(TEXT(C325,"ttt"),'ZD Vorerfassung'!$H$21:$L$36,6,0),0))+
IF('ZD Vorerfassung'!$E$27="",0,IF(AND(B325&gt;='ZD Vorerfassung'!$C$27,B325&lt;='ZD Vorerfassung'!$D$27),HLOOKUP(TEXT(C325,"ttt"),'ZD Vorerfassung'!$H$21:$L$36,7,0),0))+
IF('ZD Vorerfassung'!$E$28="",0,IF(AND(B325&gt;='ZD Vorerfassung'!$C$28,B325&lt;='ZD Vorerfassung'!$D$28),HLOOKUP(TEXT(C325,"ttt"),'ZD Vorerfassung'!$H$21:$L$36,8,0),0))+
IF('ZD Vorerfassung'!$E$29="",0,IF(AND(B325&gt;='ZD Vorerfassung'!$C$29,B325&lt;='ZD Vorerfassung'!$D$29),HLOOKUP(TEXT(C325,"ttt"),'ZD Vorerfassung'!$H$21:$L$36,9,0),0))+
IF('ZD Vorerfassung'!$E$30="",0,IF(AND(B325&gt;='ZD Vorerfassung'!$C$30,B325&lt;='ZD Vorerfassung'!$D$30),HLOOKUP(TEXT(C325,"ttt"),'ZD Vorerfassung'!$H$21:$L$36,10,0),0))+
IF('ZD Vorerfassung'!$E$31="",0,IF(AND(B325&gt;='ZD Vorerfassung'!$C$31,B325&lt;='ZD Vorerfassung'!$D$31),HLOOKUP(TEXT(C325,"ttt"),'ZD Vorerfassung'!$H$21:$L$36,11,0),0))+
IF('ZD Vorerfassung'!$E$32="",0,IF(AND(B325&gt;='ZD Vorerfassung'!$C$32,B325&lt;='ZD Vorerfassung'!$D$32),HLOOKUP(TEXT(C325,"ttt"),'ZD Vorerfassung'!$H$21:$L$36,12,0),0))+
IF('ZD Vorerfassung'!$E$33="",0,IF(AND(B325&gt;='ZD Vorerfassung'!$C$33,B325&lt;='ZD Vorerfassung'!$D$33),HLOOKUP(TEXT(C325,"ttt"),'ZD Vorerfassung'!$H$21:$L$36,13,0),0))+
IF('ZD Vorerfassung'!$E$34="",0,IF(AND(B325&gt;='ZD Vorerfassung'!$C$34,B325&lt;='ZD Vorerfassung'!$D$34),HLOOKUP(TEXT(C325,"ttt"),'ZD Vorerfassung'!$H$21:$L$36,14,0),0))+
IF('ZD Vorerfassung'!$E$35="",0,IF(AND(B325&gt;='ZD Vorerfassung'!$C$35,B325&lt;='ZD Vorerfassung'!$D$35),HLOOKUP(TEXT(C325,"ttt"),'ZD Vorerfassung'!$H$21:$L$36,15,0),0))+
IF('ZD Vorerfassung'!$E$36="",0,IF(AND(B325&gt;='ZD Vorerfassung'!$C$36,B325&lt;='ZD Vorerfassung'!$D$36),HLOOKUP(TEXT(C325,"ttt"),'ZD Vorerfassung'!$H$21:$L$36,16,0),0)),"")</f>
        <v>0</v>
      </c>
      <c r="AW325" s="110">
        <f t="array" ref="AW325">IF(OR(D325="UU",D325="FT",D325="WE"),0,
IF(D325="NR",SUM(IF(B325&gt;=_xlfn.NUMBERVALUE('ZD Vorerfassung'!$C$22:$C$36),1,0)*IF(B325&lt;=_xlfn.NUMBERVALUE('ZD Vorerfassung'!$D$22:$D$36),1,0)*'ZD Vorerfassung'!$Q$22:$Q$36),
IF(OR(D325="SF",D325="FH"),SUM(IF(B325&gt;=_xlfn.NUMBERVALUE('ZD Vorerfassung'!$C$22:$C$36),1,0)*IF(B325&lt;=_xlfn.NUMBERVALUE('ZD Vorerfassung'!$D$22:$D$36),1,0)*'ZD Vorerfassung'!$R$22:$R$36*IF(D325="FH",0.5,1)),
"prüfen")))</f>
        <v>0</v>
      </c>
      <c r="AX325" s="110">
        <f t="array" ref="AX325">IF(OR(D325="UU",D325="FT",D325="WE",E325="Ferien"),0,
IF(D325="NR",SUM(IF(B325&gt;=_xlfn.NUMBERVALUE('ZD Vorerfassung'!$C$22:$C$36),1,0)*IF(B325&lt;=_xlfn.NUMBERVALUE('ZD Vorerfassung'!$D$22:$D$36),1,0)*'ZD Vorerfassung'!$W$22:$W$36),
IF(OR(D325="SF",D325="FH"),SUM(IF(B325&gt;=_xlfn.NUMBERVALUE('ZD Vorerfassung'!$C$22:$C$36),1,0)*IF(B325&lt;=_xlfn.NUMBERVALUE('ZD Vorerfassung'!$D$22:$D$36),1,0)*'ZD Vorerfassung'!$X$22:$X$36*IF(D325="FH",0.5,1)),
"prüfen")))</f>
        <v>0</v>
      </c>
      <c r="AY325" s="110">
        <f t="array" ref="AY325">IF(OR(D325="UU",D325="FT",D325="WE",E325="Ferien"),0,
IF(D325="NR",SUM(IF(B325&gt;=_xlfn.NUMBERVALUE('ZD Vorerfassung'!$C$22:$C$36),1,0)*IF(B325&lt;=_xlfn.NUMBERVALUE('ZD Vorerfassung'!$D$22:$D$36),1,0)*'ZD Vorerfassung'!$U$22:$U$36),
IF(OR(D325="SF",D325="FH"),SUM(IF(B325&gt;=_xlfn.NUMBERVALUE('ZD Vorerfassung'!$C$22:$C$36),1,0)*IF(B325&lt;=_xlfn.NUMBERVALUE('ZD Vorerfassung'!$D$22:$D$36),1,0)*'ZD Vorerfassung'!$V$22:$V$36*IF(D325="FH",0.5,1)),
"prüfen")))</f>
        <v>0</v>
      </c>
      <c r="AZ325" s="110">
        <f t="array" ref="AZ325">IF(OR(D325="UU",D325="FT",D325="WE",E325="Ferien"),0,
IF(D325="NR",SUM(IF(B325&gt;=_xlfn.NUMBERVALUE('ZD Vorerfassung'!$C$22:$C$36),1,0)*IF(B325&lt;=_xlfn.NUMBERVALUE('ZD Vorerfassung'!$D$22:$D$36),1,0)*'ZD Vorerfassung'!$S$22:$S$36),
IF(OR(D325="SF",D325="FH"),SUM(IF(B325&gt;=_xlfn.NUMBERVALUE('ZD Vorerfassung'!$C$22:$C$36),1,0)*IF(B325&lt;=_xlfn.NUMBERVALUE('ZD Vorerfassung'!$D$22:$D$36),1,0)*'ZD Vorerfassung'!$T$22:$T$36*IF(D325="FH",0.5,1)),
"prüfen")))</f>
        <v>0</v>
      </c>
      <c r="BA325" s="112">
        <f t="shared" si="56"/>
        <v>6</v>
      </c>
    </row>
    <row r="326" spans="2:53" ht="19.5" thickTop="1" thickBot="1" x14ac:dyDescent="0.3">
      <c r="B326" s="99">
        <f t="shared" si="53"/>
        <v>45091</v>
      </c>
      <c r="C326" s="100">
        <f t="shared" si="57"/>
        <v>45091</v>
      </c>
      <c r="D326" s="101" t="str">
        <f t="shared" si="58"/>
        <v>NR</v>
      </c>
      <c r="E326" s="102" t="str">
        <f t="shared" si="54"/>
        <v>Unterrichtstag</v>
      </c>
      <c r="F326" s="103">
        <f t="shared" si="59"/>
        <v>0</v>
      </c>
      <c r="G326" s="104">
        <f t="shared" si="60"/>
        <v>0</v>
      </c>
      <c r="H326" s="104">
        <f>IFERROR(IF('ZD Vorerfassung'!$E$11="manuell",SUM(I326),IF(OR(E326="Feiertag",E326="Wochenende"),0,IF('ZD Vorerfassung'!$E$11="automatisch",AX326,IF(D326="UU","UU",IF(E326=Param2,AX326/24,IF(E326=Param9,AX326/48,"")))))),0)</f>
        <v>0</v>
      </c>
      <c r="I326" s="105"/>
      <c r="J326" s="106">
        <f>IF('ZD Vorerfassung'!$E$12="manuell",SUM(K326:AI326),IF(OR(E326="Feiertag",E326="Wochenende"),0,IF('ZD Vorerfassung'!$E$12="automatisch",AY326,IF(D326="UU","UU",IF(E326=Param2,AY326/24,IF(E326=Param9,AY326/48,""))))))</f>
        <v>0</v>
      </c>
      <c r="K326" s="105"/>
      <c r="L326" s="105"/>
      <c r="M326" s="105"/>
      <c r="N326" s="105"/>
      <c r="O326" s="105"/>
      <c r="P326" s="105"/>
      <c r="Q326" s="105"/>
      <c r="R326" s="105"/>
      <c r="S326" s="105"/>
      <c r="T326" s="105"/>
      <c r="U326" s="105"/>
      <c r="V326" s="105"/>
      <c r="W326" s="105"/>
      <c r="X326" s="105"/>
      <c r="Y326" s="105"/>
      <c r="Z326" s="105"/>
      <c r="AA326" s="105"/>
      <c r="AB326" s="105"/>
      <c r="AC326" s="105"/>
      <c r="AD326" s="105"/>
      <c r="AE326" s="105"/>
      <c r="AF326" s="105"/>
      <c r="AG326" s="105"/>
      <c r="AH326" s="105"/>
      <c r="AI326" s="105"/>
      <c r="AJ326" s="107">
        <f t="shared" si="61"/>
        <v>0</v>
      </c>
      <c r="AK326" s="105"/>
      <c r="AL326" s="105"/>
      <c r="AM326" s="105"/>
      <c r="AN326" s="105"/>
      <c r="AO326" s="105"/>
      <c r="AP326" s="105"/>
      <c r="AQ326" s="108">
        <f t="shared" si="62"/>
        <v>0</v>
      </c>
      <c r="AR326" s="108">
        <f t="shared" si="63"/>
        <v>0</v>
      </c>
      <c r="AS326" s="109">
        <f t="shared" si="64"/>
        <v>0</v>
      </c>
      <c r="AU326" s="110">
        <f t="shared" si="55"/>
        <v>0</v>
      </c>
      <c r="AV326" s="111">
        <f>IF(D326="NR",
IF('ZD Vorerfassung'!$E$22="",0,IF(AND(B326&gt;='ZD Vorerfassung'!$C$22,B326&lt;='ZD Vorerfassung'!$D$22),HLOOKUP(TEXT(C326,"ttt"),'ZD Vorerfassung'!$H$21:$L$36,2,0),0))+
IF('ZD Vorerfassung'!$E$23="",0,IF(AND(B326&gt;='ZD Vorerfassung'!$C$23,B326&lt;='ZD Vorerfassung'!$D$23),HLOOKUP(TEXT(C326,"ttt"),'ZD Vorerfassung'!$H$21:$L$36,3,0),0))+
IF('ZD Vorerfassung'!$E$24="",0,IF(AND(B326&gt;='ZD Vorerfassung'!$C$24,B326&lt;='ZD Vorerfassung'!$D$24),HLOOKUP(TEXT(C326,"ttt"),'ZD Vorerfassung'!$H$21:$L$36,4,0),0))+
IF('ZD Vorerfassung'!$E$25="",0,IF(AND(B326&gt;='ZD Vorerfassung'!$C$25,B326&lt;='ZD Vorerfassung'!$D$25),HLOOKUP(TEXT(C326,"ttt"),'ZD Vorerfassung'!$H$21:$L$36,5,0),0))+
IF('ZD Vorerfassung'!$E$26="",0,IF(AND(B326&gt;='ZD Vorerfassung'!$C$26,B326&lt;='ZD Vorerfassung'!$D$26),HLOOKUP(TEXT(C326,"ttt"),'ZD Vorerfassung'!$H$21:$L$36,6,0),0))+
IF('ZD Vorerfassung'!$E$27="",0,IF(AND(B326&gt;='ZD Vorerfassung'!$C$27,B326&lt;='ZD Vorerfassung'!$D$27),HLOOKUP(TEXT(C326,"ttt"),'ZD Vorerfassung'!$H$21:$L$36,7,0),0))+
IF('ZD Vorerfassung'!$E$28="",0,IF(AND(B326&gt;='ZD Vorerfassung'!$C$28,B326&lt;='ZD Vorerfassung'!$D$28),HLOOKUP(TEXT(C326,"ttt"),'ZD Vorerfassung'!$H$21:$L$36,8,0),0))+
IF('ZD Vorerfassung'!$E$29="",0,IF(AND(B326&gt;='ZD Vorerfassung'!$C$29,B326&lt;='ZD Vorerfassung'!$D$29),HLOOKUP(TEXT(C326,"ttt"),'ZD Vorerfassung'!$H$21:$L$36,9,0),0))+
IF('ZD Vorerfassung'!$E$30="",0,IF(AND(B326&gt;='ZD Vorerfassung'!$C$30,B326&lt;='ZD Vorerfassung'!$D$30),HLOOKUP(TEXT(C326,"ttt"),'ZD Vorerfassung'!$H$21:$L$36,10,0),0))+
IF('ZD Vorerfassung'!$E$31="",0,IF(AND(B326&gt;='ZD Vorerfassung'!$C$31,B326&lt;='ZD Vorerfassung'!$D$31),HLOOKUP(TEXT(C326,"ttt"),'ZD Vorerfassung'!$H$21:$L$36,11,0),0))+
IF('ZD Vorerfassung'!$E$32="",0,IF(AND(B326&gt;='ZD Vorerfassung'!$C$32,B326&lt;='ZD Vorerfassung'!$D$32),HLOOKUP(TEXT(C326,"ttt"),'ZD Vorerfassung'!$H$21:$L$36,12,0),0))+
IF('ZD Vorerfassung'!$E$33="",0,IF(AND(B326&gt;='ZD Vorerfassung'!$C$33,B326&lt;='ZD Vorerfassung'!$D$33),HLOOKUP(TEXT(C326,"ttt"),'ZD Vorerfassung'!$H$21:$L$36,13,0),0))+
IF('ZD Vorerfassung'!$E$34="",0,IF(AND(B326&gt;='ZD Vorerfassung'!$C$34,B326&lt;='ZD Vorerfassung'!$D$34),HLOOKUP(TEXT(C326,"ttt"),'ZD Vorerfassung'!$H$21:$L$36,14,0),0))+
IF('ZD Vorerfassung'!$E$35="",0,IF(AND(B326&gt;='ZD Vorerfassung'!$C$35,B326&lt;='ZD Vorerfassung'!$D$35),HLOOKUP(TEXT(C326,"ttt"),'ZD Vorerfassung'!$H$21:$L$36,15,0),0))+
IF('ZD Vorerfassung'!$E$36="",0,IF(AND(B326&gt;='ZD Vorerfassung'!$C$36,B326&lt;='ZD Vorerfassung'!$D$36),HLOOKUP(TEXT(C326,"ttt"),'ZD Vorerfassung'!$H$21:$L$36,16,0),0)),"")</f>
        <v>0</v>
      </c>
      <c r="AW326" s="110">
        <f t="array" ref="AW326">IF(OR(D326="UU",D326="FT",D326="WE"),0,
IF(D326="NR",SUM(IF(B326&gt;=_xlfn.NUMBERVALUE('ZD Vorerfassung'!$C$22:$C$36),1,0)*IF(B326&lt;=_xlfn.NUMBERVALUE('ZD Vorerfassung'!$D$22:$D$36),1,0)*'ZD Vorerfassung'!$Q$22:$Q$36),
IF(OR(D326="SF",D326="FH"),SUM(IF(B326&gt;=_xlfn.NUMBERVALUE('ZD Vorerfassung'!$C$22:$C$36),1,0)*IF(B326&lt;=_xlfn.NUMBERVALUE('ZD Vorerfassung'!$D$22:$D$36),1,0)*'ZD Vorerfassung'!$R$22:$R$36*IF(D326="FH",0.5,1)),
"prüfen")))</f>
        <v>0</v>
      </c>
      <c r="AX326" s="110">
        <f t="array" ref="AX326">IF(OR(D326="UU",D326="FT",D326="WE",E326="Ferien"),0,
IF(D326="NR",SUM(IF(B326&gt;=_xlfn.NUMBERVALUE('ZD Vorerfassung'!$C$22:$C$36),1,0)*IF(B326&lt;=_xlfn.NUMBERVALUE('ZD Vorerfassung'!$D$22:$D$36),1,0)*'ZD Vorerfassung'!$W$22:$W$36),
IF(OR(D326="SF",D326="FH"),SUM(IF(B326&gt;=_xlfn.NUMBERVALUE('ZD Vorerfassung'!$C$22:$C$36),1,0)*IF(B326&lt;=_xlfn.NUMBERVALUE('ZD Vorerfassung'!$D$22:$D$36),1,0)*'ZD Vorerfassung'!$X$22:$X$36*IF(D326="FH",0.5,1)),
"prüfen")))</f>
        <v>0</v>
      </c>
      <c r="AY326" s="110">
        <f t="array" ref="AY326">IF(OR(D326="UU",D326="FT",D326="WE",E326="Ferien"),0,
IF(D326="NR",SUM(IF(B326&gt;=_xlfn.NUMBERVALUE('ZD Vorerfassung'!$C$22:$C$36),1,0)*IF(B326&lt;=_xlfn.NUMBERVALUE('ZD Vorerfassung'!$D$22:$D$36),1,0)*'ZD Vorerfassung'!$U$22:$U$36),
IF(OR(D326="SF",D326="FH"),SUM(IF(B326&gt;=_xlfn.NUMBERVALUE('ZD Vorerfassung'!$C$22:$C$36),1,0)*IF(B326&lt;=_xlfn.NUMBERVALUE('ZD Vorerfassung'!$D$22:$D$36),1,0)*'ZD Vorerfassung'!$V$22:$V$36*IF(D326="FH",0.5,1)),
"prüfen")))</f>
        <v>0</v>
      </c>
      <c r="AZ326" s="110">
        <f t="array" ref="AZ326">IF(OR(D326="UU",D326="FT",D326="WE",E326="Ferien"),0,
IF(D326="NR",SUM(IF(B326&gt;=_xlfn.NUMBERVALUE('ZD Vorerfassung'!$C$22:$C$36),1,0)*IF(B326&lt;=_xlfn.NUMBERVALUE('ZD Vorerfassung'!$D$22:$D$36),1,0)*'ZD Vorerfassung'!$S$22:$S$36),
IF(OR(D326="SF",D326="FH"),SUM(IF(B326&gt;=_xlfn.NUMBERVALUE('ZD Vorerfassung'!$C$22:$C$36),1,0)*IF(B326&lt;=_xlfn.NUMBERVALUE('ZD Vorerfassung'!$D$22:$D$36),1,0)*'ZD Vorerfassung'!$T$22:$T$36*IF(D326="FH",0.5,1)),
"prüfen")))</f>
        <v>0</v>
      </c>
      <c r="BA326" s="112">
        <f t="shared" si="56"/>
        <v>6</v>
      </c>
    </row>
    <row r="327" spans="2:53" ht="19.5" thickTop="1" thickBot="1" x14ac:dyDescent="0.3">
      <c r="B327" s="99">
        <f t="shared" si="53"/>
        <v>45092</v>
      </c>
      <c r="C327" s="100">
        <f t="shared" si="57"/>
        <v>45092</v>
      </c>
      <c r="D327" s="101" t="str">
        <f t="shared" si="58"/>
        <v>NR</v>
      </c>
      <c r="E327" s="102" t="str">
        <f t="shared" si="54"/>
        <v>Unterrichtstag</v>
      </c>
      <c r="F327" s="103">
        <f t="shared" si="59"/>
        <v>0</v>
      </c>
      <c r="G327" s="104">
        <f t="shared" si="60"/>
        <v>0</v>
      </c>
      <c r="H327" s="104">
        <f>IFERROR(IF('ZD Vorerfassung'!$E$11="manuell",SUM(I327),IF(OR(E327="Feiertag",E327="Wochenende"),0,IF('ZD Vorerfassung'!$E$11="automatisch",AX327,IF(D327="UU","UU",IF(E327=Param2,AX327/24,IF(E327=Param9,AX327/48,"")))))),0)</f>
        <v>0</v>
      </c>
      <c r="I327" s="105"/>
      <c r="J327" s="106">
        <f>IF('ZD Vorerfassung'!$E$12="manuell",SUM(K327:AI327),IF(OR(E327="Feiertag",E327="Wochenende"),0,IF('ZD Vorerfassung'!$E$12="automatisch",AY327,IF(D327="UU","UU",IF(E327=Param2,AY327/24,IF(E327=Param9,AY327/48,""))))))</f>
        <v>0</v>
      </c>
      <c r="K327" s="105"/>
      <c r="L327" s="105"/>
      <c r="M327" s="105"/>
      <c r="N327" s="105"/>
      <c r="O327" s="105"/>
      <c r="P327" s="105"/>
      <c r="Q327" s="105"/>
      <c r="R327" s="105"/>
      <c r="S327" s="105"/>
      <c r="T327" s="105"/>
      <c r="U327" s="105"/>
      <c r="V327" s="105"/>
      <c r="W327" s="105"/>
      <c r="X327" s="105"/>
      <c r="Y327" s="105"/>
      <c r="Z327" s="105"/>
      <c r="AA327" s="105"/>
      <c r="AB327" s="105"/>
      <c r="AC327" s="105"/>
      <c r="AD327" s="105"/>
      <c r="AE327" s="105"/>
      <c r="AF327" s="105"/>
      <c r="AG327" s="105"/>
      <c r="AH327" s="105"/>
      <c r="AI327" s="105"/>
      <c r="AJ327" s="107">
        <f t="shared" si="61"/>
        <v>0</v>
      </c>
      <c r="AK327" s="105"/>
      <c r="AL327" s="105"/>
      <c r="AM327" s="105"/>
      <c r="AN327" s="105"/>
      <c r="AO327" s="105"/>
      <c r="AP327" s="105"/>
      <c r="AQ327" s="108">
        <f t="shared" si="62"/>
        <v>0</v>
      </c>
      <c r="AR327" s="108">
        <f t="shared" si="63"/>
        <v>0</v>
      </c>
      <c r="AS327" s="109">
        <f t="shared" si="64"/>
        <v>0</v>
      </c>
      <c r="AU327" s="110">
        <f t="shared" si="55"/>
        <v>0</v>
      </c>
      <c r="AV327" s="111">
        <f>IF(D327="NR",
IF('ZD Vorerfassung'!$E$22="",0,IF(AND(B327&gt;='ZD Vorerfassung'!$C$22,B327&lt;='ZD Vorerfassung'!$D$22),HLOOKUP(TEXT(C327,"ttt"),'ZD Vorerfassung'!$H$21:$L$36,2,0),0))+
IF('ZD Vorerfassung'!$E$23="",0,IF(AND(B327&gt;='ZD Vorerfassung'!$C$23,B327&lt;='ZD Vorerfassung'!$D$23),HLOOKUP(TEXT(C327,"ttt"),'ZD Vorerfassung'!$H$21:$L$36,3,0),0))+
IF('ZD Vorerfassung'!$E$24="",0,IF(AND(B327&gt;='ZD Vorerfassung'!$C$24,B327&lt;='ZD Vorerfassung'!$D$24),HLOOKUP(TEXT(C327,"ttt"),'ZD Vorerfassung'!$H$21:$L$36,4,0),0))+
IF('ZD Vorerfassung'!$E$25="",0,IF(AND(B327&gt;='ZD Vorerfassung'!$C$25,B327&lt;='ZD Vorerfassung'!$D$25),HLOOKUP(TEXT(C327,"ttt"),'ZD Vorerfassung'!$H$21:$L$36,5,0),0))+
IF('ZD Vorerfassung'!$E$26="",0,IF(AND(B327&gt;='ZD Vorerfassung'!$C$26,B327&lt;='ZD Vorerfassung'!$D$26),HLOOKUP(TEXT(C327,"ttt"),'ZD Vorerfassung'!$H$21:$L$36,6,0),0))+
IF('ZD Vorerfassung'!$E$27="",0,IF(AND(B327&gt;='ZD Vorerfassung'!$C$27,B327&lt;='ZD Vorerfassung'!$D$27),HLOOKUP(TEXT(C327,"ttt"),'ZD Vorerfassung'!$H$21:$L$36,7,0),0))+
IF('ZD Vorerfassung'!$E$28="",0,IF(AND(B327&gt;='ZD Vorerfassung'!$C$28,B327&lt;='ZD Vorerfassung'!$D$28),HLOOKUP(TEXT(C327,"ttt"),'ZD Vorerfassung'!$H$21:$L$36,8,0),0))+
IF('ZD Vorerfassung'!$E$29="",0,IF(AND(B327&gt;='ZD Vorerfassung'!$C$29,B327&lt;='ZD Vorerfassung'!$D$29),HLOOKUP(TEXT(C327,"ttt"),'ZD Vorerfassung'!$H$21:$L$36,9,0),0))+
IF('ZD Vorerfassung'!$E$30="",0,IF(AND(B327&gt;='ZD Vorerfassung'!$C$30,B327&lt;='ZD Vorerfassung'!$D$30),HLOOKUP(TEXT(C327,"ttt"),'ZD Vorerfassung'!$H$21:$L$36,10,0),0))+
IF('ZD Vorerfassung'!$E$31="",0,IF(AND(B327&gt;='ZD Vorerfassung'!$C$31,B327&lt;='ZD Vorerfassung'!$D$31),HLOOKUP(TEXT(C327,"ttt"),'ZD Vorerfassung'!$H$21:$L$36,11,0),0))+
IF('ZD Vorerfassung'!$E$32="",0,IF(AND(B327&gt;='ZD Vorerfassung'!$C$32,B327&lt;='ZD Vorerfassung'!$D$32),HLOOKUP(TEXT(C327,"ttt"),'ZD Vorerfassung'!$H$21:$L$36,12,0),0))+
IF('ZD Vorerfassung'!$E$33="",0,IF(AND(B327&gt;='ZD Vorerfassung'!$C$33,B327&lt;='ZD Vorerfassung'!$D$33),HLOOKUP(TEXT(C327,"ttt"),'ZD Vorerfassung'!$H$21:$L$36,13,0),0))+
IF('ZD Vorerfassung'!$E$34="",0,IF(AND(B327&gt;='ZD Vorerfassung'!$C$34,B327&lt;='ZD Vorerfassung'!$D$34),HLOOKUP(TEXT(C327,"ttt"),'ZD Vorerfassung'!$H$21:$L$36,14,0),0))+
IF('ZD Vorerfassung'!$E$35="",0,IF(AND(B327&gt;='ZD Vorerfassung'!$C$35,B327&lt;='ZD Vorerfassung'!$D$35),HLOOKUP(TEXT(C327,"ttt"),'ZD Vorerfassung'!$H$21:$L$36,15,0),0))+
IF('ZD Vorerfassung'!$E$36="",0,IF(AND(B327&gt;='ZD Vorerfassung'!$C$36,B327&lt;='ZD Vorerfassung'!$D$36),HLOOKUP(TEXT(C327,"ttt"),'ZD Vorerfassung'!$H$21:$L$36,16,0),0)),"")</f>
        <v>0</v>
      </c>
      <c r="AW327" s="110">
        <f t="array" ref="AW327">IF(OR(D327="UU",D327="FT",D327="WE"),0,
IF(D327="NR",SUM(IF(B327&gt;=_xlfn.NUMBERVALUE('ZD Vorerfassung'!$C$22:$C$36),1,0)*IF(B327&lt;=_xlfn.NUMBERVALUE('ZD Vorerfassung'!$D$22:$D$36),1,0)*'ZD Vorerfassung'!$Q$22:$Q$36),
IF(OR(D327="SF",D327="FH"),SUM(IF(B327&gt;=_xlfn.NUMBERVALUE('ZD Vorerfassung'!$C$22:$C$36),1,0)*IF(B327&lt;=_xlfn.NUMBERVALUE('ZD Vorerfassung'!$D$22:$D$36),1,0)*'ZD Vorerfassung'!$R$22:$R$36*IF(D327="FH",0.5,1)),
"prüfen")))</f>
        <v>0</v>
      </c>
      <c r="AX327" s="110">
        <f t="array" ref="AX327">IF(OR(D327="UU",D327="FT",D327="WE",E327="Ferien"),0,
IF(D327="NR",SUM(IF(B327&gt;=_xlfn.NUMBERVALUE('ZD Vorerfassung'!$C$22:$C$36),1,0)*IF(B327&lt;=_xlfn.NUMBERVALUE('ZD Vorerfassung'!$D$22:$D$36),1,0)*'ZD Vorerfassung'!$W$22:$W$36),
IF(OR(D327="SF",D327="FH"),SUM(IF(B327&gt;=_xlfn.NUMBERVALUE('ZD Vorerfassung'!$C$22:$C$36),1,0)*IF(B327&lt;=_xlfn.NUMBERVALUE('ZD Vorerfassung'!$D$22:$D$36),1,0)*'ZD Vorerfassung'!$X$22:$X$36*IF(D327="FH",0.5,1)),
"prüfen")))</f>
        <v>0</v>
      </c>
      <c r="AY327" s="110">
        <f t="array" ref="AY327">IF(OR(D327="UU",D327="FT",D327="WE",E327="Ferien"),0,
IF(D327="NR",SUM(IF(B327&gt;=_xlfn.NUMBERVALUE('ZD Vorerfassung'!$C$22:$C$36),1,0)*IF(B327&lt;=_xlfn.NUMBERVALUE('ZD Vorerfassung'!$D$22:$D$36),1,0)*'ZD Vorerfassung'!$U$22:$U$36),
IF(OR(D327="SF",D327="FH"),SUM(IF(B327&gt;=_xlfn.NUMBERVALUE('ZD Vorerfassung'!$C$22:$C$36),1,0)*IF(B327&lt;=_xlfn.NUMBERVALUE('ZD Vorerfassung'!$D$22:$D$36),1,0)*'ZD Vorerfassung'!$V$22:$V$36*IF(D327="FH",0.5,1)),
"prüfen")))</f>
        <v>0</v>
      </c>
      <c r="AZ327" s="110">
        <f t="array" ref="AZ327">IF(OR(D327="UU",D327="FT",D327="WE",E327="Ferien"),0,
IF(D327="NR",SUM(IF(B327&gt;=_xlfn.NUMBERVALUE('ZD Vorerfassung'!$C$22:$C$36),1,0)*IF(B327&lt;=_xlfn.NUMBERVALUE('ZD Vorerfassung'!$D$22:$D$36),1,0)*'ZD Vorerfassung'!$S$22:$S$36),
IF(OR(D327="SF",D327="FH"),SUM(IF(B327&gt;=_xlfn.NUMBERVALUE('ZD Vorerfassung'!$C$22:$C$36),1,0)*IF(B327&lt;=_xlfn.NUMBERVALUE('ZD Vorerfassung'!$D$22:$D$36),1,0)*'ZD Vorerfassung'!$T$22:$T$36*IF(D327="FH",0.5,1)),
"prüfen")))</f>
        <v>0</v>
      </c>
      <c r="BA327" s="112">
        <f t="shared" si="56"/>
        <v>6</v>
      </c>
    </row>
    <row r="328" spans="2:53" ht="19.5" thickTop="1" thickBot="1" x14ac:dyDescent="0.3">
      <c r="B328" s="99">
        <f t="shared" ref="B328:B372" si="65">IF(B327="Datum",DATE(LEFT(Schuljahr,4),8,1),B327+1)</f>
        <v>45093</v>
      </c>
      <c r="C328" s="100">
        <f t="shared" si="57"/>
        <v>45093</v>
      </c>
      <c r="D328" s="101" t="str">
        <f t="shared" si="58"/>
        <v>NR</v>
      </c>
      <c r="E328" s="102" t="str">
        <f t="shared" ref="E328:E372" si="66">IF(D328="FT",Param8,
IF(D328="FH",Param9,
IF(D328="WE",Param7,
IF(D328="SF",Param2,
IF(D328="NR",Param1,
IF(D328="UU",Param10,
""))))))</f>
        <v>Unterrichtstag</v>
      </c>
      <c r="F328" s="103">
        <f t="shared" si="59"/>
        <v>0</v>
      </c>
      <c r="G328" s="104">
        <f t="shared" si="60"/>
        <v>0</v>
      </c>
      <c r="H328" s="104">
        <f>IFERROR(IF('ZD Vorerfassung'!$E$11="manuell",SUM(I328),IF(OR(E328="Feiertag",E328="Wochenende"),0,IF('ZD Vorerfassung'!$E$11="automatisch",AX328,IF(D328="UU","UU",IF(E328=Param2,AX328/24,IF(E328=Param9,AX328/48,"")))))),0)</f>
        <v>0</v>
      </c>
      <c r="I328" s="105"/>
      <c r="J328" s="106">
        <f>IF('ZD Vorerfassung'!$E$12="manuell",SUM(K328:AI328),IF(OR(E328="Feiertag",E328="Wochenende"),0,IF('ZD Vorerfassung'!$E$12="automatisch",AY328,IF(D328="UU","UU",IF(E328=Param2,AY328/24,IF(E328=Param9,AY328/48,""))))))</f>
        <v>0</v>
      </c>
      <c r="K328" s="105"/>
      <c r="L328" s="105"/>
      <c r="M328" s="105"/>
      <c r="N328" s="105"/>
      <c r="O328" s="105"/>
      <c r="P328" s="105"/>
      <c r="Q328" s="105"/>
      <c r="R328" s="105"/>
      <c r="S328" s="105"/>
      <c r="T328" s="105"/>
      <c r="U328" s="105"/>
      <c r="V328" s="105"/>
      <c r="W328" s="105"/>
      <c r="X328" s="105"/>
      <c r="Y328" s="105"/>
      <c r="Z328" s="105"/>
      <c r="AA328" s="105"/>
      <c r="AB328" s="105"/>
      <c r="AC328" s="105"/>
      <c r="AD328" s="105"/>
      <c r="AE328" s="105"/>
      <c r="AF328" s="105"/>
      <c r="AG328" s="105"/>
      <c r="AH328" s="105"/>
      <c r="AI328" s="105"/>
      <c r="AJ328" s="107">
        <f t="shared" si="61"/>
        <v>0</v>
      </c>
      <c r="AK328" s="105"/>
      <c r="AL328" s="105"/>
      <c r="AM328" s="105"/>
      <c r="AN328" s="105"/>
      <c r="AO328" s="105"/>
      <c r="AP328" s="105"/>
      <c r="AQ328" s="108">
        <f t="shared" si="62"/>
        <v>0</v>
      </c>
      <c r="AR328" s="108">
        <f t="shared" si="63"/>
        <v>0</v>
      </c>
      <c r="AS328" s="109">
        <f t="shared" si="64"/>
        <v>0</v>
      </c>
      <c r="AU328" s="110">
        <f t="shared" ref="AU328:AU372" si="67">SUM(AW328:AZ328)</f>
        <v>0</v>
      </c>
      <c r="AV328" s="111">
        <f>IF(D328="NR",
IF('ZD Vorerfassung'!$E$22="",0,IF(AND(B328&gt;='ZD Vorerfassung'!$C$22,B328&lt;='ZD Vorerfassung'!$D$22),HLOOKUP(TEXT(C328,"ttt"),'ZD Vorerfassung'!$H$21:$L$36,2,0),0))+
IF('ZD Vorerfassung'!$E$23="",0,IF(AND(B328&gt;='ZD Vorerfassung'!$C$23,B328&lt;='ZD Vorerfassung'!$D$23),HLOOKUP(TEXT(C328,"ttt"),'ZD Vorerfassung'!$H$21:$L$36,3,0),0))+
IF('ZD Vorerfassung'!$E$24="",0,IF(AND(B328&gt;='ZD Vorerfassung'!$C$24,B328&lt;='ZD Vorerfassung'!$D$24),HLOOKUP(TEXT(C328,"ttt"),'ZD Vorerfassung'!$H$21:$L$36,4,0),0))+
IF('ZD Vorerfassung'!$E$25="",0,IF(AND(B328&gt;='ZD Vorerfassung'!$C$25,B328&lt;='ZD Vorerfassung'!$D$25),HLOOKUP(TEXT(C328,"ttt"),'ZD Vorerfassung'!$H$21:$L$36,5,0),0))+
IF('ZD Vorerfassung'!$E$26="",0,IF(AND(B328&gt;='ZD Vorerfassung'!$C$26,B328&lt;='ZD Vorerfassung'!$D$26),HLOOKUP(TEXT(C328,"ttt"),'ZD Vorerfassung'!$H$21:$L$36,6,0),0))+
IF('ZD Vorerfassung'!$E$27="",0,IF(AND(B328&gt;='ZD Vorerfassung'!$C$27,B328&lt;='ZD Vorerfassung'!$D$27),HLOOKUP(TEXT(C328,"ttt"),'ZD Vorerfassung'!$H$21:$L$36,7,0),0))+
IF('ZD Vorerfassung'!$E$28="",0,IF(AND(B328&gt;='ZD Vorerfassung'!$C$28,B328&lt;='ZD Vorerfassung'!$D$28),HLOOKUP(TEXT(C328,"ttt"),'ZD Vorerfassung'!$H$21:$L$36,8,0),0))+
IF('ZD Vorerfassung'!$E$29="",0,IF(AND(B328&gt;='ZD Vorerfassung'!$C$29,B328&lt;='ZD Vorerfassung'!$D$29),HLOOKUP(TEXT(C328,"ttt"),'ZD Vorerfassung'!$H$21:$L$36,9,0),0))+
IF('ZD Vorerfassung'!$E$30="",0,IF(AND(B328&gt;='ZD Vorerfassung'!$C$30,B328&lt;='ZD Vorerfassung'!$D$30),HLOOKUP(TEXT(C328,"ttt"),'ZD Vorerfassung'!$H$21:$L$36,10,0),0))+
IF('ZD Vorerfassung'!$E$31="",0,IF(AND(B328&gt;='ZD Vorerfassung'!$C$31,B328&lt;='ZD Vorerfassung'!$D$31),HLOOKUP(TEXT(C328,"ttt"),'ZD Vorerfassung'!$H$21:$L$36,11,0),0))+
IF('ZD Vorerfassung'!$E$32="",0,IF(AND(B328&gt;='ZD Vorerfassung'!$C$32,B328&lt;='ZD Vorerfassung'!$D$32),HLOOKUP(TEXT(C328,"ttt"),'ZD Vorerfassung'!$H$21:$L$36,12,0),0))+
IF('ZD Vorerfassung'!$E$33="",0,IF(AND(B328&gt;='ZD Vorerfassung'!$C$33,B328&lt;='ZD Vorerfassung'!$D$33),HLOOKUP(TEXT(C328,"ttt"),'ZD Vorerfassung'!$H$21:$L$36,13,0),0))+
IF('ZD Vorerfassung'!$E$34="",0,IF(AND(B328&gt;='ZD Vorerfassung'!$C$34,B328&lt;='ZD Vorerfassung'!$D$34),HLOOKUP(TEXT(C328,"ttt"),'ZD Vorerfassung'!$H$21:$L$36,14,0),0))+
IF('ZD Vorerfassung'!$E$35="",0,IF(AND(B328&gt;='ZD Vorerfassung'!$C$35,B328&lt;='ZD Vorerfassung'!$D$35),HLOOKUP(TEXT(C328,"ttt"),'ZD Vorerfassung'!$H$21:$L$36,15,0),0))+
IF('ZD Vorerfassung'!$E$36="",0,IF(AND(B328&gt;='ZD Vorerfassung'!$C$36,B328&lt;='ZD Vorerfassung'!$D$36),HLOOKUP(TEXT(C328,"ttt"),'ZD Vorerfassung'!$H$21:$L$36,16,0),0)),"")</f>
        <v>0</v>
      </c>
      <c r="AW328" s="110">
        <f t="array" ref="AW328">IF(OR(D328="UU",D328="FT",D328="WE"),0,
IF(D328="NR",SUM(IF(B328&gt;=_xlfn.NUMBERVALUE('ZD Vorerfassung'!$C$22:$C$36),1,0)*IF(B328&lt;=_xlfn.NUMBERVALUE('ZD Vorerfassung'!$D$22:$D$36),1,0)*'ZD Vorerfassung'!$Q$22:$Q$36),
IF(OR(D328="SF",D328="FH"),SUM(IF(B328&gt;=_xlfn.NUMBERVALUE('ZD Vorerfassung'!$C$22:$C$36),1,0)*IF(B328&lt;=_xlfn.NUMBERVALUE('ZD Vorerfassung'!$D$22:$D$36),1,0)*'ZD Vorerfassung'!$R$22:$R$36*IF(D328="FH",0.5,1)),
"prüfen")))</f>
        <v>0</v>
      </c>
      <c r="AX328" s="110">
        <f t="array" ref="AX328">IF(OR(D328="UU",D328="FT",D328="WE",E328="Ferien"),0,
IF(D328="NR",SUM(IF(B328&gt;=_xlfn.NUMBERVALUE('ZD Vorerfassung'!$C$22:$C$36),1,0)*IF(B328&lt;=_xlfn.NUMBERVALUE('ZD Vorerfassung'!$D$22:$D$36),1,0)*'ZD Vorerfassung'!$W$22:$W$36),
IF(OR(D328="SF",D328="FH"),SUM(IF(B328&gt;=_xlfn.NUMBERVALUE('ZD Vorerfassung'!$C$22:$C$36),1,0)*IF(B328&lt;=_xlfn.NUMBERVALUE('ZD Vorerfassung'!$D$22:$D$36),1,0)*'ZD Vorerfassung'!$X$22:$X$36*IF(D328="FH",0.5,1)),
"prüfen")))</f>
        <v>0</v>
      </c>
      <c r="AY328" s="110">
        <f t="array" ref="AY328">IF(OR(D328="UU",D328="FT",D328="WE",E328="Ferien"),0,
IF(D328="NR",SUM(IF(B328&gt;=_xlfn.NUMBERVALUE('ZD Vorerfassung'!$C$22:$C$36),1,0)*IF(B328&lt;=_xlfn.NUMBERVALUE('ZD Vorerfassung'!$D$22:$D$36),1,0)*'ZD Vorerfassung'!$U$22:$U$36),
IF(OR(D328="SF",D328="FH"),SUM(IF(B328&gt;=_xlfn.NUMBERVALUE('ZD Vorerfassung'!$C$22:$C$36),1,0)*IF(B328&lt;=_xlfn.NUMBERVALUE('ZD Vorerfassung'!$D$22:$D$36),1,0)*'ZD Vorerfassung'!$V$22:$V$36*IF(D328="FH",0.5,1)),
"prüfen")))</f>
        <v>0</v>
      </c>
      <c r="AZ328" s="110">
        <f t="array" ref="AZ328">IF(OR(D328="UU",D328="FT",D328="WE",E328="Ferien"),0,
IF(D328="NR",SUM(IF(B328&gt;=_xlfn.NUMBERVALUE('ZD Vorerfassung'!$C$22:$C$36),1,0)*IF(B328&lt;=_xlfn.NUMBERVALUE('ZD Vorerfassung'!$D$22:$D$36),1,0)*'ZD Vorerfassung'!$S$22:$S$36),
IF(OR(D328="SF",D328="FH"),SUM(IF(B328&gt;=_xlfn.NUMBERVALUE('ZD Vorerfassung'!$C$22:$C$36),1,0)*IF(B328&lt;=_xlfn.NUMBERVALUE('ZD Vorerfassung'!$D$22:$D$36),1,0)*'ZD Vorerfassung'!$T$22:$T$36*IF(D328="FH",0.5,1)),
"prüfen")))</f>
        <v>0</v>
      </c>
      <c r="BA328" s="112">
        <f t="shared" si="56"/>
        <v>6</v>
      </c>
    </row>
    <row r="329" spans="2:53" ht="19.5" thickTop="1" thickBot="1" x14ac:dyDescent="0.3">
      <c r="B329" s="99">
        <f t="shared" si="65"/>
        <v>45094</v>
      </c>
      <c r="C329" s="100">
        <f t="shared" ref="C329:C372" si="68">B329</f>
        <v>45094</v>
      </c>
      <c r="D329" s="101" t="str">
        <f t="shared" ref="D329:D372" si="69">IF(WEEKDAY(B329,2)&gt;5,"WE",IF(OR(AND(B329&gt;=UU1_start,B329&lt;=UU1_stop),AND(B329&gt;=UU2_start,B329&lt;=UU2_stop),AND(B329&gt;=UU3_start,B329&lt;=UU3_stop)),"UU",
IF(COUNTIF(Data_Feiertage,B329)&gt;0,"FT",
IF(COUNTIF(Data_Feiertage_halb,B329)&gt;0,"FH",
IF(COUNTIF(Data_Schulferien,B329)&gt;0,"SF",
"NR")))))</f>
        <v>NR</v>
      </c>
      <c r="E329" s="102" t="str">
        <f t="shared" si="66"/>
        <v>Unterrichtstag</v>
      </c>
      <c r="F329" s="103">
        <f t="shared" ref="F329:F372" si="70">IF(E329=Param1,AV329,"")</f>
        <v>0</v>
      </c>
      <c r="G329" s="104">
        <f t="shared" ref="G329:G372" si="71">IF(F329="","",F329*0.75*60/1440)</f>
        <v>0</v>
      </c>
      <c r="H329" s="104">
        <f>IFERROR(IF('ZD Vorerfassung'!$E$11="manuell",SUM(I329),IF(OR(E329="Feiertag",E329="Wochenende"),0,IF('ZD Vorerfassung'!$E$11="automatisch",AX329,IF(D329="UU","UU",IF(E329=Param2,AX329/24,IF(E329=Param9,AX329/48,"")))))),0)</f>
        <v>0</v>
      </c>
      <c r="I329" s="105"/>
      <c r="J329" s="106">
        <f>IF('ZD Vorerfassung'!$E$12="manuell",SUM(K329:AI329),IF(OR(E329="Feiertag",E329="Wochenende"),0,IF('ZD Vorerfassung'!$E$12="automatisch",AY329,IF(D329="UU","UU",IF(E329=Param2,AY329/24,IF(E329=Param9,AY329/48,""))))))</f>
        <v>0</v>
      </c>
      <c r="K329" s="105"/>
      <c r="L329" s="105"/>
      <c r="M329" s="105"/>
      <c r="N329" s="105"/>
      <c r="O329" s="105"/>
      <c r="P329" s="105"/>
      <c r="Q329" s="105"/>
      <c r="R329" s="105"/>
      <c r="S329" s="105"/>
      <c r="T329" s="105"/>
      <c r="U329" s="105"/>
      <c r="V329" s="105"/>
      <c r="W329" s="105"/>
      <c r="X329" s="105"/>
      <c r="Y329" s="105"/>
      <c r="Z329" s="105"/>
      <c r="AA329" s="105"/>
      <c r="AB329" s="105"/>
      <c r="AC329" s="105"/>
      <c r="AD329" s="105"/>
      <c r="AE329" s="105"/>
      <c r="AF329" s="105"/>
      <c r="AG329" s="105"/>
      <c r="AH329" s="105"/>
      <c r="AI329" s="105"/>
      <c r="AJ329" s="107">
        <f t="shared" ref="AJ329:AJ372" si="72">IF(VorsaldoFerien="manuell",SUM(AK329:AP329),IF(OR(E329="Feiertag",E329="Wochenende"),0,IF(VorsaldoFerien="automatisch",AZ329,IF(D329="UU","UU",IF(E329=Param2,AX329/24,IF(E329=Param9,AX329/48,""))))))</f>
        <v>0</v>
      </c>
      <c r="AK329" s="105"/>
      <c r="AL329" s="105"/>
      <c r="AM329" s="105"/>
      <c r="AN329" s="105"/>
      <c r="AO329" s="105"/>
      <c r="AP329" s="105"/>
      <c r="AQ329" s="108">
        <f t="shared" ref="AQ329:AQ372" si="73">IF(OR(D329="FT",D329="WE",D329="UU"),0,
IF(D329="FH",AU329/2,AU329))</f>
        <v>0</v>
      </c>
      <c r="AR329" s="108">
        <f t="shared" ref="AR329:AR372" si="74">IF(E329=Param1,SUM(G329,H329,J329,AJ329),
IF(OR(E329=Param2,E329=Param3,E329=Param7,E329=Param8,E329=Param9),SUM(G329,H329,J329,AJ329),
IF(OR(E329=Param4,E329=Param6),AQ329,
IF(OR(E329=Param5,E329=Param10),0,0))))</f>
        <v>0</v>
      </c>
      <c r="AS329" s="109">
        <f t="shared" ref="AS329:AS372" si="75">IF(AND(DAY(B329)=1,MONTH(B329)=8),0+AR329-AQ329,AS328+AR329-AQ329)</f>
        <v>0</v>
      </c>
      <c r="AU329" s="110">
        <f t="shared" si="67"/>
        <v>0</v>
      </c>
      <c r="AV329" s="111">
        <f>IF(D329="NR",
IF('ZD Vorerfassung'!$E$22="",0,IF(AND(B329&gt;='ZD Vorerfassung'!$C$22,B329&lt;='ZD Vorerfassung'!$D$22),HLOOKUP(TEXT(C329,"ttt"),'ZD Vorerfassung'!$H$21:$L$36,2,0),0))+
IF('ZD Vorerfassung'!$E$23="",0,IF(AND(B329&gt;='ZD Vorerfassung'!$C$23,B329&lt;='ZD Vorerfassung'!$D$23),HLOOKUP(TEXT(C329,"ttt"),'ZD Vorerfassung'!$H$21:$L$36,3,0),0))+
IF('ZD Vorerfassung'!$E$24="",0,IF(AND(B329&gt;='ZD Vorerfassung'!$C$24,B329&lt;='ZD Vorerfassung'!$D$24),HLOOKUP(TEXT(C329,"ttt"),'ZD Vorerfassung'!$H$21:$L$36,4,0),0))+
IF('ZD Vorerfassung'!$E$25="",0,IF(AND(B329&gt;='ZD Vorerfassung'!$C$25,B329&lt;='ZD Vorerfassung'!$D$25),HLOOKUP(TEXT(C329,"ttt"),'ZD Vorerfassung'!$H$21:$L$36,5,0),0))+
IF('ZD Vorerfassung'!$E$26="",0,IF(AND(B329&gt;='ZD Vorerfassung'!$C$26,B329&lt;='ZD Vorerfassung'!$D$26),HLOOKUP(TEXT(C329,"ttt"),'ZD Vorerfassung'!$H$21:$L$36,6,0),0))+
IF('ZD Vorerfassung'!$E$27="",0,IF(AND(B329&gt;='ZD Vorerfassung'!$C$27,B329&lt;='ZD Vorerfassung'!$D$27),HLOOKUP(TEXT(C329,"ttt"),'ZD Vorerfassung'!$H$21:$L$36,7,0),0))+
IF('ZD Vorerfassung'!$E$28="",0,IF(AND(B329&gt;='ZD Vorerfassung'!$C$28,B329&lt;='ZD Vorerfassung'!$D$28),HLOOKUP(TEXT(C329,"ttt"),'ZD Vorerfassung'!$H$21:$L$36,8,0),0))+
IF('ZD Vorerfassung'!$E$29="",0,IF(AND(B329&gt;='ZD Vorerfassung'!$C$29,B329&lt;='ZD Vorerfassung'!$D$29),HLOOKUP(TEXT(C329,"ttt"),'ZD Vorerfassung'!$H$21:$L$36,9,0),0))+
IF('ZD Vorerfassung'!$E$30="",0,IF(AND(B329&gt;='ZD Vorerfassung'!$C$30,B329&lt;='ZD Vorerfassung'!$D$30),HLOOKUP(TEXT(C329,"ttt"),'ZD Vorerfassung'!$H$21:$L$36,10,0),0))+
IF('ZD Vorerfassung'!$E$31="",0,IF(AND(B329&gt;='ZD Vorerfassung'!$C$31,B329&lt;='ZD Vorerfassung'!$D$31),HLOOKUP(TEXT(C329,"ttt"),'ZD Vorerfassung'!$H$21:$L$36,11,0),0))+
IF('ZD Vorerfassung'!$E$32="",0,IF(AND(B329&gt;='ZD Vorerfassung'!$C$32,B329&lt;='ZD Vorerfassung'!$D$32),HLOOKUP(TEXT(C329,"ttt"),'ZD Vorerfassung'!$H$21:$L$36,12,0),0))+
IF('ZD Vorerfassung'!$E$33="",0,IF(AND(B329&gt;='ZD Vorerfassung'!$C$33,B329&lt;='ZD Vorerfassung'!$D$33),HLOOKUP(TEXT(C329,"ttt"),'ZD Vorerfassung'!$H$21:$L$36,13,0),0))+
IF('ZD Vorerfassung'!$E$34="",0,IF(AND(B329&gt;='ZD Vorerfassung'!$C$34,B329&lt;='ZD Vorerfassung'!$D$34),HLOOKUP(TEXT(C329,"ttt"),'ZD Vorerfassung'!$H$21:$L$36,14,0),0))+
IF('ZD Vorerfassung'!$E$35="",0,IF(AND(B329&gt;='ZD Vorerfassung'!$C$35,B329&lt;='ZD Vorerfassung'!$D$35),HLOOKUP(TEXT(C329,"ttt"),'ZD Vorerfassung'!$H$21:$L$36,15,0),0))+
IF('ZD Vorerfassung'!$E$36="",0,IF(AND(B329&gt;='ZD Vorerfassung'!$C$36,B329&lt;='ZD Vorerfassung'!$D$36),HLOOKUP(TEXT(C329,"ttt"),'ZD Vorerfassung'!$H$21:$L$36,16,0),0)),"")</f>
        <v>0</v>
      </c>
      <c r="AW329" s="110">
        <f t="array" ref="AW329">IF(OR(D329="UU",D329="FT",D329="WE"),0,
IF(D329="NR",SUM(IF(B329&gt;=_xlfn.NUMBERVALUE('ZD Vorerfassung'!$C$22:$C$36),1,0)*IF(B329&lt;=_xlfn.NUMBERVALUE('ZD Vorerfassung'!$D$22:$D$36),1,0)*'ZD Vorerfassung'!$Q$22:$Q$36),
IF(OR(D329="SF",D329="FH"),SUM(IF(B329&gt;=_xlfn.NUMBERVALUE('ZD Vorerfassung'!$C$22:$C$36),1,0)*IF(B329&lt;=_xlfn.NUMBERVALUE('ZD Vorerfassung'!$D$22:$D$36),1,0)*'ZD Vorerfassung'!$R$22:$R$36*IF(D329="FH",0.5,1)),
"prüfen")))</f>
        <v>0</v>
      </c>
      <c r="AX329" s="110">
        <f t="array" ref="AX329">IF(OR(D329="UU",D329="FT",D329="WE",E329="Ferien"),0,
IF(D329="NR",SUM(IF(B329&gt;=_xlfn.NUMBERVALUE('ZD Vorerfassung'!$C$22:$C$36),1,0)*IF(B329&lt;=_xlfn.NUMBERVALUE('ZD Vorerfassung'!$D$22:$D$36),1,0)*'ZD Vorerfassung'!$W$22:$W$36),
IF(OR(D329="SF",D329="FH"),SUM(IF(B329&gt;=_xlfn.NUMBERVALUE('ZD Vorerfassung'!$C$22:$C$36),1,0)*IF(B329&lt;=_xlfn.NUMBERVALUE('ZD Vorerfassung'!$D$22:$D$36),1,0)*'ZD Vorerfassung'!$X$22:$X$36*IF(D329="FH",0.5,1)),
"prüfen")))</f>
        <v>0</v>
      </c>
      <c r="AY329" s="110">
        <f t="array" ref="AY329">IF(OR(D329="UU",D329="FT",D329="WE",E329="Ferien"),0,
IF(D329="NR",SUM(IF(B329&gt;=_xlfn.NUMBERVALUE('ZD Vorerfassung'!$C$22:$C$36),1,0)*IF(B329&lt;=_xlfn.NUMBERVALUE('ZD Vorerfassung'!$D$22:$D$36),1,0)*'ZD Vorerfassung'!$U$22:$U$36),
IF(OR(D329="SF",D329="FH"),SUM(IF(B329&gt;=_xlfn.NUMBERVALUE('ZD Vorerfassung'!$C$22:$C$36),1,0)*IF(B329&lt;=_xlfn.NUMBERVALUE('ZD Vorerfassung'!$D$22:$D$36),1,0)*'ZD Vorerfassung'!$V$22:$V$36*IF(D329="FH",0.5,1)),
"prüfen")))</f>
        <v>0</v>
      </c>
      <c r="AZ329" s="110">
        <f t="array" ref="AZ329">IF(OR(D329="UU",D329="FT",D329="WE",E329="Ferien"),0,
IF(D329="NR",SUM(IF(B329&gt;=_xlfn.NUMBERVALUE('ZD Vorerfassung'!$C$22:$C$36),1,0)*IF(B329&lt;=_xlfn.NUMBERVALUE('ZD Vorerfassung'!$D$22:$D$36),1,0)*'ZD Vorerfassung'!$S$22:$S$36),
IF(OR(D329="SF",D329="FH"),SUM(IF(B329&gt;=_xlfn.NUMBERVALUE('ZD Vorerfassung'!$C$22:$C$36),1,0)*IF(B329&lt;=_xlfn.NUMBERVALUE('ZD Vorerfassung'!$D$22:$D$36),1,0)*'ZD Vorerfassung'!$T$22:$T$36*IF(D329="FH",0.5,1)),
"prüfen")))</f>
        <v>0</v>
      </c>
      <c r="BA329" s="112">
        <f t="shared" ref="BA329:BA372" si="76">MONTH(B329)</f>
        <v>6</v>
      </c>
    </row>
    <row r="330" spans="2:53" ht="19.5" thickTop="1" thickBot="1" x14ac:dyDescent="0.3">
      <c r="B330" s="99">
        <f t="shared" si="65"/>
        <v>45095</v>
      </c>
      <c r="C330" s="100">
        <f t="shared" si="68"/>
        <v>45095</v>
      </c>
      <c r="D330" s="101" t="str">
        <f t="shared" si="69"/>
        <v>WE</v>
      </c>
      <c r="E330" s="102" t="str">
        <f t="shared" si="66"/>
        <v>Wochenende</v>
      </c>
      <c r="F330" s="103" t="str">
        <f t="shared" si="70"/>
        <v/>
      </c>
      <c r="G330" s="104" t="str">
        <f t="shared" si="71"/>
        <v/>
      </c>
      <c r="H330" s="104">
        <f>IFERROR(IF('ZD Vorerfassung'!$E$11="manuell",SUM(I330),IF(OR(E330="Feiertag",E330="Wochenende"),0,IF('ZD Vorerfassung'!$E$11="automatisch",AX330,IF(D330="UU","UU",IF(E330=Param2,AX330/24,IF(E330=Param9,AX330/48,"")))))),0)</f>
        <v>0</v>
      </c>
      <c r="I330" s="105"/>
      <c r="J330" s="106">
        <f>IF('ZD Vorerfassung'!$E$12="manuell",SUM(K330:AI330),IF(OR(E330="Feiertag",E330="Wochenende"),0,IF('ZD Vorerfassung'!$E$12="automatisch",AY330,IF(D330="UU","UU",IF(E330=Param2,AY330/24,IF(E330=Param9,AY330/48,""))))))</f>
        <v>0</v>
      </c>
      <c r="K330" s="105"/>
      <c r="L330" s="105"/>
      <c r="M330" s="105"/>
      <c r="N330" s="105"/>
      <c r="O330" s="105"/>
      <c r="P330" s="105"/>
      <c r="Q330" s="105"/>
      <c r="R330" s="105"/>
      <c r="S330" s="105"/>
      <c r="T330" s="105"/>
      <c r="U330" s="105"/>
      <c r="V330" s="105"/>
      <c r="W330" s="105"/>
      <c r="X330" s="105"/>
      <c r="Y330" s="105"/>
      <c r="Z330" s="105"/>
      <c r="AA330" s="105"/>
      <c r="AB330" s="105"/>
      <c r="AC330" s="105"/>
      <c r="AD330" s="105"/>
      <c r="AE330" s="105"/>
      <c r="AF330" s="105"/>
      <c r="AG330" s="105"/>
      <c r="AH330" s="105"/>
      <c r="AI330" s="105"/>
      <c r="AJ330" s="107">
        <f t="shared" si="72"/>
        <v>0</v>
      </c>
      <c r="AK330" s="105"/>
      <c r="AL330" s="105"/>
      <c r="AM330" s="105"/>
      <c r="AN330" s="105"/>
      <c r="AO330" s="105"/>
      <c r="AP330" s="105"/>
      <c r="AQ330" s="108">
        <f t="shared" si="73"/>
        <v>0</v>
      </c>
      <c r="AR330" s="108">
        <f t="shared" si="74"/>
        <v>0</v>
      </c>
      <c r="AS330" s="109">
        <f t="shared" si="75"/>
        <v>0</v>
      </c>
      <c r="AU330" s="110">
        <f t="shared" si="67"/>
        <v>0</v>
      </c>
      <c r="AV330" s="111" t="str">
        <f>IF(D330="NR",
IF('ZD Vorerfassung'!$E$22="",0,IF(AND(B330&gt;='ZD Vorerfassung'!$C$22,B330&lt;='ZD Vorerfassung'!$D$22),HLOOKUP(TEXT(C330,"ttt"),'ZD Vorerfassung'!$H$21:$L$36,2,0),0))+
IF('ZD Vorerfassung'!$E$23="",0,IF(AND(B330&gt;='ZD Vorerfassung'!$C$23,B330&lt;='ZD Vorerfassung'!$D$23),HLOOKUP(TEXT(C330,"ttt"),'ZD Vorerfassung'!$H$21:$L$36,3,0),0))+
IF('ZD Vorerfassung'!$E$24="",0,IF(AND(B330&gt;='ZD Vorerfassung'!$C$24,B330&lt;='ZD Vorerfassung'!$D$24),HLOOKUP(TEXT(C330,"ttt"),'ZD Vorerfassung'!$H$21:$L$36,4,0),0))+
IF('ZD Vorerfassung'!$E$25="",0,IF(AND(B330&gt;='ZD Vorerfassung'!$C$25,B330&lt;='ZD Vorerfassung'!$D$25),HLOOKUP(TEXT(C330,"ttt"),'ZD Vorerfassung'!$H$21:$L$36,5,0),0))+
IF('ZD Vorerfassung'!$E$26="",0,IF(AND(B330&gt;='ZD Vorerfassung'!$C$26,B330&lt;='ZD Vorerfassung'!$D$26),HLOOKUP(TEXT(C330,"ttt"),'ZD Vorerfassung'!$H$21:$L$36,6,0),0))+
IF('ZD Vorerfassung'!$E$27="",0,IF(AND(B330&gt;='ZD Vorerfassung'!$C$27,B330&lt;='ZD Vorerfassung'!$D$27),HLOOKUP(TEXT(C330,"ttt"),'ZD Vorerfassung'!$H$21:$L$36,7,0),0))+
IF('ZD Vorerfassung'!$E$28="",0,IF(AND(B330&gt;='ZD Vorerfassung'!$C$28,B330&lt;='ZD Vorerfassung'!$D$28),HLOOKUP(TEXT(C330,"ttt"),'ZD Vorerfassung'!$H$21:$L$36,8,0),0))+
IF('ZD Vorerfassung'!$E$29="",0,IF(AND(B330&gt;='ZD Vorerfassung'!$C$29,B330&lt;='ZD Vorerfassung'!$D$29),HLOOKUP(TEXT(C330,"ttt"),'ZD Vorerfassung'!$H$21:$L$36,9,0),0))+
IF('ZD Vorerfassung'!$E$30="",0,IF(AND(B330&gt;='ZD Vorerfassung'!$C$30,B330&lt;='ZD Vorerfassung'!$D$30),HLOOKUP(TEXT(C330,"ttt"),'ZD Vorerfassung'!$H$21:$L$36,10,0),0))+
IF('ZD Vorerfassung'!$E$31="",0,IF(AND(B330&gt;='ZD Vorerfassung'!$C$31,B330&lt;='ZD Vorerfassung'!$D$31),HLOOKUP(TEXT(C330,"ttt"),'ZD Vorerfassung'!$H$21:$L$36,11,0),0))+
IF('ZD Vorerfassung'!$E$32="",0,IF(AND(B330&gt;='ZD Vorerfassung'!$C$32,B330&lt;='ZD Vorerfassung'!$D$32),HLOOKUP(TEXT(C330,"ttt"),'ZD Vorerfassung'!$H$21:$L$36,12,0),0))+
IF('ZD Vorerfassung'!$E$33="",0,IF(AND(B330&gt;='ZD Vorerfassung'!$C$33,B330&lt;='ZD Vorerfassung'!$D$33),HLOOKUP(TEXT(C330,"ttt"),'ZD Vorerfassung'!$H$21:$L$36,13,0),0))+
IF('ZD Vorerfassung'!$E$34="",0,IF(AND(B330&gt;='ZD Vorerfassung'!$C$34,B330&lt;='ZD Vorerfassung'!$D$34),HLOOKUP(TEXT(C330,"ttt"),'ZD Vorerfassung'!$H$21:$L$36,14,0),0))+
IF('ZD Vorerfassung'!$E$35="",0,IF(AND(B330&gt;='ZD Vorerfassung'!$C$35,B330&lt;='ZD Vorerfassung'!$D$35),HLOOKUP(TEXT(C330,"ttt"),'ZD Vorerfassung'!$H$21:$L$36,15,0),0))+
IF('ZD Vorerfassung'!$E$36="",0,IF(AND(B330&gt;='ZD Vorerfassung'!$C$36,B330&lt;='ZD Vorerfassung'!$D$36),HLOOKUP(TEXT(C330,"ttt"),'ZD Vorerfassung'!$H$21:$L$36,16,0),0)),"")</f>
        <v/>
      </c>
      <c r="AW330" s="110">
        <f t="array" ref="AW330">IF(OR(D330="UU",D330="FT",D330="WE"),0,
IF(D330="NR",SUM(IF(B330&gt;=_xlfn.NUMBERVALUE('ZD Vorerfassung'!$C$22:$C$36),1,0)*IF(B330&lt;=_xlfn.NUMBERVALUE('ZD Vorerfassung'!$D$22:$D$36),1,0)*'ZD Vorerfassung'!$Q$22:$Q$36),
IF(OR(D330="SF",D330="FH"),SUM(IF(B330&gt;=_xlfn.NUMBERVALUE('ZD Vorerfassung'!$C$22:$C$36),1,0)*IF(B330&lt;=_xlfn.NUMBERVALUE('ZD Vorerfassung'!$D$22:$D$36),1,0)*'ZD Vorerfassung'!$R$22:$R$36*IF(D330="FH",0.5,1)),
"prüfen")))</f>
        <v>0</v>
      </c>
      <c r="AX330" s="110">
        <f t="array" ref="AX330">IF(OR(D330="UU",D330="FT",D330="WE",E330="Ferien"),0,
IF(D330="NR",SUM(IF(B330&gt;=_xlfn.NUMBERVALUE('ZD Vorerfassung'!$C$22:$C$36),1,0)*IF(B330&lt;=_xlfn.NUMBERVALUE('ZD Vorerfassung'!$D$22:$D$36),1,0)*'ZD Vorerfassung'!$W$22:$W$36),
IF(OR(D330="SF",D330="FH"),SUM(IF(B330&gt;=_xlfn.NUMBERVALUE('ZD Vorerfassung'!$C$22:$C$36),1,0)*IF(B330&lt;=_xlfn.NUMBERVALUE('ZD Vorerfassung'!$D$22:$D$36),1,0)*'ZD Vorerfassung'!$X$22:$X$36*IF(D330="FH",0.5,1)),
"prüfen")))</f>
        <v>0</v>
      </c>
      <c r="AY330" s="110">
        <f t="array" ref="AY330">IF(OR(D330="UU",D330="FT",D330="WE",E330="Ferien"),0,
IF(D330="NR",SUM(IF(B330&gt;=_xlfn.NUMBERVALUE('ZD Vorerfassung'!$C$22:$C$36),1,0)*IF(B330&lt;=_xlfn.NUMBERVALUE('ZD Vorerfassung'!$D$22:$D$36),1,0)*'ZD Vorerfassung'!$U$22:$U$36),
IF(OR(D330="SF",D330="FH"),SUM(IF(B330&gt;=_xlfn.NUMBERVALUE('ZD Vorerfassung'!$C$22:$C$36),1,0)*IF(B330&lt;=_xlfn.NUMBERVALUE('ZD Vorerfassung'!$D$22:$D$36),1,0)*'ZD Vorerfassung'!$V$22:$V$36*IF(D330="FH",0.5,1)),
"prüfen")))</f>
        <v>0</v>
      </c>
      <c r="AZ330" s="110">
        <f t="array" ref="AZ330">IF(OR(D330="UU",D330="FT",D330="WE",E330="Ferien"),0,
IF(D330="NR",SUM(IF(B330&gt;=_xlfn.NUMBERVALUE('ZD Vorerfassung'!$C$22:$C$36),1,0)*IF(B330&lt;=_xlfn.NUMBERVALUE('ZD Vorerfassung'!$D$22:$D$36),1,0)*'ZD Vorerfassung'!$S$22:$S$36),
IF(OR(D330="SF",D330="FH"),SUM(IF(B330&gt;=_xlfn.NUMBERVALUE('ZD Vorerfassung'!$C$22:$C$36),1,0)*IF(B330&lt;=_xlfn.NUMBERVALUE('ZD Vorerfassung'!$D$22:$D$36),1,0)*'ZD Vorerfassung'!$T$22:$T$36*IF(D330="FH",0.5,1)),
"prüfen")))</f>
        <v>0</v>
      </c>
      <c r="BA330" s="112">
        <f t="shared" si="76"/>
        <v>6</v>
      </c>
    </row>
    <row r="331" spans="2:53" ht="19.5" thickTop="1" thickBot="1" x14ac:dyDescent="0.3">
      <c r="B331" s="99">
        <f t="shared" si="65"/>
        <v>45096</v>
      </c>
      <c r="C331" s="100">
        <f t="shared" si="68"/>
        <v>45096</v>
      </c>
      <c r="D331" s="101" t="str">
        <f t="shared" si="69"/>
        <v>WE</v>
      </c>
      <c r="E331" s="102" t="str">
        <f t="shared" si="66"/>
        <v>Wochenende</v>
      </c>
      <c r="F331" s="103" t="str">
        <f t="shared" si="70"/>
        <v/>
      </c>
      <c r="G331" s="104" t="str">
        <f t="shared" si="71"/>
        <v/>
      </c>
      <c r="H331" s="104">
        <f>IFERROR(IF('ZD Vorerfassung'!$E$11="manuell",SUM(I331),IF(OR(E331="Feiertag",E331="Wochenende"),0,IF('ZD Vorerfassung'!$E$11="automatisch",AX331,IF(D331="UU","UU",IF(E331=Param2,AX331/24,IF(E331=Param9,AX331/48,"")))))),0)</f>
        <v>0</v>
      </c>
      <c r="I331" s="105"/>
      <c r="J331" s="106">
        <f>IF('ZD Vorerfassung'!$E$12="manuell",SUM(K331:AI331),IF(OR(E331="Feiertag",E331="Wochenende"),0,IF('ZD Vorerfassung'!$E$12="automatisch",AY331,IF(D331="UU","UU",IF(E331=Param2,AY331/24,IF(E331=Param9,AY331/48,""))))))</f>
        <v>0</v>
      </c>
      <c r="K331" s="105"/>
      <c r="L331" s="105"/>
      <c r="M331" s="105"/>
      <c r="N331" s="105"/>
      <c r="O331" s="105"/>
      <c r="P331" s="105"/>
      <c r="Q331" s="105"/>
      <c r="R331" s="105"/>
      <c r="S331" s="105"/>
      <c r="T331" s="105"/>
      <c r="U331" s="105"/>
      <c r="V331" s="105"/>
      <c r="W331" s="105"/>
      <c r="X331" s="105"/>
      <c r="Y331" s="105"/>
      <c r="Z331" s="105"/>
      <c r="AA331" s="105"/>
      <c r="AB331" s="105"/>
      <c r="AC331" s="105"/>
      <c r="AD331" s="105"/>
      <c r="AE331" s="105"/>
      <c r="AF331" s="105"/>
      <c r="AG331" s="105"/>
      <c r="AH331" s="105"/>
      <c r="AI331" s="105"/>
      <c r="AJ331" s="107">
        <f t="shared" si="72"/>
        <v>0</v>
      </c>
      <c r="AK331" s="105"/>
      <c r="AL331" s="105"/>
      <c r="AM331" s="105"/>
      <c r="AN331" s="105"/>
      <c r="AO331" s="105"/>
      <c r="AP331" s="105"/>
      <c r="AQ331" s="108">
        <f t="shared" si="73"/>
        <v>0</v>
      </c>
      <c r="AR331" s="108">
        <f t="shared" si="74"/>
        <v>0</v>
      </c>
      <c r="AS331" s="109">
        <f t="shared" si="75"/>
        <v>0</v>
      </c>
      <c r="AU331" s="110">
        <f t="shared" si="67"/>
        <v>0</v>
      </c>
      <c r="AV331" s="111" t="str">
        <f>IF(D331="NR",
IF('ZD Vorerfassung'!$E$22="",0,IF(AND(B331&gt;='ZD Vorerfassung'!$C$22,B331&lt;='ZD Vorerfassung'!$D$22),HLOOKUP(TEXT(C331,"ttt"),'ZD Vorerfassung'!$H$21:$L$36,2,0),0))+
IF('ZD Vorerfassung'!$E$23="",0,IF(AND(B331&gt;='ZD Vorerfassung'!$C$23,B331&lt;='ZD Vorerfassung'!$D$23),HLOOKUP(TEXT(C331,"ttt"),'ZD Vorerfassung'!$H$21:$L$36,3,0),0))+
IF('ZD Vorerfassung'!$E$24="",0,IF(AND(B331&gt;='ZD Vorerfassung'!$C$24,B331&lt;='ZD Vorerfassung'!$D$24),HLOOKUP(TEXT(C331,"ttt"),'ZD Vorerfassung'!$H$21:$L$36,4,0),0))+
IF('ZD Vorerfassung'!$E$25="",0,IF(AND(B331&gt;='ZD Vorerfassung'!$C$25,B331&lt;='ZD Vorerfassung'!$D$25),HLOOKUP(TEXT(C331,"ttt"),'ZD Vorerfassung'!$H$21:$L$36,5,0),0))+
IF('ZD Vorerfassung'!$E$26="",0,IF(AND(B331&gt;='ZD Vorerfassung'!$C$26,B331&lt;='ZD Vorerfassung'!$D$26),HLOOKUP(TEXT(C331,"ttt"),'ZD Vorerfassung'!$H$21:$L$36,6,0),0))+
IF('ZD Vorerfassung'!$E$27="",0,IF(AND(B331&gt;='ZD Vorerfassung'!$C$27,B331&lt;='ZD Vorerfassung'!$D$27),HLOOKUP(TEXT(C331,"ttt"),'ZD Vorerfassung'!$H$21:$L$36,7,0),0))+
IF('ZD Vorerfassung'!$E$28="",0,IF(AND(B331&gt;='ZD Vorerfassung'!$C$28,B331&lt;='ZD Vorerfassung'!$D$28),HLOOKUP(TEXT(C331,"ttt"),'ZD Vorerfassung'!$H$21:$L$36,8,0),0))+
IF('ZD Vorerfassung'!$E$29="",0,IF(AND(B331&gt;='ZD Vorerfassung'!$C$29,B331&lt;='ZD Vorerfassung'!$D$29),HLOOKUP(TEXT(C331,"ttt"),'ZD Vorerfassung'!$H$21:$L$36,9,0),0))+
IF('ZD Vorerfassung'!$E$30="",0,IF(AND(B331&gt;='ZD Vorerfassung'!$C$30,B331&lt;='ZD Vorerfassung'!$D$30),HLOOKUP(TEXT(C331,"ttt"),'ZD Vorerfassung'!$H$21:$L$36,10,0),0))+
IF('ZD Vorerfassung'!$E$31="",0,IF(AND(B331&gt;='ZD Vorerfassung'!$C$31,B331&lt;='ZD Vorerfassung'!$D$31),HLOOKUP(TEXT(C331,"ttt"),'ZD Vorerfassung'!$H$21:$L$36,11,0),0))+
IF('ZD Vorerfassung'!$E$32="",0,IF(AND(B331&gt;='ZD Vorerfassung'!$C$32,B331&lt;='ZD Vorerfassung'!$D$32),HLOOKUP(TEXT(C331,"ttt"),'ZD Vorerfassung'!$H$21:$L$36,12,0),0))+
IF('ZD Vorerfassung'!$E$33="",0,IF(AND(B331&gt;='ZD Vorerfassung'!$C$33,B331&lt;='ZD Vorerfassung'!$D$33),HLOOKUP(TEXT(C331,"ttt"),'ZD Vorerfassung'!$H$21:$L$36,13,0),0))+
IF('ZD Vorerfassung'!$E$34="",0,IF(AND(B331&gt;='ZD Vorerfassung'!$C$34,B331&lt;='ZD Vorerfassung'!$D$34),HLOOKUP(TEXT(C331,"ttt"),'ZD Vorerfassung'!$H$21:$L$36,14,0),0))+
IF('ZD Vorerfassung'!$E$35="",0,IF(AND(B331&gt;='ZD Vorerfassung'!$C$35,B331&lt;='ZD Vorerfassung'!$D$35),HLOOKUP(TEXT(C331,"ttt"),'ZD Vorerfassung'!$H$21:$L$36,15,0),0))+
IF('ZD Vorerfassung'!$E$36="",0,IF(AND(B331&gt;='ZD Vorerfassung'!$C$36,B331&lt;='ZD Vorerfassung'!$D$36),HLOOKUP(TEXT(C331,"ttt"),'ZD Vorerfassung'!$H$21:$L$36,16,0),0)),"")</f>
        <v/>
      </c>
      <c r="AW331" s="110">
        <f t="array" ref="AW331">IF(OR(D331="UU",D331="FT",D331="WE"),0,
IF(D331="NR",SUM(IF(B331&gt;=_xlfn.NUMBERVALUE('ZD Vorerfassung'!$C$22:$C$36),1,0)*IF(B331&lt;=_xlfn.NUMBERVALUE('ZD Vorerfassung'!$D$22:$D$36),1,0)*'ZD Vorerfassung'!$Q$22:$Q$36),
IF(OR(D331="SF",D331="FH"),SUM(IF(B331&gt;=_xlfn.NUMBERVALUE('ZD Vorerfassung'!$C$22:$C$36),1,0)*IF(B331&lt;=_xlfn.NUMBERVALUE('ZD Vorerfassung'!$D$22:$D$36),1,0)*'ZD Vorerfassung'!$R$22:$R$36*IF(D331="FH",0.5,1)),
"prüfen")))</f>
        <v>0</v>
      </c>
      <c r="AX331" s="110">
        <f t="array" ref="AX331">IF(OR(D331="UU",D331="FT",D331="WE",E331="Ferien"),0,
IF(D331="NR",SUM(IF(B331&gt;=_xlfn.NUMBERVALUE('ZD Vorerfassung'!$C$22:$C$36),1,0)*IF(B331&lt;=_xlfn.NUMBERVALUE('ZD Vorerfassung'!$D$22:$D$36),1,0)*'ZD Vorerfassung'!$W$22:$W$36),
IF(OR(D331="SF",D331="FH"),SUM(IF(B331&gt;=_xlfn.NUMBERVALUE('ZD Vorerfassung'!$C$22:$C$36),1,0)*IF(B331&lt;=_xlfn.NUMBERVALUE('ZD Vorerfassung'!$D$22:$D$36),1,0)*'ZD Vorerfassung'!$X$22:$X$36*IF(D331="FH",0.5,1)),
"prüfen")))</f>
        <v>0</v>
      </c>
      <c r="AY331" s="110">
        <f t="array" ref="AY331">IF(OR(D331="UU",D331="FT",D331="WE",E331="Ferien"),0,
IF(D331="NR",SUM(IF(B331&gt;=_xlfn.NUMBERVALUE('ZD Vorerfassung'!$C$22:$C$36),1,0)*IF(B331&lt;=_xlfn.NUMBERVALUE('ZD Vorerfassung'!$D$22:$D$36),1,0)*'ZD Vorerfassung'!$U$22:$U$36),
IF(OR(D331="SF",D331="FH"),SUM(IF(B331&gt;=_xlfn.NUMBERVALUE('ZD Vorerfassung'!$C$22:$C$36),1,0)*IF(B331&lt;=_xlfn.NUMBERVALUE('ZD Vorerfassung'!$D$22:$D$36),1,0)*'ZD Vorerfassung'!$V$22:$V$36*IF(D331="FH",0.5,1)),
"prüfen")))</f>
        <v>0</v>
      </c>
      <c r="AZ331" s="110">
        <f t="array" ref="AZ331">IF(OR(D331="UU",D331="FT",D331="WE",E331="Ferien"),0,
IF(D331="NR",SUM(IF(B331&gt;=_xlfn.NUMBERVALUE('ZD Vorerfassung'!$C$22:$C$36),1,0)*IF(B331&lt;=_xlfn.NUMBERVALUE('ZD Vorerfassung'!$D$22:$D$36),1,0)*'ZD Vorerfassung'!$S$22:$S$36),
IF(OR(D331="SF",D331="FH"),SUM(IF(B331&gt;=_xlfn.NUMBERVALUE('ZD Vorerfassung'!$C$22:$C$36),1,0)*IF(B331&lt;=_xlfn.NUMBERVALUE('ZD Vorerfassung'!$D$22:$D$36),1,0)*'ZD Vorerfassung'!$T$22:$T$36*IF(D331="FH",0.5,1)),
"prüfen")))</f>
        <v>0</v>
      </c>
      <c r="BA331" s="112">
        <f t="shared" si="76"/>
        <v>6</v>
      </c>
    </row>
    <row r="332" spans="2:53" ht="19.5" thickTop="1" thickBot="1" x14ac:dyDescent="0.3">
      <c r="B332" s="99">
        <f t="shared" si="65"/>
        <v>45097</v>
      </c>
      <c r="C332" s="100">
        <f t="shared" si="68"/>
        <v>45097</v>
      </c>
      <c r="D332" s="101" t="str">
        <f t="shared" si="69"/>
        <v>NR</v>
      </c>
      <c r="E332" s="102" t="str">
        <f t="shared" si="66"/>
        <v>Unterrichtstag</v>
      </c>
      <c r="F332" s="103">
        <f t="shared" si="70"/>
        <v>0</v>
      </c>
      <c r="G332" s="104">
        <f t="shared" si="71"/>
        <v>0</v>
      </c>
      <c r="H332" s="104">
        <f>IFERROR(IF('ZD Vorerfassung'!$E$11="manuell",SUM(I332),IF(OR(E332="Feiertag",E332="Wochenende"),0,IF('ZD Vorerfassung'!$E$11="automatisch",AX332,IF(D332="UU","UU",IF(E332=Param2,AX332/24,IF(E332=Param9,AX332/48,"")))))),0)</f>
        <v>0</v>
      </c>
      <c r="I332" s="105"/>
      <c r="J332" s="106">
        <f>IF('ZD Vorerfassung'!$E$12="manuell",SUM(K332:AI332),IF(OR(E332="Feiertag",E332="Wochenende"),0,IF('ZD Vorerfassung'!$E$12="automatisch",AY332,IF(D332="UU","UU",IF(E332=Param2,AY332/24,IF(E332=Param9,AY332/48,""))))))</f>
        <v>0</v>
      </c>
      <c r="K332" s="105"/>
      <c r="L332" s="105"/>
      <c r="M332" s="105"/>
      <c r="N332" s="105"/>
      <c r="O332" s="105"/>
      <c r="P332" s="105"/>
      <c r="Q332" s="105"/>
      <c r="R332" s="105"/>
      <c r="S332" s="105"/>
      <c r="T332" s="105"/>
      <c r="U332" s="105"/>
      <c r="V332" s="105"/>
      <c r="W332" s="105"/>
      <c r="X332" s="105"/>
      <c r="Y332" s="105"/>
      <c r="Z332" s="105"/>
      <c r="AA332" s="105"/>
      <c r="AB332" s="105"/>
      <c r="AC332" s="105"/>
      <c r="AD332" s="105"/>
      <c r="AE332" s="105"/>
      <c r="AF332" s="105"/>
      <c r="AG332" s="105"/>
      <c r="AH332" s="105"/>
      <c r="AI332" s="105"/>
      <c r="AJ332" s="107">
        <f t="shared" si="72"/>
        <v>0</v>
      </c>
      <c r="AK332" s="105"/>
      <c r="AL332" s="105"/>
      <c r="AM332" s="105"/>
      <c r="AN332" s="105"/>
      <c r="AO332" s="105"/>
      <c r="AP332" s="105"/>
      <c r="AQ332" s="108">
        <f t="shared" si="73"/>
        <v>0</v>
      </c>
      <c r="AR332" s="108">
        <f t="shared" si="74"/>
        <v>0</v>
      </c>
      <c r="AS332" s="109">
        <f t="shared" si="75"/>
        <v>0</v>
      </c>
      <c r="AU332" s="110">
        <f t="shared" si="67"/>
        <v>0</v>
      </c>
      <c r="AV332" s="111">
        <f>IF(D332="NR",
IF('ZD Vorerfassung'!$E$22="",0,IF(AND(B332&gt;='ZD Vorerfassung'!$C$22,B332&lt;='ZD Vorerfassung'!$D$22),HLOOKUP(TEXT(C332,"ttt"),'ZD Vorerfassung'!$H$21:$L$36,2,0),0))+
IF('ZD Vorerfassung'!$E$23="",0,IF(AND(B332&gt;='ZD Vorerfassung'!$C$23,B332&lt;='ZD Vorerfassung'!$D$23),HLOOKUP(TEXT(C332,"ttt"),'ZD Vorerfassung'!$H$21:$L$36,3,0),0))+
IF('ZD Vorerfassung'!$E$24="",0,IF(AND(B332&gt;='ZD Vorerfassung'!$C$24,B332&lt;='ZD Vorerfassung'!$D$24),HLOOKUP(TEXT(C332,"ttt"),'ZD Vorerfassung'!$H$21:$L$36,4,0),0))+
IF('ZD Vorerfassung'!$E$25="",0,IF(AND(B332&gt;='ZD Vorerfassung'!$C$25,B332&lt;='ZD Vorerfassung'!$D$25),HLOOKUP(TEXT(C332,"ttt"),'ZD Vorerfassung'!$H$21:$L$36,5,0),0))+
IF('ZD Vorerfassung'!$E$26="",0,IF(AND(B332&gt;='ZD Vorerfassung'!$C$26,B332&lt;='ZD Vorerfassung'!$D$26),HLOOKUP(TEXT(C332,"ttt"),'ZD Vorerfassung'!$H$21:$L$36,6,0),0))+
IF('ZD Vorerfassung'!$E$27="",0,IF(AND(B332&gt;='ZD Vorerfassung'!$C$27,B332&lt;='ZD Vorerfassung'!$D$27),HLOOKUP(TEXT(C332,"ttt"),'ZD Vorerfassung'!$H$21:$L$36,7,0),0))+
IF('ZD Vorerfassung'!$E$28="",0,IF(AND(B332&gt;='ZD Vorerfassung'!$C$28,B332&lt;='ZD Vorerfassung'!$D$28),HLOOKUP(TEXT(C332,"ttt"),'ZD Vorerfassung'!$H$21:$L$36,8,0),0))+
IF('ZD Vorerfassung'!$E$29="",0,IF(AND(B332&gt;='ZD Vorerfassung'!$C$29,B332&lt;='ZD Vorerfassung'!$D$29),HLOOKUP(TEXT(C332,"ttt"),'ZD Vorerfassung'!$H$21:$L$36,9,0),0))+
IF('ZD Vorerfassung'!$E$30="",0,IF(AND(B332&gt;='ZD Vorerfassung'!$C$30,B332&lt;='ZD Vorerfassung'!$D$30),HLOOKUP(TEXT(C332,"ttt"),'ZD Vorerfassung'!$H$21:$L$36,10,0),0))+
IF('ZD Vorerfassung'!$E$31="",0,IF(AND(B332&gt;='ZD Vorerfassung'!$C$31,B332&lt;='ZD Vorerfassung'!$D$31),HLOOKUP(TEXT(C332,"ttt"),'ZD Vorerfassung'!$H$21:$L$36,11,0),0))+
IF('ZD Vorerfassung'!$E$32="",0,IF(AND(B332&gt;='ZD Vorerfassung'!$C$32,B332&lt;='ZD Vorerfassung'!$D$32),HLOOKUP(TEXT(C332,"ttt"),'ZD Vorerfassung'!$H$21:$L$36,12,0),0))+
IF('ZD Vorerfassung'!$E$33="",0,IF(AND(B332&gt;='ZD Vorerfassung'!$C$33,B332&lt;='ZD Vorerfassung'!$D$33),HLOOKUP(TEXT(C332,"ttt"),'ZD Vorerfassung'!$H$21:$L$36,13,0),0))+
IF('ZD Vorerfassung'!$E$34="",0,IF(AND(B332&gt;='ZD Vorerfassung'!$C$34,B332&lt;='ZD Vorerfassung'!$D$34),HLOOKUP(TEXT(C332,"ttt"),'ZD Vorerfassung'!$H$21:$L$36,14,0),0))+
IF('ZD Vorerfassung'!$E$35="",0,IF(AND(B332&gt;='ZD Vorerfassung'!$C$35,B332&lt;='ZD Vorerfassung'!$D$35),HLOOKUP(TEXT(C332,"ttt"),'ZD Vorerfassung'!$H$21:$L$36,15,0),0))+
IF('ZD Vorerfassung'!$E$36="",0,IF(AND(B332&gt;='ZD Vorerfassung'!$C$36,B332&lt;='ZD Vorerfassung'!$D$36),HLOOKUP(TEXT(C332,"ttt"),'ZD Vorerfassung'!$H$21:$L$36,16,0),0)),"")</f>
        <v>0</v>
      </c>
      <c r="AW332" s="110">
        <f t="array" ref="AW332">IF(OR(D332="UU",D332="FT",D332="WE"),0,
IF(D332="NR",SUM(IF(B332&gt;=_xlfn.NUMBERVALUE('ZD Vorerfassung'!$C$22:$C$36),1,0)*IF(B332&lt;=_xlfn.NUMBERVALUE('ZD Vorerfassung'!$D$22:$D$36),1,0)*'ZD Vorerfassung'!$Q$22:$Q$36),
IF(OR(D332="SF",D332="FH"),SUM(IF(B332&gt;=_xlfn.NUMBERVALUE('ZD Vorerfassung'!$C$22:$C$36),1,0)*IF(B332&lt;=_xlfn.NUMBERVALUE('ZD Vorerfassung'!$D$22:$D$36),1,0)*'ZD Vorerfassung'!$R$22:$R$36*IF(D332="FH",0.5,1)),
"prüfen")))</f>
        <v>0</v>
      </c>
      <c r="AX332" s="110">
        <f t="array" ref="AX332">IF(OR(D332="UU",D332="FT",D332="WE",E332="Ferien"),0,
IF(D332="NR",SUM(IF(B332&gt;=_xlfn.NUMBERVALUE('ZD Vorerfassung'!$C$22:$C$36),1,0)*IF(B332&lt;=_xlfn.NUMBERVALUE('ZD Vorerfassung'!$D$22:$D$36),1,0)*'ZD Vorerfassung'!$W$22:$W$36),
IF(OR(D332="SF",D332="FH"),SUM(IF(B332&gt;=_xlfn.NUMBERVALUE('ZD Vorerfassung'!$C$22:$C$36),1,0)*IF(B332&lt;=_xlfn.NUMBERVALUE('ZD Vorerfassung'!$D$22:$D$36),1,0)*'ZD Vorerfassung'!$X$22:$X$36*IF(D332="FH",0.5,1)),
"prüfen")))</f>
        <v>0</v>
      </c>
      <c r="AY332" s="110">
        <f t="array" ref="AY332">IF(OR(D332="UU",D332="FT",D332="WE",E332="Ferien"),0,
IF(D332="NR",SUM(IF(B332&gt;=_xlfn.NUMBERVALUE('ZD Vorerfassung'!$C$22:$C$36),1,0)*IF(B332&lt;=_xlfn.NUMBERVALUE('ZD Vorerfassung'!$D$22:$D$36),1,0)*'ZD Vorerfassung'!$U$22:$U$36),
IF(OR(D332="SF",D332="FH"),SUM(IF(B332&gt;=_xlfn.NUMBERVALUE('ZD Vorerfassung'!$C$22:$C$36),1,0)*IF(B332&lt;=_xlfn.NUMBERVALUE('ZD Vorerfassung'!$D$22:$D$36),1,0)*'ZD Vorerfassung'!$V$22:$V$36*IF(D332="FH",0.5,1)),
"prüfen")))</f>
        <v>0</v>
      </c>
      <c r="AZ332" s="110">
        <f t="array" ref="AZ332">IF(OR(D332="UU",D332="FT",D332="WE",E332="Ferien"),0,
IF(D332="NR",SUM(IF(B332&gt;=_xlfn.NUMBERVALUE('ZD Vorerfassung'!$C$22:$C$36),1,0)*IF(B332&lt;=_xlfn.NUMBERVALUE('ZD Vorerfassung'!$D$22:$D$36),1,0)*'ZD Vorerfassung'!$S$22:$S$36),
IF(OR(D332="SF",D332="FH"),SUM(IF(B332&gt;=_xlfn.NUMBERVALUE('ZD Vorerfassung'!$C$22:$C$36),1,0)*IF(B332&lt;=_xlfn.NUMBERVALUE('ZD Vorerfassung'!$D$22:$D$36),1,0)*'ZD Vorerfassung'!$T$22:$T$36*IF(D332="FH",0.5,1)),
"prüfen")))</f>
        <v>0</v>
      </c>
      <c r="BA332" s="112">
        <f t="shared" si="76"/>
        <v>6</v>
      </c>
    </row>
    <row r="333" spans="2:53" ht="19.5" thickTop="1" thickBot="1" x14ac:dyDescent="0.3">
      <c r="B333" s="99">
        <f t="shared" si="65"/>
        <v>45098</v>
      </c>
      <c r="C333" s="100">
        <f t="shared" si="68"/>
        <v>45098</v>
      </c>
      <c r="D333" s="101" t="str">
        <f t="shared" si="69"/>
        <v>NR</v>
      </c>
      <c r="E333" s="102" t="str">
        <f t="shared" si="66"/>
        <v>Unterrichtstag</v>
      </c>
      <c r="F333" s="103">
        <f t="shared" si="70"/>
        <v>0</v>
      </c>
      <c r="G333" s="104">
        <f t="shared" si="71"/>
        <v>0</v>
      </c>
      <c r="H333" s="104">
        <f>IFERROR(IF('ZD Vorerfassung'!$E$11="manuell",SUM(I333),IF(OR(E333="Feiertag",E333="Wochenende"),0,IF('ZD Vorerfassung'!$E$11="automatisch",AX333,IF(D333="UU","UU",IF(E333=Param2,AX333/24,IF(E333=Param9,AX333/48,"")))))),0)</f>
        <v>0</v>
      </c>
      <c r="I333" s="105"/>
      <c r="J333" s="106">
        <f>IF('ZD Vorerfassung'!$E$12="manuell",SUM(K333:AI333),IF(OR(E333="Feiertag",E333="Wochenende"),0,IF('ZD Vorerfassung'!$E$12="automatisch",AY333,IF(D333="UU","UU",IF(E333=Param2,AY333/24,IF(E333=Param9,AY333/48,""))))))</f>
        <v>0</v>
      </c>
      <c r="K333" s="105"/>
      <c r="L333" s="105"/>
      <c r="M333" s="105"/>
      <c r="N333" s="105"/>
      <c r="O333" s="105"/>
      <c r="P333" s="105"/>
      <c r="Q333" s="105"/>
      <c r="R333" s="105"/>
      <c r="S333" s="105"/>
      <c r="T333" s="105"/>
      <c r="U333" s="105"/>
      <c r="V333" s="105"/>
      <c r="W333" s="105"/>
      <c r="X333" s="105"/>
      <c r="Y333" s="105"/>
      <c r="Z333" s="105"/>
      <c r="AA333" s="105"/>
      <c r="AB333" s="105"/>
      <c r="AC333" s="105"/>
      <c r="AD333" s="105"/>
      <c r="AE333" s="105"/>
      <c r="AF333" s="105"/>
      <c r="AG333" s="105"/>
      <c r="AH333" s="105"/>
      <c r="AI333" s="105"/>
      <c r="AJ333" s="107">
        <f t="shared" si="72"/>
        <v>0</v>
      </c>
      <c r="AK333" s="105"/>
      <c r="AL333" s="105"/>
      <c r="AM333" s="105"/>
      <c r="AN333" s="105"/>
      <c r="AO333" s="105"/>
      <c r="AP333" s="105"/>
      <c r="AQ333" s="108">
        <f t="shared" si="73"/>
        <v>0</v>
      </c>
      <c r="AR333" s="108">
        <f t="shared" si="74"/>
        <v>0</v>
      </c>
      <c r="AS333" s="109">
        <f t="shared" si="75"/>
        <v>0</v>
      </c>
      <c r="AU333" s="110">
        <f t="shared" si="67"/>
        <v>0</v>
      </c>
      <c r="AV333" s="111">
        <f>IF(D333="NR",
IF('ZD Vorerfassung'!$E$22="",0,IF(AND(B333&gt;='ZD Vorerfassung'!$C$22,B333&lt;='ZD Vorerfassung'!$D$22),HLOOKUP(TEXT(C333,"ttt"),'ZD Vorerfassung'!$H$21:$L$36,2,0),0))+
IF('ZD Vorerfassung'!$E$23="",0,IF(AND(B333&gt;='ZD Vorerfassung'!$C$23,B333&lt;='ZD Vorerfassung'!$D$23),HLOOKUP(TEXT(C333,"ttt"),'ZD Vorerfassung'!$H$21:$L$36,3,0),0))+
IF('ZD Vorerfassung'!$E$24="",0,IF(AND(B333&gt;='ZD Vorerfassung'!$C$24,B333&lt;='ZD Vorerfassung'!$D$24),HLOOKUP(TEXT(C333,"ttt"),'ZD Vorerfassung'!$H$21:$L$36,4,0),0))+
IF('ZD Vorerfassung'!$E$25="",0,IF(AND(B333&gt;='ZD Vorerfassung'!$C$25,B333&lt;='ZD Vorerfassung'!$D$25),HLOOKUP(TEXT(C333,"ttt"),'ZD Vorerfassung'!$H$21:$L$36,5,0),0))+
IF('ZD Vorerfassung'!$E$26="",0,IF(AND(B333&gt;='ZD Vorerfassung'!$C$26,B333&lt;='ZD Vorerfassung'!$D$26),HLOOKUP(TEXT(C333,"ttt"),'ZD Vorerfassung'!$H$21:$L$36,6,0),0))+
IF('ZD Vorerfassung'!$E$27="",0,IF(AND(B333&gt;='ZD Vorerfassung'!$C$27,B333&lt;='ZD Vorerfassung'!$D$27),HLOOKUP(TEXT(C333,"ttt"),'ZD Vorerfassung'!$H$21:$L$36,7,0),0))+
IF('ZD Vorerfassung'!$E$28="",0,IF(AND(B333&gt;='ZD Vorerfassung'!$C$28,B333&lt;='ZD Vorerfassung'!$D$28),HLOOKUP(TEXT(C333,"ttt"),'ZD Vorerfassung'!$H$21:$L$36,8,0),0))+
IF('ZD Vorerfassung'!$E$29="",0,IF(AND(B333&gt;='ZD Vorerfassung'!$C$29,B333&lt;='ZD Vorerfassung'!$D$29),HLOOKUP(TEXT(C333,"ttt"),'ZD Vorerfassung'!$H$21:$L$36,9,0),0))+
IF('ZD Vorerfassung'!$E$30="",0,IF(AND(B333&gt;='ZD Vorerfassung'!$C$30,B333&lt;='ZD Vorerfassung'!$D$30),HLOOKUP(TEXT(C333,"ttt"),'ZD Vorerfassung'!$H$21:$L$36,10,0),0))+
IF('ZD Vorerfassung'!$E$31="",0,IF(AND(B333&gt;='ZD Vorerfassung'!$C$31,B333&lt;='ZD Vorerfassung'!$D$31),HLOOKUP(TEXT(C333,"ttt"),'ZD Vorerfassung'!$H$21:$L$36,11,0),0))+
IF('ZD Vorerfassung'!$E$32="",0,IF(AND(B333&gt;='ZD Vorerfassung'!$C$32,B333&lt;='ZD Vorerfassung'!$D$32),HLOOKUP(TEXT(C333,"ttt"),'ZD Vorerfassung'!$H$21:$L$36,12,0),0))+
IF('ZD Vorerfassung'!$E$33="",0,IF(AND(B333&gt;='ZD Vorerfassung'!$C$33,B333&lt;='ZD Vorerfassung'!$D$33),HLOOKUP(TEXT(C333,"ttt"),'ZD Vorerfassung'!$H$21:$L$36,13,0),0))+
IF('ZD Vorerfassung'!$E$34="",0,IF(AND(B333&gt;='ZD Vorerfassung'!$C$34,B333&lt;='ZD Vorerfassung'!$D$34),HLOOKUP(TEXT(C333,"ttt"),'ZD Vorerfassung'!$H$21:$L$36,14,0),0))+
IF('ZD Vorerfassung'!$E$35="",0,IF(AND(B333&gt;='ZD Vorerfassung'!$C$35,B333&lt;='ZD Vorerfassung'!$D$35),HLOOKUP(TEXT(C333,"ttt"),'ZD Vorerfassung'!$H$21:$L$36,15,0),0))+
IF('ZD Vorerfassung'!$E$36="",0,IF(AND(B333&gt;='ZD Vorerfassung'!$C$36,B333&lt;='ZD Vorerfassung'!$D$36),HLOOKUP(TEXT(C333,"ttt"),'ZD Vorerfassung'!$H$21:$L$36,16,0),0)),"")</f>
        <v>0</v>
      </c>
      <c r="AW333" s="110">
        <f t="array" ref="AW333">IF(OR(D333="UU",D333="FT",D333="WE"),0,
IF(D333="NR",SUM(IF(B333&gt;=_xlfn.NUMBERVALUE('ZD Vorerfassung'!$C$22:$C$36),1,0)*IF(B333&lt;=_xlfn.NUMBERVALUE('ZD Vorerfassung'!$D$22:$D$36),1,0)*'ZD Vorerfassung'!$Q$22:$Q$36),
IF(OR(D333="SF",D333="FH"),SUM(IF(B333&gt;=_xlfn.NUMBERVALUE('ZD Vorerfassung'!$C$22:$C$36),1,0)*IF(B333&lt;=_xlfn.NUMBERVALUE('ZD Vorerfassung'!$D$22:$D$36),1,0)*'ZD Vorerfassung'!$R$22:$R$36*IF(D333="FH",0.5,1)),
"prüfen")))</f>
        <v>0</v>
      </c>
      <c r="AX333" s="110">
        <f t="array" ref="AX333">IF(OR(D333="UU",D333="FT",D333="WE",E333="Ferien"),0,
IF(D333="NR",SUM(IF(B333&gt;=_xlfn.NUMBERVALUE('ZD Vorerfassung'!$C$22:$C$36),1,0)*IF(B333&lt;=_xlfn.NUMBERVALUE('ZD Vorerfassung'!$D$22:$D$36),1,0)*'ZD Vorerfassung'!$W$22:$W$36),
IF(OR(D333="SF",D333="FH"),SUM(IF(B333&gt;=_xlfn.NUMBERVALUE('ZD Vorerfassung'!$C$22:$C$36),1,0)*IF(B333&lt;=_xlfn.NUMBERVALUE('ZD Vorerfassung'!$D$22:$D$36),1,0)*'ZD Vorerfassung'!$X$22:$X$36*IF(D333="FH",0.5,1)),
"prüfen")))</f>
        <v>0</v>
      </c>
      <c r="AY333" s="110">
        <f t="array" ref="AY333">IF(OR(D333="UU",D333="FT",D333="WE",E333="Ferien"),0,
IF(D333="NR",SUM(IF(B333&gt;=_xlfn.NUMBERVALUE('ZD Vorerfassung'!$C$22:$C$36),1,0)*IF(B333&lt;=_xlfn.NUMBERVALUE('ZD Vorerfassung'!$D$22:$D$36),1,0)*'ZD Vorerfassung'!$U$22:$U$36),
IF(OR(D333="SF",D333="FH"),SUM(IF(B333&gt;=_xlfn.NUMBERVALUE('ZD Vorerfassung'!$C$22:$C$36),1,0)*IF(B333&lt;=_xlfn.NUMBERVALUE('ZD Vorerfassung'!$D$22:$D$36),1,0)*'ZD Vorerfassung'!$V$22:$V$36*IF(D333="FH",0.5,1)),
"prüfen")))</f>
        <v>0</v>
      </c>
      <c r="AZ333" s="110">
        <f t="array" ref="AZ333">IF(OR(D333="UU",D333="FT",D333="WE",E333="Ferien"),0,
IF(D333="NR",SUM(IF(B333&gt;=_xlfn.NUMBERVALUE('ZD Vorerfassung'!$C$22:$C$36),1,0)*IF(B333&lt;=_xlfn.NUMBERVALUE('ZD Vorerfassung'!$D$22:$D$36),1,0)*'ZD Vorerfassung'!$S$22:$S$36),
IF(OR(D333="SF",D333="FH"),SUM(IF(B333&gt;=_xlfn.NUMBERVALUE('ZD Vorerfassung'!$C$22:$C$36),1,0)*IF(B333&lt;=_xlfn.NUMBERVALUE('ZD Vorerfassung'!$D$22:$D$36),1,0)*'ZD Vorerfassung'!$T$22:$T$36*IF(D333="FH",0.5,1)),
"prüfen")))</f>
        <v>0</v>
      </c>
      <c r="BA333" s="112">
        <f t="shared" si="76"/>
        <v>6</v>
      </c>
    </row>
    <row r="334" spans="2:53" ht="19.5" thickTop="1" thickBot="1" x14ac:dyDescent="0.3">
      <c r="B334" s="99">
        <f t="shared" si="65"/>
        <v>45099</v>
      </c>
      <c r="C334" s="100">
        <f t="shared" si="68"/>
        <v>45099</v>
      </c>
      <c r="D334" s="101" t="str">
        <f t="shared" si="69"/>
        <v>NR</v>
      </c>
      <c r="E334" s="102" t="str">
        <f t="shared" si="66"/>
        <v>Unterrichtstag</v>
      </c>
      <c r="F334" s="103">
        <f t="shared" si="70"/>
        <v>0</v>
      </c>
      <c r="G334" s="104">
        <f t="shared" si="71"/>
        <v>0</v>
      </c>
      <c r="H334" s="104">
        <f>IFERROR(IF('ZD Vorerfassung'!$E$11="manuell",SUM(I334),IF(OR(E334="Feiertag",E334="Wochenende"),0,IF('ZD Vorerfassung'!$E$11="automatisch",AX334,IF(D334="UU","UU",IF(E334=Param2,AX334/24,IF(E334=Param9,AX334/48,"")))))),0)</f>
        <v>0</v>
      </c>
      <c r="I334" s="105"/>
      <c r="J334" s="106">
        <f>IF('ZD Vorerfassung'!$E$12="manuell",SUM(K334:AI334),IF(OR(E334="Feiertag",E334="Wochenende"),0,IF('ZD Vorerfassung'!$E$12="automatisch",AY334,IF(D334="UU","UU",IF(E334=Param2,AY334/24,IF(E334=Param9,AY334/48,""))))))</f>
        <v>0</v>
      </c>
      <c r="K334" s="105"/>
      <c r="L334" s="105"/>
      <c r="M334" s="105"/>
      <c r="N334" s="105"/>
      <c r="O334" s="105"/>
      <c r="P334" s="105"/>
      <c r="Q334" s="105"/>
      <c r="R334" s="105"/>
      <c r="S334" s="105"/>
      <c r="T334" s="105"/>
      <c r="U334" s="105"/>
      <c r="V334" s="105"/>
      <c r="W334" s="105"/>
      <c r="X334" s="105"/>
      <c r="Y334" s="105"/>
      <c r="Z334" s="105"/>
      <c r="AA334" s="105"/>
      <c r="AB334" s="105"/>
      <c r="AC334" s="105"/>
      <c r="AD334" s="105"/>
      <c r="AE334" s="105"/>
      <c r="AF334" s="105"/>
      <c r="AG334" s="105"/>
      <c r="AH334" s="105"/>
      <c r="AI334" s="105"/>
      <c r="AJ334" s="107">
        <f t="shared" si="72"/>
        <v>0</v>
      </c>
      <c r="AK334" s="105"/>
      <c r="AL334" s="105"/>
      <c r="AM334" s="105"/>
      <c r="AN334" s="105"/>
      <c r="AO334" s="105"/>
      <c r="AP334" s="105"/>
      <c r="AQ334" s="108">
        <f t="shared" si="73"/>
        <v>0</v>
      </c>
      <c r="AR334" s="108">
        <f t="shared" si="74"/>
        <v>0</v>
      </c>
      <c r="AS334" s="109">
        <f t="shared" si="75"/>
        <v>0</v>
      </c>
      <c r="AU334" s="110">
        <f t="shared" si="67"/>
        <v>0</v>
      </c>
      <c r="AV334" s="111">
        <f>IF(D334="NR",
IF('ZD Vorerfassung'!$E$22="",0,IF(AND(B334&gt;='ZD Vorerfassung'!$C$22,B334&lt;='ZD Vorerfassung'!$D$22),HLOOKUP(TEXT(C334,"ttt"),'ZD Vorerfassung'!$H$21:$L$36,2,0),0))+
IF('ZD Vorerfassung'!$E$23="",0,IF(AND(B334&gt;='ZD Vorerfassung'!$C$23,B334&lt;='ZD Vorerfassung'!$D$23),HLOOKUP(TEXT(C334,"ttt"),'ZD Vorerfassung'!$H$21:$L$36,3,0),0))+
IF('ZD Vorerfassung'!$E$24="",0,IF(AND(B334&gt;='ZD Vorerfassung'!$C$24,B334&lt;='ZD Vorerfassung'!$D$24),HLOOKUP(TEXT(C334,"ttt"),'ZD Vorerfassung'!$H$21:$L$36,4,0),0))+
IF('ZD Vorerfassung'!$E$25="",0,IF(AND(B334&gt;='ZD Vorerfassung'!$C$25,B334&lt;='ZD Vorerfassung'!$D$25),HLOOKUP(TEXT(C334,"ttt"),'ZD Vorerfassung'!$H$21:$L$36,5,0),0))+
IF('ZD Vorerfassung'!$E$26="",0,IF(AND(B334&gt;='ZD Vorerfassung'!$C$26,B334&lt;='ZD Vorerfassung'!$D$26),HLOOKUP(TEXT(C334,"ttt"),'ZD Vorerfassung'!$H$21:$L$36,6,0),0))+
IF('ZD Vorerfassung'!$E$27="",0,IF(AND(B334&gt;='ZD Vorerfassung'!$C$27,B334&lt;='ZD Vorerfassung'!$D$27),HLOOKUP(TEXT(C334,"ttt"),'ZD Vorerfassung'!$H$21:$L$36,7,0),0))+
IF('ZD Vorerfassung'!$E$28="",0,IF(AND(B334&gt;='ZD Vorerfassung'!$C$28,B334&lt;='ZD Vorerfassung'!$D$28),HLOOKUP(TEXT(C334,"ttt"),'ZD Vorerfassung'!$H$21:$L$36,8,0),0))+
IF('ZD Vorerfassung'!$E$29="",0,IF(AND(B334&gt;='ZD Vorerfassung'!$C$29,B334&lt;='ZD Vorerfassung'!$D$29),HLOOKUP(TEXT(C334,"ttt"),'ZD Vorerfassung'!$H$21:$L$36,9,0),0))+
IF('ZD Vorerfassung'!$E$30="",0,IF(AND(B334&gt;='ZD Vorerfassung'!$C$30,B334&lt;='ZD Vorerfassung'!$D$30),HLOOKUP(TEXT(C334,"ttt"),'ZD Vorerfassung'!$H$21:$L$36,10,0),0))+
IF('ZD Vorerfassung'!$E$31="",0,IF(AND(B334&gt;='ZD Vorerfassung'!$C$31,B334&lt;='ZD Vorerfassung'!$D$31),HLOOKUP(TEXT(C334,"ttt"),'ZD Vorerfassung'!$H$21:$L$36,11,0),0))+
IF('ZD Vorerfassung'!$E$32="",0,IF(AND(B334&gt;='ZD Vorerfassung'!$C$32,B334&lt;='ZD Vorerfassung'!$D$32),HLOOKUP(TEXT(C334,"ttt"),'ZD Vorerfassung'!$H$21:$L$36,12,0),0))+
IF('ZD Vorerfassung'!$E$33="",0,IF(AND(B334&gt;='ZD Vorerfassung'!$C$33,B334&lt;='ZD Vorerfassung'!$D$33),HLOOKUP(TEXT(C334,"ttt"),'ZD Vorerfassung'!$H$21:$L$36,13,0),0))+
IF('ZD Vorerfassung'!$E$34="",0,IF(AND(B334&gt;='ZD Vorerfassung'!$C$34,B334&lt;='ZD Vorerfassung'!$D$34),HLOOKUP(TEXT(C334,"ttt"),'ZD Vorerfassung'!$H$21:$L$36,14,0),0))+
IF('ZD Vorerfassung'!$E$35="",0,IF(AND(B334&gt;='ZD Vorerfassung'!$C$35,B334&lt;='ZD Vorerfassung'!$D$35),HLOOKUP(TEXT(C334,"ttt"),'ZD Vorerfassung'!$H$21:$L$36,15,0),0))+
IF('ZD Vorerfassung'!$E$36="",0,IF(AND(B334&gt;='ZD Vorerfassung'!$C$36,B334&lt;='ZD Vorerfassung'!$D$36),HLOOKUP(TEXT(C334,"ttt"),'ZD Vorerfassung'!$H$21:$L$36,16,0),0)),"")</f>
        <v>0</v>
      </c>
      <c r="AW334" s="110">
        <f t="array" ref="AW334">IF(OR(D334="UU",D334="FT",D334="WE"),0,
IF(D334="NR",SUM(IF(B334&gt;=_xlfn.NUMBERVALUE('ZD Vorerfassung'!$C$22:$C$36),1,0)*IF(B334&lt;=_xlfn.NUMBERVALUE('ZD Vorerfassung'!$D$22:$D$36),1,0)*'ZD Vorerfassung'!$Q$22:$Q$36),
IF(OR(D334="SF",D334="FH"),SUM(IF(B334&gt;=_xlfn.NUMBERVALUE('ZD Vorerfassung'!$C$22:$C$36),1,0)*IF(B334&lt;=_xlfn.NUMBERVALUE('ZD Vorerfassung'!$D$22:$D$36),1,0)*'ZD Vorerfassung'!$R$22:$R$36*IF(D334="FH",0.5,1)),
"prüfen")))</f>
        <v>0</v>
      </c>
      <c r="AX334" s="110">
        <f t="array" ref="AX334">IF(OR(D334="UU",D334="FT",D334="WE",E334="Ferien"),0,
IF(D334="NR",SUM(IF(B334&gt;=_xlfn.NUMBERVALUE('ZD Vorerfassung'!$C$22:$C$36),1,0)*IF(B334&lt;=_xlfn.NUMBERVALUE('ZD Vorerfassung'!$D$22:$D$36),1,0)*'ZD Vorerfassung'!$W$22:$W$36),
IF(OR(D334="SF",D334="FH"),SUM(IF(B334&gt;=_xlfn.NUMBERVALUE('ZD Vorerfassung'!$C$22:$C$36),1,0)*IF(B334&lt;=_xlfn.NUMBERVALUE('ZD Vorerfassung'!$D$22:$D$36),1,0)*'ZD Vorerfassung'!$X$22:$X$36*IF(D334="FH",0.5,1)),
"prüfen")))</f>
        <v>0</v>
      </c>
      <c r="AY334" s="110">
        <f t="array" ref="AY334">IF(OR(D334="UU",D334="FT",D334="WE",E334="Ferien"),0,
IF(D334="NR",SUM(IF(B334&gt;=_xlfn.NUMBERVALUE('ZD Vorerfassung'!$C$22:$C$36),1,0)*IF(B334&lt;=_xlfn.NUMBERVALUE('ZD Vorerfassung'!$D$22:$D$36),1,0)*'ZD Vorerfassung'!$U$22:$U$36),
IF(OR(D334="SF",D334="FH"),SUM(IF(B334&gt;=_xlfn.NUMBERVALUE('ZD Vorerfassung'!$C$22:$C$36),1,0)*IF(B334&lt;=_xlfn.NUMBERVALUE('ZD Vorerfassung'!$D$22:$D$36),1,0)*'ZD Vorerfassung'!$V$22:$V$36*IF(D334="FH",0.5,1)),
"prüfen")))</f>
        <v>0</v>
      </c>
      <c r="AZ334" s="110">
        <f t="array" ref="AZ334">IF(OR(D334="UU",D334="FT",D334="WE",E334="Ferien"),0,
IF(D334="NR",SUM(IF(B334&gt;=_xlfn.NUMBERVALUE('ZD Vorerfassung'!$C$22:$C$36),1,0)*IF(B334&lt;=_xlfn.NUMBERVALUE('ZD Vorerfassung'!$D$22:$D$36),1,0)*'ZD Vorerfassung'!$S$22:$S$36),
IF(OR(D334="SF",D334="FH"),SUM(IF(B334&gt;=_xlfn.NUMBERVALUE('ZD Vorerfassung'!$C$22:$C$36),1,0)*IF(B334&lt;=_xlfn.NUMBERVALUE('ZD Vorerfassung'!$D$22:$D$36),1,0)*'ZD Vorerfassung'!$T$22:$T$36*IF(D334="FH",0.5,1)),
"prüfen")))</f>
        <v>0</v>
      </c>
      <c r="BA334" s="112">
        <f t="shared" si="76"/>
        <v>6</v>
      </c>
    </row>
    <row r="335" spans="2:53" ht="19.5" thickTop="1" thickBot="1" x14ac:dyDescent="0.3">
      <c r="B335" s="99">
        <f t="shared" si="65"/>
        <v>45100</v>
      </c>
      <c r="C335" s="100">
        <f t="shared" si="68"/>
        <v>45100</v>
      </c>
      <c r="D335" s="101" t="str">
        <f t="shared" si="69"/>
        <v>NR</v>
      </c>
      <c r="E335" s="102" t="str">
        <f t="shared" si="66"/>
        <v>Unterrichtstag</v>
      </c>
      <c r="F335" s="103">
        <f t="shared" si="70"/>
        <v>0</v>
      </c>
      <c r="G335" s="104">
        <f t="shared" si="71"/>
        <v>0</v>
      </c>
      <c r="H335" s="104">
        <f>IFERROR(IF('ZD Vorerfassung'!$E$11="manuell",SUM(I335),IF(OR(E335="Feiertag",E335="Wochenende"),0,IF('ZD Vorerfassung'!$E$11="automatisch",AX335,IF(D335="UU","UU",IF(E335=Param2,AX335/24,IF(E335=Param9,AX335/48,"")))))),0)</f>
        <v>0</v>
      </c>
      <c r="I335" s="105"/>
      <c r="J335" s="106">
        <f>IF('ZD Vorerfassung'!$E$12="manuell",SUM(K335:AI335),IF(OR(E335="Feiertag",E335="Wochenende"),0,IF('ZD Vorerfassung'!$E$12="automatisch",AY335,IF(D335="UU","UU",IF(E335=Param2,AY335/24,IF(E335=Param9,AY335/48,""))))))</f>
        <v>0</v>
      </c>
      <c r="K335" s="105"/>
      <c r="L335" s="105"/>
      <c r="M335" s="105"/>
      <c r="N335" s="105"/>
      <c r="O335" s="105"/>
      <c r="P335" s="105"/>
      <c r="Q335" s="105"/>
      <c r="R335" s="105"/>
      <c r="S335" s="105"/>
      <c r="T335" s="105"/>
      <c r="U335" s="105"/>
      <c r="V335" s="105"/>
      <c r="W335" s="105"/>
      <c r="X335" s="105"/>
      <c r="Y335" s="105"/>
      <c r="Z335" s="105"/>
      <c r="AA335" s="105"/>
      <c r="AB335" s="105"/>
      <c r="AC335" s="105"/>
      <c r="AD335" s="105"/>
      <c r="AE335" s="105"/>
      <c r="AF335" s="105"/>
      <c r="AG335" s="105"/>
      <c r="AH335" s="105"/>
      <c r="AI335" s="105"/>
      <c r="AJ335" s="107">
        <f t="shared" si="72"/>
        <v>0</v>
      </c>
      <c r="AK335" s="105"/>
      <c r="AL335" s="105"/>
      <c r="AM335" s="105"/>
      <c r="AN335" s="105"/>
      <c r="AO335" s="105"/>
      <c r="AP335" s="105"/>
      <c r="AQ335" s="108">
        <f t="shared" si="73"/>
        <v>0</v>
      </c>
      <c r="AR335" s="108">
        <f t="shared" si="74"/>
        <v>0</v>
      </c>
      <c r="AS335" s="109">
        <f t="shared" si="75"/>
        <v>0</v>
      </c>
      <c r="AU335" s="110">
        <f t="shared" si="67"/>
        <v>0</v>
      </c>
      <c r="AV335" s="111">
        <f>IF(D335="NR",
IF('ZD Vorerfassung'!$E$22="",0,IF(AND(B335&gt;='ZD Vorerfassung'!$C$22,B335&lt;='ZD Vorerfassung'!$D$22),HLOOKUP(TEXT(C335,"ttt"),'ZD Vorerfassung'!$H$21:$L$36,2,0),0))+
IF('ZD Vorerfassung'!$E$23="",0,IF(AND(B335&gt;='ZD Vorerfassung'!$C$23,B335&lt;='ZD Vorerfassung'!$D$23),HLOOKUP(TEXT(C335,"ttt"),'ZD Vorerfassung'!$H$21:$L$36,3,0),0))+
IF('ZD Vorerfassung'!$E$24="",0,IF(AND(B335&gt;='ZD Vorerfassung'!$C$24,B335&lt;='ZD Vorerfassung'!$D$24),HLOOKUP(TEXT(C335,"ttt"),'ZD Vorerfassung'!$H$21:$L$36,4,0),0))+
IF('ZD Vorerfassung'!$E$25="",0,IF(AND(B335&gt;='ZD Vorerfassung'!$C$25,B335&lt;='ZD Vorerfassung'!$D$25),HLOOKUP(TEXT(C335,"ttt"),'ZD Vorerfassung'!$H$21:$L$36,5,0),0))+
IF('ZD Vorerfassung'!$E$26="",0,IF(AND(B335&gt;='ZD Vorerfassung'!$C$26,B335&lt;='ZD Vorerfassung'!$D$26),HLOOKUP(TEXT(C335,"ttt"),'ZD Vorerfassung'!$H$21:$L$36,6,0),0))+
IF('ZD Vorerfassung'!$E$27="",0,IF(AND(B335&gt;='ZD Vorerfassung'!$C$27,B335&lt;='ZD Vorerfassung'!$D$27),HLOOKUP(TEXT(C335,"ttt"),'ZD Vorerfassung'!$H$21:$L$36,7,0),0))+
IF('ZD Vorerfassung'!$E$28="",0,IF(AND(B335&gt;='ZD Vorerfassung'!$C$28,B335&lt;='ZD Vorerfassung'!$D$28),HLOOKUP(TEXT(C335,"ttt"),'ZD Vorerfassung'!$H$21:$L$36,8,0),0))+
IF('ZD Vorerfassung'!$E$29="",0,IF(AND(B335&gt;='ZD Vorerfassung'!$C$29,B335&lt;='ZD Vorerfassung'!$D$29),HLOOKUP(TEXT(C335,"ttt"),'ZD Vorerfassung'!$H$21:$L$36,9,0),0))+
IF('ZD Vorerfassung'!$E$30="",0,IF(AND(B335&gt;='ZD Vorerfassung'!$C$30,B335&lt;='ZD Vorerfassung'!$D$30),HLOOKUP(TEXT(C335,"ttt"),'ZD Vorerfassung'!$H$21:$L$36,10,0),0))+
IF('ZD Vorerfassung'!$E$31="",0,IF(AND(B335&gt;='ZD Vorerfassung'!$C$31,B335&lt;='ZD Vorerfassung'!$D$31),HLOOKUP(TEXT(C335,"ttt"),'ZD Vorerfassung'!$H$21:$L$36,11,0),0))+
IF('ZD Vorerfassung'!$E$32="",0,IF(AND(B335&gt;='ZD Vorerfassung'!$C$32,B335&lt;='ZD Vorerfassung'!$D$32),HLOOKUP(TEXT(C335,"ttt"),'ZD Vorerfassung'!$H$21:$L$36,12,0),0))+
IF('ZD Vorerfassung'!$E$33="",0,IF(AND(B335&gt;='ZD Vorerfassung'!$C$33,B335&lt;='ZD Vorerfassung'!$D$33),HLOOKUP(TEXT(C335,"ttt"),'ZD Vorerfassung'!$H$21:$L$36,13,0),0))+
IF('ZD Vorerfassung'!$E$34="",0,IF(AND(B335&gt;='ZD Vorerfassung'!$C$34,B335&lt;='ZD Vorerfassung'!$D$34),HLOOKUP(TEXT(C335,"ttt"),'ZD Vorerfassung'!$H$21:$L$36,14,0),0))+
IF('ZD Vorerfassung'!$E$35="",0,IF(AND(B335&gt;='ZD Vorerfassung'!$C$35,B335&lt;='ZD Vorerfassung'!$D$35),HLOOKUP(TEXT(C335,"ttt"),'ZD Vorerfassung'!$H$21:$L$36,15,0),0))+
IF('ZD Vorerfassung'!$E$36="",0,IF(AND(B335&gt;='ZD Vorerfassung'!$C$36,B335&lt;='ZD Vorerfassung'!$D$36),HLOOKUP(TEXT(C335,"ttt"),'ZD Vorerfassung'!$H$21:$L$36,16,0),0)),"")</f>
        <v>0</v>
      </c>
      <c r="AW335" s="110">
        <f t="array" ref="AW335">IF(OR(D335="UU",D335="FT",D335="WE"),0,
IF(D335="NR",SUM(IF(B335&gt;=_xlfn.NUMBERVALUE('ZD Vorerfassung'!$C$22:$C$36),1,0)*IF(B335&lt;=_xlfn.NUMBERVALUE('ZD Vorerfassung'!$D$22:$D$36),1,0)*'ZD Vorerfassung'!$Q$22:$Q$36),
IF(OR(D335="SF",D335="FH"),SUM(IF(B335&gt;=_xlfn.NUMBERVALUE('ZD Vorerfassung'!$C$22:$C$36),1,0)*IF(B335&lt;=_xlfn.NUMBERVALUE('ZD Vorerfassung'!$D$22:$D$36),1,0)*'ZD Vorerfassung'!$R$22:$R$36*IF(D335="FH",0.5,1)),
"prüfen")))</f>
        <v>0</v>
      </c>
      <c r="AX335" s="110">
        <f t="array" ref="AX335">IF(OR(D335="UU",D335="FT",D335="WE",E335="Ferien"),0,
IF(D335="NR",SUM(IF(B335&gt;=_xlfn.NUMBERVALUE('ZD Vorerfassung'!$C$22:$C$36),1,0)*IF(B335&lt;=_xlfn.NUMBERVALUE('ZD Vorerfassung'!$D$22:$D$36),1,0)*'ZD Vorerfassung'!$W$22:$W$36),
IF(OR(D335="SF",D335="FH"),SUM(IF(B335&gt;=_xlfn.NUMBERVALUE('ZD Vorerfassung'!$C$22:$C$36),1,0)*IF(B335&lt;=_xlfn.NUMBERVALUE('ZD Vorerfassung'!$D$22:$D$36),1,0)*'ZD Vorerfassung'!$X$22:$X$36*IF(D335="FH",0.5,1)),
"prüfen")))</f>
        <v>0</v>
      </c>
      <c r="AY335" s="110">
        <f t="array" ref="AY335">IF(OR(D335="UU",D335="FT",D335="WE",E335="Ferien"),0,
IF(D335="NR",SUM(IF(B335&gt;=_xlfn.NUMBERVALUE('ZD Vorerfassung'!$C$22:$C$36),1,0)*IF(B335&lt;=_xlfn.NUMBERVALUE('ZD Vorerfassung'!$D$22:$D$36),1,0)*'ZD Vorerfassung'!$U$22:$U$36),
IF(OR(D335="SF",D335="FH"),SUM(IF(B335&gt;=_xlfn.NUMBERVALUE('ZD Vorerfassung'!$C$22:$C$36),1,0)*IF(B335&lt;=_xlfn.NUMBERVALUE('ZD Vorerfassung'!$D$22:$D$36),1,0)*'ZD Vorerfassung'!$V$22:$V$36*IF(D335="FH",0.5,1)),
"prüfen")))</f>
        <v>0</v>
      </c>
      <c r="AZ335" s="110">
        <f t="array" ref="AZ335">IF(OR(D335="UU",D335="FT",D335="WE",E335="Ferien"),0,
IF(D335="NR",SUM(IF(B335&gt;=_xlfn.NUMBERVALUE('ZD Vorerfassung'!$C$22:$C$36),1,0)*IF(B335&lt;=_xlfn.NUMBERVALUE('ZD Vorerfassung'!$D$22:$D$36),1,0)*'ZD Vorerfassung'!$S$22:$S$36),
IF(OR(D335="SF",D335="FH"),SUM(IF(B335&gt;=_xlfn.NUMBERVALUE('ZD Vorerfassung'!$C$22:$C$36),1,0)*IF(B335&lt;=_xlfn.NUMBERVALUE('ZD Vorerfassung'!$D$22:$D$36),1,0)*'ZD Vorerfassung'!$T$22:$T$36*IF(D335="FH",0.5,1)),
"prüfen")))</f>
        <v>0</v>
      </c>
      <c r="BA335" s="112">
        <f t="shared" si="76"/>
        <v>6</v>
      </c>
    </row>
    <row r="336" spans="2:53" ht="19.5" thickTop="1" thickBot="1" x14ac:dyDescent="0.3">
      <c r="B336" s="99">
        <f t="shared" si="65"/>
        <v>45101</v>
      </c>
      <c r="C336" s="100">
        <f t="shared" si="68"/>
        <v>45101</v>
      </c>
      <c r="D336" s="101" t="str">
        <f t="shared" si="69"/>
        <v>NR</v>
      </c>
      <c r="E336" s="102" t="str">
        <f t="shared" si="66"/>
        <v>Unterrichtstag</v>
      </c>
      <c r="F336" s="103">
        <f t="shared" si="70"/>
        <v>0</v>
      </c>
      <c r="G336" s="104">
        <f t="shared" si="71"/>
        <v>0</v>
      </c>
      <c r="H336" s="104">
        <f>IFERROR(IF('ZD Vorerfassung'!$E$11="manuell",SUM(I336),IF(OR(E336="Feiertag",E336="Wochenende"),0,IF('ZD Vorerfassung'!$E$11="automatisch",AX336,IF(D336="UU","UU",IF(E336=Param2,AX336/24,IF(E336=Param9,AX336/48,"")))))),0)</f>
        <v>0</v>
      </c>
      <c r="I336" s="105"/>
      <c r="J336" s="106">
        <f>IF('ZD Vorerfassung'!$E$12="manuell",SUM(K336:AI336),IF(OR(E336="Feiertag",E336="Wochenende"),0,IF('ZD Vorerfassung'!$E$12="automatisch",AY336,IF(D336="UU","UU",IF(E336=Param2,AY336/24,IF(E336=Param9,AY336/48,""))))))</f>
        <v>0</v>
      </c>
      <c r="K336" s="105"/>
      <c r="L336" s="105"/>
      <c r="M336" s="105"/>
      <c r="N336" s="105"/>
      <c r="O336" s="105"/>
      <c r="P336" s="105"/>
      <c r="Q336" s="105"/>
      <c r="R336" s="105"/>
      <c r="S336" s="105"/>
      <c r="T336" s="105"/>
      <c r="U336" s="105"/>
      <c r="V336" s="105"/>
      <c r="W336" s="105"/>
      <c r="X336" s="105"/>
      <c r="Y336" s="105"/>
      <c r="Z336" s="105"/>
      <c r="AA336" s="105"/>
      <c r="AB336" s="105"/>
      <c r="AC336" s="105"/>
      <c r="AD336" s="105"/>
      <c r="AE336" s="105"/>
      <c r="AF336" s="105"/>
      <c r="AG336" s="105"/>
      <c r="AH336" s="105"/>
      <c r="AI336" s="105"/>
      <c r="AJ336" s="107">
        <f t="shared" si="72"/>
        <v>0</v>
      </c>
      <c r="AK336" s="105"/>
      <c r="AL336" s="105"/>
      <c r="AM336" s="105"/>
      <c r="AN336" s="105"/>
      <c r="AO336" s="105"/>
      <c r="AP336" s="105"/>
      <c r="AQ336" s="108">
        <f t="shared" si="73"/>
        <v>0</v>
      </c>
      <c r="AR336" s="108">
        <f t="shared" si="74"/>
        <v>0</v>
      </c>
      <c r="AS336" s="109">
        <f t="shared" si="75"/>
        <v>0</v>
      </c>
      <c r="AU336" s="110">
        <f t="shared" si="67"/>
        <v>0</v>
      </c>
      <c r="AV336" s="111">
        <f>IF(D336="NR",
IF('ZD Vorerfassung'!$E$22="",0,IF(AND(B336&gt;='ZD Vorerfassung'!$C$22,B336&lt;='ZD Vorerfassung'!$D$22),HLOOKUP(TEXT(C336,"ttt"),'ZD Vorerfassung'!$H$21:$L$36,2,0),0))+
IF('ZD Vorerfassung'!$E$23="",0,IF(AND(B336&gt;='ZD Vorerfassung'!$C$23,B336&lt;='ZD Vorerfassung'!$D$23),HLOOKUP(TEXT(C336,"ttt"),'ZD Vorerfassung'!$H$21:$L$36,3,0),0))+
IF('ZD Vorerfassung'!$E$24="",0,IF(AND(B336&gt;='ZD Vorerfassung'!$C$24,B336&lt;='ZD Vorerfassung'!$D$24),HLOOKUP(TEXT(C336,"ttt"),'ZD Vorerfassung'!$H$21:$L$36,4,0),0))+
IF('ZD Vorerfassung'!$E$25="",0,IF(AND(B336&gt;='ZD Vorerfassung'!$C$25,B336&lt;='ZD Vorerfassung'!$D$25),HLOOKUP(TEXT(C336,"ttt"),'ZD Vorerfassung'!$H$21:$L$36,5,0),0))+
IF('ZD Vorerfassung'!$E$26="",0,IF(AND(B336&gt;='ZD Vorerfassung'!$C$26,B336&lt;='ZD Vorerfassung'!$D$26),HLOOKUP(TEXT(C336,"ttt"),'ZD Vorerfassung'!$H$21:$L$36,6,0),0))+
IF('ZD Vorerfassung'!$E$27="",0,IF(AND(B336&gt;='ZD Vorerfassung'!$C$27,B336&lt;='ZD Vorerfassung'!$D$27),HLOOKUP(TEXT(C336,"ttt"),'ZD Vorerfassung'!$H$21:$L$36,7,0),0))+
IF('ZD Vorerfassung'!$E$28="",0,IF(AND(B336&gt;='ZD Vorerfassung'!$C$28,B336&lt;='ZD Vorerfassung'!$D$28),HLOOKUP(TEXT(C336,"ttt"),'ZD Vorerfassung'!$H$21:$L$36,8,0),0))+
IF('ZD Vorerfassung'!$E$29="",0,IF(AND(B336&gt;='ZD Vorerfassung'!$C$29,B336&lt;='ZD Vorerfassung'!$D$29),HLOOKUP(TEXT(C336,"ttt"),'ZD Vorerfassung'!$H$21:$L$36,9,0),0))+
IF('ZD Vorerfassung'!$E$30="",0,IF(AND(B336&gt;='ZD Vorerfassung'!$C$30,B336&lt;='ZD Vorerfassung'!$D$30),HLOOKUP(TEXT(C336,"ttt"),'ZD Vorerfassung'!$H$21:$L$36,10,0),0))+
IF('ZD Vorerfassung'!$E$31="",0,IF(AND(B336&gt;='ZD Vorerfassung'!$C$31,B336&lt;='ZD Vorerfassung'!$D$31),HLOOKUP(TEXT(C336,"ttt"),'ZD Vorerfassung'!$H$21:$L$36,11,0),0))+
IF('ZD Vorerfassung'!$E$32="",0,IF(AND(B336&gt;='ZD Vorerfassung'!$C$32,B336&lt;='ZD Vorerfassung'!$D$32),HLOOKUP(TEXT(C336,"ttt"),'ZD Vorerfassung'!$H$21:$L$36,12,0),0))+
IF('ZD Vorerfassung'!$E$33="",0,IF(AND(B336&gt;='ZD Vorerfassung'!$C$33,B336&lt;='ZD Vorerfassung'!$D$33),HLOOKUP(TEXT(C336,"ttt"),'ZD Vorerfassung'!$H$21:$L$36,13,0),0))+
IF('ZD Vorerfassung'!$E$34="",0,IF(AND(B336&gt;='ZD Vorerfassung'!$C$34,B336&lt;='ZD Vorerfassung'!$D$34),HLOOKUP(TEXT(C336,"ttt"),'ZD Vorerfassung'!$H$21:$L$36,14,0),0))+
IF('ZD Vorerfassung'!$E$35="",0,IF(AND(B336&gt;='ZD Vorerfassung'!$C$35,B336&lt;='ZD Vorerfassung'!$D$35),HLOOKUP(TEXT(C336,"ttt"),'ZD Vorerfassung'!$H$21:$L$36,15,0),0))+
IF('ZD Vorerfassung'!$E$36="",0,IF(AND(B336&gt;='ZD Vorerfassung'!$C$36,B336&lt;='ZD Vorerfassung'!$D$36),HLOOKUP(TEXT(C336,"ttt"),'ZD Vorerfassung'!$H$21:$L$36,16,0),0)),"")</f>
        <v>0</v>
      </c>
      <c r="AW336" s="110">
        <f t="array" ref="AW336">IF(OR(D336="UU",D336="FT",D336="WE"),0,
IF(D336="NR",SUM(IF(B336&gt;=_xlfn.NUMBERVALUE('ZD Vorerfassung'!$C$22:$C$36),1,0)*IF(B336&lt;=_xlfn.NUMBERVALUE('ZD Vorerfassung'!$D$22:$D$36),1,0)*'ZD Vorerfassung'!$Q$22:$Q$36),
IF(OR(D336="SF",D336="FH"),SUM(IF(B336&gt;=_xlfn.NUMBERVALUE('ZD Vorerfassung'!$C$22:$C$36),1,0)*IF(B336&lt;=_xlfn.NUMBERVALUE('ZD Vorerfassung'!$D$22:$D$36),1,0)*'ZD Vorerfassung'!$R$22:$R$36*IF(D336="FH",0.5,1)),
"prüfen")))</f>
        <v>0</v>
      </c>
      <c r="AX336" s="110">
        <f t="array" ref="AX336">IF(OR(D336="UU",D336="FT",D336="WE",E336="Ferien"),0,
IF(D336="NR",SUM(IF(B336&gt;=_xlfn.NUMBERVALUE('ZD Vorerfassung'!$C$22:$C$36),1,0)*IF(B336&lt;=_xlfn.NUMBERVALUE('ZD Vorerfassung'!$D$22:$D$36),1,0)*'ZD Vorerfassung'!$W$22:$W$36),
IF(OR(D336="SF",D336="FH"),SUM(IF(B336&gt;=_xlfn.NUMBERVALUE('ZD Vorerfassung'!$C$22:$C$36),1,0)*IF(B336&lt;=_xlfn.NUMBERVALUE('ZD Vorerfassung'!$D$22:$D$36),1,0)*'ZD Vorerfassung'!$X$22:$X$36*IF(D336="FH",0.5,1)),
"prüfen")))</f>
        <v>0</v>
      </c>
      <c r="AY336" s="110">
        <f t="array" ref="AY336">IF(OR(D336="UU",D336="FT",D336="WE",E336="Ferien"),0,
IF(D336="NR",SUM(IF(B336&gt;=_xlfn.NUMBERVALUE('ZD Vorerfassung'!$C$22:$C$36),1,0)*IF(B336&lt;=_xlfn.NUMBERVALUE('ZD Vorerfassung'!$D$22:$D$36),1,0)*'ZD Vorerfassung'!$U$22:$U$36),
IF(OR(D336="SF",D336="FH"),SUM(IF(B336&gt;=_xlfn.NUMBERVALUE('ZD Vorerfassung'!$C$22:$C$36),1,0)*IF(B336&lt;=_xlfn.NUMBERVALUE('ZD Vorerfassung'!$D$22:$D$36),1,0)*'ZD Vorerfassung'!$V$22:$V$36*IF(D336="FH",0.5,1)),
"prüfen")))</f>
        <v>0</v>
      </c>
      <c r="AZ336" s="110">
        <f t="array" ref="AZ336">IF(OR(D336="UU",D336="FT",D336="WE",E336="Ferien"),0,
IF(D336="NR",SUM(IF(B336&gt;=_xlfn.NUMBERVALUE('ZD Vorerfassung'!$C$22:$C$36),1,0)*IF(B336&lt;=_xlfn.NUMBERVALUE('ZD Vorerfassung'!$D$22:$D$36),1,0)*'ZD Vorerfassung'!$S$22:$S$36),
IF(OR(D336="SF",D336="FH"),SUM(IF(B336&gt;=_xlfn.NUMBERVALUE('ZD Vorerfassung'!$C$22:$C$36),1,0)*IF(B336&lt;=_xlfn.NUMBERVALUE('ZD Vorerfassung'!$D$22:$D$36),1,0)*'ZD Vorerfassung'!$T$22:$T$36*IF(D336="FH",0.5,1)),
"prüfen")))</f>
        <v>0</v>
      </c>
      <c r="BA336" s="112">
        <f t="shared" si="76"/>
        <v>6</v>
      </c>
    </row>
    <row r="337" spans="2:53" ht="19.5" thickTop="1" thickBot="1" x14ac:dyDescent="0.3">
      <c r="B337" s="99">
        <f t="shared" si="65"/>
        <v>45102</v>
      </c>
      <c r="C337" s="100">
        <f t="shared" si="68"/>
        <v>45102</v>
      </c>
      <c r="D337" s="101" t="str">
        <f t="shared" si="69"/>
        <v>WE</v>
      </c>
      <c r="E337" s="102" t="str">
        <f t="shared" si="66"/>
        <v>Wochenende</v>
      </c>
      <c r="F337" s="103" t="str">
        <f t="shared" si="70"/>
        <v/>
      </c>
      <c r="G337" s="104" t="str">
        <f t="shared" si="71"/>
        <v/>
      </c>
      <c r="H337" s="104">
        <f>IFERROR(IF('ZD Vorerfassung'!$E$11="manuell",SUM(I337),IF(OR(E337="Feiertag",E337="Wochenende"),0,IF('ZD Vorerfassung'!$E$11="automatisch",AX337,IF(D337="UU","UU",IF(E337=Param2,AX337/24,IF(E337=Param9,AX337/48,"")))))),0)</f>
        <v>0</v>
      </c>
      <c r="I337" s="105"/>
      <c r="J337" s="106">
        <f>IF('ZD Vorerfassung'!$E$12="manuell",SUM(K337:AI337),IF(OR(E337="Feiertag",E337="Wochenende"),0,IF('ZD Vorerfassung'!$E$12="automatisch",AY337,IF(D337="UU","UU",IF(E337=Param2,AY337/24,IF(E337=Param9,AY337/48,""))))))</f>
        <v>0</v>
      </c>
      <c r="K337" s="105"/>
      <c r="L337" s="105"/>
      <c r="M337" s="105"/>
      <c r="N337" s="105"/>
      <c r="O337" s="105"/>
      <c r="P337" s="105"/>
      <c r="Q337" s="105"/>
      <c r="R337" s="105"/>
      <c r="S337" s="105"/>
      <c r="T337" s="105"/>
      <c r="U337" s="105"/>
      <c r="V337" s="105"/>
      <c r="W337" s="105"/>
      <c r="X337" s="105"/>
      <c r="Y337" s="105"/>
      <c r="Z337" s="105"/>
      <c r="AA337" s="105"/>
      <c r="AB337" s="105"/>
      <c r="AC337" s="105"/>
      <c r="AD337" s="105"/>
      <c r="AE337" s="105"/>
      <c r="AF337" s="105"/>
      <c r="AG337" s="105"/>
      <c r="AH337" s="105"/>
      <c r="AI337" s="105"/>
      <c r="AJ337" s="107">
        <f t="shared" si="72"/>
        <v>0</v>
      </c>
      <c r="AK337" s="105"/>
      <c r="AL337" s="105"/>
      <c r="AM337" s="105"/>
      <c r="AN337" s="105"/>
      <c r="AO337" s="105"/>
      <c r="AP337" s="105"/>
      <c r="AQ337" s="108">
        <f t="shared" si="73"/>
        <v>0</v>
      </c>
      <c r="AR337" s="108">
        <f t="shared" si="74"/>
        <v>0</v>
      </c>
      <c r="AS337" s="109">
        <f t="shared" si="75"/>
        <v>0</v>
      </c>
      <c r="AU337" s="110">
        <f t="shared" si="67"/>
        <v>0</v>
      </c>
      <c r="AV337" s="111" t="str">
        <f>IF(D337="NR",
IF('ZD Vorerfassung'!$E$22="",0,IF(AND(B337&gt;='ZD Vorerfassung'!$C$22,B337&lt;='ZD Vorerfassung'!$D$22),HLOOKUP(TEXT(C337,"ttt"),'ZD Vorerfassung'!$H$21:$L$36,2,0),0))+
IF('ZD Vorerfassung'!$E$23="",0,IF(AND(B337&gt;='ZD Vorerfassung'!$C$23,B337&lt;='ZD Vorerfassung'!$D$23),HLOOKUP(TEXT(C337,"ttt"),'ZD Vorerfassung'!$H$21:$L$36,3,0),0))+
IF('ZD Vorerfassung'!$E$24="",0,IF(AND(B337&gt;='ZD Vorerfassung'!$C$24,B337&lt;='ZD Vorerfassung'!$D$24),HLOOKUP(TEXT(C337,"ttt"),'ZD Vorerfassung'!$H$21:$L$36,4,0),0))+
IF('ZD Vorerfassung'!$E$25="",0,IF(AND(B337&gt;='ZD Vorerfassung'!$C$25,B337&lt;='ZD Vorerfassung'!$D$25),HLOOKUP(TEXT(C337,"ttt"),'ZD Vorerfassung'!$H$21:$L$36,5,0),0))+
IF('ZD Vorerfassung'!$E$26="",0,IF(AND(B337&gt;='ZD Vorerfassung'!$C$26,B337&lt;='ZD Vorerfassung'!$D$26),HLOOKUP(TEXT(C337,"ttt"),'ZD Vorerfassung'!$H$21:$L$36,6,0),0))+
IF('ZD Vorerfassung'!$E$27="",0,IF(AND(B337&gt;='ZD Vorerfassung'!$C$27,B337&lt;='ZD Vorerfassung'!$D$27),HLOOKUP(TEXT(C337,"ttt"),'ZD Vorerfassung'!$H$21:$L$36,7,0),0))+
IF('ZD Vorerfassung'!$E$28="",0,IF(AND(B337&gt;='ZD Vorerfassung'!$C$28,B337&lt;='ZD Vorerfassung'!$D$28),HLOOKUP(TEXT(C337,"ttt"),'ZD Vorerfassung'!$H$21:$L$36,8,0),0))+
IF('ZD Vorerfassung'!$E$29="",0,IF(AND(B337&gt;='ZD Vorerfassung'!$C$29,B337&lt;='ZD Vorerfassung'!$D$29),HLOOKUP(TEXT(C337,"ttt"),'ZD Vorerfassung'!$H$21:$L$36,9,0),0))+
IF('ZD Vorerfassung'!$E$30="",0,IF(AND(B337&gt;='ZD Vorerfassung'!$C$30,B337&lt;='ZD Vorerfassung'!$D$30),HLOOKUP(TEXT(C337,"ttt"),'ZD Vorerfassung'!$H$21:$L$36,10,0),0))+
IF('ZD Vorerfassung'!$E$31="",0,IF(AND(B337&gt;='ZD Vorerfassung'!$C$31,B337&lt;='ZD Vorerfassung'!$D$31),HLOOKUP(TEXT(C337,"ttt"),'ZD Vorerfassung'!$H$21:$L$36,11,0),0))+
IF('ZD Vorerfassung'!$E$32="",0,IF(AND(B337&gt;='ZD Vorerfassung'!$C$32,B337&lt;='ZD Vorerfassung'!$D$32),HLOOKUP(TEXT(C337,"ttt"),'ZD Vorerfassung'!$H$21:$L$36,12,0),0))+
IF('ZD Vorerfassung'!$E$33="",0,IF(AND(B337&gt;='ZD Vorerfassung'!$C$33,B337&lt;='ZD Vorerfassung'!$D$33),HLOOKUP(TEXT(C337,"ttt"),'ZD Vorerfassung'!$H$21:$L$36,13,0),0))+
IF('ZD Vorerfassung'!$E$34="",0,IF(AND(B337&gt;='ZD Vorerfassung'!$C$34,B337&lt;='ZD Vorerfassung'!$D$34),HLOOKUP(TEXT(C337,"ttt"),'ZD Vorerfassung'!$H$21:$L$36,14,0),0))+
IF('ZD Vorerfassung'!$E$35="",0,IF(AND(B337&gt;='ZD Vorerfassung'!$C$35,B337&lt;='ZD Vorerfassung'!$D$35),HLOOKUP(TEXT(C337,"ttt"),'ZD Vorerfassung'!$H$21:$L$36,15,0),0))+
IF('ZD Vorerfassung'!$E$36="",0,IF(AND(B337&gt;='ZD Vorerfassung'!$C$36,B337&lt;='ZD Vorerfassung'!$D$36),HLOOKUP(TEXT(C337,"ttt"),'ZD Vorerfassung'!$H$21:$L$36,16,0),0)),"")</f>
        <v/>
      </c>
      <c r="AW337" s="110">
        <f t="array" ref="AW337">IF(OR(D337="UU",D337="FT",D337="WE"),0,
IF(D337="NR",SUM(IF(B337&gt;=_xlfn.NUMBERVALUE('ZD Vorerfassung'!$C$22:$C$36),1,0)*IF(B337&lt;=_xlfn.NUMBERVALUE('ZD Vorerfassung'!$D$22:$D$36),1,0)*'ZD Vorerfassung'!$Q$22:$Q$36),
IF(OR(D337="SF",D337="FH"),SUM(IF(B337&gt;=_xlfn.NUMBERVALUE('ZD Vorerfassung'!$C$22:$C$36),1,0)*IF(B337&lt;=_xlfn.NUMBERVALUE('ZD Vorerfassung'!$D$22:$D$36),1,0)*'ZD Vorerfassung'!$R$22:$R$36*IF(D337="FH",0.5,1)),
"prüfen")))</f>
        <v>0</v>
      </c>
      <c r="AX337" s="110">
        <f t="array" ref="AX337">IF(OR(D337="UU",D337="FT",D337="WE",E337="Ferien"),0,
IF(D337="NR",SUM(IF(B337&gt;=_xlfn.NUMBERVALUE('ZD Vorerfassung'!$C$22:$C$36),1,0)*IF(B337&lt;=_xlfn.NUMBERVALUE('ZD Vorerfassung'!$D$22:$D$36),1,0)*'ZD Vorerfassung'!$W$22:$W$36),
IF(OR(D337="SF",D337="FH"),SUM(IF(B337&gt;=_xlfn.NUMBERVALUE('ZD Vorerfassung'!$C$22:$C$36),1,0)*IF(B337&lt;=_xlfn.NUMBERVALUE('ZD Vorerfassung'!$D$22:$D$36),1,0)*'ZD Vorerfassung'!$X$22:$X$36*IF(D337="FH",0.5,1)),
"prüfen")))</f>
        <v>0</v>
      </c>
      <c r="AY337" s="110">
        <f t="array" ref="AY337">IF(OR(D337="UU",D337="FT",D337="WE",E337="Ferien"),0,
IF(D337="NR",SUM(IF(B337&gt;=_xlfn.NUMBERVALUE('ZD Vorerfassung'!$C$22:$C$36),1,0)*IF(B337&lt;=_xlfn.NUMBERVALUE('ZD Vorerfassung'!$D$22:$D$36),1,0)*'ZD Vorerfassung'!$U$22:$U$36),
IF(OR(D337="SF",D337="FH"),SUM(IF(B337&gt;=_xlfn.NUMBERVALUE('ZD Vorerfassung'!$C$22:$C$36),1,0)*IF(B337&lt;=_xlfn.NUMBERVALUE('ZD Vorerfassung'!$D$22:$D$36),1,0)*'ZD Vorerfassung'!$V$22:$V$36*IF(D337="FH",0.5,1)),
"prüfen")))</f>
        <v>0</v>
      </c>
      <c r="AZ337" s="110">
        <f t="array" ref="AZ337">IF(OR(D337="UU",D337="FT",D337="WE",E337="Ferien"),0,
IF(D337="NR",SUM(IF(B337&gt;=_xlfn.NUMBERVALUE('ZD Vorerfassung'!$C$22:$C$36),1,0)*IF(B337&lt;=_xlfn.NUMBERVALUE('ZD Vorerfassung'!$D$22:$D$36),1,0)*'ZD Vorerfassung'!$S$22:$S$36),
IF(OR(D337="SF",D337="FH"),SUM(IF(B337&gt;=_xlfn.NUMBERVALUE('ZD Vorerfassung'!$C$22:$C$36),1,0)*IF(B337&lt;=_xlfn.NUMBERVALUE('ZD Vorerfassung'!$D$22:$D$36),1,0)*'ZD Vorerfassung'!$T$22:$T$36*IF(D337="FH",0.5,1)),
"prüfen")))</f>
        <v>0</v>
      </c>
      <c r="BA337" s="112">
        <f t="shared" si="76"/>
        <v>6</v>
      </c>
    </row>
    <row r="338" spans="2:53" ht="19.5" thickTop="1" thickBot="1" x14ac:dyDescent="0.3">
      <c r="B338" s="99">
        <f t="shared" si="65"/>
        <v>45103</v>
      </c>
      <c r="C338" s="100">
        <f t="shared" si="68"/>
        <v>45103</v>
      </c>
      <c r="D338" s="101" t="str">
        <f t="shared" si="69"/>
        <v>WE</v>
      </c>
      <c r="E338" s="102" t="str">
        <f t="shared" si="66"/>
        <v>Wochenende</v>
      </c>
      <c r="F338" s="103" t="str">
        <f t="shared" si="70"/>
        <v/>
      </c>
      <c r="G338" s="104" t="str">
        <f t="shared" si="71"/>
        <v/>
      </c>
      <c r="H338" s="104">
        <f>IFERROR(IF('ZD Vorerfassung'!$E$11="manuell",SUM(I338),IF(OR(E338="Feiertag",E338="Wochenende"),0,IF('ZD Vorerfassung'!$E$11="automatisch",AX338,IF(D338="UU","UU",IF(E338=Param2,AX338/24,IF(E338=Param9,AX338/48,"")))))),0)</f>
        <v>0</v>
      </c>
      <c r="I338" s="105"/>
      <c r="J338" s="106">
        <f>IF('ZD Vorerfassung'!$E$12="manuell",SUM(K338:AI338),IF(OR(E338="Feiertag",E338="Wochenende"),0,IF('ZD Vorerfassung'!$E$12="automatisch",AY338,IF(D338="UU","UU",IF(E338=Param2,AY338/24,IF(E338=Param9,AY338/48,""))))))</f>
        <v>0</v>
      </c>
      <c r="K338" s="105"/>
      <c r="L338" s="105"/>
      <c r="M338" s="105"/>
      <c r="N338" s="105"/>
      <c r="O338" s="105"/>
      <c r="P338" s="105"/>
      <c r="Q338" s="105"/>
      <c r="R338" s="105"/>
      <c r="S338" s="105"/>
      <c r="T338" s="105"/>
      <c r="U338" s="105"/>
      <c r="V338" s="105"/>
      <c r="W338" s="105"/>
      <c r="X338" s="105"/>
      <c r="Y338" s="105"/>
      <c r="Z338" s="105"/>
      <c r="AA338" s="105"/>
      <c r="AB338" s="105"/>
      <c r="AC338" s="105"/>
      <c r="AD338" s="105"/>
      <c r="AE338" s="105"/>
      <c r="AF338" s="105"/>
      <c r="AG338" s="105"/>
      <c r="AH338" s="105"/>
      <c r="AI338" s="105"/>
      <c r="AJ338" s="107">
        <f t="shared" si="72"/>
        <v>0</v>
      </c>
      <c r="AK338" s="105"/>
      <c r="AL338" s="105"/>
      <c r="AM338" s="105"/>
      <c r="AN338" s="105"/>
      <c r="AO338" s="105"/>
      <c r="AP338" s="105"/>
      <c r="AQ338" s="108">
        <f t="shared" si="73"/>
        <v>0</v>
      </c>
      <c r="AR338" s="108">
        <f t="shared" si="74"/>
        <v>0</v>
      </c>
      <c r="AS338" s="109">
        <f t="shared" si="75"/>
        <v>0</v>
      </c>
      <c r="AU338" s="110">
        <f t="shared" si="67"/>
        <v>0</v>
      </c>
      <c r="AV338" s="111" t="str">
        <f>IF(D338="NR",
IF('ZD Vorerfassung'!$E$22="",0,IF(AND(B338&gt;='ZD Vorerfassung'!$C$22,B338&lt;='ZD Vorerfassung'!$D$22),HLOOKUP(TEXT(C338,"ttt"),'ZD Vorerfassung'!$H$21:$L$36,2,0),0))+
IF('ZD Vorerfassung'!$E$23="",0,IF(AND(B338&gt;='ZD Vorerfassung'!$C$23,B338&lt;='ZD Vorerfassung'!$D$23),HLOOKUP(TEXT(C338,"ttt"),'ZD Vorerfassung'!$H$21:$L$36,3,0),0))+
IF('ZD Vorerfassung'!$E$24="",0,IF(AND(B338&gt;='ZD Vorerfassung'!$C$24,B338&lt;='ZD Vorerfassung'!$D$24),HLOOKUP(TEXT(C338,"ttt"),'ZD Vorerfassung'!$H$21:$L$36,4,0),0))+
IF('ZD Vorerfassung'!$E$25="",0,IF(AND(B338&gt;='ZD Vorerfassung'!$C$25,B338&lt;='ZD Vorerfassung'!$D$25),HLOOKUP(TEXT(C338,"ttt"),'ZD Vorerfassung'!$H$21:$L$36,5,0),0))+
IF('ZD Vorerfassung'!$E$26="",0,IF(AND(B338&gt;='ZD Vorerfassung'!$C$26,B338&lt;='ZD Vorerfassung'!$D$26),HLOOKUP(TEXT(C338,"ttt"),'ZD Vorerfassung'!$H$21:$L$36,6,0),0))+
IF('ZD Vorerfassung'!$E$27="",0,IF(AND(B338&gt;='ZD Vorerfassung'!$C$27,B338&lt;='ZD Vorerfassung'!$D$27),HLOOKUP(TEXT(C338,"ttt"),'ZD Vorerfassung'!$H$21:$L$36,7,0),0))+
IF('ZD Vorerfassung'!$E$28="",0,IF(AND(B338&gt;='ZD Vorerfassung'!$C$28,B338&lt;='ZD Vorerfassung'!$D$28),HLOOKUP(TEXT(C338,"ttt"),'ZD Vorerfassung'!$H$21:$L$36,8,0),0))+
IF('ZD Vorerfassung'!$E$29="",0,IF(AND(B338&gt;='ZD Vorerfassung'!$C$29,B338&lt;='ZD Vorerfassung'!$D$29),HLOOKUP(TEXT(C338,"ttt"),'ZD Vorerfassung'!$H$21:$L$36,9,0),0))+
IF('ZD Vorerfassung'!$E$30="",0,IF(AND(B338&gt;='ZD Vorerfassung'!$C$30,B338&lt;='ZD Vorerfassung'!$D$30),HLOOKUP(TEXT(C338,"ttt"),'ZD Vorerfassung'!$H$21:$L$36,10,0),0))+
IF('ZD Vorerfassung'!$E$31="",0,IF(AND(B338&gt;='ZD Vorerfassung'!$C$31,B338&lt;='ZD Vorerfassung'!$D$31),HLOOKUP(TEXT(C338,"ttt"),'ZD Vorerfassung'!$H$21:$L$36,11,0),0))+
IF('ZD Vorerfassung'!$E$32="",0,IF(AND(B338&gt;='ZD Vorerfassung'!$C$32,B338&lt;='ZD Vorerfassung'!$D$32),HLOOKUP(TEXT(C338,"ttt"),'ZD Vorerfassung'!$H$21:$L$36,12,0),0))+
IF('ZD Vorerfassung'!$E$33="",0,IF(AND(B338&gt;='ZD Vorerfassung'!$C$33,B338&lt;='ZD Vorerfassung'!$D$33),HLOOKUP(TEXT(C338,"ttt"),'ZD Vorerfassung'!$H$21:$L$36,13,0),0))+
IF('ZD Vorerfassung'!$E$34="",0,IF(AND(B338&gt;='ZD Vorerfassung'!$C$34,B338&lt;='ZD Vorerfassung'!$D$34),HLOOKUP(TEXT(C338,"ttt"),'ZD Vorerfassung'!$H$21:$L$36,14,0),0))+
IF('ZD Vorerfassung'!$E$35="",0,IF(AND(B338&gt;='ZD Vorerfassung'!$C$35,B338&lt;='ZD Vorerfassung'!$D$35),HLOOKUP(TEXT(C338,"ttt"),'ZD Vorerfassung'!$H$21:$L$36,15,0),0))+
IF('ZD Vorerfassung'!$E$36="",0,IF(AND(B338&gt;='ZD Vorerfassung'!$C$36,B338&lt;='ZD Vorerfassung'!$D$36),HLOOKUP(TEXT(C338,"ttt"),'ZD Vorerfassung'!$H$21:$L$36,16,0),0)),"")</f>
        <v/>
      </c>
      <c r="AW338" s="110">
        <f t="array" ref="AW338">IF(OR(D338="UU",D338="FT",D338="WE"),0,
IF(D338="NR",SUM(IF(B338&gt;=_xlfn.NUMBERVALUE('ZD Vorerfassung'!$C$22:$C$36),1,0)*IF(B338&lt;=_xlfn.NUMBERVALUE('ZD Vorerfassung'!$D$22:$D$36),1,0)*'ZD Vorerfassung'!$Q$22:$Q$36),
IF(OR(D338="SF",D338="FH"),SUM(IF(B338&gt;=_xlfn.NUMBERVALUE('ZD Vorerfassung'!$C$22:$C$36),1,0)*IF(B338&lt;=_xlfn.NUMBERVALUE('ZD Vorerfassung'!$D$22:$D$36),1,0)*'ZD Vorerfassung'!$R$22:$R$36*IF(D338="FH",0.5,1)),
"prüfen")))</f>
        <v>0</v>
      </c>
      <c r="AX338" s="110">
        <f t="array" ref="AX338">IF(OR(D338="UU",D338="FT",D338="WE",E338="Ferien"),0,
IF(D338="NR",SUM(IF(B338&gt;=_xlfn.NUMBERVALUE('ZD Vorerfassung'!$C$22:$C$36),1,0)*IF(B338&lt;=_xlfn.NUMBERVALUE('ZD Vorerfassung'!$D$22:$D$36),1,0)*'ZD Vorerfassung'!$W$22:$W$36),
IF(OR(D338="SF",D338="FH"),SUM(IF(B338&gt;=_xlfn.NUMBERVALUE('ZD Vorerfassung'!$C$22:$C$36),1,0)*IF(B338&lt;=_xlfn.NUMBERVALUE('ZD Vorerfassung'!$D$22:$D$36),1,0)*'ZD Vorerfassung'!$X$22:$X$36*IF(D338="FH",0.5,1)),
"prüfen")))</f>
        <v>0</v>
      </c>
      <c r="AY338" s="110">
        <f t="array" ref="AY338">IF(OR(D338="UU",D338="FT",D338="WE",E338="Ferien"),0,
IF(D338="NR",SUM(IF(B338&gt;=_xlfn.NUMBERVALUE('ZD Vorerfassung'!$C$22:$C$36),1,0)*IF(B338&lt;=_xlfn.NUMBERVALUE('ZD Vorerfassung'!$D$22:$D$36),1,0)*'ZD Vorerfassung'!$U$22:$U$36),
IF(OR(D338="SF",D338="FH"),SUM(IF(B338&gt;=_xlfn.NUMBERVALUE('ZD Vorerfassung'!$C$22:$C$36),1,0)*IF(B338&lt;=_xlfn.NUMBERVALUE('ZD Vorerfassung'!$D$22:$D$36),1,0)*'ZD Vorerfassung'!$V$22:$V$36*IF(D338="FH",0.5,1)),
"prüfen")))</f>
        <v>0</v>
      </c>
      <c r="AZ338" s="110">
        <f t="array" ref="AZ338">IF(OR(D338="UU",D338="FT",D338="WE",E338="Ferien"),0,
IF(D338="NR",SUM(IF(B338&gt;=_xlfn.NUMBERVALUE('ZD Vorerfassung'!$C$22:$C$36),1,0)*IF(B338&lt;=_xlfn.NUMBERVALUE('ZD Vorerfassung'!$D$22:$D$36),1,0)*'ZD Vorerfassung'!$S$22:$S$36),
IF(OR(D338="SF",D338="FH"),SUM(IF(B338&gt;=_xlfn.NUMBERVALUE('ZD Vorerfassung'!$C$22:$C$36),1,0)*IF(B338&lt;=_xlfn.NUMBERVALUE('ZD Vorerfassung'!$D$22:$D$36),1,0)*'ZD Vorerfassung'!$T$22:$T$36*IF(D338="FH",0.5,1)),
"prüfen")))</f>
        <v>0</v>
      </c>
      <c r="BA338" s="112">
        <f t="shared" si="76"/>
        <v>6</v>
      </c>
    </row>
    <row r="339" spans="2:53" ht="19.5" thickTop="1" thickBot="1" x14ac:dyDescent="0.3">
      <c r="B339" s="99">
        <f t="shared" si="65"/>
        <v>45104</v>
      </c>
      <c r="C339" s="100">
        <f t="shared" si="68"/>
        <v>45104</v>
      </c>
      <c r="D339" s="101" t="str">
        <f t="shared" si="69"/>
        <v>NR</v>
      </c>
      <c r="E339" s="102" t="str">
        <f t="shared" si="66"/>
        <v>Unterrichtstag</v>
      </c>
      <c r="F339" s="103">
        <f t="shared" si="70"/>
        <v>0</v>
      </c>
      <c r="G339" s="104">
        <f t="shared" si="71"/>
        <v>0</v>
      </c>
      <c r="H339" s="104">
        <f>IFERROR(IF('ZD Vorerfassung'!$E$11="manuell",SUM(I339),IF(OR(E339="Feiertag",E339="Wochenende"),0,IF('ZD Vorerfassung'!$E$11="automatisch",AX339,IF(D339="UU","UU",IF(E339=Param2,AX339/24,IF(E339=Param9,AX339/48,"")))))),0)</f>
        <v>0</v>
      </c>
      <c r="I339" s="105"/>
      <c r="J339" s="106">
        <f>IF('ZD Vorerfassung'!$E$12="manuell",SUM(K339:AI339),IF(OR(E339="Feiertag",E339="Wochenende"),0,IF('ZD Vorerfassung'!$E$12="automatisch",AY339,IF(D339="UU","UU",IF(E339=Param2,AY339/24,IF(E339=Param9,AY339/48,""))))))</f>
        <v>0</v>
      </c>
      <c r="K339" s="105"/>
      <c r="L339" s="105"/>
      <c r="M339" s="105"/>
      <c r="N339" s="105"/>
      <c r="O339" s="105"/>
      <c r="P339" s="105"/>
      <c r="Q339" s="105"/>
      <c r="R339" s="105"/>
      <c r="S339" s="105"/>
      <c r="T339" s="105"/>
      <c r="U339" s="105"/>
      <c r="V339" s="105"/>
      <c r="W339" s="105"/>
      <c r="X339" s="105"/>
      <c r="Y339" s="105"/>
      <c r="Z339" s="105"/>
      <c r="AA339" s="105"/>
      <c r="AB339" s="105"/>
      <c r="AC339" s="105"/>
      <c r="AD339" s="105"/>
      <c r="AE339" s="105"/>
      <c r="AF339" s="105"/>
      <c r="AG339" s="105"/>
      <c r="AH339" s="105"/>
      <c r="AI339" s="105"/>
      <c r="AJ339" s="107">
        <f t="shared" si="72"/>
        <v>0</v>
      </c>
      <c r="AK339" s="105"/>
      <c r="AL339" s="105"/>
      <c r="AM339" s="105"/>
      <c r="AN339" s="105"/>
      <c r="AO339" s="105"/>
      <c r="AP339" s="105"/>
      <c r="AQ339" s="108">
        <f t="shared" si="73"/>
        <v>0</v>
      </c>
      <c r="AR339" s="108">
        <f t="shared" si="74"/>
        <v>0</v>
      </c>
      <c r="AS339" s="109">
        <f t="shared" si="75"/>
        <v>0</v>
      </c>
      <c r="AU339" s="110">
        <f t="shared" si="67"/>
        <v>0</v>
      </c>
      <c r="AV339" s="111">
        <f>IF(D339="NR",
IF('ZD Vorerfassung'!$E$22="",0,IF(AND(B339&gt;='ZD Vorerfassung'!$C$22,B339&lt;='ZD Vorerfassung'!$D$22),HLOOKUP(TEXT(C339,"ttt"),'ZD Vorerfassung'!$H$21:$L$36,2,0),0))+
IF('ZD Vorerfassung'!$E$23="",0,IF(AND(B339&gt;='ZD Vorerfassung'!$C$23,B339&lt;='ZD Vorerfassung'!$D$23),HLOOKUP(TEXT(C339,"ttt"),'ZD Vorerfassung'!$H$21:$L$36,3,0),0))+
IF('ZD Vorerfassung'!$E$24="",0,IF(AND(B339&gt;='ZD Vorerfassung'!$C$24,B339&lt;='ZD Vorerfassung'!$D$24),HLOOKUP(TEXT(C339,"ttt"),'ZD Vorerfassung'!$H$21:$L$36,4,0),0))+
IF('ZD Vorerfassung'!$E$25="",0,IF(AND(B339&gt;='ZD Vorerfassung'!$C$25,B339&lt;='ZD Vorerfassung'!$D$25),HLOOKUP(TEXT(C339,"ttt"),'ZD Vorerfassung'!$H$21:$L$36,5,0),0))+
IF('ZD Vorerfassung'!$E$26="",0,IF(AND(B339&gt;='ZD Vorerfassung'!$C$26,B339&lt;='ZD Vorerfassung'!$D$26),HLOOKUP(TEXT(C339,"ttt"),'ZD Vorerfassung'!$H$21:$L$36,6,0),0))+
IF('ZD Vorerfassung'!$E$27="",0,IF(AND(B339&gt;='ZD Vorerfassung'!$C$27,B339&lt;='ZD Vorerfassung'!$D$27),HLOOKUP(TEXT(C339,"ttt"),'ZD Vorerfassung'!$H$21:$L$36,7,0),0))+
IF('ZD Vorerfassung'!$E$28="",0,IF(AND(B339&gt;='ZD Vorerfassung'!$C$28,B339&lt;='ZD Vorerfassung'!$D$28),HLOOKUP(TEXT(C339,"ttt"),'ZD Vorerfassung'!$H$21:$L$36,8,0),0))+
IF('ZD Vorerfassung'!$E$29="",0,IF(AND(B339&gt;='ZD Vorerfassung'!$C$29,B339&lt;='ZD Vorerfassung'!$D$29),HLOOKUP(TEXT(C339,"ttt"),'ZD Vorerfassung'!$H$21:$L$36,9,0),0))+
IF('ZD Vorerfassung'!$E$30="",0,IF(AND(B339&gt;='ZD Vorerfassung'!$C$30,B339&lt;='ZD Vorerfassung'!$D$30),HLOOKUP(TEXT(C339,"ttt"),'ZD Vorerfassung'!$H$21:$L$36,10,0),0))+
IF('ZD Vorerfassung'!$E$31="",0,IF(AND(B339&gt;='ZD Vorerfassung'!$C$31,B339&lt;='ZD Vorerfassung'!$D$31),HLOOKUP(TEXT(C339,"ttt"),'ZD Vorerfassung'!$H$21:$L$36,11,0),0))+
IF('ZD Vorerfassung'!$E$32="",0,IF(AND(B339&gt;='ZD Vorerfassung'!$C$32,B339&lt;='ZD Vorerfassung'!$D$32),HLOOKUP(TEXT(C339,"ttt"),'ZD Vorerfassung'!$H$21:$L$36,12,0),0))+
IF('ZD Vorerfassung'!$E$33="",0,IF(AND(B339&gt;='ZD Vorerfassung'!$C$33,B339&lt;='ZD Vorerfassung'!$D$33),HLOOKUP(TEXT(C339,"ttt"),'ZD Vorerfassung'!$H$21:$L$36,13,0),0))+
IF('ZD Vorerfassung'!$E$34="",0,IF(AND(B339&gt;='ZD Vorerfassung'!$C$34,B339&lt;='ZD Vorerfassung'!$D$34),HLOOKUP(TEXT(C339,"ttt"),'ZD Vorerfassung'!$H$21:$L$36,14,0),0))+
IF('ZD Vorerfassung'!$E$35="",0,IF(AND(B339&gt;='ZD Vorerfassung'!$C$35,B339&lt;='ZD Vorerfassung'!$D$35),HLOOKUP(TEXT(C339,"ttt"),'ZD Vorerfassung'!$H$21:$L$36,15,0),0))+
IF('ZD Vorerfassung'!$E$36="",0,IF(AND(B339&gt;='ZD Vorerfassung'!$C$36,B339&lt;='ZD Vorerfassung'!$D$36),HLOOKUP(TEXT(C339,"ttt"),'ZD Vorerfassung'!$H$21:$L$36,16,0),0)),"")</f>
        <v>0</v>
      </c>
      <c r="AW339" s="110">
        <f t="array" ref="AW339">IF(OR(D339="UU",D339="FT",D339="WE"),0,
IF(D339="NR",SUM(IF(B339&gt;=_xlfn.NUMBERVALUE('ZD Vorerfassung'!$C$22:$C$36),1,0)*IF(B339&lt;=_xlfn.NUMBERVALUE('ZD Vorerfassung'!$D$22:$D$36),1,0)*'ZD Vorerfassung'!$Q$22:$Q$36),
IF(OR(D339="SF",D339="FH"),SUM(IF(B339&gt;=_xlfn.NUMBERVALUE('ZD Vorerfassung'!$C$22:$C$36),1,0)*IF(B339&lt;=_xlfn.NUMBERVALUE('ZD Vorerfassung'!$D$22:$D$36),1,0)*'ZD Vorerfassung'!$R$22:$R$36*IF(D339="FH",0.5,1)),
"prüfen")))</f>
        <v>0</v>
      </c>
      <c r="AX339" s="110">
        <f t="array" ref="AX339">IF(OR(D339="UU",D339="FT",D339="WE",E339="Ferien"),0,
IF(D339="NR",SUM(IF(B339&gt;=_xlfn.NUMBERVALUE('ZD Vorerfassung'!$C$22:$C$36),1,0)*IF(B339&lt;=_xlfn.NUMBERVALUE('ZD Vorerfassung'!$D$22:$D$36),1,0)*'ZD Vorerfassung'!$W$22:$W$36),
IF(OR(D339="SF",D339="FH"),SUM(IF(B339&gt;=_xlfn.NUMBERVALUE('ZD Vorerfassung'!$C$22:$C$36),1,0)*IF(B339&lt;=_xlfn.NUMBERVALUE('ZD Vorerfassung'!$D$22:$D$36),1,0)*'ZD Vorerfassung'!$X$22:$X$36*IF(D339="FH",0.5,1)),
"prüfen")))</f>
        <v>0</v>
      </c>
      <c r="AY339" s="110">
        <f t="array" ref="AY339">IF(OR(D339="UU",D339="FT",D339="WE",E339="Ferien"),0,
IF(D339="NR",SUM(IF(B339&gt;=_xlfn.NUMBERVALUE('ZD Vorerfassung'!$C$22:$C$36),1,0)*IF(B339&lt;=_xlfn.NUMBERVALUE('ZD Vorerfassung'!$D$22:$D$36),1,0)*'ZD Vorerfassung'!$U$22:$U$36),
IF(OR(D339="SF",D339="FH"),SUM(IF(B339&gt;=_xlfn.NUMBERVALUE('ZD Vorerfassung'!$C$22:$C$36),1,0)*IF(B339&lt;=_xlfn.NUMBERVALUE('ZD Vorerfassung'!$D$22:$D$36),1,0)*'ZD Vorerfassung'!$V$22:$V$36*IF(D339="FH",0.5,1)),
"prüfen")))</f>
        <v>0</v>
      </c>
      <c r="AZ339" s="110">
        <f t="array" ref="AZ339">IF(OR(D339="UU",D339="FT",D339="WE",E339="Ferien"),0,
IF(D339="NR",SUM(IF(B339&gt;=_xlfn.NUMBERVALUE('ZD Vorerfassung'!$C$22:$C$36),1,0)*IF(B339&lt;=_xlfn.NUMBERVALUE('ZD Vorerfassung'!$D$22:$D$36),1,0)*'ZD Vorerfassung'!$S$22:$S$36),
IF(OR(D339="SF",D339="FH"),SUM(IF(B339&gt;=_xlfn.NUMBERVALUE('ZD Vorerfassung'!$C$22:$C$36),1,0)*IF(B339&lt;=_xlfn.NUMBERVALUE('ZD Vorerfassung'!$D$22:$D$36),1,0)*'ZD Vorerfassung'!$T$22:$T$36*IF(D339="FH",0.5,1)),
"prüfen")))</f>
        <v>0</v>
      </c>
      <c r="BA339" s="112">
        <f t="shared" si="76"/>
        <v>6</v>
      </c>
    </row>
    <row r="340" spans="2:53" ht="19.5" thickTop="1" thickBot="1" x14ac:dyDescent="0.3">
      <c r="B340" s="99">
        <f t="shared" si="65"/>
        <v>45105</v>
      </c>
      <c r="C340" s="100">
        <f t="shared" si="68"/>
        <v>45105</v>
      </c>
      <c r="D340" s="101" t="str">
        <f t="shared" si="69"/>
        <v>NR</v>
      </c>
      <c r="E340" s="102" t="str">
        <f t="shared" si="66"/>
        <v>Unterrichtstag</v>
      </c>
      <c r="F340" s="103">
        <f t="shared" si="70"/>
        <v>0</v>
      </c>
      <c r="G340" s="104">
        <f t="shared" si="71"/>
        <v>0</v>
      </c>
      <c r="H340" s="104">
        <f>IFERROR(IF('ZD Vorerfassung'!$E$11="manuell",SUM(I340),IF(OR(E340="Feiertag",E340="Wochenende"),0,IF('ZD Vorerfassung'!$E$11="automatisch",AX340,IF(D340="UU","UU",IF(E340=Param2,AX340/24,IF(E340=Param9,AX340/48,"")))))),0)</f>
        <v>0</v>
      </c>
      <c r="I340" s="105"/>
      <c r="J340" s="106">
        <f>IF('ZD Vorerfassung'!$E$12="manuell",SUM(K340:AI340),IF(OR(E340="Feiertag",E340="Wochenende"),0,IF('ZD Vorerfassung'!$E$12="automatisch",AY340,IF(D340="UU","UU",IF(E340=Param2,AY340/24,IF(E340=Param9,AY340/48,""))))))</f>
        <v>0</v>
      </c>
      <c r="K340" s="105"/>
      <c r="L340" s="105"/>
      <c r="M340" s="105"/>
      <c r="N340" s="105"/>
      <c r="O340" s="105"/>
      <c r="P340" s="105"/>
      <c r="Q340" s="105"/>
      <c r="R340" s="105"/>
      <c r="S340" s="105"/>
      <c r="T340" s="105"/>
      <c r="U340" s="105"/>
      <c r="V340" s="105"/>
      <c r="W340" s="105"/>
      <c r="X340" s="105"/>
      <c r="Y340" s="105"/>
      <c r="Z340" s="105"/>
      <c r="AA340" s="105"/>
      <c r="AB340" s="105"/>
      <c r="AC340" s="105"/>
      <c r="AD340" s="105"/>
      <c r="AE340" s="105"/>
      <c r="AF340" s="105"/>
      <c r="AG340" s="105"/>
      <c r="AH340" s="105"/>
      <c r="AI340" s="105"/>
      <c r="AJ340" s="107">
        <f t="shared" si="72"/>
        <v>0</v>
      </c>
      <c r="AK340" s="105"/>
      <c r="AL340" s="105"/>
      <c r="AM340" s="105"/>
      <c r="AN340" s="105"/>
      <c r="AO340" s="105"/>
      <c r="AP340" s="105"/>
      <c r="AQ340" s="108">
        <f t="shared" si="73"/>
        <v>0</v>
      </c>
      <c r="AR340" s="108">
        <f t="shared" si="74"/>
        <v>0</v>
      </c>
      <c r="AS340" s="109">
        <f t="shared" si="75"/>
        <v>0</v>
      </c>
      <c r="AU340" s="110">
        <f t="shared" si="67"/>
        <v>0</v>
      </c>
      <c r="AV340" s="111">
        <f>IF(D340="NR",
IF('ZD Vorerfassung'!$E$22="",0,IF(AND(B340&gt;='ZD Vorerfassung'!$C$22,B340&lt;='ZD Vorerfassung'!$D$22),HLOOKUP(TEXT(C340,"ttt"),'ZD Vorerfassung'!$H$21:$L$36,2,0),0))+
IF('ZD Vorerfassung'!$E$23="",0,IF(AND(B340&gt;='ZD Vorerfassung'!$C$23,B340&lt;='ZD Vorerfassung'!$D$23),HLOOKUP(TEXT(C340,"ttt"),'ZD Vorerfassung'!$H$21:$L$36,3,0),0))+
IF('ZD Vorerfassung'!$E$24="",0,IF(AND(B340&gt;='ZD Vorerfassung'!$C$24,B340&lt;='ZD Vorerfassung'!$D$24),HLOOKUP(TEXT(C340,"ttt"),'ZD Vorerfassung'!$H$21:$L$36,4,0),0))+
IF('ZD Vorerfassung'!$E$25="",0,IF(AND(B340&gt;='ZD Vorerfassung'!$C$25,B340&lt;='ZD Vorerfassung'!$D$25),HLOOKUP(TEXT(C340,"ttt"),'ZD Vorerfassung'!$H$21:$L$36,5,0),0))+
IF('ZD Vorerfassung'!$E$26="",0,IF(AND(B340&gt;='ZD Vorerfassung'!$C$26,B340&lt;='ZD Vorerfassung'!$D$26),HLOOKUP(TEXT(C340,"ttt"),'ZD Vorerfassung'!$H$21:$L$36,6,0),0))+
IF('ZD Vorerfassung'!$E$27="",0,IF(AND(B340&gt;='ZD Vorerfassung'!$C$27,B340&lt;='ZD Vorerfassung'!$D$27),HLOOKUP(TEXT(C340,"ttt"),'ZD Vorerfassung'!$H$21:$L$36,7,0),0))+
IF('ZD Vorerfassung'!$E$28="",0,IF(AND(B340&gt;='ZD Vorerfassung'!$C$28,B340&lt;='ZD Vorerfassung'!$D$28),HLOOKUP(TEXT(C340,"ttt"),'ZD Vorerfassung'!$H$21:$L$36,8,0),0))+
IF('ZD Vorerfassung'!$E$29="",0,IF(AND(B340&gt;='ZD Vorerfassung'!$C$29,B340&lt;='ZD Vorerfassung'!$D$29),HLOOKUP(TEXT(C340,"ttt"),'ZD Vorerfassung'!$H$21:$L$36,9,0),0))+
IF('ZD Vorerfassung'!$E$30="",0,IF(AND(B340&gt;='ZD Vorerfassung'!$C$30,B340&lt;='ZD Vorerfassung'!$D$30),HLOOKUP(TEXT(C340,"ttt"),'ZD Vorerfassung'!$H$21:$L$36,10,0),0))+
IF('ZD Vorerfassung'!$E$31="",0,IF(AND(B340&gt;='ZD Vorerfassung'!$C$31,B340&lt;='ZD Vorerfassung'!$D$31),HLOOKUP(TEXT(C340,"ttt"),'ZD Vorerfassung'!$H$21:$L$36,11,0),0))+
IF('ZD Vorerfassung'!$E$32="",0,IF(AND(B340&gt;='ZD Vorerfassung'!$C$32,B340&lt;='ZD Vorerfassung'!$D$32),HLOOKUP(TEXT(C340,"ttt"),'ZD Vorerfassung'!$H$21:$L$36,12,0),0))+
IF('ZD Vorerfassung'!$E$33="",0,IF(AND(B340&gt;='ZD Vorerfassung'!$C$33,B340&lt;='ZD Vorerfassung'!$D$33),HLOOKUP(TEXT(C340,"ttt"),'ZD Vorerfassung'!$H$21:$L$36,13,0),0))+
IF('ZD Vorerfassung'!$E$34="",0,IF(AND(B340&gt;='ZD Vorerfassung'!$C$34,B340&lt;='ZD Vorerfassung'!$D$34),HLOOKUP(TEXT(C340,"ttt"),'ZD Vorerfassung'!$H$21:$L$36,14,0),0))+
IF('ZD Vorerfassung'!$E$35="",0,IF(AND(B340&gt;='ZD Vorerfassung'!$C$35,B340&lt;='ZD Vorerfassung'!$D$35),HLOOKUP(TEXT(C340,"ttt"),'ZD Vorerfassung'!$H$21:$L$36,15,0),0))+
IF('ZD Vorerfassung'!$E$36="",0,IF(AND(B340&gt;='ZD Vorerfassung'!$C$36,B340&lt;='ZD Vorerfassung'!$D$36),HLOOKUP(TEXT(C340,"ttt"),'ZD Vorerfassung'!$H$21:$L$36,16,0),0)),"")</f>
        <v>0</v>
      </c>
      <c r="AW340" s="110">
        <f t="array" ref="AW340">IF(OR(D340="UU",D340="FT",D340="WE"),0,
IF(D340="NR",SUM(IF(B340&gt;=_xlfn.NUMBERVALUE('ZD Vorerfassung'!$C$22:$C$36),1,0)*IF(B340&lt;=_xlfn.NUMBERVALUE('ZD Vorerfassung'!$D$22:$D$36),1,0)*'ZD Vorerfassung'!$Q$22:$Q$36),
IF(OR(D340="SF",D340="FH"),SUM(IF(B340&gt;=_xlfn.NUMBERVALUE('ZD Vorerfassung'!$C$22:$C$36),1,0)*IF(B340&lt;=_xlfn.NUMBERVALUE('ZD Vorerfassung'!$D$22:$D$36),1,0)*'ZD Vorerfassung'!$R$22:$R$36*IF(D340="FH",0.5,1)),
"prüfen")))</f>
        <v>0</v>
      </c>
      <c r="AX340" s="110">
        <f t="array" ref="AX340">IF(OR(D340="UU",D340="FT",D340="WE",E340="Ferien"),0,
IF(D340="NR",SUM(IF(B340&gt;=_xlfn.NUMBERVALUE('ZD Vorerfassung'!$C$22:$C$36),1,0)*IF(B340&lt;=_xlfn.NUMBERVALUE('ZD Vorerfassung'!$D$22:$D$36),1,0)*'ZD Vorerfassung'!$W$22:$W$36),
IF(OR(D340="SF",D340="FH"),SUM(IF(B340&gt;=_xlfn.NUMBERVALUE('ZD Vorerfassung'!$C$22:$C$36),1,0)*IF(B340&lt;=_xlfn.NUMBERVALUE('ZD Vorerfassung'!$D$22:$D$36),1,0)*'ZD Vorerfassung'!$X$22:$X$36*IF(D340="FH",0.5,1)),
"prüfen")))</f>
        <v>0</v>
      </c>
      <c r="AY340" s="110">
        <f t="array" ref="AY340">IF(OR(D340="UU",D340="FT",D340="WE",E340="Ferien"),0,
IF(D340="NR",SUM(IF(B340&gt;=_xlfn.NUMBERVALUE('ZD Vorerfassung'!$C$22:$C$36),1,0)*IF(B340&lt;=_xlfn.NUMBERVALUE('ZD Vorerfassung'!$D$22:$D$36),1,0)*'ZD Vorerfassung'!$U$22:$U$36),
IF(OR(D340="SF",D340="FH"),SUM(IF(B340&gt;=_xlfn.NUMBERVALUE('ZD Vorerfassung'!$C$22:$C$36),1,0)*IF(B340&lt;=_xlfn.NUMBERVALUE('ZD Vorerfassung'!$D$22:$D$36),1,0)*'ZD Vorerfassung'!$V$22:$V$36*IF(D340="FH",0.5,1)),
"prüfen")))</f>
        <v>0</v>
      </c>
      <c r="AZ340" s="110">
        <f t="array" ref="AZ340">IF(OR(D340="UU",D340="FT",D340="WE",E340="Ferien"),0,
IF(D340="NR",SUM(IF(B340&gt;=_xlfn.NUMBERVALUE('ZD Vorerfassung'!$C$22:$C$36),1,0)*IF(B340&lt;=_xlfn.NUMBERVALUE('ZD Vorerfassung'!$D$22:$D$36),1,0)*'ZD Vorerfassung'!$S$22:$S$36),
IF(OR(D340="SF",D340="FH"),SUM(IF(B340&gt;=_xlfn.NUMBERVALUE('ZD Vorerfassung'!$C$22:$C$36),1,0)*IF(B340&lt;=_xlfn.NUMBERVALUE('ZD Vorerfassung'!$D$22:$D$36),1,0)*'ZD Vorerfassung'!$T$22:$T$36*IF(D340="FH",0.5,1)),
"prüfen")))</f>
        <v>0</v>
      </c>
      <c r="BA340" s="112">
        <f t="shared" si="76"/>
        <v>6</v>
      </c>
    </row>
    <row r="341" spans="2:53" ht="19.5" thickTop="1" thickBot="1" x14ac:dyDescent="0.3">
      <c r="B341" s="99">
        <f t="shared" si="65"/>
        <v>45106</v>
      </c>
      <c r="C341" s="100">
        <f t="shared" si="68"/>
        <v>45106</v>
      </c>
      <c r="D341" s="101" t="str">
        <f t="shared" si="69"/>
        <v>NR</v>
      </c>
      <c r="E341" s="102" t="str">
        <f t="shared" si="66"/>
        <v>Unterrichtstag</v>
      </c>
      <c r="F341" s="103">
        <f t="shared" si="70"/>
        <v>0</v>
      </c>
      <c r="G341" s="104">
        <f t="shared" si="71"/>
        <v>0</v>
      </c>
      <c r="H341" s="104">
        <f>IFERROR(IF('ZD Vorerfassung'!$E$11="manuell",SUM(I341),IF(OR(E341="Feiertag",E341="Wochenende"),0,IF('ZD Vorerfassung'!$E$11="automatisch",AX341,IF(D341="UU","UU",IF(E341=Param2,AX341/24,IF(E341=Param9,AX341/48,"")))))),0)</f>
        <v>0</v>
      </c>
      <c r="I341" s="105"/>
      <c r="J341" s="106">
        <f>IF('ZD Vorerfassung'!$E$12="manuell",SUM(K341:AI341),IF(OR(E341="Feiertag",E341="Wochenende"),0,IF('ZD Vorerfassung'!$E$12="automatisch",AY341,IF(D341="UU","UU",IF(E341=Param2,AY341/24,IF(E341=Param9,AY341/48,""))))))</f>
        <v>0</v>
      </c>
      <c r="K341" s="105"/>
      <c r="L341" s="105"/>
      <c r="M341" s="105"/>
      <c r="N341" s="105"/>
      <c r="O341" s="105"/>
      <c r="P341" s="105"/>
      <c r="Q341" s="105"/>
      <c r="R341" s="105"/>
      <c r="S341" s="105"/>
      <c r="T341" s="105"/>
      <c r="U341" s="105"/>
      <c r="V341" s="105"/>
      <c r="W341" s="105"/>
      <c r="X341" s="105"/>
      <c r="Y341" s="105"/>
      <c r="Z341" s="105"/>
      <c r="AA341" s="105"/>
      <c r="AB341" s="105"/>
      <c r="AC341" s="105"/>
      <c r="AD341" s="105"/>
      <c r="AE341" s="105"/>
      <c r="AF341" s="105"/>
      <c r="AG341" s="105"/>
      <c r="AH341" s="105"/>
      <c r="AI341" s="105"/>
      <c r="AJ341" s="107">
        <f t="shared" si="72"/>
        <v>0</v>
      </c>
      <c r="AK341" s="105"/>
      <c r="AL341" s="105"/>
      <c r="AM341" s="105"/>
      <c r="AN341" s="105"/>
      <c r="AO341" s="105"/>
      <c r="AP341" s="105"/>
      <c r="AQ341" s="108">
        <f t="shared" si="73"/>
        <v>0</v>
      </c>
      <c r="AR341" s="108">
        <f t="shared" si="74"/>
        <v>0</v>
      </c>
      <c r="AS341" s="109">
        <f t="shared" si="75"/>
        <v>0</v>
      </c>
      <c r="AU341" s="110">
        <f t="shared" si="67"/>
        <v>0</v>
      </c>
      <c r="AV341" s="111">
        <f>IF(D341="NR",
IF('ZD Vorerfassung'!$E$22="",0,IF(AND(B341&gt;='ZD Vorerfassung'!$C$22,B341&lt;='ZD Vorerfassung'!$D$22),HLOOKUP(TEXT(C341,"ttt"),'ZD Vorerfassung'!$H$21:$L$36,2,0),0))+
IF('ZD Vorerfassung'!$E$23="",0,IF(AND(B341&gt;='ZD Vorerfassung'!$C$23,B341&lt;='ZD Vorerfassung'!$D$23),HLOOKUP(TEXT(C341,"ttt"),'ZD Vorerfassung'!$H$21:$L$36,3,0),0))+
IF('ZD Vorerfassung'!$E$24="",0,IF(AND(B341&gt;='ZD Vorerfassung'!$C$24,B341&lt;='ZD Vorerfassung'!$D$24),HLOOKUP(TEXT(C341,"ttt"),'ZD Vorerfassung'!$H$21:$L$36,4,0),0))+
IF('ZD Vorerfassung'!$E$25="",0,IF(AND(B341&gt;='ZD Vorerfassung'!$C$25,B341&lt;='ZD Vorerfassung'!$D$25),HLOOKUP(TEXT(C341,"ttt"),'ZD Vorerfassung'!$H$21:$L$36,5,0),0))+
IF('ZD Vorerfassung'!$E$26="",0,IF(AND(B341&gt;='ZD Vorerfassung'!$C$26,B341&lt;='ZD Vorerfassung'!$D$26),HLOOKUP(TEXT(C341,"ttt"),'ZD Vorerfassung'!$H$21:$L$36,6,0),0))+
IF('ZD Vorerfassung'!$E$27="",0,IF(AND(B341&gt;='ZD Vorerfassung'!$C$27,B341&lt;='ZD Vorerfassung'!$D$27),HLOOKUP(TEXT(C341,"ttt"),'ZD Vorerfassung'!$H$21:$L$36,7,0),0))+
IF('ZD Vorerfassung'!$E$28="",0,IF(AND(B341&gt;='ZD Vorerfassung'!$C$28,B341&lt;='ZD Vorerfassung'!$D$28),HLOOKUP(TEXT(C341,"ttt"),'ZD Vorerfassung'!$H$21:$L$36,8,0),0))+
IF('ZD Vorerfassung'!$E$29="",0,IF(AND(B341&gt;='ZD Vorerfassung'!$C$29,B341&lt;='ZD Vorerfassung'!$D$29),HLOOKUP(TEXT(C341,"ttt"),'ZD Vorerfassung'!$H$21:$L$36,9,0),0))+
IF('ZD Vorerfassung'!$E$30="",0,IF(AND(B341&gt;='ZD Vorerfassung'!$C$30,B341&lt;='ZD Vorerfassung'!$D$30),HLOOKUP(TEXT(C341,"ttt"),'ZD Vorerfassung'!$H$21:$L$36,10,0),0))+
IF('ZD Vorerfassung'!$E$31="",0,IF(AND(B341&gt;='ZD Vorerfassung'!$C$31,B341&lt;='ZD Vorerfassung'!$D$31),HLOOKUP(TEXT(C341,"ttt"),'ZD Vorerfassung'!$H$21:$L$36,11,0),0))+
IF('ZD Vorerfassung'!$E$32="",0,IF(AND(B341&gt;='ZD Vorerfassung'!$C$32,B341&lt;='ZD Vorerfassung'!$D$32),HLOOKUP(TEXT(C341,"ttt"),'ZD Vorerfassung'!$H$21:$L$36,12,0),0))+
IF('ZD Vorerfassung'!$E$33="",0,IF(AND(B341&gt;='ZD Vorerfassung'!$C$33,B341&lt;='ZD Vorerfassung'!$D$33),HLOOKUP(TEXT(C341,"ttt"),'ZD Vorerfassung'!$H$21:$L$36,13,0),0))+
IF('ZD Vorerfassung'!$E$34="",0,IF(AND(B341&gt;='ZD Vorerfassung'!$C$34,B341&lt;='ZD Vorerfassung'!$D$34),HLOOKUP(TEXT(C341,"ttt"),'ZD Vorerfassung'!$H$21:$L$36,14,0),0))+
IF('ZD Vorerfassung'!$E$35="",0,IF(AND(B341&gt;='ZD Vorerfassung'!$C$35,B341&lt;='ZD Vorerfassung'!$D$35),HLOOKUP(TEXT(C341,"ttt"),'ZD Vorerfassung'!$H$21:$L$36,15,0),0))+
IF('ZD Vorerfassung'!$E$36="",0,IF(AND(B341&gt;='ZD Vorerfassung'!$C$36,B341&lt;='ZD Vorerfassung'!$D$36),HLOOKUP(TEXT(C341,"ttt"),'ZD Vorerfassung'!$H$21:$L$36,16,0),0)),"")</f>
        <v>0</v>
      </c>
      <c r="AW341" s="110">
        <f t="array" ref="AW341">IF(OR(D341="UU",D341="FT",D341="WE"),0,
IF(D341="NR",SUM(IF(B341&gt;=_xlfn.NUMBERVALUE('ZD Vorerfassung'!$C$22:$C$36),1,0)*IF(B341&lt;=_xlfn.NUMBERVALUE('ZD Vorerfassung'!$D$22:$D$36),1,0)*'ZD Vorerfassung'!$Q$22:$Q$36),
IF(OR(D341="SF",D341="FH"),SUM(IF(B341&gt;=_xlfn.NUMBERVALUE('ZD Vorerfassung'!$C$22:$C$36),1,0)*IF(B341&lt;=_xlfn.NUMBERVALUE('ZD Vorerfassung'!$D$22:$D$36),1,0)*'ZD Vorerfassung'!$R$22:$R$36*IF(D341="FH",0.5,1)),
"prüfen")))</f>
        <v>0</v>
      </c>
      <c r="AX341" s="110">
        <f t="array" ref="AX341">IF(OR(D341="UU",D341="FT",D341="WE",E341="Ferien"),0,
IF(D341="NR",SUM(IF(B341&gt;=_xlfn.NUMBERVALUE('ZD Vorerfassung'!$C$22:$C$36),1,0)*IF(B341&lt;=_xlfn.NUMBERVALUE('ZD Vorerfassung'!$D$22:$D$36),1,0)*'ZD Vorerfassung'!$W$22:$W$36),
IF(OR(D341="SF",D341="FH"),SUM(IF(B341&gt;=_xlfn.NUMBERVALUE('ZD Vorerfassung'!$C$22:$C$36),1,0)*IF(B341&lt;=_xlfn.NUMBERVALUE('ZD Vorerfassung'!$D$22:$D$36),1,0)*'ZD Vorerfassung'!$X$22:$X$36*IF(D341="FH",0.5,1)),
"prüfen")))</f>
        <v>0</v>
      </c>
      <c r="AY341" s="110">
        <f t="array" ref="AY341">IF(OR(D341="UU",D341="FT",D341="WE",E341="Ferien"),0,
IF(D341="NR",SUM(IF(B341&gt;=_xlfn.NUMBERVALUE('ZD Vorerfassung'!$C$22:$C$36),1,0)*IF(B341&lt;=_xlfn.NUMBERVALUE('ZD Vorerfassung'!$D$22:$D$36),1,0)*'ZD Vorerfassung'!$U$22:$U$36),
IF(OR(D341="SF",D341="FH"),SUM(IF(B341&gt;=_xlfn.NUMBERVALUE('ZD Vorerfassung'!$C$22:$C$36),1,0)*IF(B341&lt;=_xlfn.NUMBERVALUE('ZD Vorerfassung'!$D$22:$D$36),1,0)*'ZD Vorerfassung'!$V$22:$V$36*IF(D341="FH",0.5,1)),
"prüfen")))</f>
        <v>0</v>
      </c>
      <c r="AZ341" s="110">
        <f t="array" ref="AZ341">IF(OR(D341="UU",D341="FT",D341="WE",E341="Ferien"),0,
IF(D341="NR",SUM(IF(B341&gt;=_xlfn.NUMBERVALUE('ZD Vorerfassung'!$C$22:$C$36),1,0)*IF(B341&lt;=_xlfn.NUMBERVALUE('ZD Vorerfassung'!$D$22:$D$36),1,0)*'ZD Vorerfassung'!$S$22:$S$36),
IF(OR(D341="SF",D341="FH"),SUM(IF(B341&gt;=_xlfn.NUMBERVALUE('ZD Vorerfassung'!$C$22:$C$36),1,0)*IF(B341&lt;=_xlfn.NUMBERVALUE('ZD Vorerfassung'!$D$22:$D$36),1,0)*'ZD Vorerfassung'!$T$22:$T$36*IF(D341="FH",0.5,1)),
"prüfen")))</f>
        <v>0</v>
      </c>
      <c r="BA341" s="112">
        <f t="shared" si="76"/>
        <v>6</v>
      </c>
    </row>
    <row r="342" spans="2:53" ht="19.5" thickTop="1" thickBot="1" x14ac:dyDescent="0.3">
      <c r="B342" s="99">
        <f t="shared" si="65"/>
        <v>45107</v>
      </c>
      <c r="C342" s="100">
        <f t="shared" si="68"/>
        <v>45107</v>
      </c>
      <c r="D342" s="101" t="str">
        <f t="shared" si="69"/>
        <v>NR</v>
      </c>
      <c r="E342" s="102" t="str">
        <f t="shared" si="66"/>
        <v>Unterrichtstag</v>
      </c>
      <c r="F342" s="103">
        <f t="shared" si="70"/>
        <v>0</v>
      </c>
      <c r="G342" s="104">
        <f t="shared" si="71"/>
        <v>0</v>
      </c>
      <c r="H342" s="104">
        <f>IFERROR(IF('ZD Vorerfassung'!$E$11="manuell",SUM(I342),IF(OR(E342="Feiertag",E342="Wochenende"),0,IF('ZD Vorerfassung'!$E$11="automatisch",AX342,IF(D342="UU","UU",IF(E342=Param2,AX342/24,IF(E342=Param9,AX342/48,"")))))),0)</f>
        <v>0</v>
      </c>
      <c r="I342" s="105"/>
      <c r="J342" s="106">
        <f>IF('ZD Vorerfassung'!$E$12="manuell",SUM(K342:AI342),IF(OR(E342="Feiertag",E342="Wochenende"),0,IF('ZD Vorerfassung'!$E$12="automatisch",AY342,IF(D342="UU","UU",IF(E342=Param2,AY342/24,IF(E342=Param9,AY342/48,""))))))</f>
        <v>0</v>
      </c>
      <c r="K342" s="105"/>
      <c r="L342" s="105"/>
      <c r="M342" s="105"/>
      <c r="N342" s="105"/>
      <c r="O342" s="105"/>
      <c r="P342" s="105"/>
      <c r="Q342" s="105"/>
      <c r="R342" s="105"/>
      <c r="S342" s="105"/>
      <c r="T342" s="105"/>
      <c r="U342" s="105"/>
      <c r="V342" s="105"/>
      <c r="W342" s="105"/>
      <c r="X342" s="105"/>
      <c r="Y342" s="105"/>
      <c r="Z342" s="105"/>
      <c r="AA342" s="105"/>
      <c r="AB342" s="105"/>
      <c r="AC342" s="105"/>
      <c r="AD342" s="105"/>
      <c r="AE342" s="105"/>
      <c r="AF342" s="105"/>
      <c r="AG342" s="105"/>
      <c r="AH342" s="105"/>
      <c r="AI342" s="105"/>
      <c r="AJ342" s="107">
        <f t="shared" si="72"/>
        <v>0</v>
      </c>
      <c r="AK342" s="105"/>
      <c r="AL342" s="105"/>
      <c r="AM342" s="105"/>
      <c r="AN342" s="105"/>
      <c r="AO342" s="105"/>
      <c r="AP342" s="105"/>
      <c r="AQ342" s="108">
        <f t="shared" si="73"/>
        <v>0</v>
      </c>
      <c r="AR342" s="108">
        <f t="shared" si="74"/>
        <v>0</v>
      </c>
      <c r="AS342" s="109">
        <f t="shared" si="75"/>
        <v>0</v>
      </c>
      <c r="AU342" s="110">
        <f t="shared" si="67"/>
        <v>0</v>
      </c>
      <c r="AV342" s="111">
        <f>IF(D342="NR",
IF('ZD Vorerfassung'!$E$22="",0,IF(AND(B342&gt;='ZD Vorerfassung'!$C$22,B342&lt;='ZD Vorerfassung'!$D$22),HLOOKUP(TEXT(C342,"ttt"),'ZD Vorerfassung'!$H$21:$L$36,2,0),0))+
IF('ZD Vorerfassung'!$E$23="",0,IF(AND(B342&gt;='ZD Vorerfassung'!$C$23,B342&lt;='ZD Vorerfassung'!$D$23),HLOOKUP(TEXT(C342,"ttt"),'ZD Vorerfassung'!$H$21:$L$36,3,0),0))+
IF('ZD Vorerfassung'!$E$24="",0,IF(AND(B342&gt;='ZD Vorerfassung'!$C$24,B342&lt;='ZD Vorerfassung'!$D$24),HLOOKUP(TEXT(C342,"ttt"),'ZD Vorerfassung'!$H$21:$L$36,4,0),0))+
IF('ZD Vorerfassung'!$E$25="",0,IF(AND(B342&gt;='ZD Vorerfassung'!$C$25,B342&lt;='ZD Vorerfassung'!$D$25),HLOOKUP(TEXT(C342,"ttt"),'ZD Vorerfassung'!$H$21:$L$36,5,0),0))+
IF('ZD Vorerfassung'!$E$26="",0,IF(AND(B342&gt;='ZD Vorerfassung'!$C$26,B342&lt;='ZD Vorerfassung'!$D$26),HLOOKUP(TEXT(C342,"ttt"),'ZD Vorerfassung'!$H$21:$L$36,6,0),0))+
IF('ZD Vorerfassung'!$E$27="",0,IF(AND(B342&gt;='ZD Vorerfassung'!$C$27,B342&lt;='ZD Vorerfassung'!$D$27),HLOOKUP(TEXT(C342,"ttt"),'ZD Vorerfassung'!$H$21:$L$36,7,0),0))+
IF('ZD Vorerfassung'!$E$28="",0,IF(AND(B342&gt;='ZD Vorerfassung'!$C$28,B342&lt;='ZD Vorerfassung'!$D$28),HLOOKUP(TEXT(C342,"ttt"),'ZD Vorerfassung'!$H$21:$L$36,8,0),0))+
IF('ZD Vorerfassung'!$E$29="",0,IF(AND(B342&gt;='ZD Vorerfassung'!$C$29,B342&lt;='ZD Vorerfassung'!$D$29),HLOOKUP(TEXT(C342,"ttt"),'ZD Vorerfassung'!$H$21:$L$36,9,0),0))+
IF('ZD Vorerfassung'!$E$30="",0,IF(AND(B342&gt;='ZD Vorerfassung'!$C$30,B342&lt;='ZD Vorerfassung'!$D$30),HLOOKUP(TEXT(C342,"ttt"),'ZD Vorerfassung'!$H$21:$L$36,10,0),0))+
IF('ZD Vorerfassung'!$E$31="",0,IF(AND(B342&gt;='ZD Vorerfassung'!$C$31,B342&lt;='ZD Vorerfassung'!$D$31),HLOOKUP(TEXT(C342,"ttt"),'ZD Vorerfassung'!$H$21:$L$36,11,0),0))+
IF('ZD Vorerfassung'!$E$32="",0,IF(AND(B342&gt;='ZD Vorerfassung'!$C$32,B342&lt;='ZD Vorerfassung'!$D$32),HLOOKUP(TEXT(C342,"ttt"),'ZD Vorerfassung'!$H$21:$L$36,12,0),0))+
IF('ZD Vorerfassung'!$E$33="",0,IF(AND(B342&gt;='ZD Vorerfassung'!$C$33,B342&lt;='ZD Vorerfassung'!$D$33),HLOOKUP(TEXT(C342,"ttt"),'ZD Vorerfassung'!$H$21:$L$36,13,0),0))+
IF('ZD Vorerfassung'!$E$34="",0,IF(AND(B342&gt;='ZD Vorerfassung'!$C$34,B342&lt;='ZD Vorerfassung'!$D$34),HLOOKUP(TEXT(C342,"ttt"),'ZD Vorerfassung'!$H$21:$L$36,14,0),0))+
IF('ZD Vorerfassung'!$E$35="",0,IF(AND(B342&gt;='ZD Vorerfassung'!$C$35,B342&lt;='ZD Vorerfassung'!$D$35),HLOOKUP(TEXT(C342,"ttt"),'ZD Vorerfassung'!$H$21:$L$36,15,0),0))+
IF('ZD Vorerfassung'!$E$36="",0,IF(AND(B342&gt;='ZD Vorerfassung'!$C$36,B342&lt;='ZD Vorerfassung'!$D$36),HLOOKUP(TEXT(C342,"ttt"),'ZD Vorerfassung'!$H$21:$L$36,16,0),0)),"")</f>
        <v>0</v>
      </c>
      <c r="AW342" s="110">
        <f t="array" ref="AW342">IF(OR(D342="UU",D342="FT",D342="WE"),0,
IF(D342="NR",SUM(IF(B342&gt;=_xlfn.NUMBERVALUE('ZD Vorerfassung'!$C$22:$C$36),1,0)*IF(B342&lt;=_xlfn.NUMBERVALUE('ZD Vorerfassung'!$D$22:$D$36),1,0)*'ZD Vorerfassung'!$Q$22:$Q$36),
IF(OR(D342="SF",D342="FH"),SUM(IF(B342&gt;=_xlfn.NUMBERVALUE('ZD Vorerfassung'!$C$22:$C$36),1,0)*IF(B342&lt;=_xlfn.NUMBERVALUE('ZD Vorerfassung'!$D$22:$D$36),1,0)*'ZD Vorerfassung'!$R$22:$R$36*IF(D342="FH",0.5,1)),
"prüfen")))</f>
        <v>0</v>
      </c>
      <c r="AX342" s="110">
        <f t="array" ref="AX342">IF(OR(D342="UU",D342="FT",D342="WE",E342="Ferien"),0,
IF(D342="NR",SUM(IF(B342&gt;=_xlfn.NUMBERVALUE('ZD Vorerfassung'!$C$22:$C$36),1,0)*IF(B342&lt;=_xlfn.NUMBERVALUE('ZD Vorerfassung'!$D$22:$D$36),1,0)*'ZD Vorerfassung'!$W$22:$W$36),
IF(OR(D342="SF",D342="FH"),SUM(IF(B342&gt;=_xlfn.NUMBERVALUE('ZD Vorerfassung'!$C$22:$C$36),1,0)*IF(B342&lt;=_xlfn.NUMBERVALUE('ZD Vorerfassung'!$D$22:$D$36),1,0)*'ZD Vorerfassung'!$X$22:$X$36*IF(D342="FH",0.5,1)),
"prüfen")))</f>
        <v>0</v>
      </c>
      <c r="AY342" s="110">
        <f t="array" ref="AY342">IF(OR(D342="UU",D342="FT",D342="WE",E342="Ferien"),0,
IF(D342="NR",SUM(IF(B342&gt;=_xlfn.NUMBERVALUE('ZD Vorerfassung'!$C$22:$C$36),1,0)*IF(B342&lt;=_xlfn.NUMBERVALUE('ZD Vorerfassung'!$D$22:$D$36),1,0)*'ZD Vorerfassung'!$U$22:$U$36),
IF(OR(D342="SF",D342="FH"),SUM(IF(B342&gt;=_xlfn.NUMBERVALUE('ZD Vorerfassung'!$C$22:$C$36),1,0)*IF(B342&lt;=_xlfn.NUMBERVALUE('ZD Vorerfassung'!$D$22:$D$36),1,0)*'ZD Vorerfassung'!$V$22:$V$36*IF(D342="FH",0.5,1)),
"prüfen")))</f>
        <v>0</v>
      </c>
      <c r="AZ342" s="110">
        <f t="array" ref="AZ342">IF(OR(D342="UU",D342="FT",D342="WE",E342="Ferien"),0,
IF(D342="NR",SUM(IF(B342&gt;=_xlfn.NUMBERVALUE('ZD Vorerfassung'!$C$22:$C$36),1,0)*IF(B342&lt;=_xlfn.NUMBERVALUE('ZD Vorerfassung'!$D$22:$D$36),1,0)*'ZD Vorerfassung'!$S$22:$S$36),
IF(OR(D342="SF",D342="FH"),SUM(IF(B342&gt;=_xlfn.NUMBERVALUE('ZD Vorerfassung'!$C$22:$C$36),1,0)*IF(B342&lt;=_xlfn.NUMBERVALUE('ZD Vorerfassung'!$D$22:$D$36),1,0)*'ZD Vorerfassung'!$T$22:$T$36*IF(D342="FH",0.5,1)),
"prüfen")))</f>
        <v>0</v>
      </c>
      <c r="BA342" s="112">
        <f t="shared" si="76"/>
        <v>7</v>
      </c>
    </row>
    <row r="343" spans="2:53" ht="19.5" thickTop="1" thickBot="1" x14ac:dyDescent="0.3">
      <c r="B343" s="99">
        <f t="shared" si="65"/>
        <v>45108</v>
      </c>
      <c r="C343" s="100">
        <f t="shared" si="68"/>
        <v>45108</v>
      </c>
      <c r="D343" s="101" t="str">
        <f t="shared" si="69"/>
        <v>NR</v>
      </c>
      <c r="E343" s="102" t="str">
        <f t="shared" si="66"/>
        <v>Unterrichtstag</v>
      </c>
      <c r="F343" s="103">
        <f t="shared" si="70"/>
        <v>0</v>
      </c>
      <c r="G343" s="104">
        <f t="shared" si="71"/>
        <v>0</v>
      </c>
      <c r="H343" s="104">
        <f>IFERROR(IF('ZD Vorerfassung'!$E$11="manuell",SUM(I343),IF(OR(E343="Feiertag",E343="Wochenende"),0,IF('ZD Vorerfassung'!$E$11="automatisch",AX343,IF(D343="UU","UU",IF(E343=Param2,AX343/24,IF(E343=Param9,AX343/48,"")))))),0)</f>
        <v>0</v>
      </c>
      <c r="I343" s="105"/>
      <c r="J343" s="106">
        <f>IF('ZD Vorerfassung'!$E$12="manuell",SUM(K343:AI343),IF(OR(E343="Feiertag",E343="Wochenende"),0,IF('ZD Vorerfassung'!$E$12="automatisch",AY343,IF(D343="UU","UU",IF(E343=Param2,AY343/24,IF(E343=Param9,AY343/48,""))))))</f>
        <v>0</v>
      </c>
      <c r="K343" s="105"/>
      <c r="L343" s="105"/>
      <c r="M343" s="105"/>
      <c r="N343" s="105"/>
      <c r="O343" s="105"/>
      <c r="P343" s="105"/>
      <c r="Q343" s="105"/>
      <c r="R343" s="105"/>
      <c r="S343" s="105"/>
      <c r="T343" s="105"/>
      <c r="U343" s="105"/>
      <c r="V343" s="105"/>
      <c r="W343" s="105"/>
      <c r="X343" s="105"/>
      <c r="Y343" s="105"/>
      <c r="Z343" s="105"/>
      <c r="AA343" s="105"/>
      <c r="AB343" s="105"/>
      <c r="AC343" s="105"/>
      <c r="AD343" s="105"/>
      <c r="AE343" s="105"/>
      <c r="AF343" s="105"/>
      <c r="AG343" s="105"/>
      <c r="AH343" s="105"/>
      <c r="AI343" s="105"/>
      <c r="AJ343" s="107">
        <f t="shared" si="72"/>
        <v>0</v>
      </c>
      <c r="AK343" s="105"/>
      <c r="AL343" s="105"/>
      <c r="AM343" s="105"/>
      <c r="AN343" s="105"/>
      <c r="AO343" s="105"/>
      <c r="AP343" s="105"/>
      <c r="AQ343" s="108">
        <f t="shared" si="73"/>
        <v>0</v>
      </c>
      <c r="AR343" s="108">
        <f t="shared" si="74"/>
        <v>0</v>
      </c>
      <c r="AS343" s="109">
        <f t="shared" si="75"/>
        <v>0</v>
      </c>
      <c r="AU343" s="110">
        <f t="shared" si="67"/>
        <v>0</v>
      </c>
      <c r="AV343" s="111">
        <f>IF(D343="NR",
IF('ZD Vorerfassung'!$E$22="",0,IF(AND(B343&gt;='ZD Vorerfassung'!$C$22,B343&lt;='ZD Vorerfassung'!$D$22),HLOOKUP(TEXT(C343,"ttt"),'ZD Vorerfassung'!$H$21:$L$36,2,0),0))+
IF('ZD Vorerfassung'!$E$23="",0,IF(AND(B343&gt;='ZD Vorerfassung'!$C$23,B343&lt;='ZD Vorerfassung'!$D$23),HLOOKUP(TEXT(C343,"ttt"),'ZD Vorerfassung'!$H$21:$L$36,3,0),0))+
IF('ZD Vorerfassung'!$E$24="",0,IF(AND(B343&gt;='ZD Vorerfassung'!$C$24,B343&lt;='ZD Vorerfassung'!$D$24),HLOOKUP(TEXT(C343,"ttt"),'ZD Vorerfassung'!$H$21:$L$36,4,0),0))+
IF('ZD Vorerfassung'!$E$25="",0,IF(AND(B343&gt;='ZD Vorerfassung'!$C$25,B343&lt;='ZD Vorerfassung'!$D$25),HLOOKUP(TEXT(C343,"ttt"),'ZD Vorerfassung'!$H$21:$L$36,5,0),0))+
IF('ZD Vorerfassung'!$E$26="",0,IF(AND(B343&gt;='ZD Vorerfassung'!$C$26,B343&lt;='ZD Vorerfassung'!$D$26),HLOOKUP(TEXT(C343,"ttt"),'ZD Vorerfassung'!$H$21:$L$36,6,0),0))+
IF('ZD Vorerfassung'!$E$27="",0,IF(AND(B343&gt;='ZD Vorerfassung'!$C$27,B343&lt;='ZD Vorerfassung'!$D$27),HLOOKUP(TEXT(C343,"ttt"),'ZD Vorerfassung'!$H$21:$L$36,7,0),0))+
IF('ZD Vorerfassung'!$E$28="",0,IF(AND(B343&gt;='ZD Vorerfassung'!$C$28,B343&lt;='ZD Vorerfassung'!$D$28),HLOOKUP(TEXT(C343,"ttt"),'ZD Vorerfassung'!$H$21:$L$36,8,0),0))+
IF('ZD Vorerfassung'!$E$29="",0,IF(AND(B343&gt;='ZD Vorerfassung'!$C$29,B343&lt;='ZD Vorerfassung'!$D$29),HLOOKUP(TEXT(C343,"ttt"),'ZD Vorerfassung'!$H$21:$L$36,9,0),0))+
IF('ZD Vorerfassung'!$E$30="",0,IF(AND(B343&gt;='ZD Vorerfassung'!$C$30,B343&lt;='ZD Vorerfassung'!$D$30),HLOOKUP(TEXT(C343,"ttt"),'ZD Vorerfassung'!$H$21:$L$36,10,0),0))+
IF('ZD Vorerfassung'!$E$31="",0,IF(AND(B343&gt;='ZD Vorerfassung'!$C$31,B343&lt;='ZD Vorerfassung'!$D$31),HLOOKUP(TEXT(C343,"ttt"),'ZD Vorerfassung'!$H$21:$L$36,11,0),0))+
IF('ZD Vorerfassung'!$E$32="",0,IF(AND(B343&gt;='ZD Vorerfassung'!$C$32,B343&lt;='ZD Vorerfassung'!$D$32),HLOOKUP(TEXT(C343,"ttt"),'ZD Vorerfassung'!$H$21:$L$36,12,0),0))+
IF('ZD Vorerfassung'!$E$33="",0,IF(AND(B343&gt;='ZD Vorerfassung'!$C$33,B343&lt;='ZD Vorerfassung'!$D$33),HLOOKUP(TEXT(C343,"ttt"),'ZD Vorerfassung'!$H$21:$L$36,13,0),0))+
IF('ZD Vorerfassung'!$E$34="",0,IF(AND(B343&gt;='ZD Vorerfassung'!$C$34,B343&lt;='ZD Vorerfassung'!$D$34),HLOOKUP(TEXT(C343,"ttt"),'ZD Vorerfassung'!$H$21:$L$36,14,0),0))+
IF('ZD Vorerfassung'!$E$35="",0,IF(AND(B343&gt;='ZD Vorerfassung'!$C$35,B343&lt;='ZD Vorerfassung'!$D$35),HLOOKUP(TEXT(C343,"ttt"),'ZD Vorerfassung'!$H$21:$L$36,15,0),0))+
IF('ZD Vorerfassung'!$E$36="",0,IF(AND(B343&gt;='ZD Vorerfassung'!$C$36,B343&lt;='ZD Vorerfassung'!$D$36),HLOOKUP(TEXT(C343,"ttt"),'ZD Vorerfassung'!$H$21:$L$36,16,0),0)),"")</f>
        <v>0</v>
      </c>
      <c r="AW343" s="110">
        <f t="array" ref="AW343">IF(OR(D343="UU",D343="FT",D343="WE"),0,
IF(D343="NR",SUM(IF(B343&gt;=_xlfn.NUMBERVALUE('ZD Vorerfassung'!$C$22:$C$36),1,0)*IF(B343&lt;=_xlfn.NUMBERVALUE('ZD Vorerfassung'!$D$22:$D$36),1,0)*'ZD Vorerfassung'!$Q$22:$Q$36),
IF(OR(D343="SF",D343="FH"),SUM(IF(B343&gt;=_xlfn.NUMBERVALUE('ZD Vorerfassung'!$C$22:$C$36),1,0)*IF(B343&lt;=_xlfn.NUMBERVALUE('ZD Vorerfassung'!$D$22:$D$36),1,0)*'ZD Vorerfassung'!$R$22:$R$36*IF(D343="FH",0.5,1)),
"prüfen")))</f>
        <v>0</v>
      </c>
      <c r="AX343" s="110">
        <f t="array" ref="AX343">IF(OR(D343="UU",D343="FT",D343="WE",E343="Ferien"),0,
IF(D343="NR",SUM(IF(B343&gt;=_xlfn.NUMBERVALUE('ZD Vorerfassung'!$C$22:$C$36),1,0)*IF(B343&lt;=_xlfn.NUMBERVALUE('ZD Vorerfassung'!$D$22:$D$36),1,0)*'ZD Vorerfassung'!$W$22:$W$36),
IF(OR(D343="SF",D343="FH"),SUM(IF(B343&gt;=_xlfn.NUMBERVALUE('ZD Vorerfassung'!$C$22:$C$36),1,0)*IF(B343&lt;=_xlfn.NUMBERVALUE('ZD Vorerfassung'!$D$22:$D$36),1,0)*'ZD Vorerfassung'!$X$22:$X$36*IF(D343="FH",0.5,1)),
"prüfen")))</f>
        <v>0</v>
      </c>
      <c r="AY343" s="110">
        <f t="array" ref="AY343">IF(OR(D343="UU",D343="FT",D343="WE",E343="Ferien"),0,
IF(D343="NR",SUM(IF(B343&gt;=_xlfn.NUMBERVALUE('ZD Vorerfassung'!$C$22:$C$36),1,0)*IF(B343&lt;=_xlfn.NUMBERVALUE('ZD Vorerfassung'!$D$22:$D$36),1,0)*'ZD Vorerfassung'!$U$22:$U$36),
IF(OR(D343="SF",D343="FH"),SUM(IF(B343&gt;=_xlfn.NUMBERVALUE('ZD Vorerfassung'!$C$22:$C$36),1,0)*IF(B343&lt;=_xlfn.NUMBERVALUE('ZD Vorerfassung'!$D$22:$D$36),1,0)*'ZD Vorerfassung'!$V$22:$V$36*IF(D343="FH",0.5,1)),
"prüfen")))</f>
        <v>0</v>
      </c>
      <c r="AZ343" s="110">
        <f t="array" ref="AZ343">IF(OR(D343="UU",D343="FT",D343="WE",E343="Ferien"),0,
IF(D343="NR",SUM(IF(B343&gt;=_xlfn.NUMBERVALUE('ZD Vorerfassung'!$C$22:$C$36),1,0)*IF(B343&lt;=_xlfn.NUMBERVALUE('ZD Vorerfassung'!$D$22:$D$36),1,0)*'ZD Vorerfassung'!$S$22:$S$36),
IF(OR(D343="SF",D343="FH"),SUM(IF(B343&gt;=_xlfn.NUMBERVALUE('ZD Vorerfassung'!$C$22:$C$36),1,0)*IF(B343&lt;=_xlfn.NUMBERVALUE('ZD Vorerfassung'!$D$22:$D$36),1,0)*'ZD Vorerfassung'!$T$22:$T$36*IF(D343="FH",0.5,1)),
"prüfen")))</f>
        <v>0</v>
      </c>
      <c r="BA343" s="112">
        <f t="shared" si="76"/>
        <v>7</v>
      </c>
    </row>
    <row r="344" spans="2:53" ht="19.5" thickTop="1" thickBot="1" x14ac:dyDescent="0.3">
      <c r="B344" s="99">
        <f t="shared" si="65"/>
        <v>45109</v>
      </c>
      <c r="C344" s="100">
        <f t="shared" si="68"/>
        <v>45109</v>
      </c>
      <c r="D344" s="101" t="str">
        <f t="shared" si="69"/>
        <v>WE</v>
      </c>
      <c r="E344" s="102" t="str">
        <f t="shared" si="66"/>
        <v>Wochenende</v>
      </c>
      <c r="F344" s="103" t="str">
        <f t="shared" si="70"/>
        <v/>
      </c>
      <c r="G344" s="104" t="str">
        <f t="shared" si="71"/>
        <v/>
      </c>
      <c r="H344" s="104">
        <f>IFERROR(IF('ZD Vorerfassung'!$E$11="manuell",SUM(I344),IF(OR(E344="Feiertag",E344="Wochenende"),0,IF('ZD Vorerfassung'!$E$11="automatisch",AX344,IF(D344="UU","UU",IF(E344=Param2,AX344/24,IF(E344=Param9,AX344/48,"")))))),0)</f>
        <v>0</v>
      </c>
      <c r="I344" s="105"/>
      <c r="J344" s="106">
        <f>IF('ZD Vorerfassung'!$E$12="manuell",SUM(K344:AI344),IF(OR(E344="Feiertag",E344="Wochenende"),0,IF('ZD Vorerfassung'!$E$12="automatisch",AY344,IF(D344="UU","UU",IF(E344=Param2,AY344/24,IF(E344=Param9,AY344/48,""))))))</f>
        <v>0</v>
      </c>
      <c r="K344" s="105"/>
      <c r="L344" s="105"/>
      <c r="M344" s="105"/>
      <c r="N344" s="105"/>
      <c r="O344" s="105"/>
      <c r="P344" s="105"/>
      <c r="Q344" s="105"/>
      <c r="R344" s="105"/>
      <c r="S344" s="105"/>
      <c r="T344" s="105"/>
      <c r="U344" s="105"/>
      <c r="V344" s="105"/>
      <c r="W344" s="105"/>
      <c r="X344" s="105"/>
      <c r="Y344" s="105"/>
      <c r="Z344" s="105"/>
      <c r="AA344" s="105"/>
      <c r="AB344" s="105"/>
      <c r="AC344" s="105"/>
      <c r="AD344" s="105"/>
      <c r="AE344" s="105"/>
      <c r="AF344" s="105"/>
      <c r="AG344" s="105"/>
      <c r="AH344" s="105"/>
      <c r="AI344" s="105"/>
      <c r="AJ344" s="107">
        <f t="shared" si="72"/>
        <v>0</v>
      </c>
      <c r="AK344" s="105"/>
      <c r="AL344" s="105"/>
      <c r="AM344" s="105"/>
      <c r="AN344" s="105"/>
      <c r="AO344" s="105"/>
      <c r="AP344" s="105"/>
      <c r="AQ344" s="108">
        <f t="shared" si="73"/>
        <v>0</v>
      </c>
      <c r="AR344" s="108">
        <f t="shared" si="74"/>
        <v>0</v>
      </c>
      <c r="AS344" s="109">
        <f t="shared" si="75"/>
        <v>0</v>
      </c>
      <c r="AU344" s="110">
        <f t="shared" si="67"/>
        <v>0</v>
      </c>
      <c r="AV344" s="111" t="str">
        <f>IF(D344="NR",
IF('ZD Vorerfassung'!$E$22="",0,IF(AND(B344&gt;='ZD Vorerfassung'!$C$22,B344&lt;='ZD Vorerfassung'!$D$22),HLOOKUP(TEXT(C344,"ttt"),'ZD Vorerfassung'!$H$21:$L$36,2,0),0))+
IF('ZD Vorerfassung'!$E$23="",0,IF(AND(B344&gt;='ZD Vorerfassung'!$C$23,B344&lt;='ZD Vorerfassung'!$D$23),HLOOKUP(TEXT(C344,"ttt"),'ZD Vorerfassung'!$H$21:$L$36,3,0),0))+
IF('ZD Vorerfassung'!$E$24="",0,IF(AND(B344&gt;='ZD Vorerfassung'!$C$24,B344&lt;='ZD Vorerfassung'!$D$24),HLOOKUP(TEXT(C344,"ttt"),'ZD Vorerfassung'!$H$21:$L$36,4,0),0))+
IF('ZD Vorerfassung'!$E$25="",0,IF(AND(B344&gt;='ZD Vorerfassung'!$C$25,B344&lt;='ZD Vorerfassung'!$D$25),HLOOKUP(TEXT(C344,"ttt"),'ZD Vorerfassung'!$H$21:$L$36,5,0),0))+
IF('ZD Vorerfassung'!$E$26="",0,IF(AND(B344&gt;='ZD Vorerfassung'!$C$26,B344&lt;='ZD Vorerfassung'!$D$26),HLOOKUP(TEXT(C344,"ttt"),'ZD Vorerfassung'!$H$21:$L$36,6,0),0))+
IF('ZD Vorerfassung'!$E$27="",0,IF(AND(B344&gt;='ZD Vorerfassung'!$C$27,B344&lt;='ZD Vorerfassung'!$D$27),HLOOKUP(TEXT(C344,"ttt"),'ZD Vorerfassung'!$H$21:$L$36,7,0),0))+
IF('ZD Vorerfassung'!$E$28="",0,IF(AND(B344&gt;='ZD Vorerfassung'!$C$28,B344&lt;='ZD Vorerfassung'!$D$28),HLOOKUP(TEXT(C344,"ttt"),'ZD Vorerfassung'!$H$21:$L$36,8,0),0))+
IF('ZD Vorerfassung'!$E$29="",0,IF(AND(B344&gt;='ZD Vorerfassung'!$C$29,B344&lt;='ZD Vorerfassung'!$D$29),HLOOKUP(TEXT(C344,"ttt"),'ZD Vorerfassung'!$H$21:$L$36,9,0),0))+
IF('ZD Vorerfassung'!$E$30="",0,IF(AND(B344&gt;='ZD Vorerfassung'!$C$30,B344&lt;='ZD Vorerfassung'!$D$30),HLOOKUP(TEXT(C344,"ttt"),'ZD Vorerfassung'!$H$21:$L$36,10,0),0))+
IF('ZD Vorerfassung'!$E$31="",0,IF(AND(B344&gt;='ZD Vorerfassung'!$C$31,B344&lt;='ZD Vorerfassung'!$D$31),HLOOKUP(TEXT(C344,"ttt"),'ZD Vorerfassung'!$H$21:$L$36,11,0),0))+
IF('ZD Vorerfassung'!$E$32="",0,IF(AND(B344&gt;='ZD Vorerfassung'!$C$32,B344&lt;='ZD Vorerfassung'!$D$32),HLOOKUP(TEXT(C344,"ttt"),'ZD Vorerfassung'!$H$21:$L$36,12,0),0))+
IF('ZD Vorerfassung'!$E$33="",0,IF(AND(B344&gt;='ZD Vorerfassung'!$C$33,B344&lt;='ZD Vorerfassung'!$D$33),HLOOKUP(TEXT(C344,"ttt"),'ZD Vorerfassung'!$H$21:$L$36,13,0),0))+
IF('ZD Vorerfassung'!$E$34="",0,IF(AND(B344&gt;='ZD Vorerfassung'!$C$34,B344&lt;='ZD Vorerfassung'!$D$34),HLOOKUP(TEXT(C344,"ttt"),'ZD Vorerfassung'!$H$21:$L$36,14,0),0))+
IF('ZD Vorerfassung'!$E$35="",0,IF(AND(B344&gt;='ZD Vorerfassung'!$C$35,B344&lt;='ZD Vorerfassung'!$D$35),HLOOKUP(TEXT(C344,"ttt"),'ZD Vorerfassung'!$H$21:$L$36,15,0),0))+
IF('ZD Vorerfassung'!$E$36="",0,IF(AND(B344&gt;='ZD Vorerfassung'!$C$36,B344&lt;='ZD Vorerfassung'!$D$36),HLOOKUP(TEXT(C344,"ttt"),'ZD Vorerfassung'!$H$21:$L$36,16,0),0)),"")</f>
        <v/>
      </c>
      <c r="AW344" s="110">
        <f t="array" ref="AW344">IF(OR(D344="UU",D344="FT",D344="WE"),0,
IF(D344="NR",SUM(IF(B344&gt;=_xlfn.NUMBERVALUE('ZD Vorerfassung'!$C$22:$C$36),1,0)*IF(B344&lt;=_xlfn.NUMBERVALUE('ZD Vorerfassung'!$D$22:$D$36),1,0)*'ZD Vorerfassung'!$Q$22:$Q$36),
IF(OR(D344="SF",D344="FH"),SUM(IF(B344&gt;=_xlfn.NUMBERVALUE('ZD Vorerfassung'!$C$22:$C$36),1,0)*IF(B344&lt;=_xlfn.NUMBERVALUE('ZD Vorerfassung'!$D$22:$D$36),1,0)*'ZD Vorerfassung'!$R$22:$R$36*IF(D344="FH",0.5,1)),
"prüfen")))</f>
        <v>0</v>
      </c>
      <c r="AX344" s="110">
        <f t="array" ref="AX344">IF(OR(D344="UU",D344="FT",D344="WE",E344="Ferien"),0,
IF(D344="NR",SUM(IF(B344&gt;=_xlfn.NUMBERVALUE('ZD Vorerfassung'!$C$22:$C$36),1,0)*IF(B344&lt;=_xlfn.NUMBERVALUE('ZD Vorerfassung'!$D$22:$D$36),1,0)*'ZD Vorerfassung'!$W$22:$W$36),
IF(OR(D344="SF",D344="FH"),SUM(IF(B344&gt;=_xlfn.NUMBERVALUE('ZD Vorerfassung'!$C$22:$C$36),1,0)*IF(B344&lt;=_xlfn.NUMBERVALUE('ZD Vorerfassung'!$D$22:$D$36),1,0)*'ZD Vorerfassung'!$X$22:$X$36*IF(D344="FH",0.5,1)),
"prüfen")))</f>
        <v>0</v>
      </c>
      <c r="AY344" s="110">
        <f t="array" ref="AY344">IF(OR(D344="UU",D344="FT",D344="WE",E344="Ferien"),0,
IF(D344="NR",SUM(IF(B344&gt;=_xlfn.NUMBERVALUE('ZD Vorerfassung'!$C$22:$C$36),1,0)*IF(B344&lt;=_xlfn.NUMBERVALUE('ZD Vorerfassung'!$D$22:$D$36),1,0)*'ZD Vorerfassung'!$U$22:$U$36),
IF(OR(D344="SF",D344="FH"),SUM(IF(B344&gt;=_xlfn.NUMBERVALUE('ZD Vorerfassung'!$C$22:$C$36),1,0)*IF(B344&lt;=_xlfn.NUMBERVALUE('ZD Vorerfassung'!$D$22:$D$36),1,0)*'ZD Vorerfassung'!$V$22:$V$36*IF(D344="FH",0.5,1)),
"prüfen")))</f>
        <v>0</v>
      </c>
      <c r="AZ344" s="110">
        <f t="array" ref="AZ344">IF(OR(D344="UU",D344="FT",D344="WE",E344="Ferien"),0,
IF(D344="NR",SUM(IF(B344&gt;=_xlfn.NUMBERVALUE('ZD Vorerfassung'!$C$22:$C$36),1,0)*IF(B344&lt;=_xlfn.NUMBERVALUE('ZD Vorerfassung'!$D$22:$D$36),1,0)*'ZD Vorerfassung'!$S$22:$S$36),
IF(OR(D344="SF",D344="FH"),SUM(IF(B344&gt;=_xlfn.NUMBERVALUE('ZD Vorerfassung'!$C$22:$C$36),1,0)*IF(B344&lt;=_xlfn.NUMBERVALUE('ZD Vorerfassung'!$D$22:$D$36),1,0)*'ZD Vorerfassung'!$T$22:$T$36*IF(D344="FH",0.5,1)),
"prüfen")))</f>
        <v>0</v>
      </c>
      <c r="BA344" s="112">
        <f t="shared" si="76"/>
        <v>7</v>
      </c>
    </row>
    <row r="345" spans="2:53" ht="19.5" thickTop="1" thickBot="1" x14ac:dyDescent="0.3">
      <c r="B345" s="99">
        <f t="shared" si="65"/>
        <v>45110</v>
      </c>
      <c r="C345" s="100">
        <f t="shared" si="68"/>
        <v>45110</v>
      </c>
      <c r="D345" s="101" t="str">
        <f t="shared" si="69"/>
        <v>WE</v>
      </c>
      <c r="E345" s="102" t="str">
        <f t="shared" si="66"/>
        <v>Wochenende</v>
      </c>
      <c r="F345" s="103" t="str">
        <f t="shared" si="70"/>
        <v/>
      </c>
      <c r="G345" s="104" t="str">
        <f t="shared" si="71"/>
        <v/>
      </c>
      <c r="H345" s="104">
        <f>IFERROR(IF('ZD Vorerfassung'!$E$11="manuell",SUM(I345),IF(OR(E345="Feiertag",E345="Wochenende"),0,IF('ZD Vorerfassung'!$E$11="automatisch",AX345,IF(D345="UU","UU",IF(E345=Param2,AX345/24,IF(E345=Param9,AX345/48,"")))))),0)</f>
        <v>0</v>
      </c>
      <c r="I345" s="105"/>
      <c r="J345" s="106">
        <f>IF('ZD Vorerfassung'!$E$12="manuell",SUM(K345:AI345),IF(OR(E345="Feiertag",E345="Wochenende"),0,IF('ZD Vorerfassung'!$E$12="automatisch",AY345,IF(D345="UU","UU",IF(E345=Param2,AY345/24,IF(E345=Param9,AY345/48,""))))))</f>
        <v>0</v>
      </c>
      <c r="K345" s="105"/>
      <c r="L345" s="105"/>
      <c r="M345" s="105"/>
      <c r="N345" s="105"/>
      <c r="O345" s="105"/>
      <c r="P345" s="105"/>
      <c r="Q345" s="105"/>
      <c r="R345" s="105"/>
      <c r="S345" s="105"/>
      <c r="T345" s="105"/>
      <c r="U345" s="105"/>
      <c r="V345" s="105"/>
      <c r="W345" s="105"/>
      <c r="X345" s="105"/>
      <c r="Y345" s="105"/>
      <c r="Z345" s="105"/>
      <c r="AA345" s="105"/>
      <c r="AB345" s="105"/>
      <c r="AC345" s="105"/>
      <c r="AD345" s="105"/>
      <c r="AE345" s="105"/>
      <c r="AF345" s="105"/>
      <c r="AG345" s="105"/>
      <c r="AH345" s="105"/>
      <c r="AI345" s="105"/>
      <c r="AJ345" s="107">
        <f t="shared" si="72"/>
        <v>0</v>
      </c>
      <c r="AK345" s="105"/>
      <c r="AL345" s="105"/>
      <c r="AM345" s="105"/>
      <c r="AN345" s="105"/>
      <c r="AO345" s="105"/>
      <c r="AP345" s="105"/>
      <c r="AQ345" s="108">
        <f t="shared" si="73"/>
        <v>0</v>
      </c>
      <c r="AR345" s="108">
        <f t="shared" si="74"/>
        <v>0</v>
      </c>
      <c r="AS345" s="109">
        <f t="shared" si="75"/>
        <v>0</v>
      </c>
      <c r="AU345" s="110">
        <f t="shared" si="67"/>
        <v>0</v>
      </c>
      <c r="AV345" s="111" t="str">
        <f>IF(D345="NR",
IF('ZD Vorerfassung'!$E$22="",0,IF(AND(B345&gt;='ZD Vorerfassung'!$C$22,B345&lt;='ZD Vorerfassung'!$D$22),HLOOKUP(TEXT(C345,"ttt"),'ZD Vorerfassung'!$H$21:$L$36,2,0),0))+
IF('ZD Vorerfassung'!$E$23="",0,IF(AND(B345&gt;='ZD Vorerfassung'!$C$23,B345&lt;='ZD Vorerfassung'!$D$23),HLOOKUP(TEXT(C345,"ttt"),'ZD Vorerfassung'!$H$21:$L$36,3,0),0))+
IF('ZD Vorerfassung'!$E$24="",0,IF(AND(B345&gt;='ZD Vorerfassung'!$C$24,B345&lt;='ZD Vorerfassung'!$D$24),HLOOKUP(TEXT(C345,"ttt"),'ZD Vorerfassung'!$H$21:$L$36,4,0),0))+
IF('ZD Vorerfassung'!$E$25="",0,IF(AND(B345&gt;='ZD Vorerfassung'!$C$25,B345&lt;='ZD Vorerfassung'!$D$25),HLOOKUP(TEXT(C345,"ttt"),'ZD Vorerfassung'!$H$21:$L$36,5,0),0))+
IF('ZD Vorerfassung'!$E$26="",0,IF(AND(B345&gt;='ZD Vorerfassung'!$C$26,B345&lt;='ZD Vorerfassung'!$D$26),HLOOKUP(TEXT(C345,"ttt"),'ZD Vorerfassung'!$H$21:$L$36,6,0),0))+
IF('ZD Vorerfassung'!$E$27="",0,IF(AND(B345&gt;='ZD Vorerfassung'!$C$27,B345&lt;='ZD Vorerfassung'!$D$27),HLOOKUP(TEXT(C345,"ttt"),'ZD Vorerfassung'!$H$21:$L$36,7,0),0))+
IF('ZD Vorerfassung'!$E$28="",0,IF(AND(B345&gt;='ZD Vorerfassung'!$C$28,B345&lt;='ZD Vorerfassung'!$D$28),HLOOKUP(TEXT(C345,"ttt"),'ZD Vorerfassung'!$H$21:$L$36,8,0),0))+
IF('ZD Vorerfassung'!$E$29="",0,IF(AND(B345&gt;='ZD Vorerfassung'!$C$29,B345&lt;='ZD Vorerfassung'!$D$29),HLOOKUP(TEXT(C345,"ttt"),'ZD Vorerfassung'!$H$21:$L$36,9,0),0))+
IF('ZD Vorerfassung'!$E$30="",0,IF(AND(B345&gt;='ZD Vorerfassung'!$C$30,B345&lt;='ZD Vorerfassung'!$D$30),HLOOKUP(TEXT(C345,"ttt"),'ZD Vorerfassung'!$H$21:$L$36,10,0),0))+
IF('ZD Vorerfassung'!$E$31="",0,IF(AND(B345&gt;='ZD Vorerfassung'!$C$31,B345&lt;='ZD Vorerfassung'!$D$31),HLOOKUP(TEXT(C345,"ttt"),'ZD Vorerfassung'!$H$21:$L$36,11,0),0))+
IF('ZD Vorerfassung'!$E$32="",0,IF(AND(B345&gt;='ZD Vorerfassung'!$C$32,B345&lt;='ZD Vorerfassung'!$D$32),HLOOKUP(TEXT(C345,"ttt"),'ZD Vorerfassung'!$H$21:$L$36,12,0),0))+
IF('ZD Vorerfassung'!$E$33="",0,IF(AND(B345&gt;='ZD Vorerfassung'!$C$33,B345&lt;='ZD Vorerfassung'!$D$33),HLOOKUP(TEXT(C345,"ttt"),'ZD Vorerfassung'!$H$21:$L$36,13,0),0))+
IF('ZD Vorerfassung'!$E$34="",0,IF(AND(B345&gt;='ZD Vorerfassung'!$C$34,B345&lt;='ZD Vorerfassung'!$D$34),HLOOKUP(TEXT(C345,"ttt"),'ZD Vorerfassung'!$H$21:$L$36,14,0),0))+
IF('ZD Vorerfassung'!$E$35="",0,IF(AND(B345&gt;='ZD Vorerfassung'!$C$35,B345&lt;='ZD Vorerfassung'!$D$35),HLOOKUP(TEXT(C345,"ttt"),'ZD Vorerfassung'!$H$21:$L$36,15,0),0))+
IF('ZD Vorerfassung'!$E$36="",0,IF(AND(B345&gt;='ZD Vorerfassung'!$C$36,B345&lt;='ZD Vorerfassung'!$D$36),HLOOKUP(TEXT(C345,"ttt"),'ZD Vorerfassung'!$H$21:$L$36,16,0),0)),"")</f>
        <v/>
      </c>
      <c r="AW345" s="110">
        <f t="array" ref="AW345">IF(OR(D345="UU",D345="FT",D345="WE"),0,
IF(D345="NR",SUM(IF(B345&gt;=_xlfn.NUMBERVALUE('ZD Vorerfassung'!$C$22:$C$36),1,0)*IF(B345&lt;=_xlfn.NUMBERVALUE('ZD Vorerfassung'!$D$22:$D$36),1,0)*'ZD Vorerfassung'!$Q$22:$Q$36),
IF(OR(D345="SF",D345="FH"),SUM(IF(B345&gt;=_xlfn.NUMBERVALUE('ZD Vorerfassung'!$C$22:$C$36),1,0)*IF(B345&lt;=_xlfn.NUMBERVALUE('ZD Vorerfassung'!$D$22:$D$36),1,0)*'ZD Vorerfassung'!$R$22:$R$36*IF(D345="FH",0.5,1)),
"prüfen")))</f>
        <v>0</v>
      </c>
      <c r="AX345" s="110">
        <f t="array" ref="AX345">IF(OR(D345="UU",D345="FT",D345="WE",E345="Ferien"),0,
IF(D345="NR",SUM(IF(B345&gt;=_xlfn.NUMBERVALUE('ZD Vorerfassung'!$C$22:$C$36),1,0)*IF(B345&lt;=_xlfn.NUMBERVALUE('ZD Vorerfassung'!$D$22:$D$36),1,0)*'ZD Vorerfassung'!$W$22:$W$36),
IF(OR(D345="SF",D345="FH"),SUM(IF(B345&gt;=_xlfn.NUMBERVALUE('ZD Vorerfassung'!$C$22:$C$36),1,0)*IF(B345&lt;=_xlfn.NUMBERVALUE('ZD Vorerfassung'!$D$22:$D$36),1,0)*'ZD Vorerfassung'!$X$22:$X$36*IF(D345="FH",0.5,1)),
"prüfen")))</f>
        <v>0</v>
      </c>
      <c r="AY345" s="110">
        <f t="array" ref="AY345">IF(OR(D345="UU",D345="FT",D345="WE",E345="Ferien"),0,
IF(D345="NR",SUM(IF(B345&gt;=_xlfn.NUMBERVALUE('ZD Vorerfassung'!$C$22:$C$36),1,0)*IF(B345&lt;=_xlfn.NUMBERVALUE('ZD Vorerfassung'!$D$22:$D$36),1,0)*'ZD Vorerfassung'!$U$22:$U$36),
IF(OR(D345="SF",D345="FH"),SUM(IF(B345&gt;=_xlfn.NUMBERVALUE('ZD Vorerfassung'!$C$22:$C$36),1,0)*IF(B345&lt;=_xlfn.NUMBERVALUE('ZD Vorerfassung'!$D$22:$D$36),1,0)*'ZD Vorerfassung'!$V$22:$V$36*IF(D345="FH",0.5,1)),
"prüfen")))</f>
        <v>0</v>
      </c>
      <c r="AZ345" s="110">
        <f t="array" ref="AZ345">IF(OR(D345="UU",D345="FT",D345="WE",E345="Ferien"),0,
IF(D345="NR",SUM(IF(B345&gt;=_xlfn.NUMBERVALUE('ZD Vorerfassung'!$C$22:$C$36),1,0)*IF(B345&lt;=_xlfn.NUMBERVALUE('ZD Vorerfassung'!$D$22:$D$36),1,0)*'ZD Vorerfassung'!$S$22:$S$36),
IF(OR(D345="SF",D345="FH"),SUM(IF(B345&gt;=_xlfn.NUMBERVALUE('ZD Vorerfassung'!$C$22:$C$36),1,0)*IF(B345&lt;=_xlfn.NUMBERVALUE('ZD Vorerfassung'!$D$22:$D$36),1,0)*'ZD Vorerfassung'!$T$22:$T$36*IF(D345="FH",0.5,1)),
"prüfen")))</f>
        <v>0</v>
      </c>
      <c r="BA345" s="112">
        <f t="shared" si="76"/>
        <v>7</v>
      </c>
    </row>
    <row r="346" spans="2:53" ht="19.5" thickTop="1" thickBot="1" x14ac:dyDescent="0.3">
      <c r="B346" s="99">
        <f t="shared" si="65"/>
        <v>45111</v>
      </c>
      <c r="C346" s="100">
        <f t="shared" si="68"/>
        <v>45111</v>
      </c>
      <c r="D346" s="101" t="str">
        <f t="shared" si="69"/>
        <v>SF</v>
      </c>
      <c r="E346" s="102" t="str">
        <f t="shared" si="66"/>
        <v>unterrichtsfreie Arbeitszeit</v>
      </c>
      <c r="F346" s="103" t="str">
        <f t="shared" si="70"/>
        <v/>
      </c>
      <c r="G346" s="104" t="str">
        <f t="shared" si="71"/>
        <v/>
      </c>
      <c r="H346" s="104">
        <f>IFERROR(IF('ZD Vorerfassung'!$E$11="manuell",SUM(I346),IF(OR(E346="Feiertag",E346="Wochenende"),0,IF('ZD Vorerfassung'!$E$11="automatisch",AX346,IF(D346="UU","UU",IF(E346=Param2,AX346/24,IF(E346=Param9,AX346/48,"")))))),0)</f>
        <v>0</v>
      </c>
      <c r="I346" s="105"/>
      <c r="J346" s="106">
        <f>IF('ZD Vorerfassung'!$E$12="manuell",SUM(K346:AI346),IF(OR(E346="Feiertag",E346="Wochenende"),0,IF('ZD Vorerfassung'!$E$12="automatisch",AY346,IF(D346="UU","UU",IF(E346=Param2,AY346/24,IF(E346=Param9,AY346/48,""))))))</f>
        <v>0</v>
      </c>
      <c r="K346" s="105"/>
      <c r="L346" s="105"/>
      <c r="M346" s="105"/>
      <c r="N346" s="105"/>
      <c r="O346" s="105"/>
      <c r="P346" s="105"/>
      <c r="Q346" s="105"/>
      <c r="R346" s="105"/>
      <c r="S346" s="105"/>
      <c r="T346" s="105"/>
      <c r="U346" s="105"/>
      <c r="V346" s="105"/>
      <c r="W346" s="105"/>
      <c r="X346" s="105"/>
      <c r="Y346" s="105"/>
      <c r="Z346" s="105"/>
      <c r="AA346" s="105"/>
      <c r="AB346" s="105"/>
      <c r="AC346" s="105"/>
      <c r="AD346" s="105"/>
      <c r="AE346" s="105"/>
      <c r="AF346" s="105"/>
      <c r="AG346" s="105"/>
      <c r="AH346" s="105"/>
      <c r="AI346" s="105"/>
      <c r="AJ346" s="107">
        <f t="shared" si="72"/>
        <v>0</v>
      </c>
      <c r="AK346" s="105"/>
      <c r="AL346" s="105"/>
      <c r="AM346" s="105"/>
      <c r="AN346" s="105"/>
      <c r="AO346" s="105"/>
      <c r="AP346" s="105"/>
      <c r="AQ346" s="108">
        <f t="shared" si="73"/>
        <v>0</v>
      </c>
      <c r="AR346" s="108">
        <f t="shared" si="74"/>
        <v>0</v>
      </c>
      <c r="AS346" s="109">
        <f t="shared" si="75"/>
        <v>0</v>
      </c>
      <c r="AU346" s="110">
        <f t="shared" si="67"/>
        <v>0</v>
      </c>
      <c r="AV346" s="111" t="str">
        <f>IF(D346="NR",
IF('ZD Vorerfassung'!$E$22="",0,IF(AND(B346&gt;='ZD Vorerfassung'!$C$22,B346&lt;='ZD Vorerfassung'!$D$22),HLOOKUP(TEXT(C346,"ttt"),'ZD Vorerfassung'!$H$21:$L$36,2,0),0))+
IF('ZD Vorerfassung'!$E$23="",0,IF(AND(B346&gt;='ZD Vorerfassung'!$C$23,B346&lt;='ZD Vorerfassung'!$D$23),HLOOKUP(TEXT(C346,"ttt"),'ZD Vorerfassung'!$H$21:$L$36,3,0),0))+
IF('ZD Vorerfassung'!$E$24="",0,IF(AND(B346&gt;='ZD Vorerfassung'!$C$24,B346&lt;='ZD Vorerfassung'!$D$24),HLOOKUP(TEXT(C346,"ttt"),'ZD Vorerfassung'!$H$21:$L$36,4,0),0))+
IF('ZD Vorerfassung'!$E$25="",0,IF(AND(B346&gt;='ZD Vorerfassung'!$C$25,B346&lt;='ZD Vorerfassung'!$D$25),HLOOKUP(TEXT(C346,"ttt"),'ZD Vorerfassung'!$H$21:$L$36,5,0),0))+
IF('ZD Vorerfassung'!$E$26="",0,IF(AND(B346&gt;='ZD Vorerfassung'!$C$26,B346&lt;='ZD Vorerfassung'!$D$26),HLOOKUP(TEXT(C346,"ttt"),'ZD Vorerfassung'!$H$21:$L$36,6,0),0))+
IF('ZD Vorerfassung'!$E$27="",0,IF(AND(B346&gt;='ZD Vorerfassung'!$C$27,B346&lt;='ZD Vorerfassung'!$D$27),HLOOKUP(TEXT(C346,"ttt"),'ZD Vorerfassung'!$H$21:$L$36,7,0),0))+
IF('ZD Vorerfassung'!$E$28="",0,IF(AND(B346&gt;='ZD Vorerfassung'!$C$28,B346&lt;='ZD Vorerfassung'!$D$28),HLOOKUP(TEXT(C346,"ttt"),'ZD Vorerfassung'!$H$21:$L$36,8,0),0))+
IF('ZD Vorerfassung'!$E$29="",0,IF(AND(B346&gt;='ZD Vorerfassung'!$C$29,B346&lt;='ZD Vorerfassung'!$D$29),HLOOKUP(TEXT(C346,"ttt"),'ZD Vorerfassung'!$H$21:$L$36,9,0),0))+
IF('ZD Vorerfassung'!$E$30="",0,IF(AND(B346&gt;='ZD Vorerfassung'!$C$30,B346&lt;='ZD Vorerfassung'!$D$30),HLOOKUP(TEXT(C346,"ttt"),'ZD Vorerfassung'!$H$21:$L$36,10,0),0))+
IF('ZD Vorerfassung'!$E$31="",0,IF(AND(B346&gt;='ZD Vorerfassung'!$C$31,B346&lt;='ZD Vorerfassung'!$D$31),HLOOKUP(TEXT(C346,"ttt"),'ZD Vorerfassung'!$H$21:$L$36,11,0),0))+
IF('ZD Vorerfassung'!$E$32="",0,IF(AND(B346&gt;='ZD Vorerfassung'!$C$32,B346&lt;='ZD Vorerfassung'!$D$32),HLOOKUP(TEXT(C346,"ttt"),'ZD Vorerfassung'!$H$21:$L$36,12,0),0))+
IF('ZD Vorerfassung'!$E$33="",0,IF(AND(B346&gt;='ZD Vorerfassung'!$C$33,B346&lt;='ZD Vorerfassung'!$D$33),HLOOKUP(TEXT(C346,"ttt"),'ZD Vorerfassung'!$H$21:$L$36,13,0),0))+
IF('ZD Vorerfassung'!$E$34="",0,IF(AND(B346&gt;='ZD Vorerfassung'!$C$34,B346&lt;='ZD Vorerfassung'!$D$34),HLOOKUP(TEXT(C346,"ttt"),'ZD Vorerfassung'!$H$21:$L$36,14,0),0))+
IF('ZD Vorerfassung'!$E$35="",0,IF(AND(B346&gt;='ZD Vorerfassung'!$C$35,B346&lt;='ZD Vorerfassung'!$D$35),HLOOKUP(TEXT(C346,"ttt"),'ZD Vorerfassung'!$H$21:$L$36,15,0),0))+
IF('ZD Vorerfassung'!$E$36="",0,IF(AND(B346&gt;='ZD Vorerfassung'!$C$36,B346&lt;='ZD Vorerfassung'!$D$36),HLOOKUP(TEXT(C346,"ttt"),'ZD Vorerfassung'!$H$21:$L$36,16,0),0)),"")</f>
        <v/>
      </c>
      <c r="AW346" s="110">
        <f t="array" ref="AW346">IF(OR(D346="UU",D346="FT",D346="WE"),0,
IF(D346="NR",SUM(IF(B346&gt;=_xlfn.NUMBERVALUE('ZD Vorerfassung'!$C$22:$C$36),1,0)*IF(B346&lt;=_xlfn.NUMBERVALUE('ZD Vorerfassung'!$D$22:$D$36),1,0)*'ZD Vorerfassung'!$Q$22:$Q$36),
IF(OR(D346="SF",D346="FH"),SUM(IF(B346&gt;=_xlfn.NUMBERVALUE('ZD Vorerfassung'!$C$22:$C$36),1,0)*IF(B346&lt;=_xlfn.NUMBERVALUE('ZD Vorerfassung'!$D$22:$D$36),1,0)*'ZD Vorerfassung'!$R$22:$R$36*IF(D346="FH",0.5,1)),
"prüfen")))</f>
        <v>0</v>
      </c>
      <c r="AX346" s="110">
        <f t="array" ref="AX346">IF(OR(D346="UU",D346="FT",D346="WE",E346="Ferien"),0,
IF(D346="NR",SUM(IF(B346&gt;=_xlfn.NUMBERVALUE('ZD Vorerfassung'!$C$22:$C$36),1,0)*IF(B346&lt;=_xlfn.NUMBERVALUE('ZD Vorerfassung'!$D$22:$D$36),1,0)*'ZD Vorerfassung'!$W$22:$W$36),
IF(OR(D346="SF",D346="FH"),SUM(IF(B346&gt;=_xlfn.NUMBERVALUE('ZD Vorerfassung'!$C$22:$C$36),1,0)*IF(B346&lt;=_xlfn.NUMBERVALUE('ZD Vorerfassung'!$D$22:$D$36),1,0)*'ZD Vorerfassung'!$X$22:$X$36*IF(D346="FH",0.5,1)),
"prüfen")))</f>
        <v>0</v>
      </c>
      <c r="AY346" s="110">
        <f t="array" ref="AY346">IF(OR(D346="UU",D346="FT",D346="WE",E346="Ferien"),0,
IF(D346="NR",SUM(IF(B346&gt;=_xlfn.NUMBERVALUE('ZD Vorerfassung'!$C$22:$C$36),1,0)*IF(B346&lt;=_xlfn.NUMBERVALUE('ZD Vorerfassung'!$D$22:$D$36),1,0)*'ZD Vorerfassung'!$U$22:$U$36),
IF(OR(D346="SF",D346="FH"),SUM(IF(B346&gt;=_xlfn.NUMBERVALUE('ZD Vorerfassung'!$C$22:$C$36),1,0)*IF(B346&lt;=_xlfn.NUMBERVALUE('ZD Vorerfassung'!$D$22:$D$36),1,0)*'ZD Vorerfassung'!$V$22:$V$36*IF(D346="FH",0.5,1)),
"prüfen")))</f>
        <v>0</v>
      </c>
      <c r="AZ346" s="110">
        <f t="array" ref="AZ346">IF(OR(D346="UU",D346="FT",D346="WE",E346="Ferien"),0,
IF(D346="NR",SUM(IF(B346&gt;=_xlfn.NUMBERVALUE('ZD Vorerfassung'!$C$22:$C$36),1,0)*IF(B346&lt;=_xlfn.NUMBERVALUE('ZD Vorerfassung'!$D$22:$D$36),1,0)*'ZD Vorerfassung'!$S$22:$S$36),
IF(OR(D346="SF",D346="FH"),SUM(IF(B346&gt;=_xlfn.NUMBERVALUE('ZD Vorerfassung'!$C$22:$C$36),1,0)*IF(B346&lt;=_xlfn.NUMBERVALUE('ZD Vorerfassung'!$D$22:$D$36),1,0)*'ZD Vorerfassung'!$T$22:$T$36*IF(D346="FH",0.5,1)),
"prüfen")))</f>
        <v>0</v>
      </c>
      <c r="BA346" s="112">
        <f t="shared" si="76"/>
        <v>7</v>
      </c>
    </row>
    <row r="347" spans="2:53" ht="19.5" thickTop="1" thickBot="1" x14ac:dyDescent="0.3">
      <c r="B347" s="99">
        <f t="shared" si="65"/>
        <v>45112</v>
      </c>
      <c r="C347" s="100">
        <f t="shared" si="68"/>
        <v>45112</v>
      </c>
      <c r="D347" s="101" t="str">
        <f t="shared" si="69"/>
        <v>SF</v>
      </c>
      <c r="E347" s="102" t="str">
        <f t="shared" si="66"/>
        <v>unterrichtsfreie Arbeitszeit</v>
      </c>
      <c r="F347" s="103" t="str">
        <f t="shared" si="70"/>
        <v/>
      </c>
      <c r="G347" s="104" t="str">
        <f t="shared" si="71"/>
        <v/>
      </c>
      <c r="H347" s="104">
        <f>IFERROR(IF('ZD Vorerfassung'!$E$11="manuell",SUM(I347),IF(OR(E347="Feiertag",E347="Wochenende"),0,IF('ZD Vorerfassung'!$E$11="automatisch",AX347,IF(D347="UU","UU",IF(E347=Param2,AX347/24,IF(E347=Param9,AX347/48,"")))))),0)</f>
        <v>0</v>
      </c>
      <c r="I347" s="105"/>
      <c r="J347" s="106">
        <f>IF('ZD Vorerfassung'!$E$12="manuell",SUM(K347:AI347),IF(OR(E347="Feiertag",E347="Wochenende"),0,IF('ZD Vorerfassung'!$E$12="automatisch",AY347,IF(D347="UU","UU",IF(E347=Param2,AY347/24,IF(E347=Param9,AY347/48,""))))))</f>
        <v>0</v>
      </c>
      <c r="K347" s="105"/>
      <c r="L347" s="105"/>
      <c r="M347" s="105"/>
      <c r="N347" s="105"/>
      <c r="O347" s="105"/>
      <c r="P347" s="105"/>
      <c r="Q347" s="105"/>
      <c r="R347" s="105"/>
      <c r="S347" s="105"/>
      <c r="T347" s="105"/>
      <c r="U347" s="105"/>
      <c r="V347" s="105"/>
      <c r="W347" s="105"/>
      <c r="X347" s="105"/>
      <c r="Y347" s="105"/>
      <c r="Z347" s="105"/>
      <c r="AA347" s="105"/>
      <c r="AB347" s="105"/>
      <c r="AC347" s="105"/>
      <c r="AD347" s="105"/>
      <c r="AE347" s="105"/>
      <c r="AF347" s="105"/>
      <c r="AG347" s="105"/>
      <c r="AH347" s="105"/>
      <c r="AI347" s="105"/>
      <c r="AJ347" s="107">
        <f t="shared" si="72"/>
        <v>0</v>
      </c>
      <c r="AK347" s="105"/>
      <c r="AL347" s="105"/>
      <c r="AM347" s="105"/>
      <c r="AN347" s="105"/>
      <c r="AO347" s="105"/>
      <c r="AP347" s="105"/>
      <c r="AQ347" s="108">
        <f t="shared" si="73"/>
        <v>0</v>
      </c>
      <c r="AR347" s="108">
        <f t="shared" si="74"/>
        <v>0</v>
      </c>
      <c r="AS347" s="109">
        <f t="shared" si="75"/>
        <v>0</v>
      </c>
      <c r="AU347" s="110">
        <f t="shared" si="67"/>
        <v>0</v>
      </c>
      <c r="AV347" s="111" t="str">
        <f>IF(D347="NR",
IF('ZD Vorerfassung'!$E$22="",0,IF(AND(B347&gt;='ZD Vorerfassung'!$C$22,B347&lt;='ZD Vorerfassung'!$D$22),HLOOKUP(TEXT(C347,"ttt"),'ZD Vorerfassung'!$H$21:$L$36,2,0),0))+
IF('ZD Vorerfassung'!$E$23="",0,IF(AND(B347&gt;='ZD Vorerfassung'!$C$23,B347&lt;='ZD Vorerfassung'!$D$23),HLOOKUP(TEXT(C347,"ttt"),'ZD Vorerfassung'!$H$21:$L$36,3,0),0))+
IF('ZD Vorerfassung'!$E$24="",0,IF(AND(B347&gt;='ZD Vorerfassung'!$C$24,B347&lt;='ZD Vorerfassung'!$D$24),HLOOKUP(TEXT(C347,"ttt"),'ZD Vorerfassung'!$H$21:$L$36,4,0),0))+
IF('ZD Vorerfassung'!$E$25="",0,IF(AND(B347&gt;='ZD Vorerfassung'!$C$25,B347&lt;='ZD Vorerfassung'!$D$25),HLOOKUP(TEXT(C347,"ttt"),'ZD Vorerfassung'!$H$21:$L$36,5,0),0))+
IF('ZD Vorerfassung'!$E$26="",0,IF(AND(B347&gt;='ZD Vorerfassung'!$C$26,B347&lt;='ZD Vorerfassung'!$D$26),HLOOKUP(TEXT(C347,"ttt"),'ZD Vorerfassung'!$H$21:$L$36,6,0),0))+
IF('ZD Vorerfassung'!$E$27="",0,IF(AND(B347&gt;='ZD Vorerfassung'!$C$27,B347&lt;='ZD Vorerfassung'!$D$27),HLOOKUP(TEXT(C347,"ttt"),'ZD Vorerfassung'!$H$21:$L$36,7,0),0))+
IF('ZD Vorerfassung'!$E$28="",0,IF(AND(B347&gt;='ZD Vorerfassung'!$C$28,B347&lt;='ZD Vorerfassung'!$D$28),HLOOKUP(TEXT(C347,"ttt"),'ZD Vorerfassung'!$H$21:$L$36,8,0),0))+
IF('ZD Vorerfassung'!$E$29="",0,IF(AND(B347&gt;='ZD Vorerfassung'!$C$29,B347&lt;='ZD Vorerfassung'!$D$29),HLOOKUP(TEXT(C347,"ttt"),'ZD Vorerfassung'!$H$21:$L$36,9,0),0))+
IF('ZD Vorerfassung'!$E$30="",0,IF(AND(B347&gt;='ZD Vorerfassung'!$C$30,B347&lt;='ZD Vorerfassung'!$D$30),HLOOKUP(TEXT(C347,"ttt"),'ZD Vorerfassung'!$H$21:$L$36,10,0),0))+
IF('ZD Vorerfassung'!$E$31="",0,IF(AND(B347&gt;='ZD Vorerfassung'!$C$31,B347&lt;='ZD Vorerfassung'!$D$31),HLOOKUP(TEXT(C347,"ttt"),'ZD Vorerfassung'!$H$21:$L$36,11,0),0))+
IF('ZD Vorerfassung'!$E$32="",0,IF(AND(B347&gt;='ZD Vorerfassung'!$C$32,B347&lt;='ZD Vorerfassung'!$D$32),HLOOKUP(TEXT(C347,"ttt"),'ZD Vorerfassung'!$H$21:$L$36,12,0),0))+
IF('ZD Vorerfassung'!$E$33="",0,IF(AND(B347&gt;='ZD Vorerfassung'!$C$33,B347&lt;='ZD Vorerfassung'!$D$33),HLOOKUP(TEXT(C347,"ttt"),'ZD Vorerfassung'!$H$21:$L$36,13,0),0))+
IF('ZD Vorerfassung'!$E$34="",0,IF(AND(B347&gt;='ZD Vorerfassung'!$C$34,B347&lt;='ZD Vorerfassung'!$D$34),HLOOKUP(TEXT(C347,"ttt"),'ZD Vorerfassung'!$H$21:$L$36,14,0),0))+
IF('ZD Vorerfassung'!$E$35="",0,IF(AND(B347&gt;='ZD Vorerfassung'!$C$35,B347&lt;='ZD Vorerfassung'!$D$35),HLOOKUP(TEXT(C347,"ttt"),'ZD Vorerfassung'!$H$21:$L$36,15,0),0))+
IF('ZD Vorerfassung'!$E$36="",0,IF(AND(B347&gt;='ZD Vorerfassung'!$C$36,B347&lt;='ZD Vorerfassung'!$D$36),HLOOKUP(TEXT(C347,"ttt"),'ZD Vorerfassung'!$H$21:$L$36,16,0),0)),"")</f>
        <v/>
      </c>
      <c r="AW347" s="110">
        <f t="array" ref="AW347">IF(OR(D347="UU",D347="FT",D347="WE"),0,
IF(D347="NR",SUM(IF(B347&gt;=_xlfn.NUMBERVALUE('ZD Vorerfassung'!$C$22:$C$36),1,0)*IF(B347&lt;=_xlfn.NUMBERVALUE('ZD Vorerfassung'!$D$22:$D$36),1,0)*'ZD Vorerfassung'!$Q$22:$Q$36),
IF(OR(D347="SF",D347="FH"),SUM(IF(B347&gt;=_xlfn.NUMBERVALUE('ZD Vorerfassung'!$C$22:$C$36),1,0)*IF(B347&lt;=_xlfn.NUMBERVALUE('ZD Vorerfassung'!$D$22:$D$36),1,0)*'ZD Vorerfassung'!$R$22:$R$36*IF(D347="FH",0.5,1)),
"prüfen")))</f>
        <v>0</v>
      </c>
      <c r="AX347" s="110">
        <f t="array" ref="AX347">IF(OR(D347="UU",D347="FT",D347="WE",E347="Ferien"),0,
IF(D347="NR",SUM(IF(B347&gt;=_xlfn.NUMBERVALUE('ZD Vorerfassung'!$C$22:$C$36),1,0)*IF(B347&lt;=_xlfn.NUMBERVALUE('ZD Vorerfassung'!$D$22:$D$36),1,0)*'ZD Vorerfassung'!$W$22:$W$36),
IF(OR(D347="SF",D347="FH"),SUM(IF(B347&gt;=_xlfn.NUMBERVALUE('ZD Vorerfassung'!$C$22:$C$36),1,0)*IF(B347&lt;=_xlfn.NUMBERVALUE('ZD Vorerfassung'!$D$22:$D$36),1,0)*'ZD Vorerfassung'!$X$22:$X$36*IF(D347="FH",0.5,1)),
"prüfen")))</f>
        <v>0</v>
      </c>
      <c r="AY347" s="110">
        <f t="array" ref="AY347">IF(OR(D347="UU",D347="FT",D347="WE",E347="Ferien"),0,
IF(D347="NR",SUM(IF(B347&gt;=_xlfn.NUMBERVALUE('ZD Vorerfassung'!$C$22:$C$36),1,0)*IF(B347&lt;=_xlfn.NUMBERVALUE('ZD Vorerfassung'!$D$22:$D$36),1,0)*'ZD Vorerfassung'!$U$22:$U$36),
IF(OR(D347="SF",D347="FH"),SUM(IF(B347&gt;=_xlfn.NUMBERVALUE('ZD Vorerfassung'!$C$22:$C$36),1,0)*IF(B347&lt;=_xlfn.NUMBERVALUE('ZD Vorerfassung'!$D$22:$D$36),1,0)*'ZD Vorerfassung'!$V$22:$V$36*IF(D347="FH",0.5,1)),
"prüfen")))</f>
        <v>0</v>
      </c>
      <c r="AZ347" s="110">
        <f t="array" ref="AZ347">IF(OR(D347="UU",D347="FT",D347="WE",E347="Ferien"),0,
IF(D347="NR",SUM(IF(B347&gt;=_xlfn.NUMBERVALUE('ZD Vorerfassung'!$C$22:$C$36),1,0)*IF(B347&lt;=_xlfn.NUMBERVALUE('ZD Vorerfassung'!$D$22:$D$36),1,0)*'ZD Vorerfassung'!$S$22:$S$36),
IF(OR(D347="SF",D347="FH"),SUM(IF(B347&gt;=_xlfn.NUMBERVALUE('ZD Vorerfassung'!$C$22:$C$36),1,0)*IF(B347&lt;=_xlfn.NUMBERVALUE('ZD Vorerfassung'!$D$22:$D$36),1,0)*'ZD Vorerfassung'!$T$22:$T$36*IF(D347="FH",0.5,1)),
"prüfen")))</f>
        <v>0</v>
      </c>
      <c r="BA347" s="112">
        <f t="shared" si="76"/>
        <v>7</v>
      </c>
    </row>
    <row r="348" spans="2:53" ht="19.5" thickTop="1" thickBot="1" x14ac:dyDescent="0.3">
      <c r="B348" s="99">
        <f t="shared" si="65"/>
        <v>45113</v>
      </c>
      <c r="C348" s="100">
        <f t="shared" si="68"/>
        <v>45113</v>
      </c>
      <c r="D348" s="101" t="str">
        <f t="shared" si="69"/>
        <v>SF</v>
      </c>
      <c r="E348" s="102" t="str">
        <f t="shared" si="66"/>
        <v>unterrichtsfreie Arbeitszeit</v>
      </c>
      <c r="F348" s="103" t="str">
        <f t="shared" si="70"/>
        <v/>
      </c>
      <c r="G348" s="104" t="str">
        <f t="shared" si="71"/>
        <v/>
      </c>
      <c r="H348" s="104">
        <f>IFERROR(IF('ZD Vorerfassung'!$E$11="manuell",SUM(I348),IF(OR(E348="Feiertag",E348="Wochenende"),0,IF('ZD Vorerfassung'!$E$11="automatisch",AX348,IF(D348="UU","UU",IF(E348=Param2,AX348/24,IF(E348=Param9,AX348/48,"")))))),0)</f>
        <v>0</v>
      </c>
      <c r="I348" s="105"/>
      <c r="J348" s="106">
        <f>IF('ZD Vorerfassung'!$E$12="manuell",SUM(K348:AI348),IF(OR(E348="Feiertag",E348="Wochenende"),0,IF('ZD Vorerfassung'!$E$12="automatisch",AY348,IF(D348="UU","UU",IF(E348=Param2,AY348/24,IF(E348=Param9,AY348/48,""))))))</f>
        <v>0</v>
      </c>
      <c r="K348" s="105"/>
      <c r="L348" s="105"/>
      <c r="M348" s="105"/>
      <c r="N348" s="105"/>
      <c r="O348" s="105"/>
      <c r="P348" s="105"/>
      <c r="Q348" s="105"/>
      <c r="R348" s="105"/>
      <c r="S348" s="105"/>
      <c r="T348" s="105"/>
      <c r="U348" s="105"/>
      <c r="V348" s="105"/>
      <c r="W348" s="105"/>
      <c r="X348" s="105"/>
      <c r="Y348" s="105"/>
      <c r="Z348" s="105"/>
      <c r="AA348" s="105"/>
      <c r="AB348" s="105"/>
      <c r="AC348" s="105"/>
      <c r="AD348" s="105"/>
      <c r="AE348" s="105"/>
      <c r="AF348" s="105"/>
      <c r="AG348" s="105"/>
      <c r="AH348" s="105"/>
      <c r="AI348" s="105"/>
      <c r="AJ348" s="107">
        <f t="shared" si="72"/>
        <v>0</v>
      </c>
      <c r="AK348" s="105"/>
      <c r="AL348" s="105"/>
      <c r="AM348" s="105"/>
      <c r="AN348" s="105"/>
      <c r="AO348" s="105"/>
      <c r="AP348" s="105"/>
      <c r="AQ348" s="108">
        <f t="shared" si="73"/>
        <v>0</v>
      </c>
      <c r="AR348" s="108">
        <f t="shared" si="74"/>
        <v>0</v>
      </c>
      <c r="AS348" s="109">
        <f t="shared" si="75"/>
        <v>0</v>
      </c>
      <c r="AU348" s="110">
        <f t="shared" si="67"/>
        <v>0</v>
      </c>
      <c r="AV348" s="111" t="str">
        <f>IF(D348="NR",
IF('ZD Vorerfassung'!$E$22="",0,IF(AND(B348&gt;='ZD Vorerfassung'!$C$22,B348&lt;='ZD Vorerfassung'!$D$22),HLOOKUP(TEXT(C348,"ttt"),'ZD Vorerfassung'!$H$21:$L$36,2,0),0))+
IF('ZD Vorerfassung'!$E$23="",0,IF(AND(B348&gt;='ZD Vorerfassung'!$C$23,B348&lt;='ZD Vorerfassung'!$D$23),HLOOKUP(TEXT(C348,"ttt"),'ZD Vorerfassung'!$H$21:$L$36,3,0),0))+
IF('ZD Vorerfassung'!$E$24="",0,IF(AND(B348&gt;='ZD Vorerfassung'!$C$24,B348&lt;='ZD Vorerfassung'!$D$24),HLOOKUP(TEXT(C348,"ttt"),'ZD Vorerfassung'!$H$21:$L$36,4,0),0))+
IF('ZD Vorerfassung'!$E$25="",0,IF(AND(B348&gt;='ZD Vorerfassung'!$C$25,B348&lt;='ZD Vorerfassung'!$D$25),HLOOKUP(TEXT(C348,"ttt"),'ZD Vorerfassung'!$H$21:$L$36,5,0),0))+
IF('ZD Vorerfassung'!$E$26="",0,IF(AND(B348&gt;='ZD Vorerfassung'!$C$26,B348&lt;='ZD Vorerfassung'!$D$26),HLOOKUP(TEXT(C348,"ttt"),'ZD Vorerfassung'!$H$21:$L$36,6,0),0))+
IF('ZD Vorerfassung'!$E$27="",0,IF(AND(B348&gt;='ZD Vorerfassung'!$C$27,B348&lt;='ZD Vorerfassung'!$D$27),HLOOKUP(TEXT(C348,"ttt"),'ZD Vorerfassung'!$H$21:$L$36,7,0),0))+
IF('ZD Vorerfassung'!$E$28="",0,IF(AND(B348&gt;='ZD Vorerfassung'!$C$28,B348&lt;='ZD Vorerfassung'!$D$28),HLOOKUP(TEXT(C348,"ttt"),'ZD Vorerfassung'!$H$21:$L$36,8,0),0))+
IF('ZD Vorerfassung'!$E$29="",0,IF(AND(B348&gt;='ZD Vorerfassung'!$C$29,B348&lt;='ZD Vorerfassung'!$D$29),HLOOKUP(TEXT(C348,"ttt"),'ZD Vorerfassung'!$H$21:$L$36,9,0),0))+
IF('ZD Vorerfassung'!$E$30="",0,IF(AND(B348&gt;='ZD Vorerfassung'!$C$30,B348&lt;='ZD Vorerfassung'!$D$30),HLOOKUP(TEXT(C348,"ttt"),'ZD Vorerfassung'!$H$21:$L$36,10,0),0))+
IF('ZD Vorerfassung'!$E$31="",0,IF(AND(B348&gt;='ZD Vorerfassung'!$C$31,B348&lt;='ZD Vorerfassung'!$D$31),HLOOKUP(TEXT(C348,"ttt"),'ZD Vorerfassung'!$H$21:$L$36,11,0),0))+
IF('ZD Vorerfassung'!$E$32="",0,IF(AND(B348&gt;='ZD Vorerfassung'!$C$32,B348&lt;='ZD Vorerfassung'!$D$32),HLOOKUP(TEXT(C348,"ttt"),'ZD Vorerfassung'!$H$21:$L$36,12,0),0))+
IF('ZD Vorerfassung'!$E$33="",0,IF(AND(B348&gt;='ZD Vorerfassung'!$C$33,B348&lt;='ZD Vorerfassung'!$D$33),HLOOKUP(TEXT(C348,"ttt"),'ZD Vorerfassung'!$H$21:$L$36,13,0),0))+
IF('ZD Vorerfassung'!$E$34="",0,IF(AND(B348&gt;='ZD Vorerfassung'!$C$34,B348&lt;='ZD Vorerfassung'!$D$34),HLOOKUP(TEXT(C348,"ttt"),'ZD Vorerfassung'!$H$21:$L$36,14,0),0))+
IF('ZD Vorerfassung'!$E$35="",0,IF(AND(B348&gt;='ZD Vorerfassung'!$C$35,B348&lt;='ZD Vorerfassung'!$D$35),HLOOKUP(TEXT(C348,"ttt"),'ZD Vorerfassung'!$H$21:$L$36,15,0),0))+
IF('ZD Vorerfassung'!$E$36="",0,IF(AND(B348&gt;='ZD Vorerfassung'!$C$36,B348&lt;='ZD Vorerfassung'!$D$36),HLOOKUP(TEXT(C348,"ttt"),'ZD Vorerfassung'!$H$21:$L$36,16,0),0)),"")</f>
        <v/>
      </c>
      <c r="AW348" s="110">
        <f t="array" ref="AW348">IF(OR(D348="UU",D348="FT",D348="WE"),0,
IF(D348="NR",SUM(IF(B348&gt;=_xlfn.NUMBERVALUE('ZD Vorerfassung'!$C$22:$C$36),1,0)*IF(B348&lt;=_xlfn.NUMBERVALUE('ZD Vorerfassung'!$D$22:$D$36),1,0)*'ZD Vorerfassung'!$Q$22:$Q$36),
IF(OR(D348="SF",D348="FH"),SUM(IF(B348&gt;=_xlfn.NUMBERVALUE('ZD Vorerfassung'!$C$22:$C$36),1,0)*IF(B348&lt;=_xlfn.NUMBERVALUE('ZD Vorerfassung'!$D$22:$D$36),1,0)*'ZD Vorerfassung'!$R$22:$R$36*IF(D348="FH",0.5,1)),
"prüfen")))</f>
        <v>0</v>
      </c>
      <c r="AX348" s="110">
        <f t="array" ref="AX348">IF(OR(D348="UU",D348="FT",D348="WE",E348="Ferien"),0,
IF(D348="NR",SUM(IF(B348&gt;=_xlfn.NUMBERVALUE('ZD Vorerfassung'!$C$22:$C$36),1,0)*IF(B348&lt;=_xlfn.NUMBERVALUE('ZD Vorerfassung'!$D$22:$D$36),1,0)*'ZD Vorerfassung'!$W$22:$W$36),
IF(OR(D348="SF",D348="FH"),SUM(IF(B348&gt;=_xlfn.NUMBERVALUE('ZD Vorerfassung'!$C$22:$C$36),1,0)*IF(B348&lt;=_xlfn.NUMBERVALUE('ZD Vorerfassung'!$D$22:$D$36),1,0)*'ZD Vorerfassung'!$X$22:$X$36*IF(D348="FH",0.5,1)),
"prüfen")))</f>
        <v>0</v>
      </c>
      <c r="AY348" s="110">
        <f t="array" ref="AY348">IF(OR(D348="UU",D348="FT",D348="WE",E348="Ferien"),0,
IF(D348="NR",SUM(IF(B348&gt;=_xlfn.NUMBERVALUE('ZD Vorerfassung'!$C$22:$C$36),1,0)*IF(B348&lt;=_xlfn.NUMBERVALUE('ZD Vorerfassung'!$D$22:$D$36),1,0)*'ZD Vorerfassung'!$U$22:$U$36),
IF(OR(D348="SF",D348="FH"),SUM(IF(B348&gt;=_xlfn.NUMBERVALUE('ZD Vorerfassung'!$C$22:$C$36),1,0)*IF(B348&lt;=_xlfn.NUMBERVALUE('ZD Vorerfassung'!$D$22:$D$36),1,0)*'ZD Vorerfassung'!$V$22:$V$36*IF(D348="FH",0.5,1)),
"prüfen")))</f>
        <v>0</v>
      </c>
      <c r="AZ348" s="110">
        <f t="array" ref="AZ348">IF(OR(D348="UU",D348="FT",D348="WE",E348="Ferien"),0,
IF(D348="NR",SUM(IF(B348&gt;=_xlfn.NUMBERVALUE('ZD Vorerfassung'!$C$22:$C$36),1,0)*IF(B348&lt;=_xlfn.NUMBERVALUE('ZD Vorerfassung'!$D$22:$D$36),1,0)*'ZD Vorerfassung'!$S$22:$S$36),
IF(OR(D348="SF",D348="FH"),SUM(IF(B348&gt;=_xlfn.NUMBERVALUE('ZD Vorerfassung'!$C$22:$C$36),1,0)*IF(B348&lt;=_xlfn.NUMBERVALUE('ZD Vorerfassung'!$D$22:$D$36),1,0)*'ZD Vorerfassung'!$T$22:$T$36*IF(D348="FH",0.5,1)),
"prüfen")))</f>
        <v>0</v>
      </c>
      <c r="BA348" s="112">
        <f t="shared" si="76"/>
        <v>7</v>
      </c>
    </row>
    <row r="349" spans="2:53" ht="19.5" thickTop="1" thickBot="1" x14ac:dyDescent="0.3">
      <c r="B349" s="99">
        <f t="shared" si="65"/>
        <v>45114</v>
      </c>
      <c r="C349" s="100">
        <f t="shared" si="68"/>
        <v>45114</v>
      </c>
      <c r="D349" s="101" t="str">
        <f t="shared" si="69"/>
        <v>SF</v>
      </c>
      <c r="E349" s="102" t="str">
        <f t="shared" si="66"/>
        <v>unterrichtsfreie Arbeitszeit</v>
      </c>
      <c r="F349" s="103" t="str">
        <f t="shared" si="70"/>
        <v/>
      </c>
      <c r="G349" s="104" t="str">
        <f t="shared" si="71"/>
        <v/>
      </c>
      <c r="H349" s="104">
        <f>IFERROR(IF('ZD Vorerfassung'!$E$11="manuell",SUM(I349),IF(OR(E349="Feiertag",E349="Wochenende"),0,IF('ZD Vorerfassung'!$E$11="automatisch",AX349,IF(D349="UU","UU",IF(E349=Param2,AX349/24,IF(E349=Param9,AX349/48,"")))))),0)</f>
        <v>0</v>
      </c>
      <c r="I349" s="105"/>
      <c r="J349" s="106">
        <f>IF('ZD Vorerfassung'!$E$12="manuell",SUM(K349:AI349),IF(OR(E349="Feiertag",E349="Wochenende"),0,IF('ZD Vorerfassung'!$E$12="automatisch",AY349,IF(D349="UU","UU",IF(E349=Param2,AY349/24,IF(E349=Param9,AY349/48,""))))))</f>
        <v>0</v>
      </c>
      <c r="K349" s="105"/>
      <c r="L349" s="105"/>
      <c r="M349" s="105"/>
      <c r="N349" s="105"/>
      <c r="O349" s="105"/>
      <c r="P349" s="105"/>
      <c r="Q349" s="105"/>
      <c r="R349" s="105"/>
      <c r="S349" s="105"/>
      <c r="T349" s="105"/>
      <c r="U349" s="105"/>
      <c r="V349" s="105"/>
      <c r="W349" s="105"/>
      <c r="X349" s="105"/>
      <c r="Y349" s="105"/>
      <c r="Z349" s="105"/>
      <c r="AA349" s="105"/>
      <c r="AB349" s="105"/>
      <c r="AC349" s="105"/>
      <c r="AD349" s="105"/>
      <c r="AE349" s="105"/>
      <c r="AF349" s="105"/>
      <c r="AG349" s="105"/>
      <c r="AH349" s="105"/>
      <c r="AI349" s="105"/>
      <c r="AJ349" s="107">
        <f t="shared" si="72"/>
        <v>0</v>
      </c>
      <c r="AK349" s="105"/>
      <c r="AL349" s="105"/>
      <c r="AM349" s="105"/>
      <c r="AN349" s="105"/>
      <c r="AO349" s="105"/>
      <c r="AP349" s="105"/>
      <c r="AQ349" s="108">
        <f t="shared" si="73"/>
        <v>0</v>
      </c>
      <c r="AR349" s="108">
        <f t="shared" si="74"/>
        <v>0</v>
      </c>
      <c r="AS349" s="109">
        <f t="shared" si="75"/>
        <v>0</v>
      </c>
      <c r="AU349" s="110">
        <f t="shared" si="67"/>
        <v>0</v>
      </c>
      <c r="AV349" s="111" t="str">
        <f>IF(D349="NR",
IF('ZD Vorerfassung'!$E$22="",0,IF(AND(B349&gt;='ZD Vorerfassung'!$C$22,B349&lt;='ZD Vorerfassung'!$D$22),HLOOKUP(TEXT(C349,"ttt"),'ZD Vorerfassung'!$H$21:$L$36,2,0),0))+
IF('ZD Vorerfassung'!$E$23="",0,IF(AND(B349&gt;='ZD Vorerfassung'!$C$23,B349&lt;='ZD Vorerfassung'!$D$23),HLOOKUP(TEXT(C349,"ttt"),'ZD Vorerfassung'!$H$21:$L$36,3,0),0))+
IF('ZD Vorerfassung'!$E$24="",0,IF(AND(B349&gt;='ZD Vorerfassung'!$C$24,B349&lt;='ZD Vorerfassung'!$D$24),HLOOKUP(TEXT(C349,"ttt"),'ZD Vorerfassung'!$H$21:$L$36,4,0),0))+
IF('ZD Vorerfassung'!$E$25="",0,IF(AND(B349&gt;='ZD Vorerfassung'!$C$25,B349&lt;='ZD Vorerfassung'!$D$25),HLOOKUP(TEXT(C349,"ttt"),'ZD Vorerfassung'!$H$21:$L$36,5,0),0))+
IF('ZD Vorerfassung'!$E$26="",0,IF(AND(B349&gt;='ZD Vorerfassung'!$C$26,B349&lt;='ZD Vorerfassung'!$D$26),HLOOKUP(TEXT(C349,"ttt"),'ZD Vorerfassung'!$H$21:$L$36,6,0),0))+
IF('ZD Vorerfassung'!$E$27="",0,IF(AND(B349&gt;='ZD Vorerfassung'!$C$27,B349&lt;='ZD Vorerfassung'!$D$27),HLOOKUP(TEXT(C349,"ttt"),'ZD Vorerfassung'!$H$21:$L$36,7,0),0))+
IF('ZD Vorerfassung'!$E$28="",0,IF(AND(B349&gt;='ZD Vorerfassung'!$C$28,B349&lt;='ZD Vorerfassung'!$D$28),HLOOKUP(TEXT(C349,"ttt"),'ZD Vorerfassung'!$H$21:$L$36,8,0),0))+
IF('ZD Vorerfassung'!$E$29="",0,IF(AND(B349&gt;='ZD Vorerfassung'!$C$29,B349&lt;='ZD Vorerfassung'!$D$29),HLOOKUP(TEXT(C349,"ttt"),'ZD Vorerfassung'!$H$21:$L$36,9,0),0))+
IF('ZD Vorerfassung'!$E$30="",0,IF(AND(B349&gt;='ZD Vorerfassung'!$C$30,B349&lt;='ZD Vorerfassung'!$D$30),HLOOKUP(TEXT(C349,"ttt"),'ZD Vorerfassung'!$H$21:$L$36,10,0),0))+
IF('ZD Vorerfassung'!$E$31="",0,IF(AND(B349&gt;='ZD Vorerfassung'!$C$31,B349&lt;='ZD Vorerfassung'!$D$31),HLOOKUP(TEXT(C349,"ttt"),'ZD Vorerfassung'!$H$21:$L$36,11,0),0))+
IF('ZD Vorerfassung'!$E$32="",0,IF(AND(B349&gt;='ZD Vorerfassung'!$C$32,B349&lt;='ZD Vorerfassung'!$D$32),HLOOKUP(TEXT(C349,"ttt"),'ZD Vorerfassung'!$H$21:$L$36,12,0),0))+
IF('ZD Vorerfassung'!$E$33="",0,IF(AND(B349&gt;='ZD Vorerfassung'!$C$33,B349&lt;='ZD Vorerfassung'!$D$33),HLOOKUP(TEXT(C349,"ttt"),'ZD Vorerfassung'!$H$21:$L$36,13,0),0))+
IF('ZD Vorerfassung'!$E$34="",0,IF(AND(B349&gt;='ZD Vorerfassung'!$C$34,B349&lt;='ZD Vorerfassung'!$D$34),HLOOKUP(TEXT(C349,"ttt"),'ZD Vorerfassung'!$H$21:$L$36,14,0),0))+
IF('ZD Vorerfassung'!$E$35="",0,IF(AND(B349&gt;='ZD Vorerfassung'!$C$35,B349&lt;='ZD Vorerfassung'!$D$35),HLOOKUP(TEXT(C349,"ttt"),'ZD Vorerfassung'!$H$21:$L$36,15,0),0))+
IF('ZD Vorerfassung'!$E$36="",0,IF(AND(B349&gt;='ZD Vorerfassung'!$C$36,B349&lt;='ZD Vorerfassung'!$D$36),HLOOKUP(TEXT(C349,"ttt"),'ZD Vorerfassung'!$H$21:$L$36,16,0),0)),"")</f>
        <v/>
      </c>
      <c r="AW349" s="110">
        <f t="array" ref="AW349">IF(OR(D349="UU",D349="FT",D349="WE"),0,
IF(D349="NR",SUM(IF(B349&gt;=_xlfn.NUMBERVALUE('ZD Vorerfassung'!$C$22:$C$36),1,0)*IF(B349&lt;=_xlfn.NUMBERVALUE('ZD Vorerfassung'!$D$22:$D$36),1,0)*'ZD Vorerfassung'!$Q$22:$Q$36),
IF(OR(D349="SF",D349="FH"),SUM(IF(B349&gt;=_xlfn.NUMBERVALUE('ZD Vorerfassung'!$C$22:$C$36),1,0)*IF(B349&lt;=_xlfn.NUMBERVALUE('ZD Vorerfassung'!$D$22:$D$36),1,0)*'ZD Vorerfassung'!$R$22:$R$36*IF(D349="FH",0.5,1)),
"prüfen")))</f>
        <v>0</v>
      </c>
      <c r="AX349" s="110">
        <f t="array" ref="AX349">IF(OR(D349="UU",D349="FT",D349="WE",E349="Ferien"),0,
IF(D349="NR",SUM(IF(B349&gt;=_xlfn.NUMBERVALUE('ZD Vorerfassung'!$C$22:$C$36),1,0)*IF(B349&lt;=_xlfn.NUMBERVALUE('ZD Vorerfassung'!$D$22:$D$36),1,0)*'ZD Vorerfassung'!$W$22:$W$36),
IF(OR(D349="SF",D349="FH"),SUM(IF(B349&gt;=_xlfn.NUMBERVALUE('ZD Vorerfassung'!$C$22:$C$36),1,0)*IF(B349&lt;=_xlfn.NUMBERVALUE('ZD Vorerfassung'!$D$22:$D$36),1,0)*'ZD Vorerfassung'!$X$22:$X$36*IF(D349="FH",0.5,1)),
"prüfen")))</f>
        <v>0</v>
      </c>
      <c r="AY349" s="110">
        <f t="array" ref="AY349">IF(OR(D349="UU",D349="FT",D349="WE",E349="Ferien"),0,
IF(D349="NR",SUM(IF(B349&gt;=_xlfn.NUMBERVALUE('ZD Vorerfassung'!$C$22:$C$36),1,0)*IF(B349&lt;=_xlfn.NUMBERVALUE('ZD Vorerfassung'!$D$22:$D$36),1,0)*'ZD Vorerfassung'!$U$22:$U$36),
IF(OR(D349="SF",D349="FH"),SUM(IF(B349&gt;=_xlfn.NUMBERVALUE('ZD Vorerfassung'!$C$22:$C$36),1,0)*IF(B349&lt;=_xlfn.NUMBERVALUE('ZD Vorerfassung'!$D$22:$D$36),1,0)*'ZD Vorerfassung'!$V$22:$V$36*IF(D349="FH",0.5,1)),
"prüfen")))</f>
        <v>0</v>
      </c>
      <c r="AZ349" s="110">
        <f t="array" ref="AZ349">IF(OR(D349="UU",D349="FT",D349="WE",E349="Ferien"),0,
IF(D349="NR",SUM(IF(B349&gt;=_xlfn.NUMBERVALUE('ZD Vorerfassung'!$C$22:$C$36),1,0)*IF(B349&lt;=_xlfn.NUMBERVALUE('ZD Vorerfassung'!$D$22:$D$36),1,0)*'ZD Vorerfassung'!$S$22:$S$36),
IF(OR(D349="SF",D349="FH"),SUM(IF(B349&gt;=_xlfn.NUMBERVALUE('ZD Vorerfassung'!$C$22:$C$36),1,0)*IF(B349&lt;=_xlfn.NUMBERVALUE('ZD Vorerfassung'!$D$22:$D$36),1,0)*'ZD Vorerfassung'!$T$22:$T$36*IF(D349="FH",0.5,1)),
"prüfen")))</f>
        <v>0</v>
      </c>
      <c r="BA349" s="112">
        <f t="shared" si="76"/>
        <v>7</v>
      </c>
    </row>
    <row r="350" spans="2:53" ht="19.5" thickTop="1" thickBot="1" x14ac:dyDescent="0.3">
      <c r="B350" s="99">
        <f t="shared" si="65"/>
        <v>45115</v>
      </c>
      <c r="C350" s="100">
        <f t="shared" si="68"/>
        <v>45115</v>
      </c>
      <c r="D350" s="101" t="str">
        <f t="shared" si="69"/>
        <v>SF</v>
      </c>
      <c r="E350" s="102" t="str">
        <f t="shared" si="66"/>
        <v>unterrichtsfreie Arbeitszeit</v>
      </c>
      <c r="F350" s="103" t="str">
        <f t="shared" si="70"/>
        <v/>
      </c>
      <c r="G350" s="104" t="str">
        <f t="shared" si="71"/>
        <v/>
      </c>
      <c r="H350" s="104">
        <f>IFERROR(IF('ZD Vorerfassung'!$E$11="manuell",SUM(I350),IF(OR(E350="Feiertag",E350="Wochenende"),0,IF('ZD Vorerfassung'!$E$11="automatisch",AX350,IF(D350="UU","UU",IF(E350=Param2,AX350/24,IF(E350=Param9,AX350/48,"")))))),0)</f>
        <v>0</v>
      </c>
      <c r="I350" s="105"/>
      <c r="J350" s="106">
        <f>IF('ZD Vorerfassung'!$E$12="manuell",SUM(K350:AI350),IF(OR(E350="Feiertag",E350="Wochenende"),0,IF('ZD Vorerfassung'!$E$12="automatisch",AY350,IF(D350="UU","UU",IF(E350=Param2,AY350/24,IF(E350=Param9,AY350/48,""))))))</f>
        <v>0</v>
      </c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7">
        <f t="shared" si="72"/>
        <v>0</v>
      </c>
      <c r="AK350" s="105"/>
      <c r="AL350" s="105"/>
      <c r="AM350" s="105"/>
      <c r="AN350" s="105"/>
      <c r="AO350" s="105"/>
      <c r="AP350" s="105"/>
      <c r="AQ350" s="108">
        <f t="shared" si="73"/>
        <v>0</v>
      </c>
      <c r="AR350" s="108">
        <f t="shared" si="74"/>
        <v>0</v>
      </c>
      <c r="AS350" s="109">
        <f t="shared" si="75"/>
        <v>0</v>
      </c>
      <c r="AU350" s="110">
        <f t="shared" si="67"/>
        <v>0</v>
      </c>
      <c r="AV350" s="111" t="str">
        <f>IF(D350="NR",
IF('ZD Vorerfassung'!$E$22="",0,IF(AND(B350&gt;='ZD Vorerfassung'!$C$22,B350&lt;='ZD Vorerfassung'!$D$22),HLOOKUP(TEXT(C350,"ttt"),'ZD Vorerfassung'!$H$21:$L$36,2,0),0))+
IF('ZD Vorerfassung'!$E$23="",0,IF(AND(B350&gt;='ZD Vorerfassung'!$C$23,B350&lt;='ZD Vorerfassung'!$D$23),HLOOKUP(TEXT(C350,"ttt"),'ZD Vorerfassung'!$H$21:$L$36,3,0),0))+
IF('ZD Vorerfassung'!$E$24="",0,IF(AND(B350&gt;='ZD Vorerfassung'!$C$24,B350&lt;='ZD Vorerfassung'!$D$24),HLOOKUP(TEXT(C350,"ttt"),'ZD Vorerfassung'!$H$21:$L$36,4,0),0))+
IF('ZD Vorerfassung'!$E$25="",0,IF(AND(B350&gt;='ZD Vorerfassung'!$C$25,B350&lt;='ZD Vorerfassung'!$D$25),HLOOKUP(TEXT(C350,"ttt"),'ZD Vorerfassung'!$H$21:$L$36,5,0),0))+
IF('ZD Vorerfassung'!$E$26="",0,IF(AND(B350&gt;='ZD Vorerfassung'!$C$26,B350&lt;='ZD Vorerfassung'!$D$26),HLOOKUP(TEXT(C350,"ttt"),'ZD Vorerfassung'!$H$21:$L$36,6,0),0))+
IF('ZD Vorerfassung'!$E$27="",0,IF(AND(B350&gt;='ZD Vorerfassung'!$C$27,B350&lt;='ZD Vorerfassung'!$D$27),HLOOKUP(TEXT(C350,"ttt"),'ZD Vorerfassung'!$H$21:$L$36,7,0),0))+
IF('ZD Vorerfassung'!$E$28="",0,IF(AND(B350&gt;='ZD Vorerfassung'!$C$28,B350&lt;='ZD Vorerfassung'!$D$28),HLOOKUP(TEXT(C350,"ttt"),'ZD Vorerfassung'!$H$21:$L$36,8,0),0))+
IF('ZD Vorerfassung'!$E$29="",0,IF(AND(B350&gt;='ZD Vorerfassung'!$C$29,B350&lt;='ZD Vorerfassung'!$D$29),HLOOKUP(TEXT(C350,"ttt"),'ZD Vorerfassung'!$H$21:$L$36,9,0),0))+
IF('ZD Vorerfassung'!$E$30="",0,IF(AND(B350&gt;='ZD Vorerfassung'!$C$30,B350&lt;='ZD Vorerfassung'!$D$30),HLOOKUP(TEXT(C350,"ttt"),'ZD Vorerfassung'!$H$21:$L$36,10,0),0))+
IF('ZD Vorerfassung'!$E$31="",0,IF(AND(B350&gt;='ZD Vorerfassung'!$C$31,B350&lt;='ZD Vorerfassung'!$D$31),HLOOKUP(TEXT(C350,"ttt"),'ZD Vorerfassung'!$H$21:$L$36,11,0),0))+
IF('ZD Vorerfassung'!$E$32="",0,IF(AND(B350&gt;='ZD Vorerfassung'!$C$32,B350&lt;='ZD Vorerfassung'!$D$32),HLOOKUP(TEXT(C350,"ttt"),'ZD Vorerfassung'!$H$21:$L$36,12,0),0))+
IF('ZD Vorerfassung'!$E$33="",0,IF(AND(B350&gt;='ZD Vorerfassung'!$C$33,B350&lt;='ZD Vorerfassung'!$D$33),HLOOKUP(TEXT(C350,"ttt"),'ZD Vorerfassung'!$H$21:$L$36,13,0),0))+
IF('ZD Vorerfassung'!$E$34="",0,IF(AND(B350&gt;='ZD Vorerfassung'!$C$34,B350&lt;='ZD Vorerfassung'!$D$34),HLOOKUP(TEXT(C350,"ttt"),'ZD Vorerfassung'!$H$21:$L$36,14,0),0))+
IF('ZD Vorerfassung'!$E$35="",0,IF(AND(B350&gt;='ZD Vorerfassung'!$C$35,B350&lt;='ZD Vorerfassung'!$D$35),HLOOKUP(TEXT(C350,"ttt"),'ZD Vorerfassung'!$H$21:$L$36,15,0),0))+
IF('ZD Vorerfassung'!$E$36="",0,IF(AND(B350&gt;='ZD Vorerfassung'!$C$36,B350&lt;='ZD Vorerfassung'!$D$36),HLOOKUP(TEXT(C350,"ttt"),'ZD Vorerfassung'!$H$21:$L$36,16,0),0)),"")</f>
        <v/>
      </c>
      <c r="AW350" s="110">
        <f t="array" ref="AW350">IF(OR(D350="UU",D350="FT",D350="WE"),0,
IF(D350="NR",SUM(IF(B350&gt;=_xlfn.NUMBERVALUE('ZD Vorerfassung'!$C$22:$C$36),1,0)*IF(B350&lt;=_xlfn.NUMBERVALUE('ZD Vorerfassung'!$D$22:$D$36),1,0)*'ZD Vorerfassung'!$Q$22:$Q$36),
IF(OR(D350="SF",D350="FH"),SUM(IF(B350&gt;=_xlfn.NUMBERVALUE('ZD Vorerfassung'!$C$22:$C$36),1,0)*IF(B350&lt;=_xlfn.NUMBERVALUE('ZD Vorerfassung'!$D$22:$D$36),1,0)*'ZD Vorerfassung'!$R$22:$R$36*IF(D350="FH",0.5,1)),
"prüfen")))</f>
        <v>0</v>
      </c>
      <c r="AX350" s="110">
        <f t="array" ref="AX350">IF(OR(D350="UU",D350="FT",D350="WE",E350="Ferien"),0,
IF(D350="NR",SUM(IF(B350&gt;=_xlfn.NUMBERVALUE('ZD Vorerfassung'!$C$22:$C$36),1,0)*IF(B350&lt;=_xlfn.NUMBERVALUE('ZD Vorerfassung'!$D$22:$D$36),1,0)*'ZD Vorerfassung'!$W$22:$W$36),
IF(OR(D350="SF",D350="FH"),SUM(IF(B350&gt;=_xlfn.NUMBERVALUE('ZD Vorerfassung'!$C$22:$C$36),1,0)*IF(B350&lt;=_xlfn.NUMBERVALUE('ZD Vorerfassung'!$D$22:$D$36),1,0)*'ZD Vorerfassung'!$X$22:$X$36*IF(D350="FH",0.5,1)),
"prüfen")))</f>
        <v>0</v>
      </c>
      <c r="AY350" s="110">
        <f t="array" ref="AY350">IF(OR(D350="UU",D350="FT",D350="WE",E350="Ferien"),0,
IF(D350="NR",SUM(IF(B350&gt;=_xlfn.NUMBERVALUE('ZD Vorerfassung'!$C$22:$C$36),1,0)*IF(B350&lt;=_xlfn.NUMBERVALUE('ZD Vorerfassung'!$D$22:$D$36),1,0)*'ZD Vorerfassung'!$U$22:$U$36),
IF(OR(D350="SF",D350="FH"),SUM(IF(B350&gt;=_xlfn.NUMBERVALUE('ZD Vorerfassung'!$C$22:$C$36),1,0)*IF(B350&lt;=_xlfn.NUMBERVALUE('ZD Vorerfassung'!$D$22:$D$36),1,0)*'ZD Vorerfassung'!$V$22:$V$36*IF(D350="FH",0.5,1)),
"prüfen")))</f>
        <v>0</v>
      </c>
      <c r="AZ350" s="110">
        <f t="array" ref="AZ350">IF(OR(D350="UU",D350="FT",D350="WE",E350="Ferien"),0,
IF(D350="NR",SUM(IF(B350&gt;=_xlfn.NUMBERVALUE('ZD Vorerfassung'!$C$22:$C$36),1,0)*IF(B350&lt;=_xlfn.NUMBERVALUE('ZD Vorerfassung'!$D$22:$D$36),1,0)*'ZD Vorerfassung'!$S$22:$S$36),
IF(OR(D350="SF",D350="FH"),SUM(IF(B350&gt;=_xlfn.NUMBERVALUE('ZD Vorerfassung'!$C$22:$C$36),1,0)*IF(B350&lt;=_xlfn.NUMBERVALUE('ZD Vorerfassung'!$D$22:$D$36),1,0)*'ZD Vorerfassung'!$T$22:$T$36*IF(D350="FH",0.5,1)),
"prüfen")))</f>
        <v>0</v>
      </c>
      <c r="BA350" s="112">
        <f t="shared" si="76"/>
        <v>7</v>
      </c>
    </row>
    <row r="351" spans="2:53" ht="19.5" thickTop="1" thickBot="1" x14ac:dyDescent="0.3">
      <c r="B351" s="99">
        <f t="shared" si="65"/>
        <v>45116</v>
      </c>
      <c r="C351" s="100">
        <f t="shared" si="68"/>
        <v>45116</v>
      </c>
      <c r="D351" s="101" t="str">
        <f t="shared" si="69"/>
        <v>WE</v>
      </c>
      <c r="E351" s="102" t="str">
        <f t="shared" si="66"/>
        <v>Wochenende</v>
      </c>
      <c r="F351" s="103" t="str">
        <f t="shared" si="70"/>
        <v/>
      </c>
      <c r="G351" s="104" t="str">
        <f t="shared" si="71"/>
        <v/>
      </c>
      <c r="H351" s="104">
        <f>IFERROR(IF('ZD Vorerfassung'!$E$11="manuell",SUM(I351),IF(OR(E351="Feiertag",E351="Wochenende"),0,IF('ZD Vorerfassung'!$E$11="automatisch",AX351,IF(D351="UU","UU",IF(E351=Param2,AX351/24,IF(E351=Param9,AX351/48,"")))))),0)</f>
        <v>0</v>
      </c>
      <c r="I351" s="105"/>
      <c r="J351" s="106">
        <f>IF('ZD Vorerfassung'!$E$12="manuell",SUM(K351:AI351),IF(OR(E351="Feiertag",E351="Wochenende"),0,IF('ZD Vorerfassung'!$E$12="automatisch",AY351,IF(D351="UU","UU",IF(E351=Param2,AY351/24,IF(E351=Param9,AY351/48,""))))))</f>
        <v>0</v>
      </c>
      <c r="K351" s="105"/>
      <c r="L351" s="105"/>
      <c r="M351" s="105"/>
      <c r="N351" s="105"/>
      <c r="O351" s="105"/>
      <c r="P351" s="105"/>
      <c r="Q351" s="105"/>
      <c r="R351" s="105"/>
      <c r="S351" s="105"/>
      <c r="T351" s="105"/>
      <c r="U351" s="105"/>
      <c r="V351" s="105"/>
      <c r="W351" s="105"/>
      <c r="X351" s="105"/>
      <c r="Y351" s="105"/>
      <c r="Z351" s="105"/>
      <c r="AA351" s="105"/>
      <c r="AB351" s="105"/>
      <c r="AC351" s="105"/>
      <c r="AD351" s="105"/>
      <c r="AE351" s="105"/>
      <c r="AF351" s="105"/>
      <c r="AG351" s="105"/>
      <c r="AH351" s="105"/>
      <c r="AI351" s="105"/>
      <c r="AJ351" s="107">
        <f t="shared" si="72"/>
        <v>0</v>
      </c>
      <c r="AK351" s="105"/>
      <c r="AL351" s="105"/>
      <c r="AM351" s="105"/>
      <c r="AN351" s="105"/>
      <c r="AO351" s="105"/>
      <c r="AP351" s="105"/>
      <c r="AQ351" s="108">
        <f t="shared" si="73"/>
        <v>0</v>
      </c>
      <c r="AR351" s="108">
        <f t="shared" si="74"/>
        <v>0</v>
      </c>
      <c r="AS351" s="109">
        <f t="shared" si="75"/>
        <v>0</v>
      </c>
      <c r="AU351" s="110">
        <f t="shared" si="67"/>
        <v>0</v>
      </c>
      <c r="AV351" s="111" t="str">
        <f>IF(D351="NR",
IF('ZD Vorerfassung'!$E$22="",0,IF(AND(B351&gt;='ZD Vorerfassung'!$C$22,B351&lt;='ZD Vorerfassung'!$D$22),HLOOKUP(TEXT(C351,"ttt"),'ZD Vorerfassung'!$H$21:$L$36,2,0),0))+
IF('ZD Vorerfassung'!$E$23="",0,IF(AND(B351&gt;='ZD Vorerfassung'!$C$23,B351&lt;='ZD Vorerfassung'!$D$23),HLOOKUP(TEXT(C351,"ttt"),'ZD Vorerfassung'!$H$21:$L$36,3,0),0))+
IF('ZD Vorerfassung'!$E$24="",0,IF(AND(B351&gt;='ZD Vorerfassung'!$C$24,B351&lt;='ZD Vorerfassung'!$D$24),HLOOKUP(TEXT(C351,"ttt"),'ZD Vorerfassung'!$H$21:$L$36,4,0),0))+
IF('ZD Vorerfassung'!$E$25="",0,IF(AND(B351&gt;='ZD Vorerfassung'!$C$25,B351&lt;='ZD Vorerfassung'!$D$25),HLOOKUP(TEXT(C351,"ttt"),'ZD Vorerfassung'!$H$21:$L$36,5,0),0))+
IF('ZD Vorerfassung'!$E$26="",0,IF(AND(B351&gt;='ZD Vorerfassung'!$C$26,B351&lt;='ZD Vorerfassung'!$D$26),HLOOKUP(TEXT(C351,"ttt"),'ZD Vorerfassung'!$H$21:$L$36,6,0),0))+
IF('ZD Vorerfassung'!$E$27="",0,IF(AND(B351&gt;='ZD Vorerfassung'!$C$27,B351&lt;='ZD Vorerfassung'!$D$27),HLOOKUP(TEXT(C351,"ttt"),'ZD Vorerfassung'!$H$21:$L$36,7,0),0))+
IF('ZD Vorerfassung'!$E$28="",0,IF(AND(B351&gt;='ZD Vorerfassung'!$C$28,B351&lt;='ZD Vorerfassung'!$D$28),HLOOKUP(TEXT(C351,"ttt"),'ZD Vorerfassung'!$H$21:$L$36,8,0),0))+
IF('ZD Vorerfassung'!$E$29="",0,IF(AND(B351&gt;='ZD Vorerfassung'!$C$29,B351&lt;='ZD Vorerfassung'!$D$29),HLOOKUP(TEXT(C351,"ttt"),'ZD Vorerfassung'!$H$21:$L$36,9,0),0))+
IF('ZD Vorerfassung'!$E$30="",0,IF(AND(B351&gt;='ZD Vorerfassung'!$C$30,B351&lt;='ZD Vorerfassung'!$D$30),HLOOKUP(TEXT(C351,"ttt"),'ZD Vorerfassung'!$H$21:$L$36,10,0),0))+
IF('ZD Vorerfassung'!$E$31="",0,IF(AND(B351&gt;='ZD Vorerfassung'!$C$31,B351&lt;='ZD Vorerfassung'!$D$31),HLOOKUP(TEXT(C351,"ttt"),'ZD Vorerfassung'!$H$21:$L$36,11,0),0))+
IF('ZD Vorerfassung'!$E$32="",0,IF(AND(B351&gt;='ZD Vorerfassung'!$C$32,B351&lt;='ZD Vorerfassung'!$D$32),HLOOKUP(TEXT(C351,"ttt"),'ZD Vorerfassung'!$H$21:$L$36,12,0),0))+
IF('ZD Vorerfassung'!$E$33="",0,IF(AND(B351&gt;='ZD Vorerfassung'!$C$33,B351&lt;='ZD Vorerfassung'!$D$33),HLOOKUP(TEXT(C351,"ttt"),'ZD Vorerfassung'!$H$21:$L$36,13,0),0))+
IF('ZD Vorerfassung'!$E$34="",0,IF(AND(B351&gt;='ZD Vorerfassung'!$C$34,B351&lt;='ZD Vorerfassung'!$D$34),HLOOKUP(TEXT(C351,"ttt"),'ZD Vorerfassung'!$H$21:$L$36,14,0),0))+
IF('ZD Vorerfassung'!$E$35="",0,IF(AND(B351&gt;='ZD Vorerfassung'!$C$35,B351&lt;='ZD Vorerfassung'!$D$35),HLOOKUP(TEXT(C351,"ttt"),'ZD Vorerfassung'!$H$21:$L$36,15,0),0))+
IF('ZD Vorerfassung'!$E$36="",0,IF(AND(B351&gt;='ZD Vorerfassung'!$C$36,B351&lt;='ZD Vorerfassung'!$D$36),HLOOKUP(TEXT(C351,"ttt"),'ZD Vorerfassung'!$H$21:$L$36,16,0),0)),"")</f>
        <v/>
      </c>
      <c r="AW351" s="110">
        <f t="array" ref="AW351">IF(OR(D351="UU",D351="FT",D351="WE"),0,
IF(D351="NR",SUM(IF(B351&gt;=_xlfn.NUMBERVALUE('ZD Vorerfassung'!$C$22:$C$36),1,0)*IF(B351&lt;=_xlfn.NUMBERVALUE('ZD Vorerfassung'!$D$22:$D$36),1,0)*'ZD Vorerfassung'!$Q$22:$Q$36),
IF(OR(D351="SF",D351="FH"),SUM(IF(B351&gt;=_xlfn.NUMBERVALUE('ZD Vorerfassung'!$C$22:$C$36),1,0)*IF(B351&lt;=_xlfn.NUMBERVALUE('ZD Vorerfassung'!$D$22:$D$36),1,0)*'ZD Vorerfassung'!$R$22:$R$36*IF(D351="FH",0.5,1)),
"prüfen")))</f>
        <v>0</v>
      </c>
      <c r="AX351" s="110">
        <f t="array" ref="AX351">IF(OR(D351="UU",D351="FT",D351="WE",E351="Ferien"),0,
IF(D351="NR",SUM(IF(B351&gt;=_xlfn.NUMBERVALUE('ZD Vorerfassung'!$C$22:$C$36),1,0)*IF(B351&lt;=_xlfn.NUMBERVALUE('ZD Vorerfassung'!$D$22:$D$36),1,0)*'ZD Vorerfassung'!$W$22:$W$36),
IF(OR(D351="SF",D351="FH"),SUM(IF(B351&gt;=_xlfn.NUMBERVALUE('ZD Vorerfassung'!$C$22:$C$36),1,0)*IF(B351&lt;=_xlfn.NUMBERVALUE('ZD Vorerfassung'!$D$22:$D$36),1,0)*'ZD Vorerfassung'!$X$22:$X$36*IF(D351="FH",0.5,1)),
"prüfen")))</f>
        <v>0</v>
      </c>
      <c r="AY351" s="110">
        <f t="array" ref="AY351">IF(OR(D351="UU",D351="FT",D351="WE",E351="Ferien"),0,
IF(D351="NR",SUM(IF(B351&gt;=_xlfn.NUMBERVALUE('ZD Vorerfassung'!$C$22:$C$36),1,0)*IF(B351&lt;=_xlfn.NUMBERVALUE('ZD Vorerfassung'!$D$22:$D$36),1,0)*'ZD Vorerfassung'!$U$22:$U$36),
IF(OR(D351="SF",D351="FH"),SUM(IF(B351&gt;=_xlfn.NUMBERVALUE('ZD Vorerfassung'!$C$22:$C$36),1,0)*IF(B351&lt;=_xlfn.NUMBERVALUE('ZD Vorerfassung'!$D$22:$D$36),1,0)*'ZD Vorerfassung'!$V$22:$V$36*IF(D351="FH",0.5,1)),
"prüfen")))</f>
        <v>0</v>
      </c>
      <c r="AZ351" s="110">
        <f t="array" ref="AZ351">IF(OR(D351="UU",D351="FT",D351="WE",E351="Ferien"),0,
IF(D351="NR",SUM(IF(B351&gt;=_xlfn.NUMBERVALUE('ZD Vorerfassung'!$C$22:$C$36),1,0)*IF(B351&lt;=_xlfn.NUMBERVALUE('ZD Vorerfassung'!$D$22:$D$36),1,0)*'ZD Vorerfassung'!$S$22:$S$36),
IF(OR(D351="SF",D351="FH"),SUM(IF(B351&gt;=_xlfn.NUMBERVALUE('ZD Vorerfassung'!$C$22:$C$36),1,0)*IF(B351&lt;=_xlfn.NUMBERVALUE('ZD Vorerfassung'!$D$22:$D$36),1,0)*'ZD Vorerfassung'!$T$22:$T$36*IF(D351="FH",0.5,1)),
"prüfen")))</f>
        <v>0</v>
      </c>
      <c r="BA351" s="112">
        <f t="shared" si="76"/>
        <v>7</v>
      </c>
    </row>
    <row r="352" spans="2:53" ht="19.5" thickTop="1" thickBot="1" x14ac:dyDescent="0.3">
      <c r="B352" s="99">
        <f t="shared" si="65"/>
        <v>45117</v>
      </c>
      <c r="C352" s="100">
        <f t="shared" si="68"/>
        <v>45117</v>
      </c>
      <c r="D352" s="101" t="str">
        <f t="shared" si="69"/>
        <v>WE</v>
      </c>
      <c r="E352" s="102" t="str">
        <f t="shared" si="66"/>
        <v>Wochenende</v>
      </c>
      <c r="F352" s="103" t="str">
        <f t="shared" si="70"/>
        <v/>
      </c>
      <c r="G352" s="104" t="str">
        <f t="shared" si="71"/>
        <v/>
      </c>
      <c r="H352" s="104">
        <f>IFERROR(IF('ZD Vorerfassung'!$E$11="manuell",SUM(I352),IF(OR(E352="Feiertag",E352="Wochenende"),0,IF('ZD Vorerfassung'!$E$11="automatisch",AX352,IF(D352="UU","UU",IF(E352=Param2,AX352/24,IF(E352=Param9,AX352/48,"")))))),0)</f>
        <v>0</v>
      </c>
      <c r="I352" s="105"/>
      <c r="J352" s="106">
        <f>IF('ZD Vorerfassung'!$E$12="manuell",SUM(K352:AI352),IF(OR(E352="Feiertag",E352="Wochenende"),0,IF('ZD Vorerfassung'!$E$12="automatisch",AY352,IF(D352="UU","UU",IF(E352=Param2,AY352/24,IF(E352=Param9,AY352/48,""))))))</f>
        <v>0</v>
      </c>
      <c r="K352" s="105"/>
      <c r="L352" s="105"/>
      <c r="M352" s="105"/>
      <c r="N352" s="105"/>
      <c r="O352" s="105"/>
      <c r="P352" s="105"/>
      <c r="Q352" s="105"/>
      <c r="R352" s="105"/>
      <c r="S352" s="105"/>
      <c r="T352" s="105"/>
      <c r="U352" s="105"/>
      <c r="V352" s="105"/>
      <c r="W352" s="105"/>
      <c r="X352" s="105"/>
      <c r="Y352" s="105"/>
      <c r="Z352" s="105"/>
      <c r="AA352" s="105"/>
      <c r="AB352" s="105"/>
      <c r="AC352" s="105"/>
      <c r="AD352" s="105"/>
      <c r="AE352" s="105"/>
      <c r="AF352" s="105"/>
      <c r="AG352" s="105"/>
      <c r="AH352" s="105"/>
      <c r="AI352" s="105"/>
      <c r="AJ352" s="107">
        <f t="shared" si="72"/>
        <v>0</v>
      </c>
      <c r="AK352" s="105"/>
      <c r="AL352" s="105"/>
      <c r="AM352" s="105"/>
      <c r="AN352" s="105"/>
      <c r="AO352" s="105"/>
      <c r="AP352" s="105"/>
      <c r="AQ352" s="108">
        <f t="shared" si="73"/>
        <v>0</v>
      </c>
      <c r="AR352" s="108">
        <f t="shared" si="74"/>
        <v>0</v>
      </c>
      <c r="AS352" s="109">
        <f t="shared" si="75"/>
        <v>0</v>
      </c>
      <c r="AU352" s="110">
        <f t="shared" si="67"/>
        <v>0</v>
      </c>
      <c r="AV352" s="111" t="str">
        <f>IF(D352="NR",
IF('ZD Vorerfassung'!$E$22="",0,IF(AND(B352&gt;='ZD Vorerfassung'!$C$22,B352&lt;='ZD Vorerfassung'!$D$22),HLOOKUP(TEXT(C352,"ttt"),'ZD Vorerfassung'!$H$21:$L$36,2,0),0))+
IF('ZD Vorerfassung'!$E$23="",0,IF(AND(B352&gt;='ZD Vorerfassung'!$C$23,B352&lt;='ZD Vorerfassung'!$D$23),HLOOKUP(TEXT(C352,"ttt"),'ZD Vorerfassung'!$H$21:$L$36,3,0),0))+
IF('ZD Vorerfassung'!$E$24="",0,IF(AND(B352&gt;='ZD Vorerfassung'!$C$24,B352&lt;='ZD Vorerfassung'!$D$24),HLOOKUP(TEXT(C352,"ttt"),'ZD Vorerfassung'!$H$21:$L$36,4,0),0))+
IF('ZD Vorerfassung'!$E$25="",0,IF(AND(B352&gt;='ZD Vorerfassung'!$C$25,B352&lt;='ZD Vorerfassung'!$D$25),HLOOKUP(TEXT(C352,"ttt"),'ZD Vorerfassung'!$H$21:$L$36,5,0),0))+
IF('ZD Vorerfassung'!$E$26="",0,IF(AND(B352&gt;='ZD Vorerfassung'!$C$26,B352&lt;='ZD Vorerfassung'!$D$26),HLOOKUP(TEXT(C352,"ttt"),'ZD Vorerfassung'!$H$21:$L$36,6,0),0))+
IF('ZD Vorerfassung'!$E$27="",0,IF(AND(B352&gt;='ZD Vorerfassung'!$C$27,B352&lt;='ZD Vorerfassung'!$D$27),HLOOKUP(TEXT(C352,"ttt"),'ZD Vorerfassung'!$H$21:$L$36,7,0),0))+
IF('ZD Vorerfassung'!$E$28="",0,IF(AND(B352&gt;='ZD Vorerfassung'!$C$28,B352&lt;='ZD Vorerfassung'!$D$28),HLOOKUP(TEXT(C352,"ttt"),'ZD Vorerfassung'!$H$21:$L$36,8,0),0))+
IF('ZD Vorerfassung'!$E$29="",0,IF(AND(B352&gt;='ZD Vorerfassung'!$C$29,B352&lt;='ZD Vorerfassung'!$D$29),HLOOKUP(TEXT(C352,"ttt"),'ZD Vorerfassung'!$H$21:$L$36,9,0),0))+
IF('ZD Vorerfassung'!$E$30="",0,IF(AND(B352&gt;='ZD Vorerfassung'!$C$30,B352&lt;='ZD Vorerfassung'!$D$30),HLOOKUP(TEXT(C352,"ttt"),'ZD Vorerfassung'!$H$21:$L$36,10,0),0))+
IF('ZD Vorerfassung'!$E$31="",0,IF(AND(B352&gt;='ZD Vorerfassung'!$C$31,B352&lt;='ZD Vorerfassung'!$D$31),HLOOKUP(TEXT(C352,"ttt"),'ZD Vorerfassung'!$H$21:$L$36,11,0),0))+
IF('ZD Vorerfassung'!$E$32="",0,IF(AND(B352&gt;='ZD Vorerfassung'!$C$32,B352&lt;='ZD Vorerfassung'!$D$32),HLOOKUP(TEXT(C352,"ttt"),'ZD Vorerfassung'!$H$21:$L$36,12,0),0))+
IF('ZD Vorerfassung'!$E$33="",0,IF(AND(B352&gt;='ZD Vorerfassung'!$C$33,B352&lt;='ZD Vorerfassung'!$D$33),HLOOKUP(TEXT(C352,"ttt"),'ZD Vorerfassung'!$H$21:$L$36,13,0),0))+
IF('ZD Vorerfassung'!$E$34="",0,IF(AND(B352&gt;='ZD Vorerfassung'!$C$34,B352&lt;='ZD Vorerfassung'!$D$34),HLOOKUP(TEXT(C352,"ttt"),'ZD Vorerfassung'!$H$21:$L$36,14,0),0))+
IF('ZD Vorerfassung'!$E$35="",0,IF(AND(B352&gt;='ZD Vorerfassung'!$C$35,B352&lt;='ZD Vorerfassung'!$D$35),HLOOKUP(TEXT(C352,"ttt"),'ZD Vorerfassung'!$H$21:$L$36,15,0),0))+
IF('ZD Vorerfassung'!$E$36="",0,IF(AND(B352&gt;='ZD Vorerfassung'!$C$36,B352&lt;='ZD Vorerfassung'!$D$36),HLOOKUP(TEXT(C352,"ttt"),'ZD Vorerfassung'!$H$21:$L$36,16,0),0)),"")</f>
        <v/>
      </c>
      <c r="AW352" s="110">
        <f t="array" ref="AW352">IF(OR(D352="UU",D352="FT",D352="WE"),0,
IF(D352="NR",SUM(IF(B352&gt;=_xlfn.NUMBERVALUE('ZD Vorerfassung'!$C$22:$C$36),1,0)*IF(B352&lt;=_xlfn.NUMBERVALUE('ZD Vorerfassung'!$D$22:$D$36),1,0)*'ZD Vorerfassung'!$Q$22:$Q$36),
IF(OR(D352="SF",D352="FH"),SUM(IF(B352&gt;=_xlfn.NUMBERVALUE('ZD Vorerfassung'!$C$22:$C$36),1,0)*IF(B352&lt;=_xlfn.NUMBERVALUE('ZD Vorerfassung'!$D$22:$D$36),1,0)*'ZD Vorerfassung'!$R$22:$R$36*IF(D352="FH",0.5,1)),
"prüfen")))</f>
        <v>0</v>
      </c>
      <c r="AX352" s="110">
        <f t="array" ref="AX352">IF(OR(D352="UU",D352="FT",D352="WE",E352="Ferien"),0,
IF(D352="NR",SUM(IF(B352&gt;=_xlfn.NUMBERVALUE('ZD Vorerfassung'!$C$22:$C$36),1,0)*IF(B352&lt;=_xlfn.NUMBERVALUE('ZD Vorerfassung'!$D$22:$D$36),1,0)*'ZD Vorerfassung'!$W$22:$W$36),
IF(OR(D352="SF",D352="FH"),SUM(IF(B352&gt;=_xlfn.NUMBERVALUE('ZD Vorerfassung'!$C$22:$C$36),1,0)*IF(B352&lt;=_xlfn.NUMBERVALUE('ZD Vorerfassung'!$D$22:$D$36),1,0)*'ZD Vorerfassung'!$X$22:$X$36*IF(D352="FH",0.5,1)),
"prüfen")))</f>
        <v>0</v>
      </c>
      <c r="AY352" s="110">
        <f t="array" ref="AY352">IF(OR(D352="UU",D352="FT",D352="WE",E352="Ferien"),0,
IF(D352="NR",SUM(IF(B352&gt;=_xlfn.NUMBERVALUE('ZD Vorerfassung'!$C$22:$C$36),1,0)*IF(B352&lt;=_xlfn.NUMBERVALUE('ZD Vorerfassung'!$D$22:$D$36),1,0)*'ZD Vorerfassung'!$U$22:$U$36),
IF(OR(D352="SF",D352="FH"),SUM(IF(B352&gt;=_xlfn.NUMBERVALUE('ZD Vorerfassung'!$C$22:$C$36),1,0)*IF(B352&lt;=_xlfn.NUMBERVALUE('ZD Vorerfassung'!$D$22:$D$36),1,0)*'ZD Vorerfassung'!$V$22:$V$36*IF(D352="FH",0.5,1)),
"prüfen")))</f>
        <v>0</v>
      </c>
      <c r="AZ352" s="110">
        <f t="array" ref="AZ352">IF(OR(D352="UU",D352="FT",D352="WE",E352="Ferien"),0,
IF(D352="NR",SUM(IF(B352&gt;=_xlfn.NUMBERVALUE('ZD Vorerfassung'!$C$22:$C$36),1,0)*IF(B352&lt;=_xlfn.NUMBERVALUE('ZD Vorerfassung'!$D$22:$D$36),1,0)*'ZD Vorerfassung'!$S$22:$S$36),
IF(OR(D352="SF",D352="FH"),SUM(IF(B352&gt;=_xlfn.NUMBERVALUE('ZD Vorerfassung'!$C$22:$C$36),1,0)*IF(B352&lt;=_xlfn.NUMBERVALUE('ZD Vorerfassung'!$D$22:$D$36),1,0)*'ZD Vorerfassung'!$T$22:$T$36*IF(D352="FH",0.5,1)),
"prüfen")))</f>
        <v>0</v>
      </c>
      <c r="BA352" s="112">
        <f t="shared" si="76"/>
        <v>7</v>
      </c>
    </row>
    <row r="353" spans="2:53" ht="19.5" thickTop="1" thickBot="1" x14ac:dyDescent="0.3">
      <c r="B353" s="99">
        <f t="shared" si="65"/>
        <v>45118</v>
      </c>
      <c r="C353" s="100">
        <f t="shared" si="68"/>
        <v>45118</v>
      </c>
      <c r="D353" s="101" t="str">
        <f t="shared" si="69"/>
        <v>SF</v>
      </c>
      <c r="E353" s="102" t="str">
        <f t="shared" si="66"/>
        <v>unterrichtsfreie Arbeitszeit</v>
      </c>
      <c r="F353" s="103" t="str">
        <f t="shared" si="70"/>
        <v/>
      </c>
      <c r="G353" s="104" t="str">
        <f t="shared" si="71"/>
        <v/>
      </c>
      <c r="H353" s="104">
        <f>IFERROR(IF('ZD Vorerfassung'!$E$11="manuell",SUM(I353),IF(OR(E353="Feiertag",E353="Wochenende"),0,IF('ZD Vorerfassung'!$E$11="automatisch",AX353,IF(D353="UU","UU",IF(E353=Param2,AX353/24,IF(E353=Param9,AX353/48,"")))))),0)</f>
        <v>0</v>
      </c>
      <c r="I353" s="105"/>
      <c r="J353" s="106">
        <f>IF('ZD Vorerfassung'!$E$12="manuell",SUM(K353:AI353),IF(OR(E353="Feiertag",E353="Wochenende"),0,IF('ZD Vorerfassung'!$E$12="automatisch",AY353,IF(D353="UU","UU",IF(E353=Param2,AY353/24,IF(E353=Param9,AY353/48,""))))))</f>
        <v>0</v>
      </c>
      <c r="K353" s="105"/>
      <c r="L353" s="105"/>
      <c r="M353" s="105"/>
      <c r="N353" s="105"/>
      <c r="O353" s="105"/>
      <c r="P353" s="105"/>
      <c r="Q353" s="105"/>
      <c r="R353" s="105"/>
      <c r="S353" s="105"/>
      <c r="T353" s="105"/>
      <c r="U353" s="105"/>
      <c r="V353" s="105"/>
      <c r="W353" s="105"/>
      <c r="X353" s="105"/>
      <c r="Y353" s="105"/>
      <c r="Z353" s="105"/>
      <c r="AA353" s="105"/>
      <c r="AB353" s="105"/>
      <c r="AC353" s="105"/>
      <c r="AD353" s="105"/>
      <c r="AE353" s="105"/>
      <c r="AF353" s="105"/>
      <c r="AG353" s="105"/>
      <c r="AH353" s="105"/>
      <c r="AI353" s="105"/>
      <c r="AJ353" s="107">
        <f t="shared" si="72"/>
        <v>0</v>
      </c>
      <c r="AK353" s="105"/>
      <c r="AL353" s="105"/>
      <c r="AM353" s="105"/>
      <c r="AN353" s="105"/>
      <c r="AO353" s="105"/>
      <c r="AP353" s="105"/>
      <c r="AQ353" s="108">
        <f t="shared" si="73"/>
        <v>0</v>
      </c>
      <c r="AR353" s="108">
        <f t="shared" si="74"/>
        <v>0</v>
      </c>
      <c r="AS353" s="109">
        <f t="shared" si="75"/>
        <v>0</v>
      </c>
      <c r="AU353" s="110">
        <f t="shared" si="67"/>
        <v>0</v>
      </c>
      <c r="AV353" s="111" t="str">
        <f>IF(D353="NR",
IF('ZD Vorerfassung'!$E$22="",0,IF(AND(B353&gt;='ZD Vorerfassung'!$C$22,B353&lt;='ZD Vorerfassung'!$D$22),HLOOKUP(TEXT(C353,"ttt"),'ZD Vorerfassung'!$H$21:$L$36,2,0),0))+
IF('ZD Vorerfassung'!$E$23="",0,IF(AND(B353&gt;='ZD Vorerfassung'!$C$23,B353&lt;='ZD Vorerfassung'!$D$23),HLOOKUP(TEXT(C353,"ttt"),'ZD Vorerfassung'!$H$21:$L$36,3,0),0))+
IF('ZD Vorerfassung'!$E$24="",0,IF(AND(B353&gt;='ZD Vorerfassung'!$C$24,B353&lt;='ZD Vorerfassung'!$D$24),HLOOKUP(TEXT(C353,"ttt"),'ZD Vorerfassung'!$H$21:$L$36,4,0),0))+
IF('ZD Vorerfassung'!$E$25="",0,IF(AND(B353&gt;='ZD Vorerfassung'!$C$25,B353&lt;='ZD Vorerfassung'!$D$25),HLOOKUP(TEXT(C353,"ttt"),'ZD Vorerfassung'!$H$21:$L$36,5,0),0))+
IF('ZD Vorerfassung'!$E$26="",0,IF(AND(B353&gt;='ZD Vorerfassung'!$C$26,B353&lt;='ZD Vorerfassung'!$D$26),HLOOKUP(TEXT(C353,"ttt"),'ZD Vorerfassung'!$H$21:$L$36,6,0),0))+
IF('ZD Vorerfassung'!$E$27="",0,IF(AND(B353&gt;='ZD Vorerfassung'!$C$27,B353&lt;='ZD Vorerfassung'!$D$27),HLOOKUP(TEXT(C353,"ttt"),'ZD Vorerfassung'!$H$21:$L$36,7,0),0))+
IF('ZD Vorerfassung'!$E$28="",0,IF(AND(B353&gt;='ZD Vorerfassung'!$C$28,B353&lt;='ZD Vorerfassung'!$D$28),HLOOKUP(TEXT(C353,"ttt"),'ZD Vorerfassung'!$H$21:$L$36,8,0),0))+
IF('ZD Vorerfassung'!$E$29="",0,IF(AND(B353&gt;='ZD Vorerfassung'!$C$29,B353&lt;='ZD Vorerfassung'!$D$29),HLOOKUP(TEXT(C353,"ttt"),'ZD Vorerfassung'!$H$21:$L$36,9,0),0))+
IF('ZD Vorerfassung'!$E$30="",0,IF(AND(B353&gt;='ZD Vorerfassung'!$C$30,B353&lt;='ZD Vorerfassung'!$D$30),HLOOKUP(TEXT(C353,"ttt"),'ZD Vorerfassung'!$H$21:$L$36,10,0),0))+
IF('ZD Vorerfassung'!$E$31="",0,IF(AND(B353&gt;='ZD Vorerfassung'!$C$31,B353&lt;='ZD Vorerfassung'!$D$31),HLOOKUP(TEXT(C353,"ttt"),'ZD Vorerfassung'!$H$21:$L$36,11,0),0))+
IF('ZD Vorerfassung'!$E$32="",0,IF(AND(B353&gt;='ZD Vorerfassung'!$C$32,B353&lt;='ZD Vorerfassung'!$D$32),HLOOKUP(TEXT(C353,"ttt"),'ZD Vorerfassung'!$H$21:$L$36,12,0),0))+
IF('ZD Vorerfassung'!$E$33="",0,IF(AND(B353&gt;='ZD Vorerfassung'!$C$33,B353&lt;='ZD Vorerfassung'!$D$33),HLOOKUP(TEXT(C353,"ttt"),'ZD Vorerfassung'!$H$21:$L$36,13,0),0))+
IF('ZD Vorerfassung'!$E$34="",0,IF(AND(B353&gt;='ZD Vorerfassung'!$C$34,B353&lt;='ZD Vorerfassung'!$D$34),HLOOKUP(TEXT(C353,"ttt"),'ZD Vorerfassung'!$H$21:$L$36,14,0),0))+
IF('ZD Vorerfassung'!$E$35="",0,IF(AND(B353&gt;='ZD Vorerfassung'!$C$35,B353&lt;='ZD Vorerfassung'!$D$35),HLOOKUP(TEXT(C353,"ttt"),'ZD Vorerfassung'!$H$21:$L$36,15,0),0))+
IF('ZD Vorerfassung'!$E$36="",0,IF(AND(B353&gt;='ZD Vorerfassung'!$C$36,B353&lt;='ZD Vorerfassung'!$D$36),HLOOKUP(TEXT(C353,"ttt"),'ZD Vorerfassung'!$H$21:$L$36,16,0),0)),"")</f>
        <v/>
      </c>
      <c r="AW353" s="110">
        <f t="array" ref="AW353">IF(OR(D353="UU",D353="FT",D353="WE"),0,
IF(D353="NR",SUM(IF(B353&gt;=_xlfn.NUMBERVALUE('ZD Vorerfassung'!$C$22:$C$36),1,0)*IF(B353&lt;=_xlfn.NUMBERVALUE('ZD Vorerfassung'!$D$22:$D$36),1,0)*'ZD Vorerfassung'!$Q$22:$Q$36),
IF(OR(D353="SF",D353="FH"),SUM(IF(B353&gt;=_xlfn.NUMBERVALUE('ZD Vorerfassung'!$C$22:$C$36),1,0)*IF(B353&lt;=_xlfn.NUMBERVALUE('ZD Vorerfassung'!$D$22:$D$36),1,0)*'ZD Vorerfassung'!$R$22:$R$36*IF(D353="FH",0.5,1)),
"prüfen")))</f>
        <v>0</v>
      </c>
      <c r="AX353" s="110">
        <f t="array" ref="AX353">IF(OR(D353="UU",D353="FT",D353="WE",E353="Ferien"),0,
IF(D353="NR",SUM(IF(B353&gt;=_xlfn.NUMBERVALUE('ZD Vorerfassung'!$C$22:$C$36),1,0)*IF(B353&lt;=_xlfn.NUMBERVALUE('ZD Vorerfassung'!$D$22:$D$36),1,0)*'ZD Vorerfassung'!$W$22:$W$36),
IF(OR(D353="SF",D353="FH"),SUM(IF(B353&gt;=_xlfn.NUMBERVALUE('ZD Vorerfassung'!$C$22:$C$36),1,0)*IF(B353&lt;=_xlfn.NUMBERVALUE('ZD Vorerfassung'!$D$22:$D$36),1,0)*'ZD Vorerfassung'!$X$22:$X$36*IF(D353="FH",0.5,1)),
"prüfen")))</f>
        <v>0</v>
      </c>
      <c r="AY353" s="110">
        <f t="array" ref="AY353">IF(OR(D353="UU",D353="FT",D353="WE",E353="Ferien"),0,
IF(D353="NR",SUM(IF(B353&gt;=_xlfn.NUMBERVALUE('ZD Vorerfassung'!$C$22:$C$36),1,0)*IF(B353&lt;=_xlfn.NUMBERVALUE('ZD Vorerfassung'!$D$22:$D$36),1,0)*'ZD Vorerfassung'!$U$22:$U$36),
IF(OR(D353="SF",D353="FH"),SUM(IF(B353&gt;=_xlfn.NUMBERVALUE('ZD Vorerfassung'!$C$22:$C$36),1,0)*IF(B353&lt;=_xlfn.NUMBERVALUE('ZD Vorerfassung'!$D$22:$D$36),1,0)*'ZD Vorerfassung'!$V$22:$V$36*IF(D353="FH",0.5,1)),
"prüfen")))</f>
        <v>0</v>
      </c>
      <c r="AZ353" s="110">
        <f t="array" ref="AZ353">IF(OR(D353="UU",D353="FT",D353="WE",E353="Ferien"),0,
IF(D353="NR",SUM(IF(B353&gt;=_xlfn.NUMBERVALUE('ZD Vorerfassung'!$C$22:$C$36),1,0)*IF(B353&lt;=_xlfn.NUMBERVALUE('ZD Vorerfassung'!$D$22:$D$36),1,0)*'ZD Vorerfassung'!$S$22:$S$36),
IF(OR(D353="SF",D353="FH"),SUM(IF(B353&gt;=_xlfn.NUMBERVALUE('ZD Vorerfassung'!$C$22:$C$36),1,0)*IF(B353&lt;=_xlfn.NUMBERVALUE('ZD Vorerfassung'!$D$22:$D$36),1,0)*'ZD Vorerfassung'!$T$22:$T$36*IF(D353="FH",0.5,1)),
"prüfen")))</f>
        <v>0</v>
      </c>
      <c r="BA353" s="112">
        <f t="shared" si="76"/>
        <v>7</v>
      </c>
    </row>
    <row r="354" spans="2:53" ht="19.5" thickTop="1" thickBot="1" x14ac:dyDescent="0.3">
      <c r="B354" s="99">
        <f t="shared" si="65"/>
        <v>45119</v>
      </c>
      <c r="C354" s="100">
        <f t="shared" si="68"/>
        <v>45119</v>
      </c>
      <c r="D354" s="101" t="str">
        <f t="shared" si="69"/>
        <v>SF</v>
      </c>
      <c r="E354" s="102" t="str">
        <f t="shared" si="66"/>
        <v>unterrichtsfreie Arbeitszeit</v>
      </c>
      <c r="F354" s="103" t="str">
        <f t="shared" si="70"/>
        <v/>
      </c>
      <c r="G354" s="104" t="str">
        <f t="shared" si="71"/>
        <v/>
      </c>
      <c r="H354" s="104">
        <f>IFERROR(IF('ZD Vorerfassung'!$E$11="manuell",SUM(I354),IF(OR(E354="Feiertag",E354="Wochenende"),0,IF('ZD Vorerfassung'!$E$11="automatisch",AX354,IF(D354="UU","UU",IF(E354=Param2,AX354/24,IF(E354=Param9,AX354/48,"")))))),0)</f>
        <v>0</v>
      </c>
      <c r="I354" s="105"/>
      <c r="J354" s="106">
        <f>IF('ZD Vorerfassung'!$E$12="manuell",SUM(K354:AI354),IF(OR(E354="Feiertag",E354="Wochenende"),0,IF('ZD Vorerfassung'!$E$12="automatisch",AY354,IF(D354="UU","UU",IF(E354=Param2,AY354/24,IF(E354=Param9,AY354/48,""))))))</f>
        <v>0</v>
      </c>
      <c r="K354" s="105"/>
      <c r="L354" s="105"/>
      <c r="M354" s="105"/>
      <c r="N354" s="105"/>
      <c r="O354" s="105"/>
      <c r="P354" s="105"/>
      <c r="Q354" s="105"/>
      <c r="R354" s="105"/>
      <c r="S354" s="105"/>
      <c r="T354" s="105"/>
      <c r="U354" s="105"/>
      <c r="V354" s="105"/>
      <c r="W354" s="105"/>
      <c r="X354" s="105"/>
      <c r="Y354" s="105"/>
      <c r="Z354" s="105"/>
      <c r="AA354" s="105"/>
      <c r="AB354" s="105"/>
      <c r="AC354" s="105"/>
      <c r="AD354" s="105"/>
      <c r="AE354" s="105"/>
      <c r="AF354" s="105"/>
      <c r="AG354" s="105"/>
      <c r="AH354" s="105"/>
      <c r="AI354" s="105"/>
      <c r="AJ354" s="107">
        <f t="shared" si="72"/>
        <v>0</v>
      </c>
      <c r="AK354" s="105"/>
      <c r="AL354" s="105"/>
      <c r="AM354" s="105"/>
      <c r="AN354" s="105"/>
      <c r="AO354" s="105"/>
      <c r="AP354" s="105"/>
      <c r="AQ354" s="108">
        <f t="shared" si="73"/>
        <v>0</v>
      </c>
      <c r="AR354" s="108">
        <f t="shared" si="74"/>
        <v>0</v>
      </c>
      <c r="AS354" s="109">
        <f t="shared" si="75"/>
        <v>0</v>
      </c>
      <c r="AU354" s="110">
        <f t="shared" si="67"/>
        <v>0</v>
      </c>
      <c r="AV354" s="111" t="str">
        <f>IF(D354="NR",
IF('ZD Vorerfassung'!$E$22="",0,IF(AND(B354&gt;='ZD Vorerfassung'!$C$22,B354&lt;='ZD Vorerfassung'!$D$22),HLOOKUP(TEXT(C354,"ttt"),'ZD Vorerfassung'!$H$21:$L$36,2,0),0))+
IF('ZD Vorerfassung'!$E$23="",0,IF(AND(B354&gt;='ZD Vorerfassung'!$C$23,B354&lt;='ZD Vorerfassung'!$D$23),HLOOKUP(TEXT(C354,"ttt"),'ZD Vorerfassung'!$H$21:$L$36,3,0),0))+
IF('ZD Vorerfassung'!$E$24="",0,IF(AND(B354&gt;='ZD Vorerfassung'!$C$24,B354&lt;='ZD Vorerfassung'!$D$24),HLOOKUP(TEXT(C354,"ttt"),'ZD Vorerfassung'!$H$21:$L$36,4,0),0))+
IF('ZD Vorerfassung'!$E$25="",0,IF(AND(B354&gt;='ZD Vorerfassung'!$C$25,B354&lt;='ZD Vorerfassung'!$D$25),HLOOKUP(TEXT(C354,"ttt"),'ZD Vorerfassung'!$H$21:$L$36,5,0),0))+
IF('ZD Vorerfassung'!$E$26="",0,IF(AND(B354&gt;='ZD Vorerfassung'!$C$26,B354&lt;='ZD Vorerfassung'!$D$26),HLOOKUP(TEXT(C354,"ttt"),'ZD Vorerfassung'!$H$21:$L$36,6,0),0))+
IF('ZD Vorerfassung'!$E$27="",0,IF(AND(B354&gt;='ZD Vorerfassung'!$C$27,B354&lt;='ZD Vorerfassung'!$D$27),HLOOKUP(TEXT(C354,"ttt"),'ZD Vorerfassung'!$H$21:$L$36,7,0),0))+
IF('ZD Vorerfassung'!$E$28="",0,IF(AND(B354&gt;='ZD Vorerfassung'!$C$28,B354&lt;='ZD Vorerfassung'!$D$28),HLOOKUP(TEXT(C354,"ttt"),'ZD Vorerfassung'!$H$21:$L$36,8,0),0))+
IF('ZD Vorerfassung'!$E$29="",0,IF(AND(B354&gt;='ZD Vorerfassung'!$C$29,B354&lt;='ZD Vorerfassung'!$D$29),HLOOKUP(TEXT(C354,"ttt"),'ZD Vorerfassung'!$H$21:$L$36,9,0),0))+
IF('ZD Vorerfassung'!$E$30="",0,IF(AND(B354&gt;='ZD Vorerfassung'!$C$30,B354&lt;='ZD Vorerfassung'!$D$30),HLOOKUP(TEXT(C354,"ttt"),'ZD Vorerfassung'!$H$21:$L$36,10,0),0))+
IF('ZD Vorerfassung'!$E$31="",0,IF(AND(B354&gt;='ZD Vorerfassung'!$C$31,B354&lt;='ZD Vorerfassung'!$D$31),HLOOKUP(TEXT(C354,"ttt"),'ZD Vorerfassung'!$H$21:$L$36,11,0),0))+
IF('ZD Vorerfassung'!$E$32="",0,IF(AND(B354&gt;='ZD Vorerfassung'!$C$32,B354&lt;='ZD Vorerfassung'!$D$32),HLOOKUP(TEXT(C354,"ttt"),'ZD Vorerfassung'!$H$21:$L$36,12,0),0))+
IF('ZD Vorerfassung'!$E$33="",0,IF(AND(B354&gt;='ZD Vorerfassung'!$C$33,B354&lt;='ZD Vorerfassung'!$D$33),HLOOKUP(TEXT(C354,"ttt"),'ZD Vorerfassung'!$H$21:$L$36,13,0),0))+
IF('ZD Vorerfassung'!$E$34="",0,IF(AND(B354&gt;='ZD Vorerfassung'!$C$34,B354&lt;='ZD Vorerfassung'!$D$34),HLOOKUP(TEXT(C354,"ttt"),'ZD Vorerfassung'!$H$21:$L$36,14,0),0))+
IF('ZD Vorerfassung'!$E$35="",0,IF(AND(B354&gt;='ZD Vorerfassung'!$C$35,B354&lt;='ZD Vorerfassung'!$D$35),HLOOKUP(TEXT(C354,"ttt"),'ZD Vorerfassung'!$H$21:$L$36,15,0),0))+
IF('ZD Vorerfassung'!$E$36="",0,IF(AND(B354&gt;='ZD Vorerfassung'!$C$36,B354&lt;='ZD Vorerfassung'!$D$36),HLOOKUP(TEXT(C354,"ttt"),'ZD Vorerfassung'!$H$21:$L$36,16,0),0)),"")</f>
        <v/>
      </c>
      <c r="AW354" s="110">
        <f t="array" ref="AW354">IF(OR(D354="UU",D354="FT",D354="WE"),0,
IF(D354="NR",SUM(IF(B354&gt;=_xlfn.NUMBERVALUE('ZD Vorerfassung'!$C$22:$C$36),1,0)*IF(B354&lt;=_xlfn.NUMBERVALUE('ZD Vorerfassung'!$D$22:$D$36),1,0)*'ZD Vorerfassung'!$Q$22:$Q$36),
IF(OR(D354="SF",D354="FH"),SUM(IF(B354&gt;=_xlfn.NUMBERVALUE('ZD Vorerfassung'!$C$22:$C$36),1,0)*IF(B354&lt;=_xlfn.NUMBERVALUE('ZD Vorerfassung'!$D$22:$D$36),1,0)*'ZD Vorerfassung'!$R$22:$R$36*IF(D354="FH",0.5,1)),
"prüfen")))</f>
        <v>0</v>
      </c>
      <c r="AX354" s="110">
        <f t="array" ref="AX354">IF(OR(D354="UU",D354="FT",D354="WE",E354="Ferien"),0,
IF(D354="NR",SUM(IF(B354&gt;=_xlfn.NUMBERVALUE('ZD Vorerfassung'!$C$22:$C$36),1,0)*IF(B354&lt;=_xlfn.NUMBERVALUE('ZD Vorerfassung'!$D$22:$D$36),1,0)*'ZD Vorerfassung'!$W$22:$W$36),
IF(OR(D354="SF",D354="FH"),SUM(IF(B354&gt;=_xlfn.NUMBERVALUE('ZD Vorerfassung'!$C$22:$C$36),1,0)*IF(B354&lt;=_xlfn.NUMBERVALUE('ZD Vorerfassung'!$D$22:$D$36),1,0)*'ZD Vorerfassung'!$X$22:$X$36*IF(D354="FH",0.5,1)),
"prüfen")))</f>
        <v>0</v>
      </c>
      <c r="AY354" s="110">
        <f t="array" ref="AY354">IF(OR(D354="UU",D354="FT",D354="WE",E354="Ferien"),0,
IF(D354="NR",SUM(IF(B354&gt;=_xlfn.NUMBERVALUE('ZD Vorerfassung'!$C$22:$C$36),1,0)*IF(B354&lt;=_xlfn.NUMBERVALUE('ZD Vorerfassung'!$D$22:$D$36),1,0)*'ZD Vorerfassung'!$U$22:$U$36),
IF(OR(D354="SF",D354="FH"),SUM(IF(B354&gt;=_xlfn.NUMBERVALUE('ZD Vorerfassung'!$C$22:$C$36),1,0)*IF(B354&lt;=_xlfn.NUMBERVALUE('ZD Vorerfassung'!$D$22:$D$36),1,0)*'ZD Vorerfassung'!$V$22:$V$36*IF(D354="FH",0.5,1)),
"prüfen")))</f>
        <v>0</v>
      </c>
      <c r="AZ354" s="110">
        <f t="array" ref="AZ354">IF(OR(D354="UU",D354="FT",D354="WE",E354="Ferien"),0,
IF(D354="NR",SUM(IF(B354&gt;=_xlfn.NUMBERVALUE('ZD Vorerfassung'!$C$22:$C$36),1,0)*IF(B354&lt;=_xlfn.NUMBERVALUE('ZD Vorerfassung'!$D$22:$D$36),1,0)*'ZD Vorerfassung'!$S$22:$S$36),
IF(OR(D354="SF",D354="FH"),SUM(IF(B354&gt;=_xlfn.NUMBERVALUE('ZD Vorerfassung'!$C$22:$C$36),1,0)*IF(B354&lt;=_xlfn.NUMBERVALUE('ZD Vorerfassung'!$D$22:$D$36),1,0)*'ZD Vorerfassung'!$T$22:$T$36*IF(D354="FH",0.5,1)),
"prüfen")))</f>
        <v>0</v>
      </c>
      <c r="BA354" s="112">
        <f t="shared" si="76"/>
        <v>7</v>
      </c>
    </row>
    <row r="355" spans="2:53" ht="19.5" thickTop="1" thickBot="1" x14ac:dyDescent="0.3">
      <c r="B355" s="99">
        <f t="shared" si="65"/>
        <v>45120</v>
      </c>
      <c r="C355" s="100">
        <f t="shared" si="68"/>
        <v>45120</v>
      </c>
      <c r="D355" s="101" t="str">
        <f t="shared" si="69"/>
        <v>SF</v>
      </c>
      <c r="E355" s="102" t="str">
        <f t="shared" si="66"/>
        <v>unterrichtsfreie Arbeitszeit</v>
      </c>
      <c r="F355" s="103" t="str">
        <f t="shared" si="70"/>
        <v/>
      </c>
      <c r="G355" s="104" t="str">
        <f t="shared" si="71"/>
        <v/>
      </c>
      <c r="H355" s="104">
        <f>IFERROR(IF('ZD Vorerfassung'!$E$11="manuell",SUM(I355),IF(OR(E355="Feiertag",E355="Wochenende"),0,IF('ZD Vorerfassung'!$E$11="automatisch",AX355,IF(D355="UU","UU",IF(E355=Param2,AX355/24,IF(E355=Param9,AX355/48,"")))))),0)</f>
        <v>0</v>
      </c>
      <c r="I355" s="105"/>
      <c r="J355" s="106">
        <f>IF('ZD Vorerfassung'!$E$12="manuell",SUM(K355:AI355),IF(OR(E355="Feiertag",E355="Wochenende"),0,IF('ZD Vorerfassung'!$E$12="automatisch",AY355,IF(D355="UU","UU",IF(E355=Param2,AY355/24,IF(E355=Param9,AY355/48,""))))))</f>
        <v>0</v>
      </c>
      <c r="K355" s="105"/>
      <c r="L355" s="105"/>
      <c r="M355" s="105"/>
      <c r="N355" s="105"/>
      <c r="O355" s="105"/>
      <c r="P355" s="105"/>
      <c r="Q355" s="105"/>
      <c r="R355" s="105"/>
      <c r="S355" s="105"/>
      <c r="T355" s="105"/>
      <c r="U355" s="105"/>
      <c r="V355" s="105"/>
      <c r="W355" s="105"/>
      <c r="X355" s="105"/>
      <c r="Y355" s="105"/>
      <c r="Z355" s="105"/>
      <c r="AA355" s="105"/>
      <c r="AB355" s="105"/>
      <c r="AC355" s="105"/>
      <c r="AD355" s="105"/>
      <c r="AE355" s="105"/>
      <c r="AF355" s="105"/>
      <c r="AG355" s="105"/>
      <c r="AH355" s="105"/>
      <c r="AI355" s="105"/>
      <c r="AJ355" s="107">
        <f t="shared" si="72"/>
        <v>0</v>
      </c>
      <c r="AK355" s="105"/>
      <c r="AL355" s="105"/>
      <c r="AM355" s="105"/>
      <c r="AN355" s="105"/>
      <c r="AO355" s="105"/>
      <c r="AP355" s="105"/>
      <c r="AQ355" s="108">
        <f t="shared" si="73"/>
        <v>0</v>
      </c>
      <c r="AR355" s="108">
        <f t="shared" si="74"/>
        <v>0</v>
      </c>
      <c r="AS355" s="109">
        <f t="shared" si="75"/>
        <v>0</v>
      </c>
      <c r="AU355" s="110">
        <f t="shared" si="67"/>
        <v>0</v>
      </c>
      <c r="AV355" s="111" t="str">
        <f>IF(D355="NR",
IF('ZD Vorerfassung'!$E$22="",0,IF(AND(B355&gt;='ZD Vorerfassung'!$C$22,B355&lt;='ZD Vorerfassung'!$D$22),HLOOKUP(TEXT(C355,"ttt"),'ZD Vorerfassung'!$H$21:$L$36,2,0),0))+
IF('ZD Vorerfassung'!$E$23="",0,IF(AND(B355&gt;='ZD Vorerfassung'!$C$23,B355&lt;='ZD Vorerfassung'!$D$23),HLOOKUP(TEXT(C355,"ttt"),'ZD Vorerfassung'!$H$21:$L$36,3,0),0))+
IF('ZD Vorerfassung'!$E$24="",0,IF(AND(B355&gt;='ZD Vorerfassung'!$C$24,B355&lt;='ZD Vorerfassung'!$D$24),HLOOKUP(TEXT(C355,"ttt"),'ZD Vorerfassung'!$H$21:$L$36,4,0),0))+
IF('ZD Vorerfassung'!$E$25="",0,IF(AND(B355&gt;='ZD Vorerfassung'!$C$25,B355&lt;='ZD Vorerfassung'!$D$25),HLOOKUP(TEXT(C355,"ttt"),'ZD Vorerfassung'!$H$21:$L$36,5,0),0))+
IF('ZD Vorerfassung'!$E$26="",0,IF(AND(B355&gt;='ZD Vorerfassung'!$C$26,B355&lt;='ZD Vorerfassung'!$D$26),HLOOKUP(TEXT(C355,"ttt"),'ZD Vorerfassung'!$H$21:$L$36,6,0),0))+
IF('ZD Vorerfassung'!$E$27="",0,IF(AND(B355&gt;='ZD Vorerfassung'!$C$27,B355&lt;='ZD Vorerfassung'!$D$27),HLOOKUP(TEXT(C355,"ttt"),'ZD Vorerfassung'!$H$21:$L$36,7,0),0))+
IF('ZD Vorerfassung'!$E$28="",0,IF(AND(B355&gt;='ZD Vorerfassung'!$C$28,B355&lt;='ZD Vorerfassung'!$D$28),HLOOKUP(TEXT(C355,"ttt"),'ZD Vorerfassung'!$H$21:$L$36,8,0),0))+
IF('ZD Vorerfassung'!$E$29="",0,IF(AND(B355&gt;='ZD Vorerfassung'!$C$29,B355&lt;='ZD Vorerfassung'!$D$29),HLOOKUP(TEXT(C355,"ttt"),'ZD Vorerfassung'!$H$21:$L$36,9,0),0))+
IF('ZD Vorerfassung'!$E$30="",0,IF(AND(B355&gt;='ZD Vorerfassung'!$C$30,B355&lt;='ZD Vorerfassung'!$D$30),HLOOKUP(TEXT(C355,"ttt"),'ZD Vorerfassung'!$H$21:$L$36,10,0),0))+
IF('ZD Vorerfassung'!$E$31="",0,IF(AND(B355&gt;='ZD Vorerfassung'!$C$31,B355&lt;='ZD Vorerfassung'!$D$31),HLOOKUP(TEXT(C355,"ttt"),'ZD Vorerfassung'!$H$21:$L$36,11,0),0))+
IF('ZD Vorerfassung'!$E$32="",0,IF(AND(B355&gt;='ZD Vorerfassung'!$C$32,B355&lt;='ZD Vorerfassung'!$D$32),HLOOKUP(TEXT(C355,"ttt"),'ZD Vorerfassung'!$H$21:$L$36,12,0),0))+
IF('ZD Vorerfassung'!$E$33="",0,IF(AND(B355&gt;='ZD Vorerfassung'!$C$33,B355&lt;='ZD Vorerfassung'!$D$33),HLOOKUP(TEXT(C355,"ttt"),'ZD Vorerfassung'!$H$21:$L$36,13,0),0))+
IF('ZD Vorerfassung'!$E$34="",0,IF(AND(B355&gt;='ZD Vorerfassung'!$C$34,B355&lt;='ZD Vorerfassung'!$D$34),HLOOKUP(TEXT(C355,"ttt"),'ZD Vorerfassung'!$H$21:$L$36,14,0),0))+
IF('ZD Vorerfassung'!$E$35="",0,IF(AND(B355&gt;='ZD Vorerfassung'!$C$35,B355&lt;='ZD Vorerfassung'!$D$35),HLOOKUP(TEXT(C355,"ttt"),'ZD Vorerfassung'!$H$21:$L$36,15,0),0))+
IF('ZD Vorerfassung'!$E$36="",0,IF(AND(B355&gt;='ZD Vorerfassung'!$C$36,B355&lt;='ZD Vorerfassung'!$D$36),HLOOKUP(TEXT(C355,"ttt"),'ZD Vorerfassung'!$H$21:$L$36,16,0),0)),"")</f>
        <v/>
      </c>
      <c r="AW355" s="110">
        <f t="array" ref="AW355">IF(OR(D355="UU",D355="FT",D355="WE"),0,
IF(D355="NR",SUM(IF(B355&gt;=_xlfn.NUMBERVALUE('ZD Vorerfassung'!$C$22:$C$36),1,0)*IF(B355&lt;=_xlfn.NUMBERVALUE('ZD Vorerfassung'!$D$22:$D$36),1,0)*'ZD Vorerfassung'!$Q$22:$Q$36),
IF(OR(D355="SF",D355="FH"),SUM(IF(B355&gt;=_xlfn.NUMBERVALUE('ZD Vorerfassung'!$C$22:$C$36),1,0)*IF(B355&lt;=_xlfn.NUMBERVALUE('ZD Vorerfassung'!$D$22:$D$36),1,0)*'ZD Vorerfassung'!$R$22:$R$36*IF(D355="FH",0.5,1)),
"prüfen")))</f>
        <v>0</v>
      </c>
      <c r="AX355" s="110">
        <f t="array" ref="AX355">IF(OR(D355="UU",D355="FT",D355="WE",E355="Ferien"),0,
IF(D355="NR",SUM(IF(B355&gt;=_xlfn.NUMBERVALUE('ZD Vorerfassung'!$C$22:$C$36),1,0)*IF(B355&lt;=_xlfn.NUMBERVALUE('ZD Vorerfassung'!$D$22:$D$36),1,0)*'ZD Vorerfassung'!$W$22:$W$36),
IF(OR(D355="SF",D355="FH"),SUM(IF(B355&gt;=_xlfn.NUMBERVALUE('ZD Vorerfassung'!$C$22:$C$36),1,0)*IF(B355&lt;=_xlfn.NUMBERVALUE('ZD Vorerfassung'!$D$22:$D$36),1,0)*'ZD Vorerfassung'!$X$22:$X$36*IF(D355="FH",0.5,1)),
"prüfen")))</f>
        <v>0</v>
      </c>
      <c r="AY355" s="110">
        <f t="array" ref="AY355">IF(OR(D355="UU",D355="FT",D355="WE",E355="Ferien"),0,
IF(D355="NR",SUM(IF(B355&gt;=_xlfn.NUMBERVALUE('ZD Vorerfassung'!$C$22:$C$36),1,0)*IF(B355&lt;=_xlfn.NUMBERVALUE('ZD Vorerfassung'!$D$22:$D$36),1,0)*'ZD Vorerfassung'!$U$22:$U$36),
IF(OR(D355="SF",D355="FH"),SUM(IF(B355&gt;=_xlfn.NUMBERVALUE('ZD Vorerfassung'!$C$22:$C$36),1,0)*IF(B355&lt;=_xlfn.NUMBERVALUE('ZD Vorerfassung'!$D$22:$D$36),1,0)*'ZD Vorerfassung'!$V$22:$V$36*IF(D355="FH",0.5,1)),
"prüfen")))</f>
        <v>0</v>
      </c>
      <c r="AZ355" s="110">
        <f t="array" ref="AZ355">IF(OR(D355="UU",D355="FT",D355="WE",E355="Ferien"),0,
IF(D355="NR",SUM(IF(B355&gt;=_xlfn.NUMBERVALUE('ZD Vorerfassung'!$C$22:$C$36),1,0)*IF(B355&lt;=_xlfn.NUMBERVALUE('ZD Vorerfassung'!$D$22:$D$36),1,0)*'ZD Vorerfassung'!$S$22:$S$36),
IF(OR(D355="SF",D355="FH"),SUM(IF(B355&gt;=_xlfn.NUMBERVALUE('ZD Vorerfassung'!$C$22:$C$36),1,0)*IF(B355&lt;=_xlfn.NUMBERVALUE('ZD Vorerfassung'!$D$22:$D$36),1,0)*'ZD Vorerfassung'!$T$22:$T$36*IF(D355="FH",0.5,1)),
"prüfen")))</f>
        <v>0</v>
      </c>
      <c r="BA355" s="112">
        <f t="shared" si="76"/>
        <v>7</v>
      </c>
    </row>
    <row r="356" spans="2:53" ht="19.5" thickTop="1" thickBot="1" x14ac:dyDescent="0.3">
      <c r="B356" s="99">
        <f t="shared" si="65"/>
        <v>45121</v>
      </c>
      <c r="C356" s="100">
        <f t="shared" si="68"/>
        <v>45121</v>
      </c>
      <c r="D356" s="101" t="str">
        <f t="shared" si="69"/>
        <v>SF</v>
      </c>
      <c r="E356" s="102" t="str">
        <f t="shared" si="66"/>
        <v>unterrichtsfreie Arbeitszeit</v>
      </c>
      <c r="F356" s="103" t="str">
        <f t="shared" si="70"/>
        <v/>
      </c>
      <c r="G356" s="104" t="str">
        <f t="shared" si="71"/>
        <v/>
      </c>
      <c r="H356" s="104">
        <f>IFERROR(IF('ZD Vorerfassung'!$E$11="manuell",SUM(I356),IF(OR(E356="Feiertag",E356="Wochenende"),0,IF('ZD Vorerfassung'!$E$11="automatisch",AX356,IF(D356="UU","UU",IF(E356=Param2,AX356/24,IF(E356=Param9,AX356/48,"")))))),0)</f>
        <v>0</v>
      </c>
      <c r="I356" s="105"/>
      <c r="J356" s="106">
        <f>IF('ZD Vorerfassung'!$E$12="manuell",SUM(K356:AI356),IF(OR(E356="Feiertag",E356="Wochenende"),0,IF('ZD Vorerfassung'!$E$12="automatisch",AY356,IF(D356="UU","UU",IF(E356=Param2,AY356/24,IF(E356=Param9,AY356/48,""))))))</f>
        <v>0</v>
      </c>
      <c r="K356" s="105"/>
      <c r="L356" s="105"/>
      <c r="M356" s="105"/>
      <c r="N356" s="105"/>
      <c r="O356" s="105"/>
      <c r="P356" s="105"/>
      <c r="Q356" s="105"/>
      <c r="R356" s="105"/>
      <c r="S356" s="105"/>
      <c r="T356" s="105"/>
      <c r="U356" s="105"/>
      <c r="V356" s="105"/>
      <c r="W356" s="105"/>
      <c r="X356" s="105"/>
      <c r="Y356" s="105"/>
      <c r="Z356" s="105"/>
      <c r="AA356" s="105"/>
      <c r="AB356" s="105"/>
      <c r="AC356" s="105"/>
      <c r="AD356" s="105"/>
      <c r="AE356" s="105"/>
      <c r="AF356" s="105"/>
      <c r="AG356" s="105"/>
      <c r="AH356" s="105"/>
      <c r="AI356" s="105"/>
      <c r="AJ356" s="107">
        <f t="shared" si="72"/>
        <v>0</v>
      </c>
      <c r="AK356" s="105"/>
      <c r="AL356" s="105"/>
      <c r="AM356" s="105"/>
      <c r="AN356" s="105"/>
      <c r="AO356" s="105"/>
      <c r="AP356" s="105"/>
      <c r="AQ356" s="108">
        <f t="shared" si="73"/>
        <v>0</v>
      </c>
      <c r="AR356" s="108">
        <f t="shared" si="74"/>
        <v>0</v>
      </c>
      <c r="AS356" s="109">
        <f t="shared" si="75"/>
        <v>0</v>
      </c>
      <c r="AU356" s="110">
        <f t="shared" si="67"/>
        <v>0</v>
      </c>
      <c r="AV356" s="111" t="str">
        <f>IF(D356="NR",
IF('ZD Vorerfassung'!$E$22="",0,IF(AND(B356&gt;='ZD Vorerfassung'!$C$22,B356&lt;='ZD Vorerfassung'!$D$22),HLOOKUP(TEXT(C356,"ttt"),'ZD Vorerfassung'!$H$21:$L$36,2,0),0))+
IF('ZD Vorerfassung'!$E$23="",0,IF(AND(B356&gt;='ZD Vorerfassung'!$C$23,B356&lt;='ZD Vorerfassung'!$D$23),HLOOKUP(TEXT(C356,"ttt"),'ZD Vorerfassung'!$H$21:$L$36,3,0),0))+
IF('ZD Vorerfassung'!$E$24="",0,IF(AND(B356&gt;='ZD Vorerfassung'!$C$24,B356&lt;='ZD Vorerfassung'!$D$24),HLOOKUP(TEXT(C356,"ttt"),'ZD Vorerfassung'!$H$21:$L$36,4,0),0))+
IF('ZD Vorerfassung'!$E$25="",0,IF(AND(B356&gt;='ZD Vorerfassung'!$C$25,B356&lt;='ZD Vorerfassung'!$D$25),HLOOKUP(TEXT(C356,"ttt"),'ZD Vorerfassung'!$H$21:$L$36,5,0),0))+
IF('ZD Vorerfassung'!$E$26="",0,IF(AND(B356&gt;='ZD Vorerfassung'!$C$26,B356&lt;='ZD Vorerfassung'!$D$26),HLOOKUP(TEXT(C356,"ttt"),'ZD Vorerfassung'!$H$21:$L$36,6,0),0))+
IF('ZD Vorerfassung'!$E$27="",0,IF(AND(B356&gt;='ZD Vorerfassung'!$C$27,B356&lt;='ZD Vorerfassung'!$D$27),HLOOKUP(TEXT(C356,"ttt"),'ZD Vorerfassung'!$H$21:$L$36,7,0),0))+
IF('ZD Vorerfassung'!$E$28="",0,IF(AND(B356&gt;='ZD Vorerfassung'!$C$28,B356&lt;='ZD Vorerfassung'!$D$28),HLOOKUP(TEXT(C356,"ttt"),'ZD Vorerfassung'!$H$21:$L$36,8,0),0))+
IF('ZD Vorerfassung'!$E$29="",0,IF(AND(B356&gt;='ZD Vorerfassung'!$C$29,B356&lt;='ZD Vorerfassung'!$D$29),HLOOKUP(TEXT(C356,"ttt"),'ZD Vorerfassung'!$H$21:$L$36,9,0),0))+
IF('ZD Vorerfassung'!$E$30="",0,IF(AND(B356&gt;='ZD Vorerfassung'!$C$30,B356&lt;='ZD Vorerfassung'!$D$30),HLOOKUP(TEXT(C356,"ttt"),'ZD Vorerfassung'!$H$21:$L$36,10,0),0))+
IF('ZD Vorerfassung'!$E$31="",0,IF(AND(B356&gt;='ZD Vorerfassung'!$C$31,B356&lt;='ZD Vorerfassung'!$D$31),HLOOKUP(TEXT(C356,"ttt"),'ZD Vorerfassung'!$H$21:$L$36,11,0),0))+
IF('ZD Vorerfassung'!$E$32="",0,IF(AND(B356&gt;='ZD Vorerfassung'!$C$32,B356&lt;='ZD Vorerfassung'!$D$32),HLOOKUP(TEXT(C356,"ttt"),'ZD Vorerfassung'!$H$21:$L$36,12,0),0))+
IF('ZD Vorerfassung'!$E$33="",0,IF(AND(B356&gt;='ZD Vorerfassung'!$C$33,B356&lt;='ZD Vorerfassung'!$D$33),HLOOKUP(TEXT(C356,"ttt"),'ZD Vorerfassung'!$H$21:$L$36,13,0),0))+
IF('ZD Vorerfassung'!$E$34="",0,IF(AND(B356&gt;='ZD Vorerfassung'!$C$34,B356&lt;='ZD Vorerfassung'!$D$34),HLOOKUP(TEXT(C356,"ttt"),'ZD Vorerfassung'!$H$21:$L$36,14,0),0))+
IF('ZD Vorerfassung'!$E$35="",0,IF(AND(B356&gt;='ZD Vorerfassung'!$C$35,B356&lt;='ZD Vorerfassung'!$D$35),HLOOKUP(TEXT(C356,"ttt"),'ZD Vorerfassung'!$H$21:$L$36,15,0),0))+
IF('ZD Vorerfassung'!$E$36="",0,IF(AND(B356&gt;='ZD Vorerfassung'!$C$36,B356&lt;='ZD Vorerfassung'!$D$36),HLOOKUP(TEXT(C356,"ttt"),'ZD Vorerfassung'!$H$21:$L$36,16,0),0)),"")</f>
        <v/>
      </c>
      <c r="AW356" s="110">
        <f t="array" ref="AW356">IF(OR(D356="UU",D356="FT",D356="WE"),0,
IF(D356="NR",SUM(IF(B356&gt;=_xlfn.NUMBERVALUE('ZD Vorerfassung'!$C$22:$C$36),1,0)*IF(B356&lt;=_xlfn.NUMBERVALUE('ZD Vorerfassung'!$D$22:$D$36),1,0)*'ZD Vorerfassung'!$Q$22:$Q$36),
IF(OR(D356="SF",D356="FH"),SUM(IF(B356&gt;=_xlfn.NUMBERVALUE('ZD Vorerfassung'!$C$22:$C$36),1,0)*IF(B356&lt;=_xlfn.NUMBERVALUE('ZD Vorerfassung'!$D$22:$D$36),1,0)*'ZD Vorerfassung'!$R$22:$R$36*IF(D356="FH",0.5,1)),
"prüfen")))</f>
        <v>0</v>
      </c>
      <c r="AX356" s="110">
        <f t="array" ref="AX356">IF(OR(D356="UU",D356="FT",D356="WE",E356="Ferien"),0,
IF(D356="NR",SUM(IF(B356&gt;=_xlfn.NUMBERVALUE('ZD Vorerfassung'!$C$22:$C$36),1,0)*IF(B356&lt;=_xlfn.NUMBERVALUE('ZD Vorerfassung'!$D$22:$D$36),1,0)*'ZD Vorerfassung'!$W$22:$W$36),
IF(OR(D356="SF",D356="FH"),SUM(IF(B356&gt;=_xlfn.NUMBERVALUE('ZD Vorerfassung'!$C$22:$C$36),1,0)*IF(B356&lt;=_xlfn.NUMBERVALUE('ZD Vorerfassung'!$D$22:$D$36),1,0)*'ZD Vorerfassung'!$X$22:$X$36*IF(D356="FH",0.5,1)),
"prüfen")))</f>
        <v>0</v>
      </c>
      <c r="AY356" s="110">
        <f t="array" ref="AY356">IF(OR(D356="UU",D356="FT",D356="WE",E356="Ferien"),0,
IF(D356="NR",SUM(IF(B356&gt;=_xlfn.NUMBERVALUE('ZD Vorerfassung'!$C$22:$C$36),1,0)*IF(B356&lt;=_xlfn.NUMBERVALUE('ZD Vorerfassung'!$D$22:$D$36),1,0)*'ZD Vorerfassung'!$U$22:$U$36),
IF(OR(D356="SF",D356="FH"),SUM(IF(B356&gt;=_xlfn.NUMBERVALUE('ZD Vorerfassung'!$C$22:$C$36),1,0)*IF(B356&lt;=_xlfn.NUMBERVALUE('ZD Vorerfassung'!$D$22:$D$36),1,0)*'ZD Vorerfassung'!$V$22:$V$36*IF(D356="FH",0.5,1)),
"prüfen")))</f>
        <v>0</v>
      </c>
      <c r="AZ356" s="110">
        <f t="array" ref="AZ356">IF(OR(D356="UU",D356="FT",D356="WE",E356="Ferien"),0,
IF(D356="NR",SUM(IF(B356&gt;=_xlfn.NUMBERVALUE('ZD Vorerfassung'!$C$22:$C$36),1,0)*IF(B356&lt;=_xlfn.NUMBERVALUE('ZD Vorerfassung'!$D$22:$D$36),1,0)*'ZD Vorerfassung'!$S$22:$S$36),
IF(OR(D356="SF",D356="FH"),SUM(IF(B356&gt;=_xlfn.NUMBERVALUE('ZD Vorerfassung'!$C$22:$C$36),1,0)*IF(B356&lt;=_xlfn.NUMBERVALUE('ZD Vorerfassung'!$D$22:$D$36),1,0)*'ZD Vorerfassung'!$T$22:$T$36*IF(D356="FH",0.5,1)),
"prüfen")))</f>
        <v>0</v>
      </c>
      <c r="BA356" s="112">
        <f t="shared" si="76"/>
        <v>7</v>
      </c>
    </row>
    <row r="357" spans="2:53" ht="19.5" thickTop="1" thickBot="1" x14ac:dyDescent="0.3">
      <c r="B357" s="99">
        <f t="shared" si="65"/>
        <v>45122</v>
      </c>
      <c r="C357" s="100">
        <f t="shared" si="68"/>
        <v>45122</v>
      </c>
      <c r="D357" s="101" t="str">
        <f t="shared" si="69"/>
        <v>SF</v>
      </c>
      <c r="E357" s="102" t="str">
        <f t="shared" si="66"/>
        <v>unterrichtsfreie Arbeitszeit</v>
      </c>
      <c r="F357" s="103" t="str">
        <f t="shared" si="70"/>
        <v/>
      </c>
      <c r="G357" s="104" t="str">
        <f t="shared" si="71"/>
        <v/>
      </c>
      <c r="H357" s="104">
        <f>IFERROR(IF('ZD Vorerfassung'!$E$11="manuell",SUM(I357),IF(OR(E357="Feiertag",E357="Wochenende"),0,IF('ZD Vorerfassung'!$E$11="automatisch",AX357,IF(D357="UU","UU",IF(E357=Param2,AX357/24,IF(E357=Param9,AX357/48,"")))))),0)</f>
        <v>0</v>
      </c>
      <c r="I357" s="105"/>
      <c r="J357" s="106">
        <f>IF('ZD Vorerfassung'!$E$12="manuell",SUM(K357:AI357),IF(OR(E357="Feiertag",E357="Wochenende"),0,IF('ZD Vorerfassung'!$E$12="automatisch",AY357,IF(D357="UU","UU",IF(E357=Param2,AY357/24,IF(E357=Param9,AY357/48,""))))))</f>
        <v>0</v>
      </c>
      <c r="K357" s="105"/>
      <c r="L357" s="105"/>
      <c r="M357" s="105"/>
      <c r="N357" s="105"/>
      <c r="O357" s="105"/>
      <c r="P357" s="105"/>
      <c r="Q357" s="105"/>
      <c r="R357" s="105"/>
      <c r="S357" s="105"/>
      <c r="T357" s="105"/>
      <c r="U357" s="105"/>
      <c r="V357" s="105"/>
      <c r="W357" s="105"/>
      <c r="X357" s="105"/>
      <c r="Y357" s="105"/>
      <c r="Z357" s="105"/>
      <c r="AA357" s="105"/>
      <c r="AB357" s="105"/>
      <c r="AC357" s="105"/>
      <c r="AD357" s="105"/>
      <c r="AE357" s="105"/>
      <c r="AF357" s="105"/>
      <c r="AG357" s="105"/>
      <c r="AH357" s="105"/>
      <c r="AI357" s="105"/>
      <c r="AJ357" s="107">
        <f t="shared" si="72"/>
        <v>0</v>
      </c>
      <c r="AK357" s="105"/>
      <c r="AL357" s="105"/>
      <c r="AM357" s="105"/>
      <c r="AN357" s="105"/>
      <c r="AO357" s="105"/>
      <c r="AP357" s="105"/>
      <c r="AQ357" s="108">
        <f t="shared" si="73"/>
        <v>0</v>
      </c>
      <c r="AR357" s="108">
        <f t="shared" si="74"/>
        <v>0</v>
      </c>
      <c r="AS357" s="109">
        <f t="shared" si="75"/>
        <v>0</v>
      </c>
      <c r="AU357" s="110">
        <f t="shared" si="67"/>
        <v>0</v>
      </c>
      <c r="AV357" s="111" t="str">
        <f>IF(D357="NR",
IF('ZD Vorerfassung'!$E$22="",0,IF(AND(B357&gt;='ZD Vorerfassung'!$C$22,B357&lt;='ZD Vorerfassung'!$D$22),HLOOKUP(TEXT(C357,"ttt"),'ZD Vorerfassung'!$H$21:$L$36,2,0),0))+
IF('ZD Vorerfassung'!$E$23="",0,IF(AND(B357&gt;='ZD Vorerfassung'!$C$23,B357&lt;='ZD Vorerfassung'!$D$23),HLOOKUP(TEXT(C357,"ttt"),'ZD Vorerfassung'!$H$21:$L$36,3,0),0))+
IF('ZD Vorerfassung'!$E$24="",0,IF(AND(B357&gt;='ZD Vorerfassung'!$C$24,B357&lt;='ZD Vorerfassung'!$D$24),HLOOKUP(TEXT(C357,"ttt"),'ZD Vorerfassung'!$H$21:$L$36,4,0),0))+
IF('ZD Vorerfassung'!$E$25="",0,IF(AND(B357&gt;='ZD Vorerfassung'!$C$25,B357&lt;='ZD Vorerfassung'!$D$25),HLOOKUP(TEXT(C357,"ttt"),'ZD Vorerfassung'!$H$21:$L$36,5,0),0))+
IF('ZD Vorerfassung'!$E$26="",0,IF(AND(B357&gt;='ZD Vorerfassung'!$C$26,B357&lt;='ZD Vorerfassung'!$D$26),HLOOKUP(TEXT(C357,"ttt"),'ZD Vorerfassung'!$H$21:$L$36,6,0),0))+
IF('ZD Vorerfassung'!$E$27="",0,IF(AND(B357&gt;='ZD Vorerfassung'!$C$27,B357&lt;='ZD Vorerfassung'!$D$27),HLOOKUP(TEXT(C357,"ttt"),'ZD Vorerfassung'!$H$21:$L$36,7,0),0))+
IF('ZD Vorerfassung'!$E$28="",0,IF(AND(B357&gt;='ZD Vorerfassung'!$C$28,B357&lt;='ZD Vorerfassung'!$D$28),HLOOKUP(TEXT(C357,"ttt"),'ZD Vorerfassung'!$H$21:$L$36,8,0),0))+
IF('ZD Vorerfassung'!$E$29="",0,IF(AND(B357&gt;='ZD Vorerfassung'!$C$29,B357&lt;='ZD Vorerfassung'!$D$29),HLOOKUP(TEXT(C357,"ttt"),'ZD Vorerfassung'!$H$21:$L$36,9,0),0))+
IF('ZD Vorerfassung'!$E$30="",0,IF(AND(B357&gt;='ZD Vorerfassung'!$C$30,B357&lt;='ZD Vorerfassung'!$D$30),HLOOKUP(TEXT(C357,"ttt"),'ZD Vorerfassung'!$H$21:$L$36,10,0),0))+
IF('ZD Vorerfassung'!$E$31="",0,IF(AND(B357&gt;='ZD Vorerfassung'!$C$31,B357&lt;='ZD Vorerfassung'!$D$31),HLOOKUP(TEXT(C357,"ttt"),'ZD Vorerfassung'!$H$21:$L$36,11,0),0))+
IF('ZD Vorerfassung'!$E$32="",0,IF(AND(B357&gt;='ZD Vorerfassung'!$C$32,B357&lt;='ZD Vorerfassung'!$D$32),HLOOKUP(TEXT(C357,"ttt"),'ZD Vorerfassung'!$H$21:$L$36,12,0),0))+
IF('ZD Vorerfassung'!$E$33="",0,IF(AND(B357&gt;='ZD Vorerfassung'!$C$33,B357&lt;='ZD Vorerfassung'!$D$33),HLOOKUP(TEXT(C357,"ttt"),'ZD Vorerfassung'!$H$21:$L$36,13,0),0))+
IF('ZD Vorerfassung'!$E$34="",0,IF(AND(B357&gt;='ZD Vorerfassung'!$C$34,B357&lt;='ZD Vorerfassung'!$D$34),HLOOKUP(TEXT(C357,"ttt"),'ZD Vorerfassung'!$H$21:$L$36,14,0),0))+
IF('ZD Vorerfassung'!$E$35="",0,IF(AND(B357&gt;='ZD Vorerfassung'!$C$35,B357&lt;='ZD Vorerfassung'!$D$35),HLOOKUP(TEXT(C357,"ttt"),'ZD Vorerfassung'!$H$21:$L$36,15,0),0))+
IF('ZD Vorerfassung'!$E$36="",0,IF(AND(B357&gt;='ZD Vorerfassung'!$C$36,B357&lt;='ZD Vorerfassung'!$D$36),HLOOKUP(TEXT(C357,"ttt"),'ZD Vorerfassung'!$H$21:$L$36,16,0),0)),"")</f>
        <v/>
      </c>
      <c r="AW357" s="110">
        <f t="array" ref="AW357">IF(OR(D357="UU",D357="FT",D357="WE"),0,
IF(D357="NR",SUM(IF(B357&gt;=_xlfn.NUMBERVALUE('ZD Vorerfassung'!$C$22:$C$36),1,0)*IF(B357&lt;=_xlfn.NUMBERVALUE('ZD Vorerfassung'!$D$22:$D$36),1,0)*'ZD Vorerfassung'!$Q$22:$Q$36),
IF(OR(D357="SF",D357="FH"),SUM(IF(B357&gt;=_xlfn.NUMBERVALUE('ZD Vorerfassung'!$C$22:$C$36),1,0)*IF(B357&lt;=_xlfn.NUMBERVALUE('ZD Vorerfassung'!$D$22:$D$36),1,0)*'ZD Vorerfassung'!$R$22:$R$36*IF(D357="FH",0.5,1)),
"prüfen")))</f>
        <v>0</v>
      </c>
      <c r="AX357" s="110">
        <f t="array" ref="AX357">IF(OR(D357="UU",D357="FT",D357="WE",E357="Ferien"),0,
IF(D357="NR",SUM(IF(B357&gt;=_xlfn.NUMBERVALUE('ZD Vorerfassung'!$C$22:$C$36),1,0)*IF(B357&lt;=_xlfn.NUMBERVALUE('ZD Vorerfassung'!$D$22:$D$36),1,0)*'ZD Vorerfassung'!$W$22:$W$36),
IF(OR(D357="SF",D357="FH"),SUM(IF(B357&gt;=_xlfn.NUMBERVALUE('ZD Vorerfassung'!$C$22:$C$36),1,0)*IF(B357&lt;=_xlfn.NUMBERVALUE('ZD Vorerfassung'!$D$22:$D$36),1,0)*'ZD Vorerfassung'!$X$22:$X$36*IF(D357="FH",0.5,1)),
"prüfen")))</f>
        <v>0</v>
      </c>
      <c r="AY357" s="110">
        <f t="array" ref="AY357">IF(OR(D357="UU",D357="FT",D357="WE",E357="Ferien"),0,
IF(D357="NR",SUM(IF(B357&gt;=_xlfn.NUMBERVALUE('ZD Vorerfassung'!$C$22:$C$36),1,0)*IF(B357&lt;=_xlfn.NUMBERVALUE('ZD Vorerfassung'!$D$22:$D$36),1,0)*'ZD Vorerfassung'!$U$22:$U$36),
IF(OR(D357="SF",D357="FH"),SUM(IF(B357&gt;=_xlfn.NUMBERVALUE('ZD Vorerfassung'!$C$22:$C$36),1,0)*IF(B357&lt;=_xlfn.NUMBERVALUE('ZD Vorerfassung'!$D$22:$D$36),1,0)*'ZD Vorerfassung'!$V$22:$V$36*IF(D357="FH",0.5,1)),
"prüfen")))</f>
        <v>0</v>
      </c>
      <c r="AZ357" s="110">
        <f t="array" ref="AZ357">IF(OR(D357="UU",D357="FT",D357="WE",E357="Ferien"),0,
IF(D357="NR",SUM(IF(B357&gt;=_xlfn.NUMBERVALUE('ZD Vorerfassung'!$C$22:$C$36),1,0)*IF(B357&lt;=_xlfn.NUMBERVALUE('ZD Vorerfassung'!$D$22:$D$36),1,0)*'ZD Vorerfassung'!$S$22:$S$36),
IF(OR(D357="SF",D357="FH"),SUM(IF(B357&gt;=_xlfn.NUMBERVALUE('ZD Vorerfassung'!$C$22:$C$36),1,0)*IF(B357&lt;=_xlfn.NUMBERVALUE('ZD Vorerfassung'!$D$22:$D$36),1,0)*'ZD Vorerfassung'!$T$22:$T$36*IF(D357="FH",0.5,1)),
"prüfen")))</f>
        <v>0</v>
      </c>
      <c r="BA357" s="112">
        <f t="shared" si="76"/>
        <v>7</v>
      </c>
    </row>
    <row r="358" spans="2:53" ht="19.5" thickTop="1" thickBot="1" x14ac:dyDescent="0.3">
      <c r="B358" s="99">
        <f t="shared" si="65"/>
        <v>45123</v>
      </c>
      <c r="C358" s="100">
        <f t="shared" si="68"/>
        <v>45123</v>
      </c>
      <c r="D358" s="101" t="str">
        <f t="shared" si="69"/>
        <v>WE</v>
      </c>
      <c r="E358" s="102" t="str">
        <f t="shared" si="66"/>
        <v>Wochenende</v>
      </c>
      <c r="F358" s="103" t="str">
        <f t="shared" si="70"/>
        <v/>
      </c>
      <c r="G358" s="104" t="str">
        <f t="shared" si="71"/>
        <v/>
      </c>
      <c r="H358" s="104">
        <f>IFERROR(IF('ZD Vorerfassung'!$E$11="manuell",SUM(I358),IF(OR(E358="Feiertag",E358="Wochenende"),0,IF('ZD Vorerfassung'!$E$11="automatisch",AX358,IF(D358="UU","UU",IF(E358=Param2,AX358/24,IF(E358=Param9,AX358/48,"")))))),0)</f>
        <v>0</v>
      </c>
      <c r="I358" s="105"/>
      <c r="J358" s="106">
        <f>IF('ZD Vorerfassung'!$E$12="manuell",SUM(K358:AI358),IF(OR(E358="Feiertag",E358="Wochenende"),0,IF('ZD Vorerfassung'!$E$12="automatisch",AY358,IF(D358="UU","UU",IF(E358=Param2,AY358/24,IF(E358=Param9,AY358/48,""))))))</f>
        <v>0</v>
      </c>
      <c r="K358" s="105"/>
      <c r="L358" s="105"/>
      <c r="M358" s="105"/>
      <c r="N358" s="105"/>
      <c r="O358" s="105"/>
      <c r="P358" s="105"/>
      <c r="Q358" s="105"/>
      <c r="R358" s="105"/>
      <c r="S358" s="105"/>
      <c r="T358" s="105"/>
      <c r="U358" s="105"/>
      <c r="V358" s="105"/>
      <c r="W358" s="105"/>
      <c r="X358" s="105"/>
      <c r="Y358" s="105"/>
      <c r="Z358" s="105"/>
      <c r="AA358" s="105"/>
      <c r="AB358" s="105"/>
      <c r="AC358" s="105"/>
      <c r="AD358" s="105"/>
      <c r="AE358" s="105"/>
      <c r="AF358" s="105"/>
      <c r="AG358" s="105"/>
      <c r="AH358" s="105"/>
      <c r="AI358" s="105"/>
      <c r="AJ358" s="107">
        <f t="shared" si="72"/>
        <v>0</v>
      </c>
      <c r="AK358" s="105"/>
      <c r="AL358" s="105"/>
      <c r="AM358" s="105"/>
      <c r="AN358" s="105"/>
      <c r="AO358" s="105"/>
      <c r="AP358" s="105"/>
      <c r="AQ358" s="108">
        <f t="shared" si="73"/>
        <v>0</v>
      </c>
      <c r="AR358" s="108">
        <f t="shared" si="74"/>
        <v>0</v>
      </c>
      <c r="AS358" s="109">
        <f t="shared" si="75"/>
        <v>0</v>
      </c>
      <c r="AU358" s="110">
        <f t="shared" si="67"/>
        <v>0</v>
      </c>
      <c r="AV358" s="111" t="str">
        <f>IF(D358="NR",
IF('ZD Vorerfassung'!$E$22="",0,IF(AND(B358&gt;='ZD Vorerfassung'!$C$22,B358&lt;='ZD Vorerfassung'!$D$22),HLOOKUP(TEXT(C358,"ttt"),'ZD Vorerfassung'!$H$21:$L$36,2,0),0))+
IF('ZD Vorerfassung'!$E$23="",0,IF(AND(B358&gt;='ZD Vorerfassung'!$C$23,B358&lt;='ZD Vorerfassung'!$D$23),HLOOKUP(TEXT(C358,"ttt"),'ZD Vorerfassung'!$H$21:$L$36,3,0),0))+
IF('ZD Vorerfassung'!$E$24="",0,IF(AND(B358&gt;='ZD Vorerfassung'!$C$24,B358&lt;='ZD Vorerfassung'!$D$24),HLOOKUP(TEXT(C358,"ttt"),'ZD Vorerfassung'!$H$21:$L$36,4,0),0))+
IF('ZD Vorerfassung'!$E$25="",0,IF(AND(B358&gt;='ZD Vorerfassung'!$C$25,B358&lt;='ZD Vorerfassung'!$D$25),HLOOKUP(TEXT(C358,"ttt"),'ZD Vorerfassung'!$H$21:$L$36,5,0),0))+
IF('ZD Vorerfassung'!$E$26="",0,IF(AND(B358&gt;='ZD Vorerfassung'!$C$26,B358&lt;='ZD Vorerfassung'!$D$26),HLOOKUP(TEXT(C358,"ttt"),'ZD Vorerfassung'!$H$21:$L$36,6,0),0))+
IF('ZD Vorerfassung'!$E$27="",0,IF(AND(B358&gt;='ZD Vorerfassung'!$C$27,B358&lt;='ZD Vorerfassung'!$D$27),HLOOKUP(TEXT(C358,"ttt"),'ZD Vorerfassung'!$H$21:$L$36,7,0),0))+
IF('ZD Vorerfassung'!$E$28="",0,IF(AND(B358&gt;='ZD Vorerfassung'!$C$28,B358&lt;='ZD Vorerfassung'!$D$28),HLOOKUP(TEXT(C358,"ttt"),'ZD Vorerfassung'!$H$21:$L$36,8,0),0))+
IF('ZD Vorerfassung'!$E$29="",0,IF(AND(B358&gt;='ZD Vorerfassung'!$C$29,B358&lt;='ZD Vorerfassung'!$D$29),HLOOKUP(TEXT(C358,"ttt"),'ZD Vorerfassung'!$H$21:$L$36,9,0),0))+
IF('ZD Vorerfassung'!$E$30="",0,IF(AND(B358&gt;='ZD Vorerfassung'!$C$30,B358&lt;='ZD Vorerfassung'!$D$30),HLOOKUP(TEXT(C358,"ttt"),'ZD Vorerfassung'!$H$21:$L$36,10,0),0))+
IF('ZD Vorerfassung'!$E$31="",0,IF(AND(B358&gt;='ZD Vorerfassung'!$C$31,B358&lt;='ZD Vorerfassung'!$D$31),HLOOKUP(TEXT(C358,"ttt"),'ZD Vorerfassung'!$H$21:$L$36,11,0),0))+
IF('ZD Vorerfassung'!$E$32="",0,IF(AND(B358&gt;='ZD Vorerfassung'!$C$32,B358&lt;='ZD Vorerfassung'!$D$32),HLOOKUP(TEXT(C358,"ttt"),'ZD Vorerfassung'!$H$21:$L$36,12,0),0))+
IF('ZD Vorerfassung'!$E$33="",0,IF(AND(B358&gt;='ZD Vorerfassung'!$C$33,B358&lt;='ZD Vorerfassung'!$D$33),HLOOKUP(TEXT(C358,"ttt"),'ZD Vorerfassung'!$H$21:$L$36,13,0),0))+
IF('ZD Vorerfassung'!$E$34="",0,IF(AND(B358&gt;='ZD Vorerfassung'!$C$34,B358&lt;='ZD Vorerfassung'!$D$34),HLOOKUP(TEXT(C358,"ttt"),'ZD Vorerfassung'!$H$21:$L$36,14,0),0))+
IF('ZD Vorerfassung'!$E$35="",0,IF(AND(B358&gt;='ZD Vorerfassung'!$C$35,B358&lt;='ZD Vorerfassung'!$D$35),HLOOKUP(TEXT(C358,"ttt"),'ZD Vorerfassung'!$H$21:$L$36,15,0),0))+
IF('ZD Vorerfassung'!$E$36="",0,IF(AND(B358&gt;='ZD Vorerfassung'!$C$36,B358&lt;='ZD Vorerfassung'!$D$36),HLOOKUP(TEXT(C358,"ttt"),'ZD Vorerfassung'!$H$21:$L$36,16,0),0)),"")</f>
        <v/>
      </c>
      <c r="AW358" s="110">
        <f t="array" ref="AW358">IF(OR(D358="UU",D358="FT",D358="WE"),0,
IF(D358="NR",SUM(IF(B358&gt;=_xlfn.NUMBERVALUE('ZD Vorerfassung'!$C$22:$C$36),1,0)*IF(B358&lt;=_xlfn.NUMBERVALUE('ZD Vorerfassung'!$D$22:$D$36),1,0)*'ZD Vorerfassung'!$Q$22:$Q$36),
IF(OR(D358="SF",D358="FH"),SUM(IF(B358&gt;=_xlfn.NUMBERVALUE('ZD Vorerfassung'!$C$22:$C$36),1,0)*IF(B358&lt;=_xlfn.NUMBERVALUE('ZD Vorerfassung'!$D$22:$D$36),1,0)*'ZD Vorerfassung'!$R$22:$R$36*IF(D358="FH",0.5,1)),
"prüfen")))</f>
        <v>0</v>
      </c>
      <c r="AX358" s="110">
        <f t="array" ref="AX358">IF(OR(D358="UU",D358="FT",D358="WE",E358="Ferien"),0,
IF(D358="NR",SUM(IF(B358&gt;=_xlfn.NUMBERVALUE('ZD Vorerfassung'!$C$22:$C$36),1,0)*IF(B358&lt;=_xlfn.NUMBERVALUE('ZD Vorerfassung'!$D$22:$D$36),1,0)*'ZD Vorerfassung'!$W$22:$W$36),
IF(OR(D358="SF",D358="FH"),SUM(IF(B358&gt;=_xlfn.NUMBERVALUE('ZD Vorerfassung'!$C$22:$C$36),1,0)*IF(B358&lt;=_xlfn.NUMBERVALUE('ZD Vorerfassung'!$D$22:$D$36),1,0)*'ZD Vorerfassung'!$X$22:$X$36*IF(D358="FH",0.5,1)),
"prüfen")))</f>
        <v>0</v>
      </c>
      <c r="AY358" s="110">
        <f t="array" ref="AY358">IF(OR(D358="UU",D358="FT",D358="WE",E358="Ferien"),0,
IF(D358="NR",SUM(IF(B358&gt;=_xlfn.NUMBERVALUE('ZD Vorerfassung'!$C$22:$C$36),1,0)*IF(B358&lt;=_xlfn.NUMBERVALUE('ZD Vorerfassung'!$D$22:$D$36),1,0)*'ZD Vorerfassung'!$U$22:$U$36),
IF(OR(D358="SF",D358="FH"),SUM(IF(B358&gt;=_xlfn.NUMBERVALUE('ZD Vorerfassung'!$C$22:$C$36),1,0)*IF(B358&lt;=_xlfn.NUMBERVALUE('ZD Vorerfassung'!$D$22:$D$36),1,0)*'ZD Vorerfassung'!$V$22:$V$36*IF(D358="FH",0.5,1)),
"prüfen")))</f>
        <v>0</v>
      </c>
      <c r="AZ358" s="110">
        <f t="array" ref="AZ358">IF(OR(D358="UU",D358="FT",D358="WE",E358="Ferien"),0,
IF(D358="NR",SUM(IF(B358&gt;=_xlfn.NUMBERVALUE('ZD Vorerfassung'!$C$22:$C$36),1,0)*IF(B358&lt;=_xlfn.NUMBERVALUE('ZD Vorerfassung'!$D$22:$D$36),1,0)*'ZD Vorerfassung'!$S$22:$S$36),
IF(OR(D358="SF",D358="FH"),SUM(IF(B358&gt;=_xlfn.NUMBERVALUE('ZD Vorerfassung'!$C$22:$C$36),1,0)*IF(B358&lt;=_xlfn.NUMBERVALUE('ZD Vorerfassung'!$D$22:$D$36),1,0)*'ZD Vorerfassung'!$T$22:$T$36*IF(D358="FH",0.5,1)),
"prüfen")))</f>
        <v>0</v>
      </c>
      <c r="BA358" s="112">
        <f t="shared" si="76"/>
        <v>7</v>
      </c>
    </row>
    <row r="359" spans="2:53" ht="19.5" thickTop="1" thickBot="1" x14ac:dyDescent="0.3">
      <c r="B359" s="99">
        <f t="shared" si="65"/>
        <v>45124</v>
      </c>
      <c r="C359" s="100">
        <f t="shared" si="68"/>
        <v>45124</v>
      </c>
      <c r="D359" s="101" t="str">
        <f t="shared" si="69"/>
        <v>WE</v>
      </c>
      <c r="E359" s="102" t="str">
        <f t="shared" si="66"/>
        <v>Wochenende</v>
      </c>
      <c r="F359" s="103" t="str">
        <f t="shared" si="70"/>
        <v/>
      </c>
      <c r="G359" s="104" t="str">
        <f t="shared" si="71"/>
        <v/>
      </c>
      <c r="H359" s="104">
        <f>IFERROR(IF('ZD Vorerfassung'!$E$11="manuell",SUM(I359),IF(OR(E359="Feiertag",E359="Wochenende"),0,IF('ZD Vorerfassung'!$E$11="automatisch",AX359,IF(D359="UU","UU",IF(E359=Param2,AX359/24,IF(E359=Param9,AX359/48,"")))))),0)</f>
        <v>0</v>
      </c>
      <c r="I359" s="105"/>
      <c r="J359" s="106">
        <f>IF('ZD Vorerfassung'!$E$12="manuell",SUM(K359:AI359),IF(OR(E359="Feiertag",E359="Wochenende"),0,IF('ZD Vorerfassung'!$E$12="automatisch",AY359,IF(D359="UU","UU",IF(E359=Param2,AY359/24,IF(E359=Param9,AY359/48,""))))))</f>
        <v>0</v>
      </c>
      <c r="K359" s="105"/>
      <c r="L359" s="105"/>
      <c r="M359" s="105"/>
      <c r="N359" s="105"/>
      <c r="O359" s="105"/>
      <c r="P359" s="105"/>
      <c r="Q359" s="105"/>
      <c r="R359" s="105"/>
      <c r="S359" s="105"/>
      <c r="T359" s="105"/>
      <c r="U359" s="105"/>
      <c r="V359" s="105"/>
      <c r="W359" s="105"/>
      <c r="X359" s="105"/>
      <c r="Y359" s="105"/>
      <c r="Z359" s="105"/>
      <c r="AA359" s="105"/>
      <c r="AB359" s="105"/>
      <c r="AC359" s="105"/>
      <c r="AD359" s="105"/>
      <c r="AE359" s="105"/>
      <c r="AF359" s="105"/>
      <c r="AG359" s="105"/>
      <c r="AH359" s="105"/>
      <c r="AI359" s="105"/>
      <c r="AJ359" s="107">
        <f t="shared" si="72"/>
        <v>0</v>
      </c>
      <c r="AK359" s="105"/>
      <c r="AL359" s="105"/>
      <c r="AM359" s="105"/>
      <c r="AN359" s="105"/>
      <c r="AO359" s="105"/>
      <c r="AP359" s="105"/>
      <c r="AQ359" s="108">
        <f t="shared" si="73"/>
        <v>0</v>
      </c>
      <c r="AR359" s="108">
        <f t="shared" si="74"/>
        <v>0</v>
      </c>
      <c r="AS359" s="109">
        <f t="shared" si="75"/>
        <v>0</v>
      </c>
      <c r="AU359" s="110">
        <f t="shared" si="67"/>
        <v>0</v>
      </c>
      <c r="AV359" s="111" t="str">
        <f>IF(D359="NR",
IF('ZD Vorerfassung'!$E$22="",0,IF(AND(B359&gt;='ZD Vorerfassung'!$C$22,B359&lt;='ZD Vorerfassung'!$D$22),HLOOKUP(TEXT(C359,"ttt"),'ZD Vorerfassung'!$H$21:$L$36,2,0),0))+
IF('ZD Vorerfassung'!$E$23="",0,IF(AND(B359&gt;='ZD Vorerfassung'!$C$23,B359&lt;='ZD Vorerfassung'!$D$23),HLOOKUP(TEXT(C359,"ttt"),'ZD Vorerfassung'!$H$21:$L$36,3,0),0))+
IF('ZD Vorerfassung'!$E$24="",0,IF(AND(B359&gt;='ZD Vorerfassung'!$C$24,B359&lt;='ZD Vorerfassung'!$D$24),HLOOKUP(TEXT(C359,"ttt"),'ZD Vorerfassung'!$H$21:$L$36,4,0),0))+
IF('ZD Vorerfassung'!$E$25="",0,IF(AND(B359&gt;='ZD Vorerfassung'!$C$25,B359&lt;='ZD Vorerfassung'!$D$25),HLOOKUP(TEXT(C359,"ttt"),'ZD Vorerfassung'!$H$21:$L$36,5,0),0))+
IF('ZD Vorerfassung'!$E$26="",0,IF(AND(B359&gt;='ZD Vorerfassung'!$C$26,B359&lt;='ZD Vorerfassung'!$D$26),HLOOKUP(TEXT(C359,"ttt"),'ZD Vorerfassung'!$H$21:$L$36,6,0),0))+
IF('ZD Vorerfassung'!$E$27="",0,IF(AND(B359&gt;='ZD Vorerfassung'!$C$27,B359&lt;='ZD Vorerfassung'!$D$27),HLOOKUP(TEXT(C359,"ttt"),'ZD Vorerfassung'!$H$21:$L$36,7,0),0))+
IF('ZD Vorerfassung'!$E$28="",0,IF(AND(B359&gt;='ZD Vorerfassung'!$C$28,B359&lt;='ZD Vorerfassung'!$D$28),HLOOKUP(TEXT(C359,"ttt"),'ZD Vorerfassung'!$H$21:$L$36,8,0),0))+
IF('ZD Vorerfassung'!$E$29="",0,IF(AND(B359&gt;='ZD Vorerfassung'!$C$29,B359&lt;='ZD Vorerfassung'!$D$29),HLOOKUP(TEXT(C359,"ttt"),'ZD Vorerfassung'!$H$21:$L$36,9,0),0))+
IF('ZD Vorerfassung'!$E$30="",0,IF(AND(B359&gt;='ZD Vorerfassung'!$C$30,B359&lt;='ZD Vorerfassung'!$D$30),HLOOKUP(TEXT(C359,"ttt"),'ZD Vorerfassung'!$H$21:$L$36,10,0),0))+
IF('ZD Vorerfassung'!$E$31="",0,IF(AND(B359&gt;='ZD Vorerfassung'!$C$31,B359&lt;='ZD Vorerfassung'!$D$31),HLOOKUP(TEXT(C359,"ttt"),'ZD Vorerfassung'!$H$21:$L$36,11,0),0))+
IF('ZD Vorerfassung'!$E$32="",0,IF(AND(B359&gt;='ZD Vorerfassung'!$C$32,B359&lt;='ZD Vorerfassung'!$D$32),HLOOKUP(TEXT(C359,"ttt"),'ZD Vorerfassung'!$H$21:$L$36,12,0),0))+
IF('ZD Vorerfassung'!$E$33="",0,IF(AND(B359&gt;='ZD Vorerfassung'!$C$33,B359&lt;='ZD Vorerfassung'!$D$33),HLOOKUP(TEXT(C359,"ttt"),'ZD Vorerfassung'!$H$21:$L$36,13,0),0))+
IF('ZD Vorerfassung'!$E$34="",0,IF(AND(B359&gt;='ZD Vorerfassung'!$C$34,B359&lt;='ZD Vorerfassung'!$D$34),HLOOKUP(TEXT(C359,"ttt"),'ZD Vorerfassung'!$H$21:$L$36,14,0),0))+
IF('ZD Vorerfassung'!$E$35="",0,IF(AND(B359&gt;='ZD Vorerfassung'!$C$35,B359&lt;='ZD Vorerfassung'!$D$35),HLOOKUP(TEXT(C359,"ttt"),'ZD Vorerfassung'!$H$21:$L$36,15,0),0))+
IF('ZD Vorerfassung'!$E$36="",0,IF(AND(B359&gt;='ZD Vorerfassung'!$C$36,B359&lt;='ZD Vorerfassung'!$D$36),HLOOKUP(TEXT(C359,"ttt"),'ZD Vorerfassung'!$H$21:$L$36,16,0),0)),"")</f>
        <v/>
      </c>
      <c r="AW359" s="110">
        <f t="array" ref="AW359">IF(OR(D359="UU",D359="FT",D359="WE"),0,
IF(D359="NR",SUM(IF(B359&gt;=_xlfn.NUMBERVALUE('ZD Vorerfassung'!$C$22:$C$36),1,0)*IF(B359&lt;=_xlfn.NUMBERVALUE('ZD Vorerfassung'!$D$22:$D$36),1,0)*'ZD Vorerfassung'!$Q$22:$Q$36),
IF(OR(D359="SF",D359="FH"),SUM(IF(B359&gt;=_xlfn.NUMBERVALUE('ZD Vorerfassung'!$C$22:$C$36),1,0)*IF(B359&lt;=_xlfn.NUMBERVALUE('ZD Vorerfassung'!$D$22:$D$36),1,0)*'ZD Vorerfassung'!$R$22:$R$36*IF(D359="FH",0.5,1)),
"prüfen")))</f>
        <v>0</v>
      </c>
      <c r="AX359" s="110">
        <f t="array" ref="AX359">IF(OR(D359="UU",D359="FT",D359="WE",E359="Ferien"),0,
IF(D359="NR",SUM(IF(B359&gt;=_xlfn.NUMBERVALUE('ZD Vorerfassung'!$C$22:$C$36),1,0)*IF(B359&lt;=_xlfn.NUMBERVALUE('ZD Vorerfassung'!$D$22:$D$36),1,0)*'ZD Vorerfassung'!$W$22:$W$36),
IF(OR(D359="SF",D359="FH"),SUM(IF(B359&gt;=_xlfn.NUMBERVALUE('ZD Vorerfassung'!$C$22:$C$36),1,0)*IF(B359&lt;=_xlfn.NUMBERVALUE('ZD Vorerfassung'!$D$22:$D$36),1,0)*'ZD Vorerfassung'!$X$22:$X$36*IF(D359="FH",0.5,1)),
"prüfen")))</f>
        <v>0</v>
      </c>
      <c r="AY359" s="110">
        <f t="array" ref="AY359">IF(OR(D359="UU",D359="FT",D359="WE",E359="Ferien"),0,
IF(D359="NR",SUM(IF(B359&gt;=_xlfn.NUMBERVALUE('ZD Vorerfassung'!$C$22:$C$36),1,0)*IF(B359&lt;=_xlfn.NUMBERVALUE('ZD Vorerfassung'!$D$22:$D$36),1,0)*'ZD Vorerfassung'!$U$22:$U$36),
IF(OR(D359="SF",D359="FH"),SUM(IF(B359&gt;=_xlfn.NUMBERVALUE('ZD Vorerfassung'!$C$22:$C$36),1,0)*IF(B359&lt;=_xlfn.NUMBERVALUE('ZD Vorerfassung'!$D$22:$D$36),1,0)*'ZD Vorerfassung'!$V$22:$V$36*IF(D359="FH",0.5,1)),
"prüfen")))</f>
        <v>0</v>
      </c>
      <c r="AZ359" s="110">
        <f t="array" ref="AZ359">IF(OR(D359="UU",D359="FT",D359="WE",E359="Ferien"),0,
IF(D359="NR",SUM(IF(B359&gt;=_xlfn.NUMBERVALUE('ZD Vorerfassung'!$C$22:$C$36),1,0)*IF(B359&lt;=_xlfn.NUMBERVALUE('ZD Vorerfassung'!$D$22:$D$36),1,0)*'ZD Vorerfassung'!$S$22:$S$36),
IF(OR(D359="SF",D359="FH"),SUM(IF(B359&gt;=_xlfn.NUMBERVALUE('ZD Vorerfassung'!$C$22:$C$36),1,0)*IF(B359&lt;=_xlfn.NUMBERVALUE('ZD Vorerfassung'!$D$22:$D$36),1,0)*'ZD Vorerfassung'!$T$22:$T$36*IF(D359="FH",0.5,1)),
"prüfen")))</f>
        <v>0</v>
      </c>
      <c r="BA359" s="112">
        <f t="shared" si="76"/>
        <v>7</v>
      </c>
    </row>
    <row r="360" spans="2:53" ht="19.5" thickTop="1" thickBot="1" x14ac:dyDescent="0.3">
      <c r="B360" s="99">
        <f t="shared" si="65"/>
        <v>45125</v>
      </c>
      <c r="C360" s="100">
        <f t="shared" si="68"/>
        <v>45125</v>
      </c>
      <c r="D360" s="101" t="str">
        <f t="shared" si="69"/>
        <v>SF</v>
      </c>
      <c r="E360" s="102" t="str">
        <f t="shared" si="66"/>
        <v>unterrichtsfreie Arbeitszeit</v>
      </c>
      <c r="F360" s="103" t="str">
        <f t="shared" si="70"/>
        <v/>
      </c>
      <c r="G360" s="104" t="str">
        <f t="shared" si="71"/>
        <v/>
      </c>
      <c r="H360" s="104">
        <f>IFERROR(IF('ZD Vorerfassung'!$E$11="manuell",SUM(I360),IF(OR(E360="Feiertag",E360="Wochenende"),0,IF('ZD Vorerfassung'!$E$11="automatisch",AX360,IF(D360="UU","UU",IF(E360=Param2,AX360/24,IF(E360=Param9,AX360/48,"")))))),0)</f>
        <v>0</v>
      </c>
      <c r="I360" s="105"/>
      <c r="J360" s="106">
        <f>IF('ZD Vorerfassung'!$E$12="manuell",SUM(K360:AI360),IF(OR(E360="Feiertag",E360="Wochenende"),0,IF('ZD Vorerfassung'!$E$12="automatisch",AY360,IF(D360="UU","UU",IF(E360=Param2,AY360/24,IF(E360=Param9,AY360/48,""))))))</f>
        <v>0</v>
      </c>
      <c r="K360" s="105"/>
      <c r="L360" s="105"/>
      <c r="M360" s="105"/>
      <c r="N360" s="105"/>
      <c r="O360" s="105"/>
      <c r="P360" s="105"/>
      <c r="Q360" s="105"/>
      <c r="R360" s="105"/>
      <c r="S360" s="105"/>
      <c r="T360" s="105"/>
      <c r="U360" s="105"/>
      <c r="V360" s="105"/>
      <c r="W360" s="105"/>
      <c r="X360" s="105"/>
      <c r="Y360" s="105"/>
      <c r="Z360" s="105"/>
      <c r="AA360" s="105"/>
      <c r="AB360" s="105"/>
      <c r="AC360" s="105"/>
      <c r="AD360" s="105"/>
      <c r="AE360" s="105"/>
      <c r="AF360" s="105"/>
      <c r="AG360" s="105"/>
      <c r="AH360" s="105"/>
      <c r="AI360" s="105"/>
      <c r="AJ360" s="107">
        <f t="shared" si="72"/>
        <v>0</v>
      </c>
      <c r="AK360" s="105"/>
      <c r="AL360" s="105"/>
      <c r="AM360" s="105"/>
      <c r="AN360" s="105"/>
      <c r="AO360" s="105"/>
      <c r="AP360" s="105"/>
      <c r="AQ360" s="108">
        <f t="shared" si="73"/>
        <v>0</v>
      </c>
      <c r="AR360" s="108">
        <f t="shared" si="74"/>
        <v>0</v>
      </c>
      <c r="AS360" s="109">
        <f t="shared" si="75"/>
        <v>0</v>
      </c>
      <c r="AU360" s="110">
        <f t="shared" si="67"/>
        <v>0</v>
      </c>
      <c r="AV360" s="111" t="str">
        <f>IF(D360="NR",
IF('ZD Vorerfassung'!$E$22="",0,IF(AND(B360&gt;='ZD Vorerfassung'!$C$22,B360&lt;='ZD Vorerfassung'!$D$22),HLOOKUP(TEXT(C360,"ttt"),'ZD Vorerfassung'!$H$21:$L$36,2,0),0))+
IF('ZD Vorerfassung'!$E$23="",0,IF(AND(B360&gt;='ZD Vorerfassung'!$C$23,B360&lt;='ZD Vorerfassung'!$D$23),HLOOKUP(TEXT(C360,"ttt"),'ZD Vorerfassung'!$H$21:$L$36,3,0),0))+
IF('ZD Vorerfassung'!$E$24="",0,IF(AND(B360&gt;='ZD Vorerfassung'!$C$24,B360&lt;='ZD Vorerfassung'!$D$24),HLOOKUP(TEXT(C360,"ttt"),'ZD Vorerfassung'!$H$21:$L$36,4,0),0))+
IF('ZD Vorerfassung'!$E$25="",0,IF(AND(B360&gt;='ZD Vorerfassung'!$C$25,B360&lt;='ZD Vorerfassung'!$D$25),HLOOKUP(TEXT(C360,"ttt"),'ZD Vorerfassung'!$H$21:$L$36,5,0),0))+
IF('ZD Vorerfassung'!$E$26="",0,IF(AND(B360&gt;='ZD Vorerfassung'!$C$26,B360&lt;='ZD Vorerfassung'!$D$26),HLOOKUP(TEXT(C360,"ttt"),'ZD Vorerfassung'!$H$21:$L$36,6,0),0))+
IF('ZD Vorerfassung'!$E$27="",0,IF(AND(B360&gt;='ZD Vorerfassung'!$C$27,B360&lt;='ZD Vorerfassung'!$D$27),HLOOKUP(TEXT(C360,"ttt"),'ZD Vorerfassung'!$H$21:$L$36,7,0),0))+
IF('ZD Vorerfassung'!$E$28="",0,IF(AND(B360&gt;='ZD Vorerfassung'!$C$28,B360&lt;='ZD Vorerfassung'!$D$28),HLOOKUP(TEXT(C360,"ttt"),'ZD Vorerfassung'!$H$21:$L$36,8,0),0))+
IF('ZD Vorerfassung'!$E$29="",0,IF(AND(B360&gt;='ZD Vorerfassung'!$C$29,B360&lt;='ZD Vorerfassung'!$D$29),HLOOKUP(TEXT(C360,"ttt"),'ZD Vorerfassung'!$H$21:$L$36,9,0),0))+
IF('ZD Vorerfassung'!$E$30="",0,IF(AND(B360&gt;='ZD Vorerfassung'!$C$30,B360&lt;='ZD Vorerfassung'!$D$30),HLOOKUP(TEXT(C360,"ttt"),'ZD Vorerfassung'!$H$21:$L$36,10,0),0))+
IF('ZD Vorerfassung'!$E$31="",0,IF(AND(B360&gt;='ZD Vorerfassung'!$C$31,B360&lt;='ZD Vorerfassung'!$D$31),HLOOKUP(TEXT(C360,"ttt"),'ZD Vorerfassung'!$H$21:$L$36,11,0),0))+
IF('ZD Vorerfassung'!$E$32="",0,IF(AND(B360&gt;='ZD Vorerfassung'!$C$32,B360&lt;='ZD Vorerfassung'!$D$32),HLOOKUP(TEXT(C360,"ttt"),'ZD Vorerfassung'!$H$21:$L$36,12,0),0))+
IF('ZD Vorerfassung'!$E$33="",0,IF(AND(B360&gt;='ZD Vorerfassung'!$C$33,B360&lt;='ZD Vorerfassung'!$D$33),HLOOKUP(TEXT(C360,"ttt"),'ZD Vorerfassung'!$H$21:$L$36,13,0),0))+
IF('ZD Vorerfassung'!$E$34="",0,IF(AND(B360&gt;='ZD Vorerfassung'!$C$34,B360&lt;='ZD Vorerfassung'!$D$34),HLOOKUP(TEXT(C360,"ttt"),'ZD Vorerfassung'!$H$21:$L$36,14,0),0))+
IF('ZD Vorerfassung'!$E$35="",0,IF(AND(B360&gt;='ZD Vorerfassung'!$C$35,B360&lt;='ZD Vorerfassung'!$D$35),HLOOKUP(TEXT(C360,"ttt"),'ZD Vorerfassung'!$H$21:$L$36,15,0),0))+
IF('ZD Vorerfassung'!$E$36="",0,IF(AND(B360&gt;='ZD Vorerfassung'!$C$36,B360&lt;='ZD Vorerfassung'!$D$36),HLOOKUP(TEXT(C360,"ttt"),'ZD Vorerfassung'!$H$21:$L$36,16,0),0)),"")</f>
        <v/>
      </c>
      <c r="AW360" s="110">
        <f t="array" ref="AW360">IF(OR(D360="UU",D360="FT",D360="WE"),0,
IF(D360="NR",SUM(IF(B360&gt;=_xlfn.NUMBERVALUE('ZD Vorerfassung'!$C$22:$C$36),1,0)*IF(B360&lt;=_xlfn.NUMBERVALUE('ZD Vorerfassung'!$D$22:$D$36),1,0)*'ZD Vorerfassung'!$Q$22:$Q$36),
IF(OR(D360="SF",D360="FH"),SUM(IF(B360&gt;=_xlfn.NUMBERVALUE('ZD Vorerfassung'!$C$22:$C$36),1,0)*IF(B360&lt;=_xlfn.NUMBERVALUE('ZD Vorerfassung'!$D$22:$D$36),1,0)*'ZD Vorerfassung'!$R$22:$R$36*IF(D360="FH",0.5,1)),
"prüfen")))</f>
        <v>0</v>
      </c>
      <c r="AX360" s="110">
        <f t="array" ref="AX360">IF(OR(D360="UU",D360="FT",D360="WE",E360="Ferien"),0,
IF(D360="NR",SUM(IF(B360&gt;=_xlfn.NUMBERVALUE('ZD Vorerfassung'!$C$22:$C$36),1,0)*IF(B360&lt;=_xlfn.NUMBERVALUE('ZD Vorerfassung'!$D$22:$D$36),1,0)*'ZD Vorerfassung'!$W$22:$W$36),
IF(OR(D360="SF",D360="FH"),SUM(IF(B360&gt;=_xlfn.NUMBERVALUE('ZD Vorerfassung'!$C$22:$C$36),1,0)*IF(B360&lt;=_xlfn.NUMBERVALUE('ZD Vorerfassung'!$D$22:$D$36),1,0)*'ZD Vorerfassung'!$X$22:$X$36*IF(D360="FH",0.5,1)),
"prüfen")))</f>
        <v>0</v>
      </c>
      <c r="AY360" s="110">
        <f t="array" ref="AY360">IF(OR(D360="UU",D360="FT",D360="WE",E360="Ferien"),0,
IF(D360="NR",SUM(IF(B360&gt;=_xlfn.NUMBERVALUE('ZD Vorerfassung'!$C$22:$C$36),1,0)*IF(B360&lt;=_xlfn.NUMBERVALUE('ZD Vorerfassung'!$D$22:$D$36),1,0)*'ZD Vorerfassung'!$U$22:$U$36),
IF(OR(D360="SF",D360="FH"),SUM(IF(B360&gt;=_xlfn.NUMBERVALUE('ZD Vorerfassung'!$C$22:$C$36),1,0)*IF(B360&lt;=_xlfn.NUMBERVALUE('ZD Vorerfassung'!$D$22:$D$36),1,0)*'ZD Vorerfassung'!$V$22:$V$36*IF(D360="FH",0.5,1)),
"prüfen")))</f>
        <v>0</v>
      </c>
      <c r="AZ360" s="110">
        <f t="array" ref="AZ360">IF(OR(D360="UU",D360="FT",D360="WE",E360="Ferien"),0,
IF(D360="NR",SUM(IF(B360&gt;=_xlfn.NUMBERVALUE('ZD Vorerfassung'!$C$22:$C$36),1,0)*IF(B360&lt;=_xlfn.NUMBERVALUE('ZD Vorerfassung'!$D$22:$D$36),1,0)*'ZD Vorerfassung'!$S$22:$S$36),
IF(OR(D360="SF",D360="FH"),SUM(IF(B360&gt;=_xlfn.NUMBERVALUE('ZD Vorerfassung'!$C$22:$C$36),1,0)*IF(B360&lt;=_xlfn.NUMBERVALUE('ZD Vorerfassung'!$D$22:$D$36),1,0)*'ZD Vorerfassung'!$T$22:$T$36*IF(D360="FH",0.5,1)),
"prüfen")))</f>
        <v>0</v>
      </c>
      <c r="BA360" s="112">
        <f t="shared" si="76"/>
        <v>7</v>
      </c>
    </row>
    <row r="361" spans="2:53" ht="19.5" thickTop="1" thickBot="1" x14ac:dyDescent="0.3">
      <c r="B361" s="99">
        <f t="shared" si="65"/>
        <v>45126</v>
      </c>
      <c r="C361" s="100">
        <f t="shared" si="68"/>
        <v>45126</v>
      </c>
      <c r="D361" s="101" t="str">
        <f t="shared" si="69"/>
        <v>SF</v>
      </c>
      <c r="E361" s="102" t="str">
        <f t="shared" si="66"/>
        <v>unterrichtsfreie Arbeitszeit</v>
      </c>
      <c r="F361" s="103" t="str">
        <f t="shared" si="70"/>
        <v/>
      </c>
      <c r="G361" s="104" t="str">
        <f t="shared" si="71"/>
        <v/>
      </c>
      <c r="H361" s="104">
        <f>IFERROR(IF('ZD Vorerfassung'!$E$11="manuell",SUM(I361),IF(OR(E361="Feiertag",E361="Wochenende"),0,IF('ZD Vorerfassung'!$E$11="automatisch",AX361,IF(D361="UU","UU",IF(E361=Param2,AX361/24,IF(E361=Param9,AX361/48,"")))))),0)</f>
        <v>0</v>
      </c>
      <c r="I361" s="105"/>
      <c r="J361" s="106">
        <f>IF('ZD Vorerfassung'!$E$12="manuell",SUM(K361:AI361),IF(OR(E361="Feiertag",E361="Wochenende"),0,IF('ZD Vorerfassung'!$E$12="automatisch",AY361,IF(D361="UU","UU",IF(E361=Param2,AY361/24,IF(E361=Param9,AY361/48,""))))))</f>
        <v>0</v>
      </c>
      <c r="K361" s="105"/>
      <c r="L361" s="105"/>
      <c r="M361" s="105"/>
      <c r="N361" s="105"/>
      <c r="O361" s="105"/>
      <c r="P361" s="105"/>
      <c r="Q361" s="105"/>
      <c r="R361" s="105"/>
      <c r="S361" s="105"/>
      <c r="T361" s="105"/>
      <c r="U361" s="105"/>
      <c r="V361" s="105"/>
      <c r="W361" s="105"/>
      <c r="X361" s="105"/>
      <c r="Y361" s="105"/>
      <c r="Z361" s="105"/>
      <c r="AA361" s="105"/>
      <c r="AB361" s="105"/>
      <c r="AC361" s="105"/>
      <c r="AD361" s="105"/>
      <c r="AE361" s="105"/>
      <c r="AF361" s="105"/>
      <c r="AG361" s="105"/>
      <c r="AH361" s="105"/>
      <c r="AI361" s="105"/>
      <c r="AJ361" s="107">
        <f t="shared" si="72"/>
        <v>0</v>
      </c>
      <c r="AK361" s="105"/>
      <c r="AL361" s="105"/>
      <c r="AM361" s="105"/>
      <c r="AN361" s="105"/>
      <c r="AO361" s="105"/>
      <c r="AP361" s="105"/>
      <c r="AQ361" s="108">
        <f t="shared" si="73"/>
        <v>0</v>
      </c>
      <c r="AR361" s="108">
        <f t="shared" si="74"/>
        <v>0</v>
      </c>
      <c r="AS361" s="109">
        <f t="shared" si="75"/>
        <v>0</v>
      </c>
      <c r="AU361" s="110">
        <f t="shared" si="67"/>
        <v>0</v>
      </c>
      <c r="AV361" s="111" t="str">
        <f>IF(D361="NR",
IF('ZD Vorerfassung'!$E$22="",0,IF(AND(B361&gt;='ZD Vorerfassung'!$C$22,B361&lt;='ZD Vorerfassung'!$D$22),HLOOKUP(TEXT(C361,"ttt"),'ZD Vorerfassung'!$H$21:$L$36,2,0),0))+
IF('ZD Vorerfassung'!$E$23="",0,IF(AND(B361&gt;='ZD Vorerfassung'!$C$23,B361&lt;='ZD Vorerfassung'!$D$23),HLOOKUP(TEXT(C361,"ttt"),'ZD Vorerfassung'!$H$21:$L$36,3,0),0))+
IF('ZD Vorerfassung'!$E$24="",0,IF(AND(B361&gt;='ZD Vorerfassung'!$C$24,B361&lt;='ZD Vorerfassung'!$D$24),HLOOKUP(TEXT(C361,"ttt"),'ZD Vorerfassung'!$H$21:$L$36,4,0),0))+
IF('ZD Vorerfassung'!$E$25="",0,IF(AND(B361&gt;='ZD Vorerfassung'!$C$25,B361&lt;='ZD Vorerfassung'!$D$25),HLOOKUP(TEXT(C361,"ttt"),'ZD Vorerfassung'!$H$21:$L$36,5,0),0))+
IF('ZD Vorerfassung'!$E$26="",0,IF(AND(B361&gt;='ZD Vorerfassung'!$C$26,B361&lt;='ZD Vorerfassung'!$D$26),HLOOKUP(TEXT(C361,"ttt"),'ZD Vorerfassung'!$H$21:$L$36,6,0),0))+
IF('ZD Vorerfassung'!$E$27="",0,IF(AND(B361&gt;='ZD Vorerfassung'!$C$27,B361&lt;='ZD Vorerfassung'!$D$27),HLOOKUP(TEXT(C361,"ttt"),'ZD Vorerfassung'!$H$21:$L$36,7,0),0))+
IF('ZD Vorerfassung'!$E$28="",0,IF(AND(B361&gt;='ZD Vorerfassung'!$C$28,B361&lt;='ZD Vorerfassung'!$D$28),HLOOKUP(TEXT(C361,"ttt"),'ZD Vorerfassung'!$H$21:$L$36,8,0),0))+
IF('ZD Vorerfassung'!$E$29="",0,IF(AND(B361&gt;='ZD Vorerfassung'!$C$29,B361&lt;='ZD Vorerfassung'!$D$29),HLOOKUP(TEXT(C361,"ttt"),'ZD Vorerfassung'!$H$21:$L$36,9,0),0))+
IF('ZD Vorerfassung'!$E$30="",0,IF(AND(B361&gt;='ZD Vorerfassung'!$C$30,B361&lt;='ZD Vorerfassung'!$D$30),HLOOKUP(TEXT(C361,"ttt"),'ZD Vorerfassung'!$H$21:$L$36,10,0),0))+
IF('ZD Vorerfassung'!$E$31="",0,IF(AND(B361&gt;='ZD Vorerfassung'!$C$31,B361&lt;='ZD Vorerfassung'!$D$31),HLOOKUP(TEXT(C361,"ttt"),'ZD Vorerfassung'!$H$21:$L$36,11,0),0))+
IF('ZD Vorerfassung'!$E$32="",0,IF(AND(B361&gt;='ZD Vorerfassung'!$C$32,B361&lt;='ZD Vorerfassung'!$D$32),HLOOKUP(TEXT(C361,"ttt"),'ZD Vorerfassung'!$H$21:$L$36,12,0),0))+
IF('ZD Vorerfassung'!$E$33="",0,IF(AND(B361&gt;='ZD Vorerfassung'!$C$33,B361&lt;='ZD Vorerfassung'!$D$33),HLOOKUP(TEXT(C361,"ttt"),'ZD Vorerfassung'!$H$21:$L$36,13,0),0))+
IF('ZD Vorerfassung'!$E$34="",0,IF(AND(B361&gt;='ZD Vorerfassung'!$C$34,B361&lt;='ZD Vorerfassung'!$D$34),HLOOKUP(TEXT(C361,"ttt"),'ZD Vorerfassung'!$H$21:$L$36,14,0),0))+
IF('ZD Vorerfassung'!$E$35="",0,IF(AND(B361&gt;='ZD Vorerfassung'!$C$35,B361&lt;='ZD Vorerfassung'!$D$35),HLOOKUP(TEXT(C361,"ttt"),'ZD Vorerfassung'!$H$21:$L$36,15,0),0))+
IF('ZD Vorerfassung'!$E$36="",0,IF(AND(B361&gt;='ZD Vorerfassung'!$C$36,B361&lt;='ZD Vorerfassung'!$D$36),HLOOKUP(TEXT(C361,"ttt"),'ZD Vorerfassung'!$H$21:$L$36,16,0),0)),"")</f>
        <v/>
      </c>
      <c r="AW361" s="110">
        <f t="array" ref="AW361">IF(OR(D361="UU",D361="FT",D361="WE"),0,
IF(D361="NR",SUM(IF(B361&gt;=_xlfn.NUMBERVALUE('ZD Vorerfassung'!$C$22:$C$36),1,0)*IF(B361&lt;=_xlfn.NUMBERVALUE('ZD Vorerfassung'!$D$22:$D$36),1,0)*'ZD Vorerfassung'!$Q$22:$Q$36),
IF(OR(D361="SF",D361="FH"),SUM(IF(B361&gt;=_xlfn.NUMBERVALUE('ZD Vorerfassung'!$C$22:$C$36),1,0)*IF(B361&lt;=_xlfn.NUMBERVALUE('ZD Vorerfassung'!$D$22:$D$36),1,0)*'ZD Vorerfassung'!$R$22:$R$36*IF(D361="FH",0.5,1)),
"prüfen")))</f>
        <v>0</v>
      </c>
      <c r="AX361" s="110">
        <f t="array" ref="AX361">IF(OR(D361="UU",D361="FT",D361="WE",E361="Ferien"),0,
IF(D361="NR",SUM(IF(B361&gt;=_xlfn.NUMBERVALUE('ZD Vorerfassung'!$C$22:$C$36),1,0)*IF(B361&lt;=_xlfn.NUMBERVALUE('ZD Vorerfassung'!$D$22:$D$36),1,0)*'ZD Vorerfassung'!$W$22:$W$36),
IF(OR(D361="SF",D361="FH"),SUM(IF(B361&gt;=_xlfn.NUMBERVALUE('ZD Vorerfassung'!$C$22:$C$36),1,0)*IF(B361&lt;=_xlfn.NUMBERVALUE('ZD Vorerfassung'!$D$22:$D$36),1,0)*'ZD Vorerfassung'!$X$22:$X$36*IF(D361="FH",0.5,1)),
"prüfen")))</f>
        <v>0</v>
      </c>
      <c r="AY361" s="110">
        <f t="array" ref="AY361">IF(OR(D361="UU",D361="FT",D361="WE",E361="Ferien"),0,
IF(D361="NR",SUM(IF(B361&gt;=_xlfn.NUMBERVALUE('ZD Vorerfassung'!$C$22:$C$36),1,0)*IF(B361&lt;=_xlfn.NUMBERVALUE('ZD Vorerfassung'!$D$22:$D$36),1,0)*'ZD Vorerfassung'!$U$22:$U$36),
IF(OR(D361="SF",D361="FH"),SUM(IF(B361&gt;=_xlfn.NUMBERVALUE('ZD Vorerfassung'!$C$22:$C$36),1,0)*IF(B361&lt;=_xlfn.NUMBERVALUE('ZD Vorerfassung'!$D$22:$D$36),1,0)*'ZD Vorerfassung'!$V$22:$V$36*IF(D361="FH",0.5,1)),
"prüfen")))</f>
        <v>0</v>
      </c>
      <c r="AZ361" s="110">
        <f t="array" ref="AZ361">IF(OR(D361="UU",D361="FT",D361="WE",E361="Ferien"),0,
IF(D361="NR",SUM(IF(B361&gt;=_xlfn.NUMBERVALUE('ZD Vorerfassung'!$C$22:$C$36),1,0)*IF(B361&lt;=_xlfn.NUMBERVALUE('ZD Vorerfassung'!$D$22:$D$36),1,0)*'ZD Vorerfassung'!$S$22:$S$36),
IF(OR(D361="SF",D361="FH"),SUM(IF(B361&gt;=_xlfn.NUMBERVALUE('ZD Vorerfassung'!$C$22:$C$36),1,0)*IF(B361&lt;=_xlfn.NUMBERVALUE('ZD Vorerfassung'!$D$22:$D$36),1,0)*'ZD Vorerfassung'!$T$22:$T$36*IF(D361="FH",0.5,1)),
"prüfen")))</f>
        <v>0</v>
      </c>
      <c r="BA361" s="112">
        <f t="shared" si="76"/>
        <v>7</v>
      </c>
    </row>
    <row r="362" spans="2:53" ht="19.5" thickTop="1" thickBot="1" x14ac:dyDescent="0.3">
      <c r="B362" s="99">
        <f t="shared" si="65"/>
        <v>45127</v>
      </c>
      <c r="C362" s="100">
        <f t="shared" si="68"/>
        <v>45127</v>
      </c>
      <c r="D362" s="101" t="str">
        <f t="shared" si="69"/>
        <v>SF</v>
      </c>
      <c r="E362" s="102" t="str">
        <f t="shared" si="66"/>
        <v>unterrichtsfreie Arbeitszeit</v>
      </c>
      <c r="F362" s="103" t="str">
        <f t="shared" si="70"/>
        <v/>
      </c>
      <c r="G362" s="104" t="str">
        <f t="shared" si="71"/>
        <v/>
      </c>
      <c r="H362" s="104">
        <f>IFERROR(IF('ZD Vorerfassung'!$E$11="manuell",SUM(I362),IF(OR(E362="Feiertag",E362="Wochenende"),0,IF('ZD Vorerfassung'!$E$11="automatisch",AX362,IF(D362="UU","UU",IF(E362=Param2,AX362/24,IF(E362=Param9,AX362/48,"")))))),0)</f>
        <v>0</v>
      </c>
      <c r="I362" s="105"/>
      <c r="J362" s="106">
        <f>IF('ZD Vorerfassung'!$E$12="manuell",SUM(K362:AI362),IF(OR(E362="Feiertag",E362="Wochenende"),0,IF('ZD Vorerfassung'!$E$12="automatisch",AY362,IF(D362="UU","UU",IF(E362=Param2,AY362/24,IF(E362=Param9,AY362/48,""))))))</f>
        <v>0</v>
      </c>
      <c r="K362" s="105"/>
      <c r="L362" s="105"/>
      <c r="M362" s="105"/>
      <c r="N362" s="105"/>
      <c r="O362" s="105"/>
      <c r="P362" s="105"/>
      <c r="Q362" s="105"/>
      <c r="R362" s="105"/>
      <c r="S362" s="105"/>
      <c r="T362" s="105"/>
      <c r="U362" s="105"/>
      <c r="V362" s="105"/>
      <c r="W362" s="105"/>
      <c r="X362" s="105"/>
      <c r="Y362" s="105"/>
      <c r="Z362" s="105"/>
      <c r="AA362" s="105"/>
      <c r="AB362" s="105"/>
      <c r="AC362" s="105"/>
      <c r="AD362" s="105"/>
      <c r="AE362" s="105"/>
      <c r="AF362" s="105"/>
      <c r="AG362" s="105"/>
      <c r="AH362" s="105"/>
      <c r="AI362" s="105"/>
      <c r="AJ362" s="107">
        <f t="shared" si="72"/>
        <v>0</v>
      </c>
      <c r="AK362" s="105"/>
      <c r="AL362" s="105"/>
      <c r="AM362" s="105"/>
      <c r="AN362" s="105"/>
      <c r="AO362" s="105"/>
      <c r="AP362" s="105"/>
      <c r="AQ362" s="108">
        <f t="shared" si="73"/>
        <v>0</v>
      </c>
      <c r="AR362" s="108">
        <f t="shared" si="74"/>
        <v>0</v>
      </c>
      <c r="AS362" s="109">
        <f t="shared" si="75"/>
        <v>0</v>
      </c>
      <c r="AU362" s="110">
        <f t="shared" si="67"/>
        <v>0</v>
      </c>
      <c r="AV362" s="111" t="str">
        <f>IF(D362="NR",
IF('ZD Vorerfassung'!$E$22="",0,IF(AND(B362&gt;='ZD Vorerfassung'!$C$22,B362&lt;='ZD Vorerfassung'!$D$22),HLOOKUP(TEXT(C362,"ttt"),'ZD Vorerfassung'!$H$21:$L$36,2,0),0))+
IF('ZD Vorerfassung'!$E$23="",0,IF(AND(B362&gt;='ZD Vorerfassung'!$C$23,B362&lt;='ZD Vorerfassung'!$D$23),HLOOKUP(TEXT(C362,"ttt"),'ZD Vorerfassung'!$H$21:$L$36,3,0),0))+
IF('ZD Vorerfassung'!$E$24="",0,IF(AND(B362&gt;='ZD Vorerfassung'!$C$24,B362&lt;='ZD Vorerfassung'!$D$24),HLOOKUP(TEXT(C362,"ttt"),'ZD Vorerfassung'!$H$21:$L$36,4,0),0))+
IF('ZD Vorerfassung'!$E$25="",0,IF(AND(B362&gt;='ZD Vorerfassung'!$C$25,B362&lt;='ZD Vorerfassung'!$D$25),HLOOKUP(TEXT(C362,"ttt"),'ZD Vorerfassung'!$H$21:$L$36,5,0),0))+
IF('ZD Vorerfassung'!$E$26="",0,IF(AND(B362&gt;='ZD Vorerfassung'!$C$26,B362&lt;='ZD Vorerfassung'!$D$26),HLOOKUP(TEXT(C362,"ttt"),'ZD Vorerfassung'!$H$21:$L$36,6,0),0))+
IF('ZD Vorerfassung'!$E$27="",0,IF(AND(B362&gt;='ZD Vorerfassung'!$C$27,B362&lt;='ZD Vorerfassung'!$D$27),HLOOKUP(TEXT(C362,"ttt"),'ZD Vorerfassung'!$H$21:$L$36,7,0),0))+
IF('ZD Vorerfassung'!$E$28="",0,IF(AND(B362&gt;='ZD Vorerfassung'!$C$28,B362&lt;='ZD Vorerfassung'!$D$28),HLOOKUP(TEXT(C362,"ttt"),'ZD Vorerfassung'!$H$21:$L$36,8,0),0))+
IF('ZD Vorerfassung'!$E$29="",0,IF(AND(B362&gt;='ZD Vorerfassung'!$C$29,B362&lt;='ZD Vorerfassung'!$D$29),HLOOKUP(TEXT(C362,"ttt"),'ZD Vorerfassung'!$H$21:$L$36,9,0),0))+
IF('ZD Vorerfassung'!$E$30="",0,IF(AND(B362&gt;='ZD Vorerfassung'!$C$30,B362&lt;='ZD Vorerfassung'!$D$30),HLOOKUP(TEXT(C362,"ttt"),'ZD Vorerfassung'!$H$21:$L$36,10,0),0))+
IF('ZD Vorerfassung'!$E$31="",0,IF(AND(B362&gt;='ZD Vorerfassung'!$C$31,B362&lt;='ZD Vorerfassung'!$D$31),HLOOKUP(TEXT(C362,"ttt"),'ZD Vorerfassung'!$H$21:$L$36,11,0),0))+
IF('ZD Vorerfassung'!$E$32="",0,IF(AND(B362&gt;='ZD Vorerfassung'!$C$32,B362&lt;='ZD Vorerfassung'!$D$32),HLOOKUP(TEXT(C362,"ttt"),'ZD Vorerfassung'!$H$21:$L$36,12,0),0))+
IF('ZD Vorerfassung'!$E$33="",0,IF(AND(B362&gt;='ZD Vorerfassung'!$C$33,B362&lt;='ZD Vorerfassung'!$D$33),HLOOKUP(TEXT(C362,"ttt"),'ZD Vorerfassung'!$H$21:$L$36,13,0),0))+
IF('ZD Vorerfassung'!$E$34="",0,IF(AND(B362&gt;='ZD Vorerfassung'!$C$34,B362&lt;='ZD Vorerfassung'!$D$34),HLOOKUP(TEXT(C362,"ttt"),'ZD Vorerfassung'!$H$21:$L$36,14,0),0))+
IF('ZD Vorerfassung'!$E$35="",0,IF(AND(B362&gt;='ZD Vorerfassung'!$C$35,B362&lt;='ZD Vorerfassung'!$D$35),HLOOKUP(TEXT(C362,"ttt"),'ZD Vorerfassung'!$H$21:$L$36,15,0),0))+
IF('ZD Vorerfassung'!$E$36="",0,IF(AND(B362&gt;='ZD Vorerfassung'!$C$36,B362&lt;='ZD Vorerfassung'!$D$36),HLOOKUP(TEXT(C362,"ttt"),'ZD Vorerfassung'!$H$21:$L$36,16,0),0)),"")</f>
        <v/>
      </c>
      <c r="AW362" s="110">
        <f t="array" ref="AW362">IF(OR(D362="UU",D362="FT",D362="WE"),0,
IF(D362="NR",SUM(IF(B362&gt;=_xlfn.NUMBERVALUE('ZD Vorerfassung'!$C$22:$C$36),1,0)*IF(B362&lt;=_xlfn.NUMBERVALUE('ZD Vorerfassung'!$D$22:$D$36),1,0)*'ZD Vorerfassung'!$Q$22:$Q$36),
IF(OR(D362="SF",D362="FH"),SUM(IF(B362&gt;=_xlfn.NUMBERVALUE('ZD Vorerfassung'!$C$22:$C$36),1,0)*IF(B362&lt;=_xlfn.NUMBERVALUE('ZD Vorerfassung'!$D$22:$D$36),1,0)*'ZD Vorerfassung'!$R$22:$R$36*IF(D362="FH",0.5,1)),
"prüfen")))</f>
        <v>0</v>
      </c>
      <c r="AX362" s="110">
        <f t="array" ref="AX362">IF(OR(D362="UU",D362="FT",D362="WE",E362="Ferien"),0,
IF(D362="NR",SUM(IF(B362&gt;=_xlfn.NUMBERVALUE('ZD Vorerfassung'!$C$22:$C$36),1,0)*IF(B362&lt;=_xlfn.NUMBERVALUE('ZD Vorerfassung'!$D$22:$D$36),1,0)*'ZD Vorerfassung'!$W$22:$W$36),
IF(OR(D362="SF",D362="FH"),SUM(IF(B362&gt;=_xlfn.NUMBERVALUE('ZD Vorerfassung'!$C$22:$C$36),1,0)*IF(B362&lt;=_xlfn.NUMBERVALUE('ZD Vorerfassung'!$D$22:$D$36),1,0)*'ZD Vorerfassung'!$X$22:$X$36*IF(D362="FH",0.5,1)),
"prüfen")))</f>
        <v>0</v>
      </c>
      <c r="AY362" s="110">
        <f t="array" ref="AY362">IF(OR(D362="UU",D362="FT",D362="WE",E362="Ferien"),0,
IF(D362="NR",SUM(IF(B362&gt;=_xlfn.NUMBERVALUE('ZD Vorerfassung'!$C$22:$C$36),1,0)*IF(B362&lt;=_xlfn.NUMBERVALUE('ZD Vorerfassung'!$D$22:$D$36),1,0)*'ZD Vorerfassung'!$U$22:$U$36),
IF(OR(D362="SF",D362="FH"),SUM(IF(B362&gt;=_xlfn.NUMBERVALUE('ZD Vorerfassung'!$C$22:$C$36),1,0)*IF(B362&lt;=_xlfn.NUMBERVALUE('ZD Vorerfassung'!$D$22:$D$36),1,0)*'ZD Vorerfassung'!$V$22:$V$36*IF(D362="FH",0.5,1)),
"prüfen")))</f>
        <v>0</v>
      </c>
      <c r="AZ362" s="110">
        <f t="array" ref="AZ362">IF(OR(D362="UU",D362="FT",D362="WE",E362="Ferien"),0,
IF(D362="NR",SUM(IF(B362&gt;=_xlfn.NUMBERVALUE('ZD Vorerfassung'!$C$22:$C$36),1,0)*IF(B362&lt;=_xlfn.NUMBERVALUE('ZD Vorerfassung'!$D$22:$D$36),1,0)*'ZD Vorerfassung'!$S$22:$S$36),
IF(OR(D362="SF",D362="FH"),SUM(IF(B362&gt;=_xlfn.NUMBERVALUE('ZD Vorerfassung'!$C$22:$C$36),1,0)*IF(B362&lt;=_xlfn.NUMBERVALUE('ZD Vorerfassung'!$D$22:$D$36),1,0)*'ZD Vorerfassung'!$T$22:$T$36*IF(D362="FH",0.5,1)),
"prüfen")))</f>
        <v>0</v>
      </c>
      <c r="BA362" s="112">
        <f t="shared" si="76"/>
        <v>7</v>
      </c>
    </row>
    <row r="363" spans="2:53" ht="19.5" thickTop="1" thickBot="1" x14ac:dyDescent="0.3">
      <c r="B363" s="99">
        <f t="shared" si="65"/>
        <v>45128</v>
      </c>
      <c r="C363" s="100">
        <f t="shared" si="68"/>
        <v>45128</v>
      </c>
      <c r="D363" s="101" t="str">
        <f t="shared" si="69"/>
        <v>SF</v>
      </c>
      <c r="E363" s="102" t="str">
        <f t="shared" si="66"/>
        <v>unterrichtsfreie Arbeitszeit</v>
      </c>
      <c r="F363" s="103" t="str">
        <f t="shared" si="70"/>
        <v/>
      </c>
      <c r="G363" s="104" t="str">
        <f t="shared" si="71"/>
        <v/>
      </c>
      <c r="H363" s="104">
        <f>IFERROR(IF('ZD Vorerfassung'!$E$11="manuell",SUM(I363),IF(OR(E363="Feiertag",E363="Wochenende"),0,IF('ZD Vorerfassung'!$E$11="automatisch",AX363,IF(D363="UU","UU",IF(E363=Param2,AX363/24,IF(E363=Param9,AX363/48,"")))))),0)</f>
        <v>0</v>
      </c>
      <c r="I363" s="105"/>
      <c r="J363" s="106">
        <f>IF('ZD Vorerfassung'!$E$12="manuell",SUM(K363:AI363),IF(OR(E363="Feiertag",E363="Wochenende"),0,IF('ZD Vorerfassung'!$E$12="automatisch",AY363,IF(D363="UU","UU",IF(E363=Param2,AY363/24,IF(E363=Param9,AY363/48,""))))))</f>
        <v>0</v>
      </c>
      <c r="K363" s="105"/>
      <c r="L363" s="105"/>
      <c r="M363" s="105"/>
      <c r="N363" s="105"/>
      <c r="O363" s="105"/>
      <c r="P363" s="105"/>
      <c r="Q363" s="105"/>
      <c r="R363" s="105"/>
      <c r="S363" s="105"/>
      <c r="T363" s="105"/>
      <c r="U363" s="105"/>
      <c r="V363" s="105"/>
      <c r="W363" s="105"/>
      <c r="X363" s="105"/>
      <c r="Y363" s="105"/>
      <c r="Z363" s="105"/>
      <c r="AA363" s="105"/>
      <c r="AB363" s="105"/>
      <c r="AC363" s="105"/>
      <c r="AD363" s="105"/>
      <c r="AE363" s="105"/>
      <c r="AF363" s="105"/>
      <c r="AG363" s="105"/>
      <c r="AH363" s="105"/>
      <c r="AI363" s="105"/>
      <c r="AJ363" s="107">
        <f t="shared" si="72"/>
        <v>0</v>
      </c>
      <c r="AK363" s="105"/>
      <c r="AL363" s="105"/>
      <c r="AM363" s="105"/>
      <c r="AN363" s="105"/>
      <c r="AO363" s="105"/>
      <c r="AP363" s="105"/>
      <c r="AQ363" s="108">
        <f t="shared" si="73"/>
        <v>0</v>
      </c>
      <c r="AR363" s="108">
        <f t="shared" si="74"/>
        <v>0</v>
      </c>
      <c r="AS363" s="109">
        <f t="shared" si="75"/>
        <v>0</v>
      </c>
      <c r="AU363" s="110">
        <f t="shared" si="67"/>
        <v>0</v>
      </c>
      <c r="AV363" s="111" t="str">
        <f>IF(D363="NR",
IF('ZD Vorerfassung'!$E$22="",0,IF(AND(B363&gt;='ZD Vorerfassung'!$C$22,B363&lt;='ZD Vorerfassung'!$D$22),HLOOKUP(TEXT(C363,"ttt"),'ZD Vorerfassung'!$H$21:$L$36,2,0),0))+
IF('ZD Vorerfassung'!$E$23="",0,IF(AND(B363&gt;='ZD Vorerfassung'!$C$23,B363&lt;='ZD Vorerfassung'!$D$23),HLOOKUP(TEXT(C363,"ttt"),'ZD Vorerfassung'!$H$21:$L$36,3,0),0))+
IF('ZD Vorerfassung'!$E$24="",0,IF(AND(B363&gt;='ZD Vorerfassung'!$C$24,B363&lt;='ZD Vorerfassung'!$D$24),HLOOKUP(TEXT(C363,"ttt"),'ZD Vorerfassung'!$H$21:$L$36,4,0),0))+
IF('ZD Vorerfassung'!$E$25="",0,IF(AND(B363&gt;='ZD Vorerfassung'!$C$25,B363&lt;='ZD Vorerfassung'!$D$25),HLOOKUP(TEXT(C363,"ttt"),'ZD Vorerfassung'!$H$21:$L$36,5,0),0))+
IF('ZD Vorerfassung'!$E$26="",0,IF(AND(B363&gt;='ZD Vorerfassung'!$C$26,B363&lt;='ZD Vorerfassung'!$D$26),HLOOKUP(TEXT(C363,"ttt"),'ZD Vorerfassung'!$H$21:$L$36,6,0),0))+
IF('ZD Vorerfassung'!$E$27="",0,IF(AND(B363&gt;='ZD Vorerfassung'!$C$27,B363&lt;='ZD Vorerfassung'!$D$27),HLOOKUP(TEXT(C363,"ttt"),'ZD Vorerfassung'!$H$21:$L$36,7,0),0))+
IF('ZD Vorerfassung'!$E$28="",0,IF(AND(B363&gt;='ZD Vorerfassung'!$C$28,B363&lt;='ZD Vorerfassung'!$D$28),HLOOKUP(TEXT(C363,"ttt"),'ZD Vorerfassung'!$H$21:$L$36,8,0),0))+
IF('ZD Vorerfassung'!$E$29="",0,IF(AND(B363&gt;='ZD Vorerfassung'!$C$29,B363&lt;='ZD Vorerfassung'!$D$29),HLOOKUP(TEXT(C363,"ttt"),'ZD Vorerfassung'!$H$21:$L$36,9,0),0))+
IF('ZD Vorerfassung'!$E$30="",0,IF(AND(B363&gt;='ZD Vorerfassung'!$C$30,B363&lt;='ZD Vorerfassung'!$D$30),HLOOKUP(TEXT(C363,"ttt"),'ZD Vorerfassung'!$H$21:$L$36,10,0),0))+
IF('ZD Vorerfassung'!$E$31="",0,IF(AND(B363&gt;='ZD Vorerfassung'!$C$31,B363&lt;='ZD Vorerfassung'!$D$31),HLOOKUP(TEXT(C363,"ttt"),'ZD Vorerfassung'!$H$21:$L$36,11,0),0))+
IF('ZD Vorerfassung'!$E$32="",0,IF(AND(B363&gt;='ZD Vorerfassung'!$C$32,B363&lt;='ZD Vorerfassung'!$D$32),HLOOKUP(TEXT(C363,"ttt"),'ZD Vorerfassung'!$H$21:$L$36,12,0),0))+
IF('ZD Vorerfassung'!$E$33="",0,IF(AND(B363&gt;='ZD Vorerfassung'!$C$33,B363&lt;='ZD Vorerfassung'!$D$33),HLOOKUP(TEXT(C363,"ttt"),'ZD Vorerfassung'!$H$21:$L$36,13,0),0))+
IF('ZD Vorerfassung'!$E$34="",0,IF(AND(B363&gt;='ZD Vorerfassung'!$C$34,B363&lt;='ZD Vorerfassung'!$D$34),HLOOKUP(TEXT(C363,"ttt"),'ZD Vorerfassung'!$H$21:$L$36,14,0),0))+
IF('ZD Vorerfassung'!$E$35="",0,IF(AND(B363&gt;='ZD Vorerfassung'!$C$35,B363&lt;='ZD Vorerfassung'!$D$35),HLOOKUP(TEXT(C363,"ttt"),'ZD Vorerfassung'!$H$21:$L$36,15,0),0))+
IF('ZD Vorerfassung'!$E$36="",0,IF(AND(B363&gt;='ZD Vorerfassung'!$C$36,B363&lt;='ZD Vorerfassung'!$D$36),HLOOKUP(TEXT(C363,"ttt"),'ZD Vorerfassung'!$H$21:$L$36,16,0),0)),"")</f>
        <v/>
      </c>
      <c r="AW363" s="110">
        <f t="array" ref="AW363">IF(OR(D363="UU",D363="FT",D363="WE"),0,
IF(D363="NR",SUM(IF(B363&gt;=_xlfn.NUMBERVALUE('ZD Vorerfassung'!$C$22:$C$36),1,0)*IF(B363&lt;=_xlfn.NUMBERVALUE('ZD Vorerfassung'!$D$22:$D$36),1,0)*'ZD Vorerfassung'!$Q$22:$Q$36),
IF(OR(D363="SF",D363="FH"),SUM(IF(B363&gt;=_xlfn.NUMBERVALUE('ZD Vorerfassung'!$C$22:$C$36),1,0)*IF(B363&lt;=_xlfn.NUMBERVALUE('ZD Vorerfassung'!$D$22:$D$36),1,0)*'ZD Vorerfassung'!$R$22:$R$36*IF(D363="FH",0.5,1)),
"prüfen")))</f>
        <v>0</v>
      </c>
      <c r="AX363" s="110">
        <f t="array" ref="AX363">IF(OR(D363="UU",D363="FT",D363="WE",E363="Ferien"),0,
IF(D363="NR",SUM(IF(B363&gt;=_xlfn.NUMBERVALUE('ZD Vorerfassung'!$C$22:$C$36),1,0)*IF(B363&lt;=_xlfn.NUMBERVALUE('ZD Vorerfassung'!$D$22:$D$36),1,0)*'ZD Vorerfassung'!$W$22:$W$36),
IF(OR(D363="SF",D363="FH"),SUM(IF(B363&gt;=_xlfn.NUMBERVALUE('ZD Vorerfassung'!$C$22:$C$36),1,0)*IF(B363&lt;=_xlfn.NUMBERVALUE('ZD Vorerfassung'!$D$22:$D$36),1,0)*'ZD Vorerfassung'!$X$22:$X$36*IF(D363="FH",0.5,1)),
"prüfen")))</f>
        <v>0</v>
      </c>
      <c r="AY363" s="110">
        <f t="array" ref="AY363">IF(OR(D363="UU",D363="FT",D363="WE",E363="Ferien"),0,
IF(D363="NR",SUM(IF(B363&gt;=_xlfn.NUMBERVALUE('ZD Vorerfassung'!$C$22:$C$36),1,0)*IF(B363&lt;=_xlfn.NUMBERVALUE('ZD Vorerfassung'!$D$22:$D$36),1,0)*'ZD Vorerfassung'!$U$22:$U$36),
IF(OR(D363="SF",D363="FH"),SUM(IF(B363&gt;=_xlfn.NUMBERVALUE('ZD Vorerfassung'!$C$22:$C$36),1,0)*IF(B363&lt;=_xlfn.NUMBERVALUE('ZD Vorerfassung'!$D$22:$D$36),1,0)*'ZD Vorerfassung'!$V$22:$V$36*IF(D363="FH",0.5,1)),
"prüfen")))</f>
        <v>0</v>
      </c>
      <c r="AZ363" s="110">
        <f t="array" ref="AZ363">IF(OR(D363="UU",D363="FT",D363="WE",E363="Ferien"),0,
IF(D363="NR",SUM(IF(B363&gt;=_xlfn.NUMBERVALUE('ZD Vorerfassung'!$C$22:$C$36),1,0)*IF(B363&lt;=_xlfn.NUMBERVALUE('ZD Vorerfassung'!$D$22:$D$36),1,0)*'ZD Vorerfassung'!$S$22:$S$36),
IF(OR(D363="SF",D363="FH"),SUM(IF(B363&gt;=_xlfn.NUMBERVALUE('ZD Vorerfassung'!$C$22:$C$36),1,0)*IF(B363&lt;=_xlfn.NUMBERVALUE('ZD Vorerfassung'!$D$22:$D$36),1,0)*'ZD Vorerfassung'!$T$22:$T$36*IF(D363="FH",0.5,1)),
"prüfen")))</f>
        <v>0</v>
      </c>
      <c r="BA363" s="112">
        <f t="shared" si="76"/>
        <v>7</v>
      </c>
    </row>
    <row r="364" spans="2:53" ht="19.5" thickTop="1" thickBot="1" x14ac:dyDescent="0.3">
      <c r="B364" s="99">
        <f t="shared" si="65"/>
        <v>45129</v>
      </c>
      <c r="C364" s="100">
        <f t="shared" si="68"/>
        <v>45129</v>
      </c>
      <c r="D364" s="101" t="str">
        <f t="shared" si="69"/>
        <v>SF</v>
      </c>
      <c r="E364" s="102" t="str">
        <f t="shared" si="66"/>
        <v>unterrichtsfreie Arbeitszeit</v>
      </c>
      <c r="F364" s="103" t="str">
        <f t="shared" si="70"/>
        <v/>
      </c>
      <c r="G364" s="104" t="str">
        <f t="shared" si="71"/>
        <v/>
      </c>
      <c r="H364" s="104">
        <f>IFERROR(IF('ZD Vorerfassung'!$E$11="manuell",SUM(I364),IF(OR(E364="Feiertag",E364="Wochenende"),0,IF('ZD Vorerfassung'!$E$11="automatisch",AX364,IF(D364="UU","UU",IF(E364=Param2,AX364/24,IF(E364=Param9,AX364/48,"")))))),0)</f>
        <v>0</v>
      </c>
      <c r="I364" s="105"/>
      <c r="J364" s="106">
        <f>IF('ZD Vorerfassung'!$E$12="manuell",SUM(K364:AI364),IF(OR(E364="Feiertag",E364="Wochenende"),0,IF('ZD Vorerfassung'!$E$12="automatisch",AY364,IF(D364="UU","UU",IF(E364=Param2,AY364/24,IF(E364=Param9,AY364/48,""))))))</f>
        <v>0</v>
      </c>
      <c r="K364" s="105"/>
      <c r="L364" s="105"/>
      <c r="M364" s="105"/>
      <c r="N364" s="105"/>
      <c r="O364" s="105"/>
      <c r="P364" s="105"/>
      <c r="Q364" s="105"/>
      <c r="R364" s="105"/>
      <c r="S364" s="105"/>
      <c r="T364" s="105"/>
      <c r="U364" s="105"/>
      <c r="V364" s="105"/>
      <c r="W364" s="105"/>
      <c r="X364" s="105"/>
      <c r="Y364" s="105"/>
      <c r="Z364" s="105"/>
      <c r="AA364" s="105"/>
      <c r="AB364" s="105"/>
      <c r="AC364" s="105"/>
      <c r="AD364" s="105"/>
      <c r="AE364" s="105"/>
      <c r="AF364" s="105"/>
      <c r="AG364" s="105"/>
      <c r="AH364" s="105"/>
      <c r="AI364" s="105"/>
      <c r="AJ364" s="107">
        <f t="shared" si="72"/>
        <v>0</v>
      </c>
      <c r="AK364" s="105"/>
      <c r="AL364" s="105"/>
      <c r="AM364" s="105"/>
      <c r="AN364" s="105"/>
      <c r="AO364" s="105"/>
      <c r="AP364" s="105"/>
      <c r="AQ364" s="108">
        <f t="shared" si="73"/>
        <v>0</v>
      </c>
      <c r="AR364" s="108">
        <f t="shared" si="74"/>
        <v>0</v>
      </c>
      <c r="AS364" s="109">
        <f t="shared" si="75"/>
        <v>0</v>
      </c>
      <c r="AU364" s="110">
        <f t="shared" si="67"/>
        <v>0</v>
      </c>
      <c r="AV364" s="111" t="str">
        <f>IF(D364="NR",
IF('ZD Vorerfassung'!$E$22="",0,IF(AND(B364&gt;='ZD Vorerfassung'!$C$22,B364&lt;='ZD Vorerfassung'!$D$22),HLOOKUP(TEXT(C364,"ttt"),'ZD Vorerfassung'!$H$21:$L$36,2,0),0))+
IF('ZD Vorerfassung'!$E$23="",0,IF(AND(B364&gt;='ZD Vorerfassung'!$C$23,B364&lt;='ZD Vorerfassung'!$D$23),HLOOKUP(TEXT(C364,"ttt"),'ZD Vorerfassung'!$H$21:$L$36,3,0),0))+
IF('ZD Vorerfassung'!$E$24="",0,IF(AND(B364&gt;='ZD Vorerfassung'!$C$24,B364&lt;='ZD Vorerfassung'!$D$24),HLOOKUP(TEXT(C364,"ttt"),'ZD Vorerfassung'!$H$21:$L$36,4,0),0))+
IF('ZD Vorerfassung'!$E$25="",0,IF(AND(B364&gt;='ZD Vorerfassung'!$C$25,B364&lt;='ZD Vorerfassung'!$D$25),HLOOKUP(TEXT(C364,"ttt"),'ZD Vorerfassung'!$H$21:$L$36,5,0),0))+
IF('ZD Vorerfassung'!$E$26="",0,IF(AND(B364&gt;='ZD Vorerfassung'!$C$26,B364&lt;='ZD Vorerfassung'!$D$26),HLOOKUP(TEXT(C364,"ttt"),'ZD Vorerfassung'!$H$21:$L$36,6,0),0))+
IF('ZD Vorerfassung'!$E$27="",0,IF(AND(B364&gt;='ZD Vorerfassung'!$C$27,B364&lt;='ZD Vorerfassung'!$D$27),HLOOKUP(TEXT(C364,"ttt"),'ZD Vorerfassung'!$H$21:$L$36,7,0),0))+
IF('ZD Vorerfassung'!$E$28="",0,IF(AND(B364&gt;='ZD Vorerfassung'!$C$28,B364&lt;='ZD Vorerfassung'!$D$28),HLOOKUP(TEXT(C364,"ttt"),'ZD Vorerfassung'!$H$21:$L$36,8,0),0))+
IF('ZD Vorerfassung'!$E$29="",0,IF(AND(B364&gt;='ZD Vorerfassung'!$C$29,B364&lt;='ZD Vorerfassung'!$D$29),HLOOKUP(TEXT(C364,"ttt"),'ZD Vorerfassung'!$H$21:$L$36,9,0),0))+
IF('ZD Vorerfassung'!$E$30="",0,IF(AND(B364&gt;='ZD Vorerfassung'!$C$30,B364&lt;='ZD Vorerfassung'!$D$30),HLOOKUP(TEXT(C364,"ttt"),'ZD Vorerfassung'!$H$21:$L$36,10,0),0))+
IF('ZD Vorerfassung'!$E$31="",0,IF(AND(B364&gt;='ZD Vorerfassung'!$C$31,B364&lt;='ZD Vorerfassung'!$D$31),HLOOKUP(TEXT(C364,"ttt"),'ZD Vorerfassung'!$H$21:$L$36,11,0),0))+
IF('ZD Vorerfassung'!$E$32="",0,IF(AND(B364&gt;='ZD Vorerfassung'!$C$32,B364&lt;='ZD Vorerfassung'!$D$32),HLOOKUP(TEXT(C364,"ttt"),'ZD Vorerfassung'!$H$21:$L$36,12,0),0))+
IF('ZD Vorerfassung'!$E$33="",0,IF(AND(B364&gt;='ZD Vorerfassung'!$C$33,B364&lt;='ZD Vorerfassung'!$D$33),HLOOKUP(TEXT(C364,"ttt"),'ZD Vorerfassung'!$H$21:$L$36,13,0),0))+
IF('ZD Vorerfassung'!$E$34="",0,IF(AND(B364&gt;='ZD Vorerfassung'!$C$34,B364&lt;='ZD Vorerfassung'!$D$34),HLOOKUP(TEXT(C364,"ttt"),'ZD Vorerfassung'!$H$21:$L$36,14,0),0))+
IF('ZD Vorerfassung'!$E$35="",0,IF(AND(B364&gt;='ZD Vorerfassung'!$C$35,B364&lt;='ZD Vorerfassung'!$D$35),HLOOKUP(TEXT(C364,"ttt"),'ZD Vorerfassung'!$H$21:$L$36,15,0),0))+
IF('ZD Vorerfassung'!$E$36="",0,IF(AND(B364&gt;='ZD Vorerfassung'!$C$36,B364&lt;='ZD Vorerfassung'!$D$36),HLOOKUP(TEXT(C364,"ttt"),'ZD Vorerfassung'!$H$21:$L$36,16,0),0)),"")</f>
        <v/>
      </c>
      <c r="AW364" s="110">
        <f t="array" ref="AW364">IF(OR(D364="UU",D364="FT",D364="WE"),0,
IF(D364="NR",SUM(IF(B364&gt;=_xlfn.NUMBERVALUE('ZD Vorerfassung'!$C$22:$C$36),1,0)*IF(B364&lt;=_xlfn.NUMBERVALUE('ZD Vorerfassung'!$D$22:$D$36),1,0)*'ZD Vorerfassung'!$Q$22:$Q$36),
IF(OR(D364="SF",D364="FH"),SUM(IF(B364&gt;=_xlfn.NUMBERVALUE('ZD Vorerfassung'!$C$22:$C$36),1,0)*IF(B364&lt;=_xlfn.NUMBERVALUE('ZD Vorerfassung'!$D$22:$D$36),1,0)*'ZD Vorerfassung'!$R$22:$R$36*IF(D364="FH",0.5,1)),
"prüfen")))</f>
        <v>0</v>
      </c>
      <c r="AX364" s="110">
        <f t="array" ref="AX364">IF(OR(D364="UU",D364="FT",D364="WE",E364="Ferien"),0,
IF(D364="NR",SUM(IF(B364&gt;=_xlfn.NUMBERVALUE('ZD Vorerfassung'!$C$22:$C$36),1,0)*IF(B364&lt;=_xlfn.NUMBERVALUE('ZD Vorerfassung'!$D$22:$D$36),1,0)*'ZD Vorerfassung'!$W$22:$W$36),
IF(OR(D364="SF",D364="FH"),SUM(IF(B364&gt;=_xlfn.NUMBERVALUE('ZD Vorerfassung'!$C$22:$C$36),1,0)*IF(B364&lt;=_xlfn.NUMBERVALUE('ZD Vorerfassung'!$D$22:$D$36),1,0)*'ZD Vorerfassung'!$X$22:$X$36*IF(D364="FH",0.5,1)),
"prüfen")))</f>
        <v>0</v>
      </c>
      <c r="AY364" s="110">
        <f t="array" ref="AY364">IF(OR(D364="UU",D364="FT",D364="WE",E364="Ferien"),0,
IF(D364="NR",SUM(IF(B364&gt;=_xlfn.NUMBERVALUE('ZD Vorerfassung'!$C$22:$C$36),1,0)*IF(B364&lt;=_xlfn.NUMBERVALUE('ZD Vorerfassung'!$D$22:$D$36),1,0)*'ZD Vorerfassung'!$U$22:$U$36),
IF(OR(D364="SF",D364="FH"),SUM(IF(B364&gt;=_xlfn.NUMBERVALUE('ZD Vorerfassung'!$C$22:$C$36),1,0)*IF(B364&lt;=_xlfn.NUMBERVALUE('ZD Vorerfassung'!$D$22:$D$36),1,0)*'ZD Vorerfassung'!$V$22:$V$36*IF(D364="FH",0.5,1)),
"prüfen")))</f>
        <v>0</v>
      </c>
      <c r="AZ364" s="110">
        <f t="array" ref="AZ364">IF(OR(D364="UU",D364="FT",D364="WE",E364="Ferien"),0,
IF(D364="NR",SUM(IF(B364&gt;=_xlfn.NUMBERVALUE('ZD Vorerfassung'!$C$22:$C$36),1,0)*IF(B364&lt;=_xlfn.NUMBERVALUE('ZD Vorerfassung'!$D$22:$D$36),1,0)*'ZD Vorerfassung'!$S$22:$S$36),
IF(OR(D364="SF",D364="FH"),SUM(IF(B364&gt;=_xlfn.NUMBERVALUE('ZD Vorerfassung'!$C$22:$C$36),1,0)*IF(B364&lt;=_xlfn.NUMBERVALUE('ZD Vorerfassung'!$D$22:$D$36),1,0)*'ZD Vorerfassung'!$T$22:$T$36*IF(D364="FH",0.5,1)),
"prüfen")))</f>
        <v>0</v>
      </c>
      <c r="BA364" s="112">
        <f t="shared" si="76"/>
        <v>7</v>
      </c>
    </row>
    <row r="365" spans="2:53" ht="19.5" thickTop="1" thickBot="1" x14ac:dyDescent="0.3">
      <c r="B365" s="99">
        <f t="shared" si="65"/>
        <v>45130</v>
      </c>
      <c r="C365" s="100">
        <f t="shared" si="68"/>
        <v>45130</v>
      </c>
      <c r="D365" s="101" t="str">
        <f t="shared" si="69"/>
        <v>WE</v>
      </c>
      <c r="E365" s="102" t="str">
        <f t="shared" si="66"/>
        <v>Wochenende</v>
      </c>
      <c r="F365" s="103" t="str">
        <f t="shared" si="70"/>
        <v/>
      </c>
      <c r="G365" s="104" t="str">
        <f t="shared" si="71"/>
        <v/>
      </c>
      <c r="H365" s="104">
        <f>IFERROR(IF('ZD Vorerfassung'!$E$11="manuell",SUM(I365),IF(OR(E365="Feiertag",E365="Wochenende"),0,IF('ZD Vorerfassung'!$E$11="automatisch",AX365,IF(D365="UU","UU",IF(E365=Param2,AX365/24,IF(E365=Param9,AX365/48,"")))))),0)</f>
        <v>0</v>
      </c>
      <c r="I365" s="105"/>
      <c r="J365" s="106">
        <f>IF('ZD Vorerfassung'!$E$12="manuell",SUM(K365:AI365),IF(OR(E365="Feiertag",E365="Wochenende"),0,IF('ZD Vorerfassung'!$E$12="automatisch",AY365,IF(D365="UU","UU",IF(E365=Param2,AY365/24,IF(E365=Param9,AY365/48,""))))))</f>
        <v>0</v>
      </c>
      <c r="K365" s="105"/>
      <c r="L365" s="105"/>
      <c r="M365" s="105"/>
      <c r="N365" s="105"/>
      <c r="O365" s="105"/>
      <c r="P365" s="105"/>
      <c r="Q365" s="105"/>
      <c r="R365" s="105"/>
      <c r="S365" s="105"/>
      <c r="T365" s="105"/>
      <c r="U365" s="105"/>
      <c r="V365" s="105"/>
      <c r="W365" s="105"/>
      <c r="X365" s="105"/>
      <c r="Y365" s="105"/>
      <c r="Z365" s="105"/>
      <c r="AA365" s="105"/>
      <c r="AB365" s="105"/>
      <c r="AC365" s="105"/>
      <c r="AD365" s="105"/>
      <c r="AE365" s="105"/>
      <c r="AF365" s="105"/>
      <c r="AG365" s="105"/>
      <c r="AH365" s="105"/>
      <c r="AI365" s="105"/>
      <c r="AJ365" s="107">
        <f t="shared" si="72"/>
        <v>0</v>
      </c>
      <c r="AK365" s="105"/>
      <c r="AL365" s="105"/>
      <c r="AM365" s="105"/>
      <c r="AN365" s="105"/>
      <c r="AO365" s="105"/>
      <c r="AP365" s="105"/>
      <c r="AQ365" s="108">
        <f t="shared" si="73"/>
        <v>0</v>
      </c>
      <c r="AR365" s="108">
        <f t="shared" si="74"/>
        <v>0</v>
      </c>
      <c r="AS365" s="109">
        <f t="shared" si="75"/>
        <v>0</v>
      </c>
      <c r="AU365" s="110">
        <f t="shared" si="67"/>
        <v>0</v>
      </c>
      <c r="AV365" s="111" t="str">
        <f>IF(D365="NR",
IF('ZD Vorerfassung'!$E$22="",0,IF(AND(B365&gt;='ZD Vorerfassung'!$C$22,B365&lt;='ZD Vorerfassung'!$D$22),HLOOKUP(TEXT(C365,"ttt"),'ZD Vorerfassung'!$H$21:$L$36,2,0),0))+
IF('ZD Vorerfassung'!$E$23="",0,IF(AND(B365&gt;='ZD Vorerfassung'!$C$23,B365&lt;='ZD Vorerfassung'!$D$23),HLOOKUP(TEXT(C365,"ttt"),'ZD Vorerfassung'!$H$21:$L$36,3,0),0))+
IF('ZD Vorerfassung'!$E$24="",0,IF(AND(B365&gt;='ZD Vorerfassung'!$C$24,B365&lt;='ZD Vorerfassung'!$D$24),HLOOKUP(TEXT(C365,"ttt"),'ZD Vorerfassung'!$H$21:$L$36,4,0),0))+
IF('ZD Vorerfassung'!$E$25="",0,IF(AND(B365&gt;='ZD Vorerfassung'!$C$25,B365&lt;='ZD Vorerfassung'!$D$25),HLOOKUP(TEXT(C365,"ttt"),'ZD Vorerfassung'!$H$21:$L$36,5,0),0))+
IF('ZD Vorerfassung'!$E$26="",0,IF(AND(B365&gt;='ZD Vorerfassung'!$C$26,B365&lt;='ZD Vorerfassung'!$D$26),HLOOKUP(TEXT(C365,"ttt"),'ZD Vorerfassung'!$H$21:$L$36,6,0),0))+
IF('ZD Vorerfassung'!$E$27="",0,IF(AND(B365&gt;='ZD Vorerfassung'!$C$27,B365&lt;='ZD Vorerfassung'!$D$27),HLOOKUP(TEXT(C365,"ttt"),'ZD Vorerfassung'!$H$21:$L$36,7,0),0))+
IF('ZD Vorerfassung'!$E$28="",0,IF(AND(B365&gt;='ZD Vorerfassung'!$C$28,B365&lt;='ZD Vorerfassung'!$D$28),HLOOKUP(TEXT(C365,"ttt"),'ZD Vorerfassung'!$H$21:$L$36,8,0),0))+
IF('ZD Vorerfassung'!$E$29="",0,IF(AND(B365&gt;='ZD Vorerfassung'!$C$29,B365&lt;='ZD Vorerfassung'!$D$29),HLOOKUP(TEXT(C365,"ttt"),'ZD Vorerfassung'!$H$21:$L$36,9,0),0))+
IF('ZD Vorerfassung'!$E$30="",0,IF(AND(B365&gt;='ZD Vorerfassung'!$C$30,B365&lt;='ZD Vorerfassung'!$D$30),HLOOKUP(TEXT(C365,"ttt"),'ZD Vorerfassung'!$H$21:$L$36,10,0),0))+
IF('ZD Vorerfassung'!$E$31="",0,IF(AND(B365&gt;='ZD Vorerfassung'!$C$31,B365&lt;='ZD Vorerfassung'!$D$31),HLOOKUP(TEXT(C365,"ttt"),'ZD Vorerfassung'!$H$21:$L$36,11,0),0))+
IF('ZD Vorerfassung'!$E$32="",0,IF(AND(B365&gt;='ZD Vorerfassung'!$C$32,B365&lt;='ZD Vorerfassung'!$D$32),HLOOKUP(TEXT(C365,"ttt"),'ZD Vorerfassung'!$H$21:$L$36,12,0),0))+
IF('ZD Vorerfassung'!$E$33="",0,IF(AND(B365&gt;='ZD Vorerfassung'!$C$33,B365&lt;='ZD Vorerfassung'!$D$33),HLOOKUP(TEXT(C365,"ttt"),'ZD Vorerfassung'!$H$21:$L$36,13,0),0))+
IF('ZD Vorerfassung'!$E$34="",0,IF(AND(B365&gt;='ZD Vorerfassung'!$C$34,B365&lt;='ZD Vorerfassung'!$D$34),HLOOKUP(TEXT(C365,"ttt"),'ZD Vorerfassung'!$H$21:$L$36,14,0),0))+
IF('ZD Vorerfassung'!$E$35="",0,IF(AND(B365&gt;='ZD Vorerfassung'!$C$35,B365&lt;='ZD Vorerfassung'!$D$35),HLOOKUP(TEXT(C365,"ttt"),'ZD Vorerfassung'!$H$21:$L$36,15,0),0))+
IF('ZD Vorerfassung'!$E$36="",0,IF(AND(B365&gt;='ZD Vorerfassung'!$C$36,B365&lt;='ZD Vorerfassung'!$D$36),HLOOKUP(TEXT(C365,"ttt"),'ZD Vorerfassung'!$H$21:$L$36,16,0),0)),"")</f>
        <v/>
      </c>
      <c r="AW365" s="110">
        <f t="array" ref="AW365">IF(OR(D365="UU",D365="FT",D365="WE"),0,
IF(D365="NR",SUM(IF(B365&gt;=_xlfn.NUMBERVALUE('ZD Vorerfassung'!$C$22:$C$36),1,0)*IF(B365&lt;=_xlfn.NUMBERVALUE('ZD Vorerfassung'!$D$22:$D$36),1,0)*'ZD Vorerfassung'!$Q$22:$Q$36),
IF(OR(D365="SF",D365="FH"),SUM(IF(B365&gt;=_xlfn.NUMBERVALUE('ZD Vorerfassung'!$C$22:$C$36),1,0)*IF(B365&lt;=_xlfn.NUMBERVALUE('ZD Vorerfassung'!$D$22:$D$36),1,0)*'ZD Vorerfassung'!$R$22:$R$36*IF(D365="FH",0.5,1)),
"prüfen")))</f>
        <v>0</v>
      </c>
      <c r="AX365" s="110">
        <f t="array" ref="AX365">IF(OR(D365="UU",D365="FT",D365="WE",E365="Ferien"),0,
IF(D365="NR",SUM(IF(B365&gt;=_xlfn.NUMBERVALUE('ZD Vorerfassung'!$C$22:$C$36),1,0)*IF(B365&lt;=_xlfn.NUMBERVALUE('ZD Vorerfassung'!$D$22:$D$36),1,0)*'ZD Vorerfassung'!$W$22:$W$36),
IF(OR(D365="SF",D365="FH"),SUM(IF(B365&gt;=_xlfn.NUMBERVALUE('ZD Vorerfassung'!$C$22:$C$36),1,0)*IF(B365&lt;=_xlfn.NUMBERVALUE('ZD Vorerfassung'!$D$22:$D$36),1,0)*'ZD Vorerfassung'!$X$22:$X$36*IF(D365="FH",0.5,1)),
"prüfen")))</f>
        <v>0</v>
      </c>
      <c r="AY365" s="110">
        <f t="array" ref="AY365">IF(OR(D365="UU",D365="FT",D365="WE",E365="Ferien"),0,
IF(D365="NR",SUM(IF(B365&gt;=_xlfn.NUMBERVALUE('ZD Vorerfassung'!$C$22:$C$36),1,0)*IF(B365&lt;=_xlfn.NUMBERVALUE('ZD Vorerfassung'!$D$22:$D$36),1,0)*'ZD Vorerfassung'!$U$22:$U$36),
IF(OR(D365="SF",D365="FH"),SUM(IF(B365&gt;=_xlfn.NUMBERVALUE('ZD Vorerfassung'!$C$22:$C$36),1,0)*IF(B365&lt;=_xlfn.NUMBERVALUE('ZD Vorerfassung'!$D$22:$D$36),1,0)*'ZD Vorerfassung'!$V$22:$V$36*IF(D365="FH",0.5,1)),
"prüfen")))</f>
        <v>0</v>
      </c>
      <c r="AZ365" s="110">
        <f t="array" ref="AZ365">IF(OR(D365="UU",D365="FT",D365="WE",E365="Ferien"),0,
IF(D365="NR",SUM(IF(B365&gt;=_xlfn.NUMBERVALUE('ZD Vorerfassung'!$C$22:$C$36),1,0)*IF(B365&lt;=_xlfn.NUMBERVALUE('ZD Vorerfassung'!$D$22:$D$36),1,0)*'ZD Vorerfassung'!$S$22:$S$36),
IF(OR(D365="SF",D365="FH"),SUM(IF(B365&gt;=_xlfn.NUMBERVALUE('ZD Vorerfassung'!$C$22:$C$36),1,0)*IF(B365&lt;=_xlfn.NUMBERVALUE('ZD Vorerfassung'!$D$22:$D$36),1,0)*'ZD Vorerfassung'!$T$22:$T$36*IF(D365="FH",0.5,1)),
"prüfen")))</f>
        <v>0</v>
      </c>
      <c r="BA365" s="112">
        <f t="shared" si="76"/>
        <v>7</v>
      </c>
    </row>
    <row r="366" spans="2:53" ht="19.5" thickTop="1" thickBot="1" x14ac:dyDescent="0.3">
      <c r="B366" s="99">
        <f t="shared" si="65"/>
        <v>45131</v>
      </c>
      <c r="C366" s="100">
        <f t="shared" si="68"/>
        <v>45131</v>
      </c>
      <c r="D366" s="101" t="str">
        <f t="shared" si="69"/>
        <v>WE</v>
      </c>
      <c r="E366" s="102" t="str">
        <f t="shared" si="66"/>
        <v>Wochenende</v>
      </c>
      <c r="F366" s="103" t="str">
        <f t="shared" si="70"/>
        <v/>
      </c>
      <c r="G366" s="104" t="str">
        <f t="shared" si="71"/>
        <v/>
      </c>
      <c r="H366" s="104">
        <f>IFERROR(IF('ZD Vorerfassung'!$E$11="manuell",SUM(I366),IF(OR(E366="Feiertag",E366="Wochenende"),0,IF('ZD Vorerfassung'!$E$11="automatisch",AX366,IF(D366="UU","UU",IF(E366=Param2,AX366/24,IF(E366=Param9,AX366/48,"")))))),0)</f>
        <v>0</v>
      </c>
      <c r="I366" s="105"/>
      <c r="J366" s="106">
        <f>IF('ZD Vorerfassung'!$E$12="manuell",SUM(K366:AI366),IF(OR(E366="Feiertag",E366="Wochenende"),0,IF('ZD Vorerfassung'!$E$12="automatisch",AY366,IF(D366="UU","UU",IF(E366=Param2,AY366/24,IF(E366=Param9,AY366/48,""))))))</f>
        <v>0</v>
      </c>
      <c r="K366" s="105"/>
      <c r="L366" s="105"/>
      <c r="M366" s="105"/>
      <c r="N366" s="105"/>
      <c r="O366" s="105"/>
      <c r="P366" s="105"/>
      <c r="Q366" s="105"/>
      <c r="R366" s="105"/>
      <c r="S366" s="105"/>
      <c r="T366" s="105"/>
      <c r="U366" s="105"/>
      <c r="V366" s="105"/>
      <c r="W366" s="105"/>
      <c r="X366" s="105"/>
      <c r="Y366" s="105"/>
      <c r="Z366" s="105"/>
      <c r="AA366" s="105"/>
      <c r="AB366" s="105"/>
      <c r="AC366" s="105"/>
      <c r="AD366" s="105"/>
      <c r="AE366" s="105"/>
      <c r="AF366" s="105"/>
      <c r="AG366" s="105"/>
      <c r="AH366" s="105"/>
      <c r="AI366" s="105"/>
      <c r="AJ366" s="107">
        <f t="shared" si="72"/>
        <v>0</v>
      </c>
      <c r="AK366" s="105"/>
      <c r="AL366" s="105"/>
      <c r="AM366" s="105"/>
      <c r="AN366" s="105"/>
      <c r="AO366" s="105"/>
      <c r="AP366" s="105"/>
      <c r="AQ366" s="108">
        <f t="shared" si="73"/>
        <v>0</v>
      </c>
      <c r="AR366" s="108">
        <f t="shared" si="74"/>
        <v>0</v>
      </c>
      <c r="AS366" s="109">
        <f t="shared" si="75"/>
        <v>0</v>
      </c>
      <c r="AU366" s="110">
        <f t="shared" si="67"/>
        <v>0</v>
      </c>
      <c r="AV366" s="111" t="str">
        <f>IF(D366="NR",
IF('ZD Vorerfassung'!$E$22="",0,IF(AND(B366&gt;='ZD Vorerfassung'!$C$22,B366&lt;='ZD Vorerfassung'!$D$22),HLOOKUP(TEXT(C366,"ttt"),'ZD Vorerfassung'!$H$21:$L$36,2,0),0))+
IF('ZD Vorerfassung'!$E$23="",0,IF(AND(B366&gt;='ZD Vorerfassung'!$C$23,B366&lt;='ZD Vorerfassung'!$D$23),HLOOKUP(TEXT(C366,"ttt"),'ZD Vorerfassung'!$H$21:$L$36,3,0),0))+
IF('ZD Vorerfassung'!$E$24="",0,IF(AND(B366&gt;='ZD Vorerfassung'!$C$24,B366&lt;='ZD Vorerfassung'!$D$24),HLOOKUP(TEXT(C366,"ttt"),'ZD Vorerfassung'!$H$21:$L$36,4,0),0))+
IF('ZD Vorerfassung'!$E$25="",0,IF(AND(B366&gt;='ZD Vorerfassung'!$C$25,B366&lt;='ZD Vorerfassung'!$D$25),HLOOKUP(TEXT(C366,"ttt"),'ZD Vorerfassung'!$H$21:$L$36,5,0),0))+
IF('ZD Vorerfassung'!$E$26="",0,IF(AND(B366&gt;='ZD Vorerfassung'!$C$26,B366&lt;='ZD Vorerfassung'!$D$26),HLOOKUP(TEXT(C366,"ttt"),'ZD Vorerfassung'!$H$21:$L$36,6,0),0))+
IF('ZD Vorerfassung'!$E$27="",0,IF(AND(B366&gt;='ZD Vorerfassung'!$C$27,B366&lt;='ZD Vorerfassung'!$D$27),HLOOKUP(TEXT(C366,"ttt"),'ZD Vorerfassung'!$H$21:$L$36,7,0),0))+
IF('ZD Vorerfassung'!$E$28="",0,IF(AND(B366&gt;='ZD Vorerfassung'!$C$28,B366&lt;='ZD Vorerfassung'!$D$28),HLOOKUP(TEXT(C366,"ttt"),'ZD Vorerfassung'!$H$21:$L$36,8,0),0))+
IF('ZD Vorerfassung'!$E$29="",0,IF(AND(B366&gt;='ZD Vorerfassung'!$C$29,B366&lt;='ZD Vorerfassung'!$D$29),HLOOKUP(TEXT(C366,"ttt"),'ZD Vorerfassung'!$H$21:$L$36,9,0),0))+
IF('ZD Vorerfassung'!$E$30="",0,IF(AND(B366&gt;='ZD Vorerfassung'!$C$30,B366&lt;='ZD Vorerfassung'!$D$30),HLOOKUP(TEXT(C366,"ttt"),'ZD Vorerfassung'!$H$21:$L$36,10,0),0))+
IF('ZD Vorerfassung'!$E$31="",0,IF(AND(B366&gt;='ZD Vorerfassung'!$C$31,B366&lt;='ZD Vorerfassung'!$D$31),HLOOKUP(TEXT(C366,"ttt"),'ZD Vorerfassung'!$H$21:$L$36,11,0),0))+
IF('ZD Vorerfassung'!$E$32="",0,IF(AND(B366&gt;='ZD Vorerfassung'!$C$32,B366&lt;='ZD Vorerfassung'!$D$32),HLOOKUP(TEXT(C366,"ttt"),'ZD Vorerfassung'!$H$21:$L$36,12,0),0))+
IF('ZD Vorerfassung'!$E$33="",0,IF(AND(B366&gt;='ZD Vorerfassung'!$C$33,B366&lt;='ZD Vorerfassung'!$D$33),HLOOKUP(TEXT(C366,"ttt"),'ZD Vorerfassung'!$H$21:$L$36,13,0),0))+
IF('ZD Vorerfassung'!$E$34="",0,IF(AND(B366&gt;='ZD Vorerfassung'!$C$34,B366&lt;='ZD Vorerfassung'!$D$34),HLOOKUP(TEXT(C366,"ttt"),'ZD Vorerfassung'!$H$21:$L$36,14,0),0))+
IF('ZD Vorerfassung'!$E$35="",0,IF(AND(B366&gt;='ZD Vorerfassung'!$C$35,B366&lt;='ZD Vorerfassung'!$D$35),HLOOKUP(TEXT(C366,"ttt"),'ZD Vorerfassung'!$H$21:$L$36,15,0),0))+
IF('ZD Vorerfassung'!$E$36="",0,IF(AND(B366&gt;='ZD Vorerfassung'!$C$36,B366&lt;='ZD Vorerfassung'!$D$36),HLOOKUP(TEXT(C366,"ttt"),'ZD Vorerfassung'!$H$21:$L$36,16,0),0)),"")</f>
        <v/>
      </c>
      <c r="AW366" s="110">
        <f t="array" ref="AW366">IF(OR(D366="UU",D366="FT",D366="WE"),0,
IF(D366="NR",SUM(IF(B366&gt;=_xlfn.NUMBERVALUE('ZD Vorerfassung'!$C$22:$C$36),1,0)*IF(B366&lt;=_xlfn.NUMBERVALUE('ZD Vorerfassung'!$D$22:$D$36),1,0)*'ZD Vorerfassung'!$Q$22:$Q$36),
IF(OR(D366="SF",D366="FH"),SUM(IF(B366&gt;=_xlfn.NUMBERVALUE('ZD Vorerfassung'!$C$22:$C$36),1,0)*IF(B366&lt;=_xlfn.NUMBERVALUE('ZD Vorerfassung'!$D$22:$D$36),1,0)*'ZD Vorerfassung'!$R$22:$R$36*IF(D366="FH",0.5,1)),
"prüfen")))</f>
        <v>0</v>
      </c>
      <c r="AX366" s="110">
        <f t="array" ref="AX366">IF(OR(D366="UU",D366="FT",D366="WE",E366="Ferien"),0,
IF(D366="NR",SUM(IF(B366&gt;=_xlfn.NUMBERVALUE('ZD Vorerfassung'!$C$22:$C$36),1,0)*IF(B366&lt;=_xlfn.NUMBERVALUE('ZD Vorerfassung'!$D$22:$D$36),1,0)*'ZD Vorerfassung'!$W$22:$W$36),
IF(OR(D366="SF",D366="FH"),SUM(IF(B366&gt;=_xlfn.NUMBERVALUE('ZD Vorerfassung'!$C$22:$C$36),1,0)*IF(B366&lt;=_xlfn.NUMBERVALUE('ZD Vorerfassung'!$D$22:$D$36),1,0)*'ZD Vorerfassung'!$X$22:$X$36*IF(D366="FH",0.5,1)),
"prüfen")))</f>
        <v>0</v>
      </c>
      <c r="AY366" s="110">
        <f t="array" ref="AY366">IF(OR(D366="UU",D366="FT",D366="WE",E366="Ferien"),0,
IF(D366="NR",SUM(IF(B366&gt;=_xlfn.NUMBERVALUE('ZD Vorerfassung'!$C$22:$C$36),1,0)*IF(B366&lt;=_xlfn.NUMBERVALUE('ZD Vorerfassung'!$D$22:$D$36),1,0)*'ZD Vorerfassung'!$U$22:$U$36),
IF(OR(D366="SF",D366="FH"),SUM(IF(B366&gt;=_xlfn.NUMBERVALUE('ZD Vorerfassung'!$C$22:$C$36),1,0)*IF(B366&lt;=_xlfn.NUMBERVALUE('ZD Vorerfassung'!$D$22:$D$36),1,0)*'ZD Vorerfassung'!$V$22:$V$36*IF(D366="FH",0.5,1)),
"prüfen")))</f>
        <v>0</v>
      </c>
      <c r="AZ366" s="110">
        <f t="array" ref="AZ366">IF(OR(D366="UU",D366="FT",D366="WE",E366="Ferien"),0,
IF(D366="NR",SUM(IF(B366&gt;=_xlfn.NUMBERVALUE('ZD Vorerfassung'!$C$22:$C$36),1,0)*IF(B366&lt;=_xlfn.NUMBERVALUE('ZD Vorerfassung'!$D$22:$D$36),1,0)*'ZD Vorerfassung'!$S$22:$S$36),
IF(OR(D366="SF",D366="FH"),SUM(IF(B366&gt;=_xlfn.NUMBERVALUE('ZD Vorerfassung'!$C$22:$C$36),1,0)*IF(B366&lt;=_xlfn.NUMBERVALUE('ZD Vorerfassung'!$D$22:$D$36),1,0)*'ZD Vorerfassung'!$T$22:$T$36*IF(D366="FH",0.5,1)),
"prüfen")))</f>
        <v>0</v>
      </c>
      <c r="BA366" s="112">
        <f t="shared" si="76"/>
        <v>7</v>
      </c>
    </row>
    <row r="367" spans="2:53" ht="19.5" thickTop="1" thickBot="1" x14ac:dyDescent="0.3">
      <c r="B367" s="99">
        <f t="shared" si="65"/>
        <v>45132</v>
      </c>
      <c r="C367" s="100">
        <f t="shared" si="68"/>
        <v>45132</v>
      </c>
      <c r="D367" s="101" t="str">
        <f t="shared" si="69"/>
        <v>SF</v>
      </c>
      <c r="E367" s="102" t="str">
        <f t="shared" si="66"/>
        <v>unterrichtsfreie Arbeitszeit</v>
      </c>
      <c r="F367" s="103" t="str">
        <f t="shared" si="70"/>
        <v/>
      </c>
      <c r="G367" s="104" t="str">
        <f t="shared" si="71"/>
        <v/>
      </c>
      <c r="H367" s="104">
        <f>IFERROR(IF('ZD Vorerfassung'!$E$11="manuell",SUM(I367),IF(OR(E367="Feiertag",E367="Wochenende"),0,IF('ZD Vorerfassung'!$E$11="automatisch",AX367,IF(D367="UU","UU",IF(E367=Param2,AX367/24,IF(E367=Param9,AX367/48,"")))))),0)</f>
        <v>0</v>
      </c>
      <c r="I367" s="105"/>
      <c r="J367" s="106">
        <f>IF('ZD Vorerfassung'!$E$12="manuell",SUM(K367:AI367),IF(OR(E367="Feiertag",E367="Wochenende"),0,IF('ZD Vorerfassung'!$E$12="automatisch",AY367,IF(D367="UU","UU",IF(E367=Param2,AY367/24,IF(E367=Param9,AY367/48,""))))))</f>
        <v>0</v>
      </c>
      <c r="K367" s="105"/>
      <c r="L367" s="105"/>
      <c r="M367" s="105"/>
      <c r="N367" s="105"/>
      <c r="O367" s="105"/>
      <c r="P367" s="105"/>
      <c r="Q367" s="105"/>
      <c r="R367" s="105"/>
      <c r="S367" s="105"/>
      <c r="T367" s="105"/>
      <c r="U367" s="105"/>
      <c r="V367" s="105"/>
      <c r="W367" s="105"/>
      <c r="X367" s="105"/>
      <c r="Y367" s="105"/>
      <c r="Z367" s="105"/>
      <c r="AA367" s="105"/>
      <c r="AB367" s="105"/>
      <c r="AC367" s="105"/>
      <c r="AD367" s="105"/>
      <c r="AE367" s="105"/>
      <c r="AF367" s="105"/>
      <c r="AG367" s="105"/>
      <c r="AH367" s="105"/>
      <c r="AI367" s="105"/>
      <c r="AJ367" s="107">
        <f t="shared" si="72"/>
        <v>0</v>
      </c>
      <c r="AK367" s="105"/>
      <c r="AL367" s="105"/>
      <c r="AM367" s="105"/>
      <c r="AN367" s="105"/>
      <c r="AO367" s="105"/>
      <c r="AP367" s="105"/>
      <c r="AQ367" s="108">
        <f t="shared" si="73"/>
        <v>0</v>
      </c>
      <c r="AR367" s="108">
        <f t="shared" si="74"/>
        <v>0</v>
      </c>
      <c r="AS367" s="109">
        <f t="shared" si="75"/>
        <v>0</v>
      </c>
      <c r="AU367" s="110">
        <f t="shared" si="67"/>
        <v>0</v>
      </c>
      <c r="AV367" s="111" t="str">
        <f>IF(D367="NR",
IF('ZD Vorerfassung'!$E$22="",0,IF(AND(B367&gt;='ZD Vorerfassung'!$C$22,B367&lt;='ZD Vorerfassung'!$D$22),HLOOKUP(TEXT(C367,"ttt"),'ZD Vorerfassung'!$H$21:$L$36,2,0),0))+
IF('ZD Vorerfassung'!$E$23="",0,IF(AND(B367&gt;='ZD Vorerfassung'!$C$23,B367&lt;='ZD Vorerfassung'!$D$23),HLOOKUP(TEXT(C367,"ttt"),'ZD Vorerfassung'!$H$21:$L$36,3,0),0))+
IF('ZD Vorerfassung'!$E$24="",0,IF(AND(B367&gt;='ZD Vorerfassung'!$C$24,B367&lt;='ZD Vorerfassung'!$D$24),HLOOKUP(TEXT(C367,"ttt"),'ZD Vorerfassung'!$H$21:$L$36,4,0),0))+
IF('ZD Vorerfassung'!$E$25="",0,IF(AND(B367&gt;='ZD Vorerfassung'!$C$25,B367&lt;='ZD Vorerfassung'!$D$25),HLOOKUP(TEXT(C367,"ttt"),'ZD Vorerfassung'!$H$21:$L$36,5,0),0))+
IF('ZD Vorerfassung'!$E$26="",0,IF(AND(B367&gt;='ZD Vorerfassung'!$C$26,B367&lt;='ZD Vorerfassung'!$D$26),HLOOKUP(TEXT(C367,"ttt"),'ZD Vorerfassung'!$H$21:$L$36,6,0),0))+
IF('ZD Vorerfassung'!$E$27="",0,IF(AND(B367&gt;='ZD Vorerfassung'!$C$27,B367&lt;='ZD Vorerfassung'!$D$27),HLOOKUP(TEXT(C367,"ttt"),'ZD Vorerfassung'!$H$21:$L$36,7,0),0))+
IF('ZD Vorerfassung'!$E$28="",0,IF(AND(B367&gt;='ZD Vorerfassung'!$C$28,B367&lt;='ZD Vorerfassung'!$D$28),HLOOKUP(TEXT(C367,"ttt"),'ZD Vorerfassung'!$H$21:$L$36,8,0),0))+
IF('ZD Vorerfassung'!$E$29="",0,IF(AND(B367&gt;='ZD Vorerfassung'!$C$29,B367&lt;='ZD Vorerfassung'!$D$29),HLOOKUP(TEXT(C367,"ttt"),'ZD Vorerfassung'!$H$21:$L$36,9,0),0))+
IF('ZD Vorerfassung'!$E$30="",0,IF(AND(B367&gt;='ZD Vorerfassung'!$C$30,B367&lt;='ZD Vorerfassung'!$D$30),HLOOKUP(TEXT(C367,"ttt"),'ZD Vorerfassung'!$H$21:$L$36,10,0),0))+
IF('ZD Vorerfassung'!$E$31="",0,IF(AND(B367&gt;='ZD Vorerfassung'!$C$31,B367&lt;='ZD Vorerfassung'!$D$31),HLOOKUP(TEXT(C367,"ttt"),'ZD Vorerfassung'!$H$21:$L$36,11,0),0))+
IF('ZD Vorerfassung'!$E$32="",0,IF(AND(B367&gt;='ZD Vorerfassung'!$C$32,B367&lt;='ZD Vorerfassung'!$D$32),HLOOKUP(TEXT(C367,"ttt"),'ZD Vorerfassung'!$H$21:$L$36,12,0),0))+
IF('ZD Vorerfassung'!$E$33="",0,IF(AND(B367&gt;='ZD Vorerfassung'!$C$33,B367&lt;='ZD Vorerfassung'!$D$33),HLOOKUP(TEXT(C367,"ttt"),'ZD Vorerfassung'!$H$21:$L$36,13,0),0))+
IF('ZD Vorerfassung'!$E$34="",0,IF(AND(B367&gt;='ZD Vorerfassung'!$C$34,B367&lt;='ZD Vorerfassung'!$D$34),HLOOKUP(TEXT(C367,"ttt"),'ZD Vorerfassung'!$H$21:$L$36,14,0),0))+
IF('ZD Vorerfassung'!$E$35="",0,IF(AND(B367&gt;='ZD Vorerfassung'!$C$35,B367&lt;='ZD Vorerfassung'!$D$35),HLOOKUP(TEXT(C367,"ttt"),'ZD Vorerfassung'!$H$21:$L$36,15,0),0))+
IF('ZD Vorerfassung'!$E$36="",0,IF(AND(B367&gt;='ZD Vorerfassung'!$C$36,B367&lt;='ZD Vorerfassung'!$D$36),HLOOKUP(TEXT(C367,"ttt"),'ZD Vorerfassung'!$H$21:$L$36,16,0),0)),"")</f>
        <v/>
      </c>
      <c r="AW367" s="110">
        <f t="array" ref="AW367">IF(OR(D367="UU",D367="FT",D367="WE"),0,
IF(D367="NR",SUM(IF(B367&gt;=_xlfn.NUMBERVALUE('ZD Vorerfassung'!$C$22:$C$36),1,0)*IF(B367&lt;=_xlfn.NUMBERVALUE('ZD Vorerfassung'!$D$22:$D$36),1,0)*'ZD Vorerfassung'!$Q$22:$Q$36),
IF(OR(D367="SF",D367="FH"),SUM(IF(B367&gt;=_xlfn.NUMBERVALUE('ZD Vorerfassung'!$C$22:$C$36),1,0)*IF(B367&lt;=_xlfn.NUMBERVALUE('ZD Vorerfassung'!$D$22:$D$36),1,0)*'ZD Vorerfassung'!$R$22:$R$36*IF(D367="FH",0.5,1)),
"prüfen")))</f>
        <v>0</v>
      </c>
      <c r="AX367" s="110">
        <f t="array" ref="AX367">IF(OR(D367="UU",D367="FT",D367="WE",E367="Ferien"),0,
IF(D367="NR",SUM(IF(B367&gt;=_xlfn.NUMBERVALUE('ZD Vorerfassung'!$C$22:$C$36),1,0)*IF(B367&lt;=_xlfn.NUMBERVALUE('ZD Vorerfassung'!$D$22:$D$36),1,0)*'ZD Vorerfassung'!$W$22:$W$36),
IF(OR(D367="SF",D367="FH"),SUM(IF(B367&gt;=_xlfn.NUMBERVALUE('ZD Vorerfassung'!$C$22:$C$36),1,0)*IF(B367&lt;=_xlfn.NUMBERVALUE('ZD Vorerfassung'!$D$22:$D$36),1,0)*'ZD Vorerfassung'!$X$22:$X$36*IF(D367="FH",0.5,1)),
"prüfen")))</f>
        <v>0</v>
      </c>
      <c r="AY367" s="110">
        <f t="array" ref="AY367">IF(OR(D367="UU",D367="FT",D367="WE",E367="Ferien"),0,
IF(D367="NR",SUM(IF(B367&gt;=_xlfn.NUMBERVALUE('ZD Vorerfassung'!$C$22:$C$36),1,0)*IF(B367&lt;=_xlfn.NUMBERVALUE('ZD Vorerfassung'!$D$22:$D$36),1,0)*'ZD Vorerfassung'!$U$22:$U$36),
IF(OR(D367="SF",D367="FH"),SUM(IF(B367&gt;=_xlfn.NUMBERVALUE('ZD Vorerfassung'!$C$22:$C$36),1,0)*IF(B367&lt;=_xlfn.NUMBERVALUE('ZD Vorerfassung'!$D$22:$D$36),1,0)*'ZD Vorerfassung'!$V$22:$V$36*IF(D367="FH",0.5,1)),
"prüfen")))</f>
        <v>0</v>
      </c>
      <c r="AZ367" s="110">
        <f t="array" ref="AZ367">IF(OR(D367="UU",D367="FT",D367="WE",E367="Ferien"),0,
IF(D367="NR",SUM(IF(B367&gt;=_xlfn.NUMBERVALUE('ZD Vorerfassung'!$C$22:$C$36),1,0)*IF(B367&lt;=_xlfn.NUMBERVALUE('ZD Vorerfassung'!$D$22:$D$36),1,0)*'ZD Vorerfassung'!$S$22:$S$36),
IF(OR(D367="SF",D367="FH"),SUM(IF(B367&gt;=_xlfn.NUMBERVALUE('ZD Vorerfassung'!$C$22:$C$36),1,0)*IF(B367&lt;=_xlfn.NUMBERVALUE('ZD Vorerfassung'!$D$22:$D$36),1,0)*'ZD Vorerfassung'!$T$22:$T$36*IF(D367="FH",0.5,1)),
"prüfen")))</f>
        <v>0</v>
      </c>
      <c r="BA367" s="112">
        <f t="shared" si="76"/>
        <v>7</v>
      </c>
    </row>
    <row r="368" spans="2:53" ht="19.5" thickTop="1" thickBot="1" x14ac:dyDescent="0.3">
      <c r="B368" s="99">
        <f t="shared" si="65"/>
        <v>45133</v>
      </c>
      <c r="C368" s="100">
        <f t="shared" si="68"/>
        <v>45133</v>
      </c>
      <c r="D368" s="101" t="str">
        <f t="shared" si="69"/>
        <v>SF</v>
      </c>
      <c r="E368" s="102" t="str">
        <f t="shared" si="66"/>
        <v>unterrichtsfreie Arbeitszeit</v>
      </c>
      <c r="F368" s="103" t="str">
        <f t="shared" si="70"/>
        <v/>
      </c>
      <c r="G368" s="104" t="str">
        <f t="shared" si="71"/>
        <v/>
      </c>
      <c r="H368" s="104">
        <f>IFERROR(IF('ZD Vorerfassung'!$E$11="manuell",SUM(I368),IF(OR(E368="Feiertag",E368="Wochenende"),0,IF('ZD Vorerfassung'!$E$11="automatisch",AX368,IF(D368="UU","UU",IF(E368=Param2,AX368/24,IF(E368=Param9,AX368/48,"")))))),0)</f>
        <v>0</v>
      </c>
      <c r="I368" s="105"/>
      <c r="J368" s="106">
        <f>IF('ZD Vorerfassung'!$E$12="manuell",SUM(K368:AI368),IF(OR(E368="Feiertag",E368="Wochenende"),0,IF('ZD Vorerfassung'!$E$12="automatisch",AY368,IF(D368="UU","UU",IF(E368=Param2,AY368/24,IF(E368=Param9,AY368/48,""))))))</f>
        <v>0</v>
      </c>
      <c r="K368" s="105"/>
      <c r="L368" s="105"/>
      <c r="M368" s="105"/>
      <c r="N368" s="105"/>
      <c r="O368" s="105"/>
      <c r="P368" s="105"/>
      <c r="Q368" s="105"/>
      <c r="R368" s="105"/>
      <c r="S368" s="105"/>
      <c r="T368" s="105"/>
      <c r="U368" s="105"/>
      <c r="V368" s="105"/>
      <c r="W368" s="105"/>
      <c r="X368" s="105"/>
      <c r="Y368" s="105"/>
      <c r="Z368" s="105"/>
      <c r="AA368" s="105"/>
      <c r="AB368" s="105"/>
      <c r="AC368" s="105"/>
      <c r="AD368" s="105"/>
      <c r="AE368" s="105"/>
      <c r="AF368" s="105"/>
      <c r="AG368" s="105"/>
      <c r="AH368" s="105"/>
      <c r="AI368" s="105"/>
      <c r="AJ368" s="107">
        <f t="shared" si="72"/>
        <v>0</v>
      </c>
      <c r="AK368" s="105"/>
      <c r="AL368" s="105"/>
      <c r="AM368" s="105"/>
      <c r="AN368" s="105"/>
      <c r="AO368" s="105"/>
      <c r="AP368" s="105"/>
      <c r="AQ368" s="108">
        <f t="shared" si="73"/>
        <v>0</v>
      </c>
      <c r="AR368" s="108">
        <f t="shared" si="74"/>
        <v>0</v>
      </c>
      <c r="AS368" s="109">
        <f t="shared" si="75"/>
        <v>0</v>
      </c>
      <c r="AU368" s="110">
        <f t="shared" si="67"/>
        <v>0</v>
      </c>
      <c r="AV368" s="111" t="str">
        <f>IF(D368="NR",
IF('ZD Vorerfassung'!$E$22="",0,IF(AND(B368&gt;='ZD Vorerfassung'!$C$22,B368&lt;='ZD Vorerfassung'!$D$22),HLOOKUP(TEXT(C368,"ttt"),'ZD Vorerfassung'!$H$21:$L$36,2,0),0))+
IF('ZD Vorerfassung'!$E$23="",0,IF(AND(B368&gt;='ZD Vorerfassung'!$C$23,B368&lt;='ZD Vorerfassung'!$D$23),HLOOKUP(TEXT(C368,"ttt"),'ZD Vorerfassung'!$H$21:$L$36,3,0),0))+
IF('ZD Vorerfassung'!$E$24="",0,IF(AND(B368&gt;='ZD Vorerfassung'!$C$24,B368&lt;='ZD Vorerfassung'!$D$24),HLOOKUP(TEXT(C368,"ttt"),'ZD Vorerfassung'!$H$21:$L$36,4,0),0))+
IF('ZD Vorerfassung'!$E$25="",0,IF(AND(B368&gt;='ZD Vorerfassung'!$C$25,B368&lt;='ZD Vorerfassung'!$D$25),HLOOKUP(TEXT(C368,"ttt"),'ZD Vorerfassung'!$H$21:$L$36,5,0),0))+
IF('ZD Vorerfassung'!$E$26="",0,IF(AND(B368&gt;='ZD Vorerfassung'!$C$26,B368&lt;='ZD Vorerfassung'!$D$26),HLOOKUP(TEXT(C368,"ttt"),'ZD Vorerfassung'!$H$21:$L$36,6,0),0))+
IF('ZD Vorerfassung'!$E$27="",0,IF(AND(B368&gt;='ZD Vorerfassung'!$C$27,B368&lt;='ZD Vorerfassung'!$D$27),HLOOKUP(TEXT(C368,"ttt"),'ZD Vorerfassung'!$H$21:$L$36,7,0),0))+
IF('ZD Vorerfassung'!$E$28="",0,IF(AND(B368&gt;='ZD Vorerfassung'!$C$28,B368&lt;='ZD Vorerfassung'!$D$28),HLOOKUP(TEXT(C368,"ttt"),'ZD Vorerfassung'!$H$21:$L$36,8,0),0))+
IF('ZD Vorerfassung'!$E$29="",0,IF(AND(B368&gt;='ZD Vorerfassung'!$C$29,B368&lt;='ZD Vorerfassung'!$D$29),HLOOKUP(TEXT(C368,"ttt"),'ZD Vorerfassung'!$H$21:$L$36,9,0),0))+
IF('ZD Vorerfassung'!$E$30="",0,IF(AND(B368&gt;='ZD Vorerfassung'!$C$30,B368&lt;='ZD Vorerfassung'!$D$30),HLOOKUP(TEXT(C368,"ttt"),'ZD Vorerfassung'!$H$21:$L$36,10,0),0))+
IF('ZD Vorerfassung'!$E$31="",0,IF(AND(B368&gt;='ZD Vorerfassung'!$C$31,B368&lt;='ZD Vorerfassung'!$D$31),HLOOKUP(TEXT(C368,"ttt"),'ZD Vorerfassung'!$H$21:$L$36,11,0),0))+
IF('ZD Vorerfassung'!$E$32="",0,IF(AND(B368&gt;='ZD Vorerfassung'!$C$32,B368&lt;='ZD Vorerfassung'!$D$32),HLOOKUP(TEXT(C368,"ttt"),'ZD Vorerfassung'!$H$21:$L$36,12,0),0))+
IF('ZD Vorerfassung'!$E$33="",0,IF(AND(B368&gt;='ZD Vorerfassung'!$C$33,B368&lt;='ZD Vorerfassung'!$D$33),HLOOKUP(TEXT(C368,"ttt"),'ZD Vorerfassung'!$H$21:$L$36,13,0),0))+
IF('ZD Vorerfassung'!$E$34="",0,IF(AND(B368&gt;='ZD Vorerfassung'!$C$34,B368&lt;='ZD Vorerfassung'!$D$34),HLOOKUP(TEXT(C368,"ttt"),'ZD Vorerfassung'!$H$21:$L$36,14,0),0))+
IF('ZD Vorerfassung'!$E$35="",0,IF(AND(B368&gt;='ZD Vorerfassung'!$C$35,B368&lt;='ZD Vorerfassung'!$D$35),HLOOKUP(TEXT(C368,"ttt"),'ZD Vorerfassung'!$H$21:$L$36,15,0),0))+
IF('ZD Vorerfassung'!$E$36="",0,IF(AND(B368&gt;='ZD Vorerfassung'!$C$36,B368&lt;='ZD Vorerfassung'!$D$36),HLOOKUP(TEXT(C368,"ttt"),'ZD Vorerfassung'!$H$21:$L$36,16,0),0)),"")</f>
        <v/>
      </c>
      <c r="AW368" s="110">
        <f t="array" ref="AW368">IF(OR(D368="UU",D368="FT",D368="WE"),0,
IF(D368="NR",SUM(IF(B368&gt;=_xlfn.NUMBERVALUE('ZD Vorerfassung'!$C$22:$C$36),1,0)*IF(B368&lt;=_xlfn.NUMBERVALUE('ZD Vorerfassung'!$D$22:$D$36),1,0)*'ZD Vorerfassung'!$Q$22:$Q$36),
IF(OR(D368="SF",D368="FH"),SUM(IF(B368&gt;=_xlfn.NUMBERVALUE('ZD Vorerfassung'!$C$22:$C$36),1,0)*IF(B368&lt;=_xlfn.NUMBERVALUE('ZD Vorerfassung'!$D$22:$D$36),1,0)*'ZD Vorerfassung'!$R$22:$R$36*IF(D368="FH",0.5,1)),
"prüfen")))</f>
        <v>0</v>
      </c>
      <c r="AX368" s="110">
        <f t="array" ref="AX368">IF(OR(D368="UU",D368="FT",D368="WE",E368="Ferien"),0,
IF(D368="NR",SUM(IF(B368&gt;=_xlfn.NUMBERVALUE('ZD Vorerfassung'!$C$22:$C$36),1,0)*IF(B368&lt;=_xlfn.NUMBERVALUE('ZD Vorerfassung'!$D$22:$D$36),1,0)*'ZD Vorerfassung'!$W$22:$W$36),
IF(OR(D368="SF",D368="FH"),SUM(IF(B368&gt;=_xlfn.NUMBERVALUE('ZD Vorerfassung'!$C$22:$C$36),1,0)*IF(B368&lt;=_xlfn.NUMBERVALUE('ZD Vorerfassung'!$D$22:$D$36),1,0)*'ZD Vorerfassung'!$X$22:$X$36*IF(D368="FH",0.5,1)),
"prüfen")))</f>
        <v>0</v>
      </c>
      <c r="AY368" s="110">
        <f t="array" ref="AY368">IF(OR(D368="UU",D368="FT",D368="WE",E368="Ferien"),0,
IF(D368="NR",SUM(IF(B368&gt;=_xlfn.NUMBERVALUE('ZD Vorerfassung'!$C$22:$C$36),1,0)*IF(B368&lt;=_xlfn.NUMBERVALUE('ZD Vorerfassung'!$D$22:$D$36),1,0)*'ZD Vorerfassung'!$U$22:$U$36),
IF(OR(D368="SF",D368="FH"),SUM(IF(B368&gt;=_xlfn.NUMBERVALUE('ZD Vorerfassung'!$C$22:$C$36),1,0)*IF(B368&lt;=_xlfn.NUMBERVALUE('ZD Vorerfassung'!$D$22:$D$36),1,0)*'ZD Vorerfassung'!$V$22:$V$36*IF(D368="FH",0.5,1)),
"prüfen")))</f>
        <v>0</v>
      </c>
      <c r="AZ368" s="110">
        <f t="array" ref="AZ368">IF(OR(D368="UU",D368="FT",D368="WE",E368="Ferien"),0,
IF(D368="NR",SUM(IF(B368&gt;=_xlfn.NUMBERVALUE('ZD Vorerfassung'!$C$22:$C$36),1,0)*IF(B368&lt;=_xlfn.NUMBERVALUE('ZD Vorerfassung'!$D$22:$D$36),1,0)*'ZD Vorerfassung'!$S$22:$S$36),
IF(OR(D368="SF",D368="FH"),SUM(IF(B368&gt;=_xlfn.NUMBERVALUE('ZD Vorerfassung'!$C$22:$C$36),1,0)*IF(B368&lt;=_xlfn.NUMBERVALUE('ZD Vorerfassung'!$D$22:$D$36),1,0)*'ZD Vorerfassung'!$T$22:$T$36*IF(D368="FH",0.5,1)),
"prüfen")))</f>
        <v>0</v>
      </c>
      <c r="BA368" s="112">
        <f t="shared" si="76"/>
        <v>7</v>
      </c>
    </row>
    <row r="369" spans="2:53" ht="19.5" thickTop="1" thickBot="1" x14ac:dyDescent="0.3">
      <c r="B369" s="99">
        <f t="shared" si="65"/>
        <v>45134</v>
      </c>
      <c r="C369" s="100">
        <f t="shared" si="68"/>
        <v>45134</v>
      </c>
      <c r="D369" s="101" t="str">
        <f t="shared" si="69"/>
        <v>SF</v>
      </c>
      <c r="E369" s="102" t="str">
        <f t="shared" si="66"/>
        <v>unterrichtsfreie Arbeitszeit</v>
      </c>
      <c r="F369" s="103" t="str">
        <f t="shared" si="70"/>
        <v/>
      </c>
      <c r="G369" s="104" t="str">
        <f t="shared" si="71"/>
        <v/>
      </c>
      <c r="H369" s="104">
        <f>IFERROR(IF('ZD Vorerfassung'!$E$11="manuell",SUM(I369),IF(OR(E369="Feiertag",E369="Wochenende"),0,IF('ZD Vorerfassung'!$E$11="automatisch",AX369,IF(D369="UU","UU",IF(E369=Param2,AX369/24,IF(E369=Param9,AX369/48,"")))))),0)</f>
        <v>0</v>
      </c>
      <c r="I369" s="105"/>
      <c r="J369" s="106">
        <f>IF('ZD Vorerfassung'!$E$12="manuell",SUM(K369:AI369),IF(OR(E369="Feiertag",E369="Wochenende"),0,IF('ZD Vorerfassung'!$E$12="automatisch",AY369,IF(D369="UU","UU",IF(E369=Param2,AY369/24,IF(E369=Param9,AY369/48,""))))))</f>
        <v>0</v>
      </c>
      <c r="K369" s="105"/>
      <c r="L369" s="105"/>
      <c r="M369" s="105"/>
      <c r="N369" s="105"/>
      <c r="O369" s="105"/>
      <c r="P369" s="105"/>
      <c r="Q369" s="105"/>
      <c r="R369" s="105"/>
      <c r="S369" s="105"/>
      <c r="T369" s="105"/>
      <c r="U369" s="105"/>
      <c r="V369" s="105"/>
      <c r="W369" s="105"/>
      <c r="X369" s="105"/>
      <c r="Y369" s="105"/>
      <c r="Z369" s="105"/>
      <c r="AA369" s="105"/>
      <c r="AB369" s="105"/>
      <c r="AC369" s="105"/>
      <c r="AD369" s="105"/>
      <c r="AE369" s="105"/>
      <c r="AF369" s="105"/>
      <c r="AG369" s="105"/>
      <c r="AH369" s="105"/>
      <c r="AI369" s="105"/>
      <c r="AJ369" s="107">
        <f t="shared" si="72"/>
        <v>0</v>
      </c>
      <c r="AK369" s="105"/>
      <c r="AL369" s="105"/>
      <c r="AM369" s="105"/>
      <c r="AN369" s="105"/>
      <c r="AO369" s="105"/>
      <c r="AP369" s="105"/>
      <c r="AQ369" s="108">
        <f t="shared" si="73"/>
        <v>0</v>
      </c>
      <c r="AR369" s="108">
        <f t="shared" si="74"/>
        <v>0</v>
      </c>
      <c r="AS369" s="109">
        <f t="shared" si="75"/>
        <v>0</v>
      </c>
      <c r="AU369" s="110">
        <f t="shared" si="67"/>
        <v>0</v>
      </c>
      <c r="AV369" s="111" t="str">
        <f>IF(D369="NR",
IF('ZD Vorerfassung'!$E$22="",0,IF(AND(B369&gt;='ZD Vorerfassung'!$C$22,B369&lt;='ZD Vorerfassung'!$D$22),HLOOKUP(TEXT(C369,"ttt"),'ZD Vorerfassung'!$H$21:$L$36,2,0),0))+
IF('ZD Vorerfassung'!$E$23="",0,IF(AND(B369&gt;='ZD Vorerfassung'!$C$23,B369&lt;='ZD Vorerfassung'!$D$23),HLOOKUP(TEXT(C369,"ttt"),'ZD Vorerfassung'!$H$21:$L$36,3,0),0))+
IF('ZD Vorerfassung'!$E$24="",0,IF(AND(B369&gt;='ZD Vorerfassung'!$C$24,B369&lt;='ZD Vorerfassung'!$D$24),HLOOKUP(TEXT(C369,"ttt"),'ZD Vorerfassung'!$H$21:$L$36,4,0),0))+
IF('ZD Vorerfassung'!$E$25="",0,IF(AND(B369&gt;='ZD Vorerfassung'!$C$25,B369&lt;='ZD Vorerfassung'!$D$25),HLOOKUP(TEXT(C369,"ttt"),'ZD Vorerfassung'!$H$21:$L$36,5,0),0))+
IF('ZD Vorerfassung'!$E$26="",0,IF(AND(B369&gt;='ZD Vorerfassung'!$C$26,B369&lt;='ZD Vorerfassung'!$D$26),HLOOKUP(TEXT(C369,"ttt"),'ZD Vorerfassung'!$H$21:$L$36,6,0),0))+
IF('ZD Vorerfassung'!$E$27="",0,IF(AND(B369&gt;='ZD Vorerfassung'!$C$27,B369&lt;='ZD Vorerfassung'!$D$27),HLOOKUP(TEXT(C369,"ttt"),'ZD Vorerfassung'!$H$21:$L$36,7,0),0))+
IF('ZD Vorerfassung'!$E$28="",0,IF(AND(B369&gt;='ZD Vorerfassung'!$C$28,B369&lt;='ZD Vorerfassung'!$D$28),HLOOKUP(TEXT(C369,"ttt"),'ZD Vorerfassung'!$H$21:$L$36,8,0),0))+
IF('ZD Vorerfassung'!$E$29="",0,IF(AND(B369&gt;='ZD Vorerfassung'!$C$29,B369&lt;='ZD Vorerfassung'!$D$29),HLOOKUP(TEXT(C369,"ttt"),'ZD Vorerfassung'!$H$21:$L$36,9,0),0))+
IF('ZD Vorerfassung'!$E$30="",0,IF(AND(B369&gt;='ZD Vorerfassung'!$C$30,B369&lt;='ZD Vorerfassung'!$D$30),HLOOKUP(TEXT(C369,"ttt"),'ZD Vorerfassung'!$H$21:$L$36,10,0),0))+
IF('ZD Vorerfassung'!$E$31="",0,IF(AND(B369&gt;='ZD Vorerfassung'!$C$31,B369&lt;='ZD Vorerfassung'!$D$31),HLOOKUP(TEXT(C369,"ttt"),'ZD Vorerfassung'!$H$21:$L$36,11,0),0))+
IF('ZD Vorerfassung'!$E$32="",0,IF(AND(B369&gt;='ZD Vorerfassung'!$C$32,B369&lt;='ZD Vorerfassung'!$D$32),HLOOKUP(TEXT(C369,"ttt"),'ZD Vorerfassung'!$H$21:$L$36,12,0),0))+
IF('ZD Vorerfassung'!$E$33="",0,IF(AND(B369&gt;='ZD Vorerfassung'!$C$33,B369&lt;='ZD Vorerfassung'!$D$33),HLOOKUP(TEXT(C369,"ttt"),'ZD Vorerfassung'!$H$21:$L$36,13,0),0))+
IF('ZD Vorerfassung'!$E$34="",0,IF(AND(B369&gt;='ZD Vorerfassung'!$C$34,B369&lt;='ZD Vorerfassung'!$D$34),HLOOKUP(TEXT(C369,"ttt"),'ZD Vorerfassung'!$H$21:$L$36,14,0),0))+
IF('ZD Vorerfassung'!$E$35="",0,IF(AND(B369&gt;='ZD Vorerfassung'!$C$35,B369&lt;='ZD Vorerfassung'!$D$35),HLOOKUP(TEXT(C369,"ttt"),'ZD Vorerfassung'!$H$21:$L$36,15,0),0))+
IF('ZD Vorerfassung'!$E$36="",0,IF(AND(B369&gt;='ZD Vorerfassung'!$C$36,B369&lt;='ZD Vorerfassung'!$D$36),HLOOKUP(TEXT(C369,"ttt"),'ZD Vorerfassung'!$H$21:$L$36,16,0),0)),"")</f>
        <v/>
      </c>
      <c r="AW369" s="110">
        <f t="array" ref="AW369">IF(OR(D369="UU",D369="FT",D369="WE"),0,
IF(D369="NR",SUM(IF(B369&gt;=_xlfn.NUMBERVALUE('ZD Vorerfassung'!$C$22:$C$36),1,0)*IF(B369&lt;=_xlfn.NUMBERVALUE('ZD Vorerfassung'!$D$22:$D$36),1,0)*'ZD Vorerfassung'!$Q$22:$Q$36),
IF(OR(D369="SF",D369="FH"),SUM(IF(B369&gt;=_xlfn.NUMBERVALUE('ZD Vorerfassung'!$C$22:$C$36),1,0)*IF(B369&lt;=_xlfn.NUMBERVALUE('ZD Vorerfassung'!$D$22:$D$36),1,0)*'ZD Vorerfassung'!$R$22:$R$36*IF(D369="FH",0.5,1)),
"prüfen")))</f>
        <v>0</v>
      </c>
      <c r="AX369" s="110">
        <f t="array" ref="AX369">IF(OR(D369="UU",D369="FT",D369="WE",E369="Ferien"),0,
IF(D369="NR",SUM(IF(B369&gt;=_xlfn.NUMBERVALUE('ZD Vorerfassung'!$C$22:$C$36),1,0)*IF(B369&lt;=_xlfn.NUMBERVALUE('ZD Vorerfassung'!$D$22:$D$36),1,0)*'ZD Vorerfassung'!$W$22:$W$36),
IF(OR(D369="SF",D369="FH"),SUM(IF(B369&gt;=_xlfn.NUMBERVALUE('ZD Vorerfassung'!$C$22:$C$36),1,0)*IF(B369&lt;=_xlfn.NUMBERVALUE('ZD Vorerfassung'!$D$22:$D$36),1,0)*'ZD Vorerfassung'!$X$22:$X$36*IF(D369="FH",0.5,1)),
"prüfen")))</f>
        <v>0</v>
      </c>
      <c r="AY369" s="110">
        <f t="array" ref="AY369">IF(OR(D369="UU",D369="FT",D369="WE",E369="Ferien"),0,
IF(D369="NR",SUM(IF(B369&gt;=_xlfn.NUMBERVALUE('ZD Vorerfassung'!$C$22:$C$36),1,0)*IF(B369&lt;=_xlfn.NUMBERVALUE('ZD Vorerfassung'!$D$22:$D$36),1,0)*'ZD Vorerfassung'!$U$22:$U$36),
IF(OR(D369="SF",D369="FH"),SUM(IF(B369&gt;=_xlfn.NUMBERVALUE('ZD Vorerfassung'!$C$22:$C$36),1,0)*IF(B369&lt;=_xlfn.NUMBERVALUE('ZD Vorerfassung'!$D$22:$D$36),1,0)*'ZD Vorerfassung'!$V$22:$V$36*IF(D369="FH",0.5,1)),
"prüfen")))</f>
        <v>0</v>
      </c>
      <c r="AZ369" s="110">
        <f t="array" ref="AZ369">IF(OR(D369="UU",D369="FT",D369="WE",E369="Ferien"),0,
IF(D369="NR",SUM(IF(B369&gt;=_xlfn.NUMBERVALUE('ZD Vorerfassung'!$C$22:$C$36),1,0)*IF(B369&lt;=_xlfn.NUMBERVALUE('ZD Vorerfassung'!$D$22:$D$36),1,0)*'ZD Vorerfassung'!$S$22:$S$36),
IF(OR(D369="SF",D369="FH"),SUM(IF(B369&gt;=_xlfn.NUMBERVALUE('ZD Vorerfassung'!$C$22:$C$36),1,0)*IF(B369&lt;=_xlfn.NUMBERVALUE('ZD Vorerfassung'!$D$22:$D$36),1,0)*'ZD Vorerfassung'!$T$22:$T$36*IF(D369="FH",0.5,1)),
"prüfen")))</f>
        <v>0</v>
      </c>
      <c r="BA369" s="112">
        <f t="shared" si="76"/>
        <v>7</v>
      </c>
    </row>
    <row r="370" spans="2:53" ht="19.5" thickTop="1" thickBot="1" x14ac:dyDescent="0.3">
      <c r="B370" s="99">
        <f t="shared" si="65"/>
        <v>45135</v>
      </c>
      <c r="C370" s="100">
        <f t="shared" si="68"/>
        <v>45135</v>
      </c>
      <c r="D370" s="101" t="str">
        <f t="shared" si="69"/>
        <v>SF</v>
      </c>
      <c r="E370" s="102" t="str">
        <f t="shared" si="66"/>
        <v>unterrichtsfreie Arbeitszeit</v>
      </c>
      <c r="F370" s="103" t="str">
        <f t="shared" si="70"/>
        <v/>
      </c>
      <c r="G370" s="104" t="str">
        <f t="shared" si="71"/>
        <v/>
      </c>
      <c r="H370" s="104">
        <f>IFERROR(IF('ZD Vorerfassung'!$E$11="manuell",SUM(I370),IF(OR(E370="Feiertag",E370="Wochenende"),0,IF('ZD Vorerfassung'!$E$11="automatisch",AX370,IF(D370="UU","UU",IF(E370=Param2,AX370/24,IF(E370=Param9,AX370/48,"")))))),0)</f>
        <v>0</v>
      </c>
      <c r="I370" s="105"/>
      <c r="J370" s="106">
        <f>IF('ZD Vorerfassung'!$E$12="manuell",SUM(K370:AI370),IF(OR(E370="Feiertag",E370="Wochenende"),0,IF('ZD Vorerfassung'!$E$12="automatisch",AY370,IF(D370="UU","UU",IF(E370=Param2,AY370/24,IF(E370=Param9,AY370/48,""))))))</f>
        <v>0</v>
      </c>
      <c r="K370" s="105"/>
      <c r="L370" s="105"/>
      <c r="M370" s="105"/>
      <c r="N370" s="105"/>
      <c r="O370" s="105"/>
      <c r="P370" s="105"/>
      <c r="Q370" s="105"/>
      <c r="R370" s="105"/>
      <c r="S370" s="105"/>
      <c r="T370" s="105"/>
      <c r="U370" s="105"/>
      <c r="V370" s="105"/>
      <c r="W370" s="105"/>
      <c r="X370" s="105"/>
      <c r="Y370" s="105"/>
      <c r="Z370" s="105"/>
      <c r="AA370" s="105"/>
      <c r="AB370" s="105"/>
      <c r="AC370" s="105"/>
      <c r="AD370" s="105"/>
      <c r="AE370" s="105"/>
      <c r="AF370" s="105"/>
      <c r="AG370" s="105"/>
      <c r="AH370" s="105"/>
      <c r="AI370" s="105"/>
      <c r="AJ370" s="107">
        <f t="shared" si="72"/>
        <v>0</v>
      </c>
      <c r="AK370" s="105"/>
      <c r="AL370" s="105"/>
      <c r="AM370" s="105"/>
      <c r="AN370" s="105"/>
      <c r="AO370" s="105"/>
      <c r="AP370" s="105"/>
      <c r="AQ370" s="108">
        <f t="shared" si="73"/>
        <v>0</v>
      </c>
      <c r="AR370" s="108">
        <f t="shared" si="74"/>
        <v>0</v>
      </c>
      <c r="AS370" s="109">
        <f t="shared" si="75"/>
        <v>0</v>
      </c>
      <c r="AU370" s="110">
        <f t="shared" si="67"/>
        <v>0</v>
      </c>
      <c r="AV370" s="111" t="str">
        <f>IF(D370="NR",
IF('ZD Vorerfassung'!$E$22="",0,IF(AND(B370&gt;='ZD Vorerfassung'!$C$22,B370&lt;='ZD Vorerfassung'!$D$22),HLOOKUP(TEXT(C370,"ttt"),'ZD Vorerfassung'!$H$21:$L$36,2,0),0))+
IF('ZD Vorerfassung'!$E$23="",0,IF(AND(B370&gt;='ZD Vorerfassung'!$C$23,B370&lt;='ZD Vorerfassung'!$D$23),HLOOKUP(TEXT(C370,"ttt"),'ZD Vorerfassung'!$H$21:$L$36,3,0),0))+
IF('ZD Vorerfassung'!$E$24="",0,IF(AND(B370&gt;='ZD Vorerfassung'!$C$24,B370&lt;='ZD Vorerfassung'!$D$24),HLOOKUP(TEXT(C370,"ttt"),'ZD Vorerfassung'!$H$21:$L$36,4,0),0))+
IF('ZD Vorerfassung'!$E$25="",0,IF(AND(B370&gt;='ZD Vorerfassung'!$C$25,B370&lt;='ZD Vorerfassung'!$D$25),HLOOKUP(TEXT(C370,"ttt"),'ZD Vorerfassung'!$H$21:$L$36,5,0),0))+
IF('ZD Vorerfassung'!$E$26="",0,IF(AND(B370&gt;='ZD Vorerfassung'!$C$26,B370&lt;='ZD Vorerfassung'!$D$26),HLOOKUP(TEXT(C370,"ttt"),'ZD Vorerfassung'!$H$21:$L$36,6,0),0))+
IF('ZD Vorerfassung'!$E$27="",0,IF(AND(B370&gt;='ZD Vorerfassung'!$C$27,B370&lt;='ZD Vorerfassung'!$D$27),HLOOKUP(TEXT(C370,"ttt"),'ZD Vorerfassung'!$H$21:$L$36,7,0),0))+
IF('ZD Vorerfassung'!$E$28="",0,IF(AND(B370&gt;='ZD Vorerfassung'!$C$28,B370&lt;='ZD Vorerfassung'!$D$28),HLOOKUP(TEXT(C370,"ttt"),'ZD Vorerfassung'!$H$21:$L$36,8,0),0))+
IF('ZD Vorerfassung'!$E$29="",0,IF(AND(B370&gt;='ZD Vorerfassung'!$C$29,B370&lt;='ZD Vorerfassung'!$D$29),HLOOKUP(TEXT(C370,"ttt"),'ZD Vorerfassung'!$H$21:$L$36,9,0),0))+
IF('ZD Vorerfassung'!$E$30="",0,IF(AND(B370&gt;='ZD Vorerfassung'!$C$30,B370&lt;='ZD Vorerfassung'!$D$30),HLOOKUP(TEXT(C370,"ttt"),'ZD Vorerfassung'!$H$21:$L$36,10,0),0))+
IF('ZD Vorerfassung'!$E$31="",0,IF(AND(B370&gt;='ZD Vorerfassung'!$C$31,B370&lt;='ZD Vorerfassung'!$D$31),HLOOKUP(TEXT(C370,"ttt"),'ZD Vorerfassung'!$H$21:$L$36,11,0),0))+
IF('ZD Vorerfassung'!$E$32="",0,IF(AND(B370&gt;='ZD Vorerfassung'!$C$32,B370&lt;='ZD Vorerfassung'!$D$32),HLOOKUP(TEXT(C370,"ttt"),'ZD Vorerfassung'!$H$21:$L$36,12,0),0))+
IF('ZD Vorerfassung'!$E$33="",0,IF(AND(B370&gt;='ZD Vorerfassung'!$C$33,B370&lt;='ZD Vorerfassung'!$D$33),HLOOKUP(TEXT(C370,"ttt"),'ZD Vorerfassung'!$H$21:$L$36,13,0),0))+
IF('ZD Vorerfassung'!$E$34="",0,IF(AND(B370&gt;='ZD Vorerfassung'!$C$34,B370&lt;='ZD Vorerfassung'!$D$34),HLOOKUP(TEXT(C370,"ttt"),'ZD Vorerfassung'!$H$21:$L$36,14,0),0))+
IF('ZD Vorerfassung'!$E$35="",0,IF(AND(B370&gt;='ZD Vorerfassung'!$C$35,B370&lt;='ZD Vorerfassung'!$D$35),HLOOKUP(TEXT(C370,"ttt"),'ZD Vorerfassung'!$H$21:$L$36,15,0),0))+
IF('ZD Vorerfassung'!$E$36="",0,IF(AND(B370&gt;='ZD Vorerfassung'!$C$36,B370&lt;='ZD Vorerfassung'!$D$36),HLOOKUP(TEXT(C370,"ttt"),'ZD Vorerfassung'!$H$21:$L$36,16,0),0)),"")</f>
        <v/>
      </c>
      <c r="AW370" s="110">
        <f t="array" ref="AW370">IF(OR(D370="UU",D370="FT",D370="WE"),0,
IF(D370="NR",SUM(IF(B370&gt;=_xlfn.NUMBERVALUE('ZD Vorerfassung'!$C$22:$C$36),1,0)*IF(B370&lt;=_xlfn.NUMBERVALUE('ZD Vorerfassung'!$D$22:$D$36),1,0)*'ZD Vorerfassung'!$Q$22:$Q$36),
IF(OR(D370="SF",D370="FH"),SUM(IF(B370&gt;=_xlfn.NUMBERVALUE('ZD Vorerfassung'!$C$22:$C$36),1,0)*IF(B370&lt;=_xlfn.NUMBERVALUE('ZD Vorerfassung'!$D$22:$D$36),1,0)*'ZD Vorerfassung'!$R$22:$R$36*IF(D370="FH",0.5,1)),
"prüfen")))</f>
        <v>0</v>
      </c>
      <c r="AX370" s="110">
        <f t="array" ref="AX370">IF(OR(D370="UU",D370="FT",D370="WE",E370="Ferien"),0,
IF(D370="NR",SUM(IF(B370&gt;=_xlfn.NUMBERVALUE('ZD Vorerfassung'!$C$22:$C$36),1,0)*IF(B370&lt;=_xlfn.NUMBERVALUE('ZD Vorerfassung'!$D$22:$D$36),1,0)*'ZD Vorerfassung'!$W$22:$W$36),
IF(OR(D370="SF",D370="FH"),SUM(IF(B370&gt;=_xlfn.NUMBERVALUE('ZD Vorerfassung'!$C$22:$C$36),1,0)*IF(B370&lt;=_xlfn.NUMBERVALUE('ZD Vorerfassung'!$D$22:$D$36),1,0)*'ZD Vorerfassung'!$X$22:$X$36*IF(D370="FH",0.5,1)),
"prüfen")))</f>
        <v>0</v>
      </c>
      <c r="AY370" s="110">
        <f t="array" ref="AY370">IF(OR(D370="UU",D370="FT",D370="WE",E370="Ferien"),0,
IF(D370="NR",SUM(IF(B370&gt;=_xlfn.NUMBERVALUE('ZD Vorerfassung'!$C$22:$C$36),1,0)*IF(B370&lt;=_xlfn.NUMBERVALUE('ZD Vorerfassung'!$D$22:$D$36),1,0)*'ZD Vorerfassung'!$U$22:$U$36),
IF(OR(D370="SF",D370="FH"),SUM(IF(B370&gt;=_xlfn.NUMBERVALUE('ZD Vorerfassung'!$C$22:$C$36),1,0)*IF(B370&lt;=_xlfn.NUMBERVALUE('ZD Vorerfassung'!$D$22:$D$36),1,0)*'ZD Vorerfassung'!$V$22:$V$36*IF(D370="FH",0.5,1)),
"prüfen")))</f>
        <v>0</v>
      </c>
      <c r="AZ370" s="110">
        <f t="array" ref="AZ370">IF(OR(D370="UU",D370="FT",D370="WE",E370="Ferien"),0,
IF(D370="NR",SUM(IF(B370&gt;=_xlfn.NUMBERVALUE('ZD Vorerfassung'!$C$22:$C$36),1,0)*IF(B370&lt;=_xlfn.NUMBERVALUE('ZD Vorerfassung'!$D$22:$D$36),1,0)*'ZD Vorerfassung'!$S$22:$S$36),
IF(OR(D370="SF",D370="FH"),SUM(IF(B370&gt;=_xlfn.NUMBERVALUE('ZD Vorerfassung'!$C$22:$C$36),1,0)*IF(B370&lt;=_xlfn.NUMBERVALUE('ZD Vorerfassung'!$D$22:$D$36),1,0)*'ZD Vorerfassung'!$T$22:$T$36*IF(D370="FH",0.5,1)),
"prüfen")))</f>
        <v>0</v>
      </c>
      <c r="BA370" s="112">
        <f t="shared" si="76"/>
        <v>7</v>
      </c>
    </row>
    <row r="371" spans="2:53" ht="19.5" thickTop="1" thickBot="1" x14ac:dyDescent="0.3">
      <c r="B371" s="99">
        <f t="shared" si="65"/>
        <v>45136</v>
      </c>
      <c r="C371" s="100">
        <f t="shared" si="68"/>
        <v>45136</v>
      </c>
      <c r="D371" s="101" t="str">
        <f t="shared" si="69"/>
        <v>SF</v>
      </c>
      <c r="E371" s="102" t="str">
        <f t="shared" si="66"/>
        <v>unterrichtsfreie Arbeitszeit</v>
      </c>
      <c r="F371" s="103" t="str">
        <f t="shared" si="70"/>
        <v/>
      </c>
      <c r="G371" s="104" t="str">
        <f t="shared" si="71"/>
        <v/>
      </c>
      <c r="H371" s="104">
        <f>IFERROR(IF('ZD Vorerfassung'!$E$11="manuell",SUM(I371),IF(OR(E371="Feiertag",E371="Wochenende"),0,IF('ZD Vorerfassung'!$E$11="automatisch",AX371,IF(D371="UU","UU",IF(E371=Param2,AX371/24,IF(E371=Param9,AX371/48,"")))))),0)</f>
        <v>0</v>
      </c>
      <c r="I371" s="105"/>
      <c r="J371" s="106">
        <f>IF('ZD Vorerfassung'!$E$12="manuell",SUM(K371:AI371),IF(OR(E371="Feiertag",E371="Wochenende"),0,IF('ZD Vorerfassung'!$E$12="automatisch",AY371,IF(D371="UU","UU",IF(E371=Param2,AY371/24,IF(E371=Param9,AY371/48,""))))))</f>
        <v>0</v>
      </c>
      <c r="K371" s="105"/>
      <c r="L371" s="105"/>
      <c r="M371" s="105"/>
      <c r="N371" s="105"/>
      <c r="O371" s="105"/>
      <c r="P371" s="105"/>
      <c r="Q371" s="105"/>
      <c r="R371" s="105"/>
      <c r="S371" s="105"/>
      <c r="T371" s="105"/>
      <c r="U371" s="105"/>
      <c r="V371" s="105"/>
      <c r="W371" s="105"/>
      <c r="X371" s="105"/>
      <c r="Y371" s="105"/>
      <c r="Z371" s="105"/>
      <c r="AA371" s="105"/>
      <c r="AB371" s="105"/>
      <c r="AC371" s="105"/>
      <c r="AD371" s="105"/>
      <c r="AE371" s="105"/>
      <c r="AF371" s="105"/>
      <c r="AG371" s="105"/>
      <c r="AH371" s="105"/>
      <c r="AI371" s="105"/>
      <c r="AJ371" s="107">
        <f t="shared" si="72"/>
        <v>0</v>
      </c>
      <c r="AK371" s="105"/>
      <c r="AL371" s="105"/>
      <c r="AM371" s="105"/>
      <c r="AN371" s="105"/>
      <c r="AO371" s="105"/>
      <c r="AP371" s="105"/>
      <c r="AQ371" s="108">
        <f t="shared" si="73"/>
        <v>0</v>
      </c>
      <c r="AR371" s="108">
        <f t="shared" si="74"/>
        <v>0</v>
      </c>
      <c r="AS371" s="109">
        <f t="shared" si="75"/>
        <v>0</v>
      </c>
      <c r="AU371" s="110">
        <f t="shared" si="67"/>
        <v>0</v>
      </c>
      <c r="AV371" s="111" t="str">
        <f>IF(D371="NR",
IF('ZD Vorerfassung'!$E$22="",0,IF(AND(B371&gt;='ZD Vorerfassung'!$C$22,B371&lt;='ZD Vorerfassung'!$D$22),HLOOKUP(TEXT(C371,"ttt"),'ZD Vorerfassung'!$H$21:$L$36,2,0),0))+
IF('ZD Vorerfassung'!$E$23="",0,IF(AND(B371&gt;='ZD Vorerfassung'!$C$23,B371&lt;='ZD Vorerfassung'!$D$23),HLOOKUP(TEXT(C371,"ttt"),'ZD Vorerfassung'!$H$21:$L$36,3,0),0))+
IF('ZD Vorerfassung'!$E$24="",0,IF(AND(B371&gt;='ZD Vorerfassung'!$C$24,B371&lt;='ZD Vorerfassung'!$D$24),HLOOKUP(TEXT(C371,"ttt"),'ZD Vorerfassung'!$H$21:$L$36,4,0),0))+
IF('ZD Vorerfassung'!$E$25="",0,IF(AND(B371&gt;='ZD Vorerfassung'!$C$25,B371&lt;='ZD Vorerfassung'!$D$25),HLOOKUP(TEXT(C371,"ttt"),'ZD Vorerfassung'!$H$21:$L$36,5,0),0))+
IF('ZD Vorerfassung'!$E$26="",0,IF(AND(B371&gt;='ZD Vorerfassung'!$C$26,B371&lt;='ZD Vorerfassung'!$D$26),HLOOKUP(TEXT(C371,"ttt"),'ZD Vorerfassung'!$H$21:$L$36,6,0),0))+
IF('ZD Vorerfassung'!$E$27="",0,IF(AND(B371&gt;='ZD Vorerfassung'!$C$27,B371&lt;='ZD Vorerfassung'!$D$27),HLOOKUP(TEXT(C371,"ttt"),'ZD Vorerfassung'!$H$21:$L$36,7,0),0))+
IF('ZD Vorerfassung'!$E$28="",0,IF(AND(B371&gt;='ZD Vorerfassung'!$C$28,B371&lt;='ZD Vorerfassung'!$D$28),HLOOKUP(TEXT(C371,"ttt"),'ZD Vorerfassung'!$H$21:$L$36,8,0),0))+
IF('ZD Vorerfassung'!$E$29="",0,IF(AND(B371&gt;='ZD Vorerfassung'!$C$29,B371&lt;='ZD Vorerfassung'!$D$29),HLOOKUP(TEXT(C371,"ttt"),'ZD Vorerfassung'!$H$21:$L$36,9,0),0))+
IF('ZD Vorerfassung'!$E$30="",0,IF(AND(B371&gt;='ZD Vorerfassung'!$C$30,B371&lt;='ZD Vorerfassung'!$D$30),HLOOKUP(TEXT(C371,"ttt"),'ZD Vorerfassung'!$H$21:$L$36,10,0),0))+
IF('ZD Vorerfassung'!$E$31="",0,IF(AND(B371&gt;='ZD Vorerfassung'!$C$31,B371&lt;='ZD Vorerfassung'!$D$31),HLOOKUP(TEXT(C371,"ttt"),'ZD Vorerfassung'!$H$21:$L$36,11,0),0))+
IF('ZD Vorerfassung'!$E$32="",0,IF(AND(B371&gt;='ZD Vorerfassung'!$C$32,B371&lt;='ZD Vorerfassung'!$D$32),HLOOKUP(TEXT(C371,"ttt"),'ZD Vorerfassung'!$H$21:$L$36,12,0),0))+
IF('ZD Vorerfassung'!$E$33="",0,IF(AND(B371&gt;='ZD Vorerfassung'!$C$33,B371&lt;='ZD Vorerfassung'!$D$33),HLOOKUP(TEXT(C371,"ttt"),'ZD Vorerfassung'!$H$21:$L$36,13,0),0))+
IF('ZD Vorerfassung'!$E$34="",0,IF(AND(B371&gt;='ZD Vorerfassung'!$C$34,B371&lt;='ZD Vorerfassung'!$D$34),HLOOKUP(TEXT(C371,"ttt"),'ZD Vorerfassung'!$H$21:$L$36,14,0),0))+
IF('ZD Vorerfassung'!$E$35="",0,IF(AND(B371&gt;='ZD Vorerfassung'!$C$35,B371&lt;='ZD Vorerfassung'!$D$35),HLOOKUP(TEXT(C371,"ttt"),'ZD Vorerfassung'!$H$21:$L$36,15,0),0))+
IF('ZD Vorerfassung'!$E$36="",0,IF(AND(B371&gt;='ZD Vorerfassung'!$C$36,B371&lt;='ZD Vorerfassung'!$D$36),HLOOKUP(TEXT(C371,"ttt"),'ZD Vorerfassung'!$H$21:$L$36,16,0),0)),"")</f>
        <v/>
      </c>
      <c r="AW371" s="110">
        <f t="array" ref="AW371">IF(OR(D371="UU",D371="FT",D371="WE"),0,
IF(D371="NR",SUM(IF(B371&gt;=_xlfn.NUMBERVALUE('ZD Vorerfassung'!$C$22:$C$36),1,0)*IF(B371&lt;=_xlfn.NUMBERVALUE('ZD Vorerfassung'!$D$22:$D$36),1,0)*'ZD Vorerfassung'!$Q$22:$Q$36),
IF(OR(D371="SF",D371="FH"),SUM(IF(B371&gt;=_xlfn.NUMBERVALUE('ZD Vorerfassung'!$C$22:$C$36),1,0)*IF(B371&lt;=_xlfn.NUMBERVALUE('ZD Vorerfassung'!$D$22:$D$36),1,0)*'ZD Vorerfassung'!$R$22:$R$36*IF(D371="FH",0.5,1)),
"prüfen")))</f>
        <v>0</v>
      </c>
      <c r="AX371" s="110">
        <f t="array" ref="AX371">IF(OR(D371="UU",D371="FT",D371="WE",E371="Ferien"),0,
IF(D371="NR",SUM(IF(B371&gt;=_xlfn.NUMBERVALUE('ZD Vorerfassung'!$C$22:$C$36),1,0)*IF(B371&lt;=_xlfn.NUMBERVALUE('ZD Vorerfassung'!$D$22:$D$36),1,0)*'ZD Vorerfassung'!$W$22:$W$36),
IF(OR(D371="SF",D371="FH"),SUM(IF(B371&gt;=_xlfn.NUMBERVALUE('ZD Vorerfassung'!$C$22:$C$36),1,0)*IF(B371&lt;=_xlfn.NUMBERVALUE('ZD Vorerfassung'!$D$22:$D$36),1,0)*'ZD Vorerfassung'!$X$22:$X$36*IF(D371="FH",0.5,1)),
"prüfen")))</f>
        <v>0</v>
      </c>
      <c r="AY371" s="110">
        <f t="array" ref="AY371">IF(OR(D371="UU",D371="FT",D371="WE",E371="Ferien"),0,
IF(D371="NR",SUM(IF(B371&gt;=_xlfn.NUMBERVALUE('ZD Vorerfassung'!$C$22:$C$36),1,0)*IF(B371&lt;=_xlfn.NUMBERVALUE('ZD Vorerfassung'!$D$22:$D$36),1,0)*'ZD Vorerfassung'!$U$22:$U$36),
IF(OR(D371="SF",D371="FH"),SUM(IF(B371&gt;=_xlfn.NUMBERVALUE('ZD Vorerfassung'!$C$22:$C$36),1,0)*IF(B371&lt;=_xlfn.NUMBERVALUE('ZD Vorerfassung'!$D$22:$D$36),1,0)*'ZD Vorerfassung'!$V$22:$V$36*IF(D371="FH",0.5,1)),
"prüfen")))</f>
        <v>0</v>
      </c>
      <c r="AZ371" s="110">
        <f t="array" ref="AZ371">IF(OR(D371="UU",D371="FT",D371="WE",E371="Ferien"),0,
IF(D371="NR",SUM(IF(B371&gt;=_xlfn.NUMBERVALUE('ZD Vorerfassung'!$C$22:$C$36),1,0)*IF(B371&lt;=_xlfn.NUMBERVALUE('ZD Vorerfassung'!$D$22:$D$36),1,0)*'ZD Vorerfassung'!$S$22:$S$36),
IF(OR(D371="SF",D371="FH"),SUM(IF(B371&gt;=_xlfn.NUMBERVALUE('ZD Vorerfassung'!$C$22:$C$36),1,0)*IF(B371&lt;=_xlfn.NUMBERVALUE('ZD Vorerfassung'!$D$22:$D$36),1,0)*'ZD Vorerfassung'!$T$22:$T$36*IF(D371="FH",0.5,1)),
"prüfen")))</f>
        <v>0</v>
      </c>
      <c r="BA371" s="112">
        <f t="shared" si="76"/>
        <v>7</v>
      </c>
    </row>
    <row r="372" spans="2:53" ht="19.5" thickTop="1" thickBot="1" x14ac:dyDescent="0.3">
      <c r="B372" s="99">
        <f t="shared" si="65"/>
        <v>45137</v>
      </c>
      <c r="C372" s="100">
        <f t="shared" si="68"/>
        <v>45137</v>
      </c>
      <c r="D372" s="101" t="str">
        <f t="shared" si="69"/>
        <v>WE</v>
      </c>
      <c r="E372" s="102" t="str">
        <f t="shared" si="66"/>
        <v>Wochenende</v>
      </c>
      <c r="F372" s="103" t="str">
        <f t="shared" si="70"/>
        <v/>
      </c>
      <c r="G372" s="104" t="str">
        <f t="shared" si="71"/>
        <v/>
      </c>
      <c r="H372" s="104">
        <f>IFERROR(IF('ZD Vorerfassung'!$E$11="manuell",SUM(I372),IF(OR(E372="Feiertag",E372="Wochenende"),0,IF('ZD Vorerfassung'!$E$11="automatisch",AX372,IF(D372="UU","UU",IF(E372=Param2,AX372/24,IF(E372=Param9,AX372/48,"")))))),0)</f>
        <v>0</v>
      </c>
      <c r="I372" s="105"/>
      <c r="J372" s="106">
        <f>IF('ZD Vorerfassung'!$E$12="manuell",SUM(K372:AI372),IF(OR(E372="Feiertag",E372="Wochenende"),0,IF('ZD Vorerfassung'!$E$12="automatisch",AY372,IF(D372="UU","UU",IF(E372=Param2,AY372/24,IF(E372=Param9,AY372/48,""))))))</f>
        <v>0</v>
      </c>
      <c r="K372" s="105"/>
      <c r="L372" s="105"/>
      <c r="M372" s="105"/>
      <c r="N372" s="105"/>
      <c r="O372" s="105"/>
      <c r="P372" s="105"/>
      <c r="Q372" s="105"/>
      <c r="R372" s="105"/>
      <c r="S372" s="105"/>
      <c r="T372" s="105"/>
      <c r="U372" s="105"/>
      <c r="V372" s="105"/>
      <c r="W372" s="105"/>
      <c r="X372" s="105"/>
      <c r="Y372" s="105"/>
      <c r="Z372" s="105"/>
      <c r="AA372" s="105"/>
      <c r="AB372" s="105"/>
      <c r="AC372" s="105"/>
      <c r="AD372" s="105"/>
      <c r="AE372" s="105"/>
      <c r="AF372" s="105"/>
      <c r="AG372" s="105"/>
      <c r="AH372" s="105"/>
      <c r="AI372" s="105"/>
      <c r="AJ372" s="107">
        <f t="shared" si="72"/>
        <v>0</v>
      </c>
      <c r="AK372" s="105"/>
      <c r="AL372" s="105"/>
      <c r="AM372" s="105"/>
      <c r="AN372" s="105"/>
      <c r="AO372" s="105"/>
      <c r="AP372" s="105"/>
      <c r="AQ372" s="108">
        <f t="shared" si="73"/>
        <v>0</v>
      </c>
      <c r="AR372" s="108">
        <f t="shared" si="74"/>
        <v>0</v>
      </c>
      <c r="AS372" s="109">
        <f t="shared" si="75"/>
        <v>0</v>
      </c>
      <c r="AU372" s="110">
        <f t="shared" si="67"/>
        <v>0</v>
      </c>
      <c r="AV372" s="111" t="str">
        <f>IF(D372="NR",
IF('ZD Vorerfassung'!$E$22="",0,IF(AND(B372&gt;='ZD Vorerfassung'!$C$22,B372&lt;='ZD Vorerfassung'!$D$22),HLOOKUP(TEXT(C372,"ttt"),'ZD Vorerfassung'!$H$21:$L$36,2,0),0))+
IF('ZD Vorerfassung'!$E$23="",0,IF(AND(B372&gt;='ZD Vorerfassung'!$C$23,B372&lt;='ZD Vorerfassung'!$D$23),HLOOKUP(TEXT(C372,"ttt"),'ZD Vorerfassung'!$H$21:$L$36,3,0),0))+
IF('ZD Vorerfassung'!$E$24="",0,IF(AND(B372&gt;='ZD Vorerfassung'!$C$24,B372&lt;='ZD Vorerfassung'!$D$24),HLOOKUP(TEXT(C372,"ttt"),'ZD Vorerfassung'!$H$21:$L$36,4,0),0))+
IF('ZD Vorerfassung'!$E$25="",0,IF(AND(B372&gt;='ZD Vorerfassung'!$C$25,B372&lt;='ZD Vorerfassung'!$D$25),HLOOKUP(TEXT(C372,"ttt"),'ZD Vorerfassung'!$H$21:$L$36,5,0),0))+
IF('ZD Vorerfassung'!$E$26="",0,IF(AND(B372&gt;='ZD Vorerfassung'!$C$26,B372&lt;='ZD Vorerfassung'!$D$26),HLOOKUP(TEXT(C372,"ttt"),'ZD Vorerfassung'!$H$21:$L$36,6,0),0))+
IF('ZD Vorerfassung'!$E$27="",0,IF(AND(B372&gt;='ZD Vorerfassung'!$C$27,B372&lt;='ZD Vorerfassung'!$D$27),HLOOKUP(TEXT(C372,"ttt"),'ZD Vorerfassung'!$H$21:$L$36,7,0),0))+
IF('ZD Vorerfassung'!$E$28="",0,IF(AND(B372&gt;='ZD Vorerfassung'!$C$28,B372&lt;='ZD Vorerfassung'!$D$28),HLOOKUP(TEXT(C372,"ttt"),'ZD Vorerfassung'!$H$21:$L$36,8,0),0))+
IF('ZD Vorerfassung'!$E$29="",0,IF(AND(B372&gt;='ZD Vorerfassung'!$C$29,B372&lt;='ZD Vorerfassung'!$D$29),HLOOKUP(TEXT(C372,"ttt"),'ZD Vorerfassung'!$H$21:$L$36,9,0),0))+
IF('ZD Vorerfassung'!$E$30="",0,IF(AND(B372&gt;='ZD Vorerfassung'!$C$30,B372&lt;='ZD Vorerfassung'!$D$30),HLOOKUP(TEXT(C372,"ttt"),'ZD Vorerfassung'!$H$21:$L$36,10,0),0))+
IF('ZD Vorerfassung'!$E$31="",0,IF(AND(B372&gt;='ZD Vorerfassung'!$C$31,B372&lt;='ZD Vorerfassung'!$D$31),HLOOKUP(TEXT(C372,"ttt"),'ZD Vorerfassung'!$H$21:$L$36,11,0),0))+
IF('ZD Vorerfassung'!$E$32="",0,IF(AND(B372&gt;='ZD Vorerfassung'!$C$32,B372&lt;='ZD Vorerfassung'!$D$32),HLOOKUP(TEXT(C372,"ttt"),'ZD Vorerfassung'!$H$21:$L$36,12,0),0))+
IF('ZD Vorerfassung'!$E$33="",0,IF(AND(B372&gt;='ZD Vorerfassung'!$C$33,B372&lt;='ZD Vorerfassung'!$D$33),HLOOKUP(TEXT(C372,"ttt"),'ZD Vorerfassung'!$H$21:$L$36,13,0),0))+
IF('ZD Vorerfassung'!$E$34="",0,IF(AND(B372&gt;='ZD Vorerfassung'!$C$34,B372&lt;='ZD Vorerfassung'!$D$34),HLOOKUP(TEXT(C372,"ttt"),'ZD Vorerfassung'!$H$21:$L$36,14,0),0))+
IF('ZD Vorerfassung'!$E$35="",0,IF(AND(B372&gt;='ZD Vorerfassung'!$C$35,B372&lt;='ZD Vorerfassung'!$D$35),HLOOKUP(TEXT(C372,"ttt"),'ZD Vorerfassung'!$H$21:$L$36,15,0),0))+
IF('ZD Vorerfassung'!$E$36="",0,IF(AND(B372&gt;='ZD Vorerfassung'!$C$36,B372&lt;='ZD Vorerfassung'!$D$36),HLOOKUP(TEXT(C372,"ttt"),'ZD Vorerfassung'!$H$21:$L$36,16,0),0)),"")</f>
        <v/>
      </c>
      <c r="AW372" s="110">
        <f t="array" ref="AW372">IF(OR(D372="UU",D372="FT",D372="WE"),0,
IF(D372="NR",SUM(IF(B372&gt;=_xlfn.NUMBERVALUE('ZD Vorerfassung'!$C$22:$C$36),1,0)*IF(B372&lt;=_xlfn.NUMBERVALUE('ZD Vorerfassung'!$D$22:$D$36),1,0)*'ZD Vorerfassung'!$Q$22:$Q$36),
IF(OR(D372="SF",D372="FH"),SUM(IF(B372&gt;=_xlfn.NUMBERVALUE('ZD Vorerfassung'!$C$22:$C$36),1,0)*IF(B372&lt;=_xlfn.NUMBERVALUE('ZD Vorerfassung'!$D$22:$D$36),1,0)*'ZD Vorerfassung'!$R$22:$R$36*IF(D372="FH",0.5,1)),
"prüfen")))</f>
        <v>0</v>
      </c>
      <c r="AX372" s="110">
        <f t="array" ref="AX372">IF(OR(D372="UU",D372="FT",D372="WE",E372="Ferien"),0,
IF(D372="NR",SUM(IF(B372&gt;=_xlfn.NUMBERVALUE('ZD Vorerfassung'!$C$22:$C$36),1,0)*IF(B372&lt;=_xlfn.NUMBERVALUE('ZD Vorerfassung'!$D$22:$D$36),1,0)*'ZD Vorerfassung'!$W$22:$W$36),
IF(OR(D372="SF",D372="FH"),SUM(IF(B372&gt;=_xlfn.NUMBERVALUE('ZD Vorerfassung'!$C$22:$C$36),1,0)*IF(B372&lt;=_xlfn.NUMBERVALUE('ZD Vorerfassung'!$D$22:$D$36),1,0)*'ZD Vorerfassung'!$X$22:$X$36*IF(D372="FH",0.5,1)),
"prüfen")))</f>
        <v>0</v>
      </c>
      <c r="AY372" s="110">
        <f t="array" ref="AY372">IF(OR(D372="UU",D372="FT",D372="WE",E372="Ferien"),0,
IF(D372="NR",SUM(IF(B372&gt;=_xlfn.NUMBERVALUE('ZD Vorerfassung'!$C$22:$C$36),1,0)*IF(B372&lt;=_xlfn.NUMBERVALUE('ZD Vorerfassung'!$D$22:$D$36),1,0)*'ZD Vorerfassung'!$U$22:$U$36),
IF(OR(D372="SF",D372="FH"),SUM(IF(B372&gt;=_xlfn.NUMBERVALUE('ZD Vorerfassung'!$C$22:$C$36),1,0)*IF(B372&lt;=_xlfn.NUMBERVALUE('ZD Vorerfassung'!$D$22:$D$36),1,0)*'ZD Vorerfassung'!$V$22:$V$36*IF(D372="FH",0.5,1)),
"prüfen")))</f>
        <v>0</v>
      </c>
      <c r="AZ372" s="110">
        <f t="array" ref="AZ372">IF(OR(D372="UU",D372="FT",D372="WE",E372="Ferien"),0,
IF(D372="NR",SUM(IF(B372&gt;=_xlfn.NUMBERVALUE('ZD Vorerfassung'!$C$22:$C$36),1,0)*IF(B372&lt;=_xlfn.NUMBERVALUE('ZD Vorerfassung'!$D$22:$D$36),1,0)*'ZD Vorerfassung'!$S$22:$S$36),
IF(OR(D372="SF",D372="FH"),SUM(IF(B372&gt;=_xlfn.NUMBERVALUE('ZD Vorerfassung'!$C$22:$C$36),1,0)*IF(B372&lt;=_xlfn.NUMBERVALUE('ZD Vorerfassung'!$D$22:$D$36),1,0)*'ZD Vorerfassung'!$T$22:$T$36*IF(D372="FH",0.5,1)),
"prüfen")))</f>
        <v>0</v>
      </c>
      <c r="BA372" s="112">
        <f t="shared" si="76"/>
        <v>7</v>
      </c>
    </row>
    <row r="373" spans="2:53" ht="15.75" thickTop="1" x14ac:dyDescent="0.2"/>
  </sheetData>
  <sheetProtection sheet="1" formatColumns="0" autoFilter="0"/>
  <autoFilter ref="B7:BA372" xr:uid="{00000000-0009-0000-0000-000005000000}"/>
  <mergeCells count="33">
    <mergeCell ref="AD2:AD6"/>
    <mergeCell ref="AK2:AK6"/>
    <mergeCell ref="K2:K6"/>
    <mergeCell ref="J5:J6"/>
    <mergeCell ref="AJ5:AJ6"/>
    <mergeCell ref="L2:L6"/>
    <mergeCell ref="M2:M6"/>
    <mergeCell ref="AI2:AI6"/>
    <mergeCell ref="AH2:AH6"/>
    <mergeCell ref="AG2:AG6"/>
    <mergeCell ref="AF2:AF6"/>
    <mergeCell ref="AE2:AE6"/>
    <mergeCell ref="O2:O6"/>
    <mergeCell ref="N2:N6"/>
    <mergeCell ref="AC2:AC6"/>
    <mergeCell ref="S2:S6"/>
    <mergeCell ref="AP2:AP6"/>
    <mergeCell ref="AO2:AO6"/>
    <mergeCell ref="AN2:AN6"/>
    <mergeCell ref="AM2:AM6"/>
    <mergeCell ref="AL2:AL6"/>
    <mergeCell ref="R2:R6"/>
    <mergeCell ref="Q2:Q6"/>
    <mergeCell ref="P2:P6"/>
    <mergeCell ref="T2:T6"/>
    <mergeCell ref="U2:U6"/>
    <mergeCell ref="AA2:AA6"/>
    <mergeCell ref="AB2:AB6"/>
    <mergeCell ref="V2:V6"/>
    <mergeCell ref="W2:W6"/>
    <mergeCell ref="X2:X6"/>
    <mergeCell ref="Y2:Y6"/>
    <mergeCell ref="Z2:Z6"/>
  </mergeCells>
  <conditionalFormatting sqref="B8:E372">
    <cfRule type="expression" dxfId="13" priority="17">
      <formula>WEEKDAY($B8,2)&gt;5</formula>
    </cfRule>
  </conditionalFormatting>
  <conditionalFormatting sqref="F8:F372">
    <cfRule type="expression" dxfId="12" priority="6">
      <formula>WEEKDAY($B8,2)&gt;5</formula>
    </cfRule>
    <cfRule type="expression" dxfId="11" priority="15">
      <formula>$E8="Unterrichtstag"</formula>
    </cfRule>
  </conditionalFormatting>
  <conditionalFormatting sqref="J8:J372">
    <cfRule type="expression" dxfId="10" priority="14">
      <formula>WEEKDAY($B8,2)&gt;5</formula>
    </cfRule>
  </conditionalFormatting>
  <conditionalFormatting sqref="G8:H372 AQ8:AS372">
    <cfRule type="expression" dxfId="9" priority="13">
      <formula>WEEKDAY($B8,2)&gt;5</formula>
    </cfRule>
  </conditionalFormatting>
  <conditionalFormatting sqref="K8:AI372">
    <cfRule type="expression" dxfId="8" priority="4">
      <formula>OR(K$2="Mögliche Auswahl",K$2="",K$2="Bitte angeben")</formula>
    </cfRule>
    <cfRule type="expression" dxfId="7" priority="12">
      <formula>WEEKDAY($B8,2)&gt;5</formula>
    </cfRule>
  </conditionalFormatting>
  <conditionalFormatting sqref="AJ8:AJ372">
    <cfRule type="expression" dxfId="6" priority="11">
      <formula>WEEKDAY($B8,2)&gt;5</formula>
    </cfRule>
  </conditionalFormatting>
  <conditionalFormatting sqref="AK8:AP372">
    <cfRule type="expression" dxfId="5" priority="10">
      <formula>WEEKDAY($B8,2)&gt;5</formula>
    </cfRule>
  </conditionalFormatting>
  <conditionalFormatting sqref="B8:B372">
    <cfRule type="expression" dxfId="4" priority="5">
      <formula>OR($E8="Feiertag",$E8="Feiertag halb")</formula>
    </cfRule>
  </conditionalFormatting>
  <dataValidations count="5">
    <dataValidation type="decimal" allowBlank="1" showInputMessage="1" showErrorMessage="1" errorTitle="Fehler" error="Bitte Anzal Lektionen zwischen 0 und 12 eingeben." sqref="F8:F372" xr:uid="{00000000-0002-0000-0500-000000000000}">
      <formula1>0</formula1>
      <formula2>12</formula2>
    </dataValidation>
    <dataValidation type="time" allowBlank="1" showInputMessage="1" showErrorMessage="1" error="Bitte gültige Zeit eingeben (hh:mm)" sqref="I8:I372 AJ8:AP372" xr:uid="{00000000-0002-0000-0500-000001000000}">
      <formula1>0</formula1>
      <formula2>0.999305555555556</formula2>
    </dataValidation>
    <dataValidation type="time" allowBlank="1" showInputMessage="1" showErrorMessage="1" sqref="B4:C4 K8:AI372" xr:uid="{00000000-0002-0000-0500-000002000000}">
      <formula1>0</formula1>
      <formula2>0.999305555555556</formula2>
    </dataValidation>
    <dataValidation type="list" allowBlank="1" showInputMessage="1" showErrorMessage="1" sqref="B2" xr:uid="{00000000-0002-0000-0500-000003000000}">
      <formula1>$K$2:$K$14</formula1>
    </dataValidation>
    <dataValidation type="list" showInputMessage="1" showErrorMessage="1" sqref="E8:E372" xr:uid="{00000000-0002-0000-0500-000004000000}">
      <formula1>INDIRECT(D8)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8" orientation="landscape" r:id="rId1"/>
  <headerFooter>
    <oddFooter>&amp;L&amp;F&amp;C&amp;D&amp;R&amp;P von &amp;N</oddFooter>
  </headerFooter>
  <customProperties>
    <customPr name="_pios_id" r:id="rId2"/>
  </customPropertie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C681D9C-84D7-4E71-A13E-1AC8F3CC96A3}">
            <xm:f>OR('ZD Vorerfassung'!$E$12&lt;&gt;"manuell")</xm:f>
            <x14:dxf>
              <font>
                <color theme="0" tint="-0.14996795556505021"/>
              </font>
              <fill>
                <patternFill>
                  <bgColor theme="0" tint="-0.14996795556505021"/>
                </patternFill>
              </fill>
              <border>
                <bottom style="thin">
                  <color theme="0" tint="-0.14996795556505021"/>
                </bottom>
                <vertical/>
                <horizontal/>
              </border>
            </x14:dxf>
          </x14:cfRule>
          <xm:sqref>K8:AI372</xm:sqref>
        </x14:conditionalFormatting>
        <x14:conditionalFormatting xmlns:xm="http://schemas.microsoft.com/office/excel/2006/main">
          <x14:cfRule type="expression" priority="2" id="{D772CC97-FD99-4D29-BE36-96248EE80EB4}">
            <xm:f>OR(AK$2="Mögliche Auswahl",AK$2="Bitte angeben",AK$2="",'ZD Vorerfassung'!$E$13&lt;&gt;"manuell")</xm:f>
            <x14:dxf>
              <font>
                <color theme="0" tint="-0.14996795556505021"/>
              </font>
              <fill>
                <patternFill>
                  <bgColor theme="0" tint="-0.14996795556505021"/>
                </patternFill>
              </fill>
              <border>
                <bottom style="thin">
                  <color theme="0" tint="-0.14996795556505021"/>
                </bottom>
                <vertical/>
                <horizontal/>
              </border>
            </x14:dxf>
          </x14:cfRule>
          <xm:sqref>AK8:AP372</xm:sqref>
        </x14:conditionalFormatting>
        <x14:conditionalFormatting xmlns:xm="http://schemas.microsoft.com/office/excel/2006/main">
          <x14:cfRule type="expression" priority="72" id="{82D04709-2B7A-4A2F-8573-05920D2EC9E5}">
            <xm:f>IFERROR(IF(VLOOKUP(B8,Grundlagen!Q:Q,1,0)=0,0,1),0)=1</xm:f>
            <x14:dxf>
              <fill>
                <patternFill>
                  <bgColor theme="9" tint="0.39994506668294322"/>
                </patternFill>
              </fill>
            </x14:dxf>
          </x14:cfRule>
          <xm:sqref>B8:B372</xm:sqref>
        </x14:conditionalFormatting>
        <x14:conditionalFormatting xmlns:xm="http://schemas.microsoft.com/office/excel/2006/main">
          <x14:cfRule type="expression" priority="3" id="{EF3B2D83-C4AC-4A20-8EFB-4B317ED3AB19}">
            <xm:f>'ZD Vorerfassung'!$E$11&lt;&gt;"manuell"</xm:f>
            <x14:dxf>
              <font>
                <color theme="0" tint="-0.14996795556505021"/>
              </font>
              <fill>
                <patternFill>
                  <bgColor theme="0" tint="-0.14996795556505021"/>
                </patternFill>
              </fill>
              <border>
                <bottom style="thin">
                  <color theme="0" tint="-0.14996795556505021"/>
                </bottom>
                <vertical/>
                <horizontal/>
              </border>
            </x14:dxf>
          </x14:cfRule>
          <xm:sqref>I8:I372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5000000}">
          <x14:formula1>
            <xm:f>Grundlagen!$N$2:$N$14</xm:f>
          </x14:formula1>
          <xm:sqref>E2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4">
    <tabColor theme="4" tint="0.39997558519241921"/>
    <pageSetUpPr fitToPage="1"/>
  </sheetPr>
  <dimension ref="A1:Q63"/>
  <sheetViews>
    <sheetView zoomScaleNormal="100" workbookViewId="0"/>
  </sheetViews>
  <sheetFormatPr baseColWidth="10" defaultColWidth="10.6640625" defaultRowHeight="15" x14ac:dyDescent="0.2"/>
  <cols>
    <col min="1" max="1" width="2.109375" style="72" customWidth="1"/>
    <col min="2" max="2" width="12.21875" style="72" customWidth="1"/>
    <col min="3" max="3" width="4" style="72" bestFit="1" customWidth="1"/>
    <col min="4" max="4" width="3.33203125" style="72" customWidth="1"/>
    <col min="5" max="5" width="10.77734375" style="72" customWidth="1"/>
    <col min="6" max="6" width="9.88671875" style="72" bestFit="1" customWidth="1"/>
    <col min="7" max="7" width="10.6640625" style="72"/>
    <col min="8" max="8" width="10.6640625" style="72" customWidth="1"/>
    <col min="9" max="10" width="2.44140625" style="72" customWidth="1"/>
    <col min="11" max="11" width="8.6640625" style="72" customWidth="1"/>
    <col min="12" max="12" width="9.6640625" style="72" customWidth="1"/>
    <col min="13" max="13" width="7.33203125" style="72" customWidth="1"/>
    <col min="14" max="14" width="2.44140625" style="72" customWidth="1"/>
    <col min="15" max="15" width="1.88671875" style="72" customWidth="1"/>
    <col min="16" max="17" width="10.33203125" style="72" customWidth="1"/>
    <col min="18" max="18" width="2.88671875" style="72" bestFit="1" customWidth="1"/>
    <col min="19" max="20" width="10.6640625" style="72"/>
    <col min="21" max="21" width="8.5546875" style="72" bestFit="1" customWidth="1"/>
    <col min="22" max="23" width="9.5546875" style="72" bestFit="1" customWidth="1"/>
    <col min="24" max="16384" width="10.6640625" style="72"/>
  </cols>
  <sheetData>
    <row r="1" spans="1:17" s="120" customFormat="1" ht="20.25" x14ac:dyDescent="0.3">
      <c r="B1" s="120" t="str">
        <f>"Übersicht: Jahresarbeitszeiten "&amp;Vorname&amp;" "&amp;Nachname</f>
        <v>Übersicht: Jahresarbeitszeiten 0 0</v>
      </c>
    </row>
    <row r="2" spans="1:17" s="120" customFormat="1" ht="10.15" customHeight="1" x14ac:dyDescent="0.3"/>
    <row r="4" spans="1:17" ht="15.75" x14ac:dyDescent="0.25">
      <c r="A4" s="121">
        <v>1</v>
      </c>
      <c r="B4" s="122" t="s">
        <v>171</v>
      </c>
      <c r="K4" s="123" t="s">
        <v>279</v>
      </c>
      <c r="P4" s="122" t="s">
        <v>270</v>
      </c>
    </row>
    <row r="6" spans="1:17" ht="30" x14ac:dyDescent="0.2">
      <c r="B6" s="124"/>
      <c r="C6" s="124"/>
      <c r="D6" s="124"/>
      <c r="E6" s="125" t="s">
        <v>22</v>
      </c>
      <c r="F6" s="125" t="s">
        <v>23</v>
      </c>
      <c r="G6" s="126" t="s">
        <v>272</v>
      </c>
      <c r="H6" s="126" t="s">
        <v>273</v>
      </c>
      <c r="K6" s="125" t="s">
        <v>26</v>
      </c>
      <c r="L6" s="125" t="s">
        <v>27</v>
      </c>
      <c r="M6" s="125" t="s">
        <v>202</v>
      </c>
      <c r="O6" s="127"/>
      <c r="P6" s="128" t="s">
        <v>271</v>
      </c>
      <c r="Q6" s="129" t="s">
        <v>269</v>
      </c>
    </row>
    <row r="7" spans="1:17" x14ac:dyDescent="0.2">
      <c r="B7" s="72" t="str">
        <f>+Grundlagen!N2</f>
        <v>August</v>
      </c>
      <c r="C7" s="72" t="str">
        <f>LEFT(B7,3)</f>
        <v>Aug</v>
      </c>
      <c r="D7" s="72">
        <v>8</v>
      </c>
      <c r="E7" s="130">
        <f>SUMIFS(Zeitdokumentation!AU:AU,Zeitdokumentation!BA:BA,D7)</f>
        <v>0</v>
      </c>
      <c r="F7" s="130">
        <f>+SUMIFS(Zeitdokumentation!AR8:AR372,Zeitdokumentation!BA8:BA372,D7)</f>
        <v>0</v>
      </c>
      <c r="G7" s="130">
        <v>0</v>
      </c>
      <c r="H7" s="130">
        <f>G7-E7+F7</f>
        <v>0</v>
      </c>
      <c r="K7" s="130">
        <f>-SUMIFS(Zeitdokumentation!$AX$8:$AX$372,Zeitdokumentation!$BA$8:$BA$372,D7)+SUMIFS(Zeitdokumentation!$H$8:$H$372,Zeitdokumentation!$BA$8:$BA$372,D7)</f>
        <v>0</v>
      </c>
      <c r="L7" s="130">
        <f>-SUMIFS(Zeitdokumentation!$AY$8:$AY$372,Zeitdokumentation!$BA$8:$BA$372,D7)+SUMIFS(Zeitdokumentation!$J$8:$J$372,Zeitdokumentation!$BA$8:$BA$372,D7)</f>
        <v>0</v>
      </c>
      <c r="M7" s="130">
        <f>-SUMIFS(Zeitdokumentation!$AZ$8:$AZ$372,Zeitdokumentation!$BA$8:$BA$372,D7)+SUMIFS(Zeitdokumentation!AJ8:AJ372,Zeitdokumentation!BA8:BA372,D7)</f>
        <v>0</v>
      </c>
      <c r="O7" s="130"/>
      <c r="P7" s="72">
        <f>+COUNTIFS(Zeitdokumentation!$E$8:$E$372,"Ferien",Zeitdokumentation!$BA$8:$BA$372,D7)</f>
        <v>0</v>
      </c>
      <c r="Q7" s="131">
        <f>+(Aufgabenplanung!B15+Aufgabenplanung!B17)/8.4-P7</f>
        <v>25</v>
      </c>
    </row>
    <row r="8" spans="1:17" x14ac:dyDescent="0.2">
      <c r="B8" s="72" t="str">
        <f>+Grundlagen!N3</f>
        <v>September</v>
      </c>
      <c r="C8" s="72" t="str">
        <f t="shared" ref="C8:C18" si="0">LEFT(B8,3)</f>
        <v>Sep</v>
      </c>
      <c r="D8" s="72">
        <v>9</v>
      </c>
      <c r="E8" s="130">
        <f>SUMIFS(Zeitdokumentation!AU:AU,Zeitdokumentation!BA:BA,D8)</f>
        <v>0</v>
      </c>
      <c r="F8" s="130">
        <f>+SUMIFS(Zeitdokumentation!AR9:AR372,Zeitdokumentation!BA9:BA372,D8)</f>
        <v>0</v>
      </c>
      <c r="G8" s="130">
        <f>H7</f>
        <v>0</v>
      </c>
      <c r="H8" s="130">
        <f>G8-E8+F8</f>
        <v>0</v>
      </c>
      <c r="K8" s="130">
        <f>-SUMIFS(Zeitdokumentation!$AX$8:$AX$372,Zeitdokumentation!$BA$8:$BA$372,D8)+SUMIFS(Zeitdokumentation!$H$8:$H$372,Zeitdokumentation!$BA$8:$BA$372,D8)</f>
        <v>0</v>
      </c>
      <c r="L8" s="130">
        <f>-SUMIFS(Zeitdokumentation!$AY$8:$AY$372,Zeitdokumentation!$BA$8:$BA$372,D8)+SUMIFS(Zeitdokumentation!$J$8:$J$372,Zeitdokumentation!$BA$8:$BA$372,D8)</f>
        <v>0</v>
      </c>
      <c r="M8" s="130">
        <f>-SUMIFS(Zeitdokumentation!$AZ$8:$AZ$372,Zeitdokumentation!$BA$8:$BA$372,D8)+SUMIFS(Zeitdokumentation!AJ9:AJ372,Zeitdokumentation!BA9:BA372,D8)</f>
        <v>0</v>
      </c>
      <c r="O8" s="130"/>
      <c r="P8" s="72">
        <f>+COUNTIFS(Zeitdokumentation!$E$8:$E$372,"Ferien",Zeitdokumentation!$BA$8:$BA$372,D8)</f>
        <v>0</v>
      </c>
      <c r="Q8" s="131">
        <f t="shared" ref="Q8:Q18" si="1">Q7-P8</f>
        <v>25</v>
      </c>
    </row>
    <row r="9" spans="1:17" x14ac:dyDescent="0.2">
      <c r="B9" s="72" t="str">
        <f>+Grundlagen!N4</f>
        <v>Oktober</v>
      </c>
      <c r="C9" s="72" t="str">
        <f t="shared" si="0"/>
        <v>Okt</v>
      </c>
      <c r="D9" s="72">
        <v>10</v>
      </c>
      <c r="E9" s="130">
        <f>SUMIFS(Zeitdokumentation!AU:AU,Zeitdokumentation!BA:BA,D9)</f>
        <v>0</v>
      </c>
      <c r="F9" s="130">
        <f>+SUMIFS(Zeitdokumentation!AR10:AR373,Zeitdokumentation!BA10:BA373,D9)</f>
        <v>0</v>
      </c>
      <c r="G9" s="130">
        <f t="shared" ref="G9:G18" si="2">H8</f>
        <v>0</v>
      </c>
      <c r="H9" s="130">
        <f t="shared" ref="H9:H18" si="3">G9-E9+F9</f>
        <v>0</v>
      </c>
      <c r="K9" s="130">
        <f>-SUMIFS(Zeitdokumentation!$AX$8:$AX$372,Zeitdokumentation!$BA$8:$BA$372,D9)+SUMIFS(Zeitdokumentation!$H$8:$H$372,Zeitdokumentation!$BA$8:$BA$372,D9)</f>
        <v>0</v>
      </c>
      <c r="L9" s="130">
        <f>-SUMIFS(Zeitdokumentation!$AY$8:$AY$372,Zeitdokumentation!$BA$8:$BA$372,D9)+SUMIFS(Zeitdokumentation!$J$8:$J$372,Zeitdokumentation!$BA$8:$BA$372,D9)</f>
        <v>0</v>
      </c>
      <c r="M9" s="130">
        <f>-SUMIFS(Zeitdokumentation!$AZ$8:$AZ$372,Zeitdokumentation!$BA$8:$BA$372,D9)+SUMIFS(Zeitdokumentation!AJ10:AJ373,Zeitdokumentation!BA10:BA373,D9)</f>
        <v>0</v>
      </c>
      <c r="O9" s="130"/>
      <c r="P9" s="72">
        <f>+COUNTIFS(Zeitdokumentation!$E$8:$E$372,"Ferien",Zeitdokumentation!$BA$8:$BA$372,D9)</f>
        <v>0</v>
      </c>
      <c r="Q9" s="131">
        <f t="shared" si="1"/>
        <v>25</v>
      </c>
    </row>
    <row r="10" spans="1:17" x14ac:dyDescent="0.2">
      <c r="B10" s="72" t="str">
        <f>+Grundlagen!N5</f>
        <v>November</v>
      </c>
      <c r="C10" s="72" t="str">
        <f t="shared" si="0"/>
        <v>Nov</v>
      </c>
      <c r="D10" s="72">
        <v>11</v>
      </c>
      <c r="E10" s="130">
        <f>SUMIFS(Zeitdokumentation!AU:AU,Zeitdokumentation!BA:BA,D10)</f>
        <v>0</v>
      </c>
      <c r="F10" s="130">
        <f>+SUMIFS(Zeitdokumentation!AR11:AR374,Zeitdokumentation!BA11:BA374,D10)</f>
        <v>0</v>
      </c>
      <c r="G10" s="130">
        <f t="shared" si="2"/>
        <v>0</v>
      </c>
      <c r="H10" s="130">
        <f t="shared" si="3"/>
        <v>0</v>
      </c>
      <c r="K10" s="130">
        <f>-SUMIFS(Zeitdokumentation!$AX$8:$AX$372,Zeitdokumentation!$BA$8:$BA$372,D10)+SUMIFS(Zeitdokumentation!$H$8:$H$372,Zeitdokumentation!$BA$8:$BA$372,D10)</f>
        <v>0</v>
      </c>
      <c r="L10" s="130">
        <f>-SUMIFS(Zeitdokumentation!$AY$8:$AY$372,Zeitdokumentation!$BA$8:$BA$372,D10)+SUMIFS(Zeitdokumentation!$J$8:$J$372,Zeitdokumentation!$BA$8:$BA$372,D10)</f>
        <v>0</v>
      </c>
      <c r="M10" s="130">
        <f>-SUMIFS(Zeitdokumentation!$AZ$8:$AZ$372,Zeitdokumentation!$BA$8:$BA$372,D10)+SUMIFS(Zeitdokumentation!AJ11:AJ374,Zeitdokumentation!BA11:BA374,D10)</f>
        <v>0</v>
      </c>
      <c r="O10" s="130"/>
      <c r="P10" s="72">
        <f>+COUNTIFS(Zeitdokumentation!$E$8:$E$372,"Ferien",Zeitdokumentation!$BA$8:$BA$372,D10)</f>
        <v>0</v>
      </c>
      <c r="Q10" s="131">
        <f t="shared" si="1"/>
        <v>25</v>
      </c>
    </row>
    <row r="11" spans="1:17" x14ac:dyDescent="0.2">
      <c r="B11" s="72" t="str">
        <f>+Grundlagen!N6</f>
        <v>Dezember</v>
      </c>
      <c r="C11" s="72" t="str">
        <f t="shared" si="0"/>
        <v>Dez</v>
      </c>
      <c r="D11" s="72">
        <v>12</v>
      </c>
      <c r="E11" s="130">
        <f>SUMIFS(Zeitdokumentation!AU:AU,Zeitdokumentation!BA:BA,D11)</f>
        <v>0</v>
      </c>
      <c r="F11" s="130">
        <f>+SUMIFS(Zeitdokumentation!AR12:AR375,Zeitdokumentation!BA12:BA375,D11)</f>
        <v>0</v>
      </c>
      <c r="G11" s="130">
        <f t="shared" si="2"/>
        <v>0</v>
      </c>
      <c r="H11" s="130">
        <f t="shared" si="3"/>
        <v>0</v>
      </c>
      <c r="K11" s="130">
        <f>-SUMIFS(Zeitdokumentation!$AX$8:$AX$372,Zeitdokumentation!$BA$8:$BA$372,D11)+SUMIFS(Zeitdokumentation!$H$8:$H$372,Zeitdokumentation!$BA$8:$BA$372,D11)</f>
        <v>0</v>
      </c>
      <c r="L11" s="130">
        <f>-SUMIFS(Zeitdokumentation!$AY$8:$AY$372,Zeitdokumentation!$BA$8:$BA$372,D11)+SUMIFS(Zeitdokumentation!$J$8:$J$372,Zeitdokumentation!$BA$8:$BA$372,D11)</f>
        <v>0</v>
      </c>
      <c r="M11" s="130">
        <f>-SUMIFS(Zeitdokumentation!$AZ$8:$AZ$372,Zeitdokumentation!$BA$8:$BA$372,D11)+SUMIFS(Zeitdokumentation!AJ12:AJ375,Zeitdokumentation!BA12:BA375,D11)</f>
        <v>0</v>
      </c>
      <c r="O11" s="130"/>
      <c r="P11" s="72">
        <f>+COUNTIFS(Zeitdokumentation!$E$8:$E$372,"Ferien",Zeitdokumentation!$BA$8:$BA$372,D11)</f>
        <v>0</v>
      </c>
      <c r="Q11" s="131">
        <f t="shared" si="1"/>
        <v>25</v>
      </c>
    </row>
    <row r="12" spans="1:17" x14ac:dyDescent="0.2">
      <c r="B12" s="72" t="str">
        <f>+Grundlagen!N7</f>
        <v>Januar</v>
      </c>
      <c r="C12" s="72" t="str">
        <f t="shared" si="0"/>
        <v>Jan</v>
      </c>
      <c r="D12" s="72">
        <v>1</v>
      </c>
      <c r="E12" s="130">
        <f>SUMIFS(Zeitdokumentation!AU:AU,Zeitdokumentation!BA:BA,D12)</f>
        <v>0</v>
      </c>
      <c r="F12" s="130">
        <f>+SUMIFS(Zeitdokumentation!AR13:AR376,Zeitdokumentation!BA13:BA376,D12)</f>
        <v>0</v>
      </c>
      <c r="G12" s="130">
        <f t="shared" si="2"/>
        <v>0</v>
      </c>
      <c r="H12" s="130">
        <f t="shared" si="3"/>
        <v>0</v>
      </c>
      <c r="K12" s="130">
        <f>-SUMIFS(Zeitdokumentation!$AX$8:$AX$372,Zeitdokumentation!$BA$8:$BA$372,D12)+SUMIFS(Zeitdokumentation!$H$8:$H$372,Zeitdokumentation!$BA$8:$BA$372,D12)</f>
        <v>0</v>
      </c>
      <c r="L12" s="130">
        <f>-SUMIFS(Zeitdokumentation!$AY$8:$AY$372,Zeitdokumentation!$BA$8:$BA$372,D12)+SUMIFS(Zeitdokumentation!$J$8:$J$372,Zeitdokumentation!$BA$8:$BA$372,D12)</f>
        <v>0</v>
      </c>
      <c r="M12" s="130">
        <f>-SUMIFS(Zeitdokumentation!$AZ$8:$AZ$372,Zeitdokumentation!$BA$8:$BA$372,D12)+SUMIFS(Zeitdokumentation!AJ13:AJ376,Zeitdokumentation!BA13:BA376,D12)</f>
        <v>0</v>
      </c>
      <c r="O12" s="130"/>
      <c r="P12" s="72">
        <f>+COUNTIFS(Zeitdokumentation!$E$8:$E$372,"Ferien",Zeitdokumentation!$BA$8:$BA$372,D12)</f>
        <v>0</v>
      </c>
      <c r="Q12" s="131">
        <f t="shared" si="1"/>
        <v>25</v>
      </c>
    </row>
    <row r="13" spans="1:17" x14ac:dyDescent="0.2">
      <c r="B13" s="72" t="str">
        <f>+Grundlagen!N8</f>
        <v>Februar</v>
      </c>
      <c r="C13" s="72" t="str">
        <f t="shared" si="0"/>
        <v>Feb</v>
      </c>
      <c r="D13" s="72">
        <v>2</v>
      </c>
      <c r="E13" s="130">
        <f>SUMIFS(Zeitdokumentation!AU:AU,Zeitdokumentation!BA:BA,D13)</f>
        <v>0</v>
      </c>
      <c r="F13" s="130">
        <f>+SUMIFS(Zeitdokumentation!AR14:AR377,Zeitdokumentation!BA14:BA377,D13)</f>
        <v>0</v>
      </c>
      <c r="G13" s="130">
        <f t="shared" si="2"/>
        <v>0</v>
      </c>
      <c r="H13" s="130">
        <f t="shared" si="3"/>
        <v>0</v>
      </c>
      <c r="K13" s="130">
        <f>-SUMIFS(Zeitdokumentation!$AX$8:$AX$372,Zeitdokumentation!$BA$8:$BA$372,D13)+SUMIFS(Zeitdokumentation!$H$8:$H$372,Zeitdokumentation!$BA$8:$BA$372,D13)</f>
        <v>0</v>
      </c>
      <c r="L13" s="130">
        <f>-SUMIFS(Zeitdokumentation!$AY$8:$AY$372,Zeitdokumentation!$BA$8:$BA$372,D13)+SUMIFS(Zeitdokumentation!$J$8:$J$372,Zeitdokumentation!$BA$8:$BA$372,D13)</f>
        <v>0</v>
      </c>
      <c r="M13" s="130">
        <f>-SUMIFS(Zeitdokumentation!$AZ$8:$AZ$372,Zeitdokumentation!$BA$8:$BA$372,D13)+SUMIFS(Zeitdokumentation!AJ14:AJ377,Zeitdokumentation!BA14:BA377,D13)</f>
        <v>0</v>
      </c>
      <c r="O13" s="130"/>
      <c r="P13" s="72">
        <f>+COUNTIFS(Zeitdokumentation!$E$8:$E$372,"Ferien",Zeitdokumentation!$BA$8:$BA$372,D13)</f>
        <v>0</v>
      </c>
      <c r="Q13" s="131">
        <f t="shared" si="1"/>
        <v>25</v>
      </c>
    </row>
    <row r="14" spans="1:17" x14ac:dyDescent="0.2">
      <c r="B14" s="72" t="str">
        <f>+Grundlagen!N9</f>
        <v>März</v>
      </c>
      <c r="C14" s="72" t="str">
        <f t="shared" si="0"/>
        <v>Mär</v>
      </c>
      <c r="D14" s="72">
        <v>3</v>
      </c>
      <c r="E14" s="130">
        <f>SUMIFS(Zeitdokumentation!AU:AU,Zeitdokumentation!BA:BA,D14)</f>
        <v>0</v>
      </c>
      <c r="F14" s="130">
        <f>+SUMIFS(Zeitdokumentation!AR15:AR378,Zeitdokumentation!BA15:BA378,D14)</f>
        <v>0</v>
      </c>
      <c r="G14" s="130">
        <f t="shared" si="2"/>
        <v>0</v>
      </c>
      <c r="H14" s="130">
        <f t="shared" si="3"/>
        <v>0</v>
      </c>
      <c r="K14" s="130">
        <f>-SUMIFS(Zeitdokumentation!$AX$8:$AX$372,Zeitdokumentation!$BA$8:$BA$372,D14)+SUMIFS(Zeitdokumentation!$H$8:$H$372,Zeitdokumentation!$BA$8:$BA$372,D14)</f>
        <v>0</v>
      </c>
      <c r="L14" s="130">
        <f>-SUMIFS(Zeitdokumentation!$AY$8:$AY$372,Zeitdokumentation!$BA$8:$BA$372,D14)+SUMIFS(Zeitdokumentation!$J$8:$J$372,Zeitdokumentation!$BA$8:$BA$372,D14)</f>
        <v>0</v>
      </c>
      <c r="M14" s="130">
        <f>-SUMIFS(Zeitdokumentation!$AZ$8:$AZ$372,Zeitdokumentation!$BA$8:$BA$372,D14)+SUMIFS(Zeitdokumentation!AJ15:AJ378,Zeitdokumentation!BA15:BA378,D14)</f>
        <v>0</v>
      </c>
      <c r="O14" s="130"/>
      <c r="P14" s="72">
        <f>+COUNTIFS(Zeitdokumentation!$E$8:$E$372,"Ferien",Zeitdokumentation!$BA$8:$BA$372,D14)</f>
        <v>0</v>
      </c>
      <c r="Q14" s="131">
        <f t="shared" si="1"/>
        <v>25</v>
      </c>
    </row>
    <row r="15" spans="1:17" x14ac:dyDescent="0.2">
      <c r="B15" s="72" t="str">
        <f>+Grundlagen!N10</f>
        <v>April</v>
      </c>
      <c r="C15" s="72" t="str">
        <f t="shared" si="0"/>
        <v>Apr</v>
      </c>
      <c r="D15" s="72">
        <v>4</v>
      </c>
      <c r="E15" s="130">
        <f>SUMIFS(Zeitdokumentation!AU:AU,Zeitdokumentation!BA:BA,D15)</f>
        <v>0</v>
      </c>
      <c r="F15" s="130">
        <f>+SUMIFS(Zeitdokumentation!AR16:AR379,Zeitdokumentation!BA16:BA379,D15)</f>
        <v>0</v>
      </c>
      <c r="G15" s="130">
        <f t="shared" si="2"/>
        <v>0</v>
      </c>
      <c r="H15" s="130">
        <f t="shared" si="3"/>
        <v>0</v>
      </c>
      <c r="K15" s="130">
        <f>-SUMIFS(Zeitdokumentation!$AX$8:$AX$372,Zeitdokumentation!$BA$8:$BA$372,D15)+SUMIFS(Zeitdokumentation!$H$8:$H$372,Zeitdokumentation!$BA$8:$BA$372,D15)</f>
        <v>0</v>
      </c>
      <c r="L15" s="130">
        <f>-SUMIFS(Zeitdokumentation!$AY$8:$AY$372,Zeitdokumentation!$BA$8:$BA$372,D15)+SUMIFS(Zeitdokumentation!$J$8:$J$372,Zeitdokumentation!$BA$8:$BA$372,D15)</f>
        <v>0</v>
      </c>
      <c r="M15" s="130">
        <f>-SUMIFS(Zeitdokumentation!$AZ$8:$AZ$372,Zeitdokumentation!$BA$8:$BA$372,D15)+SUMIFS(Zeitdokumentation!AJ16:AJ379,Zeitdokumentation!BA16:BA379,D15)</f>
        <v>0</v>
      </c>
      <c r="O15" s="130"/>
      <c r="P15" s="72">
        <f>+COUNTIFS(Zeitdokumentation!$E$8:$E$372,"Ferien",Zeitdokumentation!$BA$8:$BA$372,D15)</f>
        <v>0</v>
      </c>
      <c r="Q15" s="131">
        <f t="shared" si="1"/>
        <v>25</v>
      </c>
    </row>
    <row r="16" spans="1:17" x14ac:dyDescent="0.2">
      <c r="B16" s="72" t="str">
        <f>+Grundlagen!N11</f>
        <v>Mai</v>
      </c>
      <c r="C16" s="72" t="str">
        <f t="shared" si="0"/>
        <v>Mai</v>
      </c>
      <c r="D16" s="72">
        <v>5</v>
      </c>
      <c r="E16" s="130">
        <f>SUMIFS(Zeitdokumentation!AU:AU,Zeitdokumentation!BA:BA,D16)</f>
        <v>0</v>
      </c>
      <c r="F16" s="130">
        <f>+SUMIFS(Zeitdokumentation!AR17:AR380,Zeitdokumentation!BA17:BA380,D16)</f>
        <v>0</v>
      </c>
      <c r="G16" s="130">
        <f t="shared" si="2"/>
        <v>0</v>
      </c>
      <c r="H16" s="130">
        <f t="shared" si="3"/>
        <v>0</v>
      </c>
      <c r="K16" s="130">
        <f>-SUMIFS(Zeitdokumentation!$AX$8:$AX$372,Zeitdokumentation!$BA$8:$BA$372,D16)+SUMIFS(Zeitdokumentation!$H$8:$H$372,Zeitdokumentation!$BA$8:$BA$372,D16)</f>
        <v>0</v>
      </c>
      <c r="L16" s="130">
        <f>-SUMIFS(Zeitdokumentation!$AY$8:$AY$372,Zeitdokumentation!$BA$8:$BA$372,D16)+SUMIFS(Zeitdokumentation!$J$8:$J$372,Zeitdokumentation!$BA$8:$BA$372,D16)</f>
        <v>0</v>
      </c>
      <c r="M16" s="130">
        <f>-SUMIFS(Zeitdokumentation!$AZ$8:$AZ$372,Zeitdokumentation!$BA$8:$BA$372,D16)+SUMIFS(Zeitdokumentation!AJ17:AJ380,Zeitdokumentation!BA17:BA380,D16)</f>
        <v>0</v>
      </c>
      <c r="O16" s="130"/>
      <c r="P16" s="72">
        <f>+COUNTIFS(Zeitdokumentation!$E$8:$E$372,"Ferien",Zeitdokumentation!$BA$8:$BA$372,D16)</f>
        <v>0</v>
      </c>
      <c r="Q16" s="131">
        <f t="shared" si="1"/>
        <v>25</v>
      </c>
    </row>
    <row r="17" spans="1:17" x14ac:dyDescent="0.2">
      <c r="B17" s="72" t="str">
        <f>+Grundlagen!N12</f>
        <v>Juni</v>
      </c>
      <c r="C17" s="72" t="str">
        <f t="shared" si="0"/>
        <v>Jun</v>
      </c>
      <c r="D17" s="72">
        <v>6</v>
      </c>
      <c r="E17" s="130">
        <f>SUMIFS(Zeitdokumentation!AU:AU,Zeitdokumentation!BA:BA,D17)</f>
        <v>0</v>
      </c>
      <c r="F17" s="130">
        <f>+SUMIFS(Zeitdokumentation!AR18:AR381,Zeitdokumentation!BA18:BA381,D17)</f>
        <v>0</v>
      </c>
      <c r="G17" s="130">
        <f t="shared" si="2"/>
        <v>0</v>
      </c>
      <c r="H17" s="130">
        <f t="shared" si="3"/>
        <v>0</v>
      </c>
      <c r="K17" s="130">
        <f>-SUMIFS(Zeitdokumentation!$AX$8:$AX$372,Zeitdokumentation!$BA$8:$BA$372,D17)+SUMIFS(Zeitdokumentation!$H$8:$H$372,Zeitdokumentation!$BA$8:$BA$372,D17)</f>
        <v>0</v>
      </c>
      <c r="L17" s="130">
        <f>-SUMIFS(Zeitdokumentation!$AY$8:$AY$372,Zeitdokumentation!$BA$8:$BA$372,D17)+SUMIFS(Zeitdokumentation!$J$8:$J$372,Zeitdokumentation!$BA$8:$BA$372,D17)</f>
        <v>0</v>
      </c>
      <c r="M17" s="130">
        <f>-SUMIFS(Zeitdokumentation!$AZ$8:$AZ$372,Zeitdokumentation!$BA$8:$BA$372,D17)+SUMIFS(Zeitdokumentation!AJ18:AJ381,Zeitdokumentation!BA18:BA381,D17)</f>
        <v>0</v>
      </c>
      <c r="O17" s="130"/>
      <c r="P17" s="72">
        <f>+COUNTIFS(Zeitdokumentation!$E$8:$E$372,"Ferien",Zeitdokumentation!$BA$8:$BA$372,D17)</f>
        <v>0</v>
      </c>
      <c r="Q17" s="131">
        <f t="shared" si="1"/>
        <v>25</v>
      </c>
    </row>
    <row r="18" spans="1:17" x14ac:dyDescent="0.2">
      <c r="B18" s="72" t="str">
        <f>+Grundlagen!N13</f>
        <v>Juli</v>
      </c>
      <c r="C18" s="72" t="str">
        <f t="shared" si="0"/>
        <v>Jul</v>
      </c>
      <c r="D18" s="72">
        <v>7</v>
      </c>
      <c r="E18" s="130">
        <f>SUMIFS(Zeitdokumentation!AU:AU,Zeitdokumentation!BA:BA,D18)</f>
        <v>0</v>
      </c>
      <c r="F18" s="130">
        <f>+SUMIFS(Zeitdokumentation!AR19:AR382,Zeitdokumentation!BA19:BA382,D18)</f>
        <v>0</v>
      </c>
      <c r="G18" s="130">
        <f t="shared" si="2"/>
        <v>0</v>
      </c>
      <c r="H18" s="130">
        <f t="shared" si="3"/>
        <v>0</v>
      </c>
      <c r="K18" s="130">
        <f>-SUMIFS(Zeitdokumentation!$AX$8:$AX$372,Zeitdokumentation!$BA$8:$BA$372,D18)+SUMIFS(Zeitdokumentation!$H$8:$H$372,Zeitdokumentation!$BA$8:$BA$372,D18)</f>
        <v>0</v>
      </c>
      <c r="L18" s="130">
        <f>-SUMIFS(Zeitdokumentation!$AY$8:$AY$372,Zeitdokumentation!$BA$8:$BA$372,D18)+SUMIFS(Zeitdokumentation!$J$8:$J$372,Zeitdokumentation!$BA$8:$BA$372,D18)</f>
        <v>0</v>
      </c>
      <c r="M18" s="130">
        <f>-SUMIFS(Zeitdokumentation!$AZ$8:$AZ$372,Zeitdokumentation!$BA$8:$BA$372,D18)+SUMIFS(Zeitdokumentation!AJ19:AJ382,Zeitdokumentation!BA19:BA382,D18)</f>
        <v>0</v>
      </c>
      <c r="O18" s="130"/>
      <c r="P18" s="72">
        <f>+COUNTIFS(Zeitdokumentation!$E$8:$E$372,"Ferien",Zeitdokumentation!$BA$8:$BA$372,D18)</f>
        <v>0</v>
      </c>
      <c r="Q18" s="131">
        <f t="shared" si="1"/>
        <v>25</v>
      </c>
    </row>
    <row r="19" spans="1:17" ht="15.75" x14ac:dyDescent="0.25">
      <c r="B19" s="132" t="s">
        <v>15</v>
      </c>
      <c r="C19" s="132"/>
      <c r="D19" s="132"/>
      <c r="E19" s="133">
        <f>SUM(E7:E18)</f>
        <v>0</v>
      </c>
      <c r="F19" s="133">
        <f>SUM(F7:F18)</f>
        <v>0</v>
      </c>
      <c r="G19" s="133"/>
      <c r="H19" s="133"/>
      <c r="I19" s="130"/>
      <c r="J19" s="130"/>
      <c r="K19" s="133">
        <f>SUM(K7:K18)</f>
        <v>0</v>
      </c>
      <c r="L19" s="133">
        <f>SUM(L7:L18)</f>
        <v>0</v>
      </c>
      <c r="M19" s="133">
        <f>SUM(M7:M18)</f>
        <v>0</v>
      </c>
      <c r="N19" s="130"/>
      <c r="O19" s="134"/>
      <c r="P19" s="132">
        <f>SUM(P7:P18)</f>
        <v>0</v>
      </c>
      <c r="Q19" s="133"/>
    </row>
    <row r="20" spans="1:17" x14ac:dyDescent="0.2">
      <c r="E20" s="130"/>
      <c r="F20" s="130"/>
      <c r="G20" s="130"/>
    </row>
    <row r="21" spans="1:17" ht="15.75" x14ac:dyDescent="0.25">
      <c r="A21" s="121">
        <v>2</v>
      </c>
      <c r="B21" s="122" t="s">
        <v>180</v>
      </c>
      <c r="I21" s="135"/>
      <c r="J21" s="135"/>
      <c r="K21" s="130"/>
      <c r="N21" s="135"/>
    </row>
    <row r="23" spans="1:17" ht="30.75" customHeight="1" x14ac:dyDescent="0.2">
      <c r="B23" s="273" t="s">
        <v>213</v>
      </c>
      <c r="C23" s="273"/>
      <c r="D23" s="273"/>
      <c r="E23" s="274"/>
      <c r="F23" s="275" t="s">
        <v>179</v>
      </c>
      <c r="G23" s="276" t="s">
        <v>23</v>
      </c>
      <c r="H23" s="275" t="s">
        <v>168</v>
      </c>
    </row>
    <row r="24" spans="1:17" x14ac:dyDescent="0.2">
      <c r="B24" s="72" t="str">
        <f>IF(Aufgabenplanung!A36="","",Aufgabenplanung!A36)</f>
        <v>Mögliche Auswahl</v>
      </c>
      <c r="E24" s="138"/>
      <c r="F24" s="138">
        <f>+IF(Aufgabenplanung!C36="Jahreslektionen",Aufgabenplanung!B36*Jahreslektion,Aufgabenplanung!B36)/24</f>
        <v>0</v>
      </c>
      <c r="G24" s="138">
        <f ca="1">IF(VE_CDE&lt;&gt;"manuell",F24,SUMIFS(Zeitdokumentation!K:K,Zeitdokumentation!$B:$B,"&lt;"&amp;TODAY()+365))</f>
        <v>0</v>
      </c>
      <c r="H24" s="139">
        <f ca="1">+G24-F24</f>
        <v>0</v>
      </c>
      <c r="L24" s="284"/>
    </row>
    <row r="25" spans="1:17" x14ac:dyDescent="0.2">
      <c r="B25" s="72" t="str">
        <f>IF(Aufgabenplanung!A37="","",Aufgabenplanung!A37)</f>
        <v>Mögliche Auswahl</v>
      </c>
      <c r="E25" s="138"/>
      <c r="F25" s="138">
        <f>+IF(Aufgabenplanung!C37="Jahreslektionen",Aufgabenplanung!B37*Jahreslektion,Aufgabenplanung!B37)/24</f>
        <v>0</v>
      </c>
      <c r="G25" s="138">
        <f ca="1">IF(VE_CDE&lt;&gt;"manuell",F25,SUMIFS(Zeitdokumentation!L:L,Zeitdokumentation!$B:$B,"&lt;"&amp;TODAY()+365))</f>
        <v>0</v>
      </c>
      <c r="H25" s="139">
        <f t="shared" ref="H25:H47" ca="1" si="4">+G25-F25</f>
        <v>0</v>
      </c>
    </row>
    <row r="26" spans="1:17" x14ac:dyDescent="0.2">
      <c r="B26" s="72" t="str">
        <f>IF(Aufgabenplanung!A38="","",Aufgabenplanung!A38)</f>
        <v>Mögliche Auswahl</v>
      </c>
      <c r="E26" s="138"/>
      <c r="F26" s="138">
        <f>+IF(Aufgabenplanung!C38="Jahreslektionen",Aufgabenplanung!B38*Jahreslektion,Aufgabenplanung!B38)/24</f>
        <v>0</v>
      </c>
      <c r="G26" s="138">
        <f ca="1">IF(VE_CDE&lt;&gt;"manuell",F26,SUMIFS(Zeitdokumentation!M:M,Zeitdokumentation!$B:$B,"&lt;"&amp;TODAY()+365))</f>
        <v>0</v>
      </c>
      <c r="H26" s="139">
        <f t="shared" ca="1" si="4"/>
        <v>0</v>
      </c>
    </row>
    <row r="27" spans="1:17" x14ac:dyDescent="0.2">
      <c r="B27" s="72" t="str">
        <f>IF(Aufgabenplanung!A39="","",Aufgabenplanung!A39)</f>
        <v>Mögliche Auswahl</v>
      </c>
      <c r="E27" s="138"/>
      <c r="F27" s="138">
        <f>+IF(Aufgabenplanung!C39="Jahreslektionen",Aufgabenplanung!B39*Jahreslektion,Aufgabenplanung!B39)/24</f>
        <v>0</v>
      </c>
      <c r="G27" s="138">
        <f ca="1">IF(VE_CDE&lt;&gt;"manuell",F27,SUMIFS(Zeitdokumentation!N:N,Zeitdokumentation!$B:$B,"&lt;"&amp;TODAY()+365))</f>
        <v>0</v>
      </c>
      <c r="H27" s="139">
        <f t="shared" ca="1" si="4"/>
        <v>0</v>
      </c>
    </row>
    <row r="28" spans="1:17" x14ac:dyDescent="0.2">
      <c r="B28" s="72" t="str">
        <f>IF(Aufgabenplanung!A40="","",Aufgabenplanung!A40)</f>
        <v>Mögliche Auswahl</v>
      </c>
      <c r="E28" s="138"/>
      <c r="F28" s="138">
        <f>+IF(Aufgabenplanung!C40="Jahreslektionen",Aufgabenplanung!B40*Jahreslektion,Aufgabenplanung!B40)/24</f>
        <v>0</v>
      </c>
      <c r="G28" s="138">
        <f ca="1">IF(VE_CDE&lt;&gt;"manuell",F28,SUMIFS(Zeitdokumentation!O:O,Zeitdokumentation!$B:$B,"&lt;"&amp;TODAY()+365))</f>
        <v>0</v>
      </c>
      <c r="H28" s="139">
        <f t="shared" ca="1" si="4"/>
        <v>0</v>
      </c>
    </row>
    <row r="29" spans="1:17" x14ac:dyDescent="0.2">
      <c r="B29" s="72" t="str">
        <f>IF(Aufgabenplanung!A41="","",Aufgabenplanung!A41)</f>
        <v>Mögliche Auswahl</v>
      </c>
      <c r="E29" s="138"/>
      <c r="F29" s="138">
        <f>+IF(Aufgabenplanung!C41="Jahreslektionen",Aufgabenplanung!B41*Jahreslektion,Aufgabenplanung!B41)/24</f>
        <v>0</v>
      </c>
      <c r="G29" s="138">
        <f ca="1">IF(VE_CDE&lt;&gt;"manuell",F29,SUMIFS(Zeitdokumentation!P:P,Zeitdokumentation!$B:$B,"&lt;"&amp;TODAY()+365))</f>
        <v>0</v>
      </c>
      <c r="H29" s="139">
        <f t="shared" ca="1" si="4"/>
        <v>0</v>
      </c>
    </row>
    <row r="30" spans="1:17" x14ac:dyDescent="0.2">
      <c r="B30" s="72" t="str">
        <f>IF(Aufgabenplanung!A42="","",Aufgabenplanung!A42)</f>
        <v>Mögliche Auswahl</v>
      </c>
      <c r="E30" s="139"/>
      <c r="F30" s="138">
        <f>+IF(Aufgabenplanung!C42="Jahreslektionen",Aufgabenplanung!B42*Jahreslektion,Aufgabenplanung!B42)/24</f>
        <v>0</v>
      </c>
      <c r="G30" s="138">
        <f ca="1">IF(VE_CDE&lt;&gt;"manuell",F30,SUMIFS(Zeitdokumentation!Q:Q,Zeitdokumentation!$B:$B,"&lt;"&amp;TODAY()+365))</f>
        <v>0</v>
      </c>
      <c r="H30" s="139">
        <f t="shared" ca="1" si="4"/>
        <v>0</v>
      </c>
    </row>
    <row r="31" spans="1:17" x14ac:dyDescent="0.2">
      <c r="B31" s="72" t="str">
        <f>IF(Aufgabenplanung!A43="","",Aufgabenplanung!A43)</f>
        <v>Mögliche Auswahl</v>
      </c>
      <c r="E31" s="139"/>
      <c r="F31" s="138">
        <f>+IF(Aufgabenplanung!C43="Jahreslektionen",Aufgabenplanung!B43*Jahreslektion,Aufgabenplanung!B43)/24</f>
        <v>0</v>
      </c>
      <c r="G31" s="138">
        <f ca="1">IF(VE_CDE&lt;&gt;"manuell",F31,SUMIFS(Zeitdokumentation!R:R,Zeitdokumentation!$B:$B,"&lt;"&amp;TODAY()+365))</f>
        <v>0</v>
      </c>
      <c r="H31" s="139">
        <f t="shared" ca="1" si="4"/>
        <v>0</v>
      </c>
    </row>
    <row r="32" spans="1:17" x14ac:dyDescent="0.2">
      <c r="B32" s="72" t="str">
        <f>IF(Aufgabenplanung!A44="","",Aufgabenplanung!A44)</f>
        <v>Mögliche Auswahl</v>
      </c>
      <c r="E32" s="139"/>
      <c r="F32" s="138">
        <f>+IF(Aufgabenplanung!C44="Jahreslektionen",Aufgabenplanung!B44*Jahreslektion,Aufgabenplanung!B44)/24</f>
        <v>0</v>
      </c>
      <c r="G32" s="138">
        <f ca="1">IF(VE_CDE&lt;&gt;"manuell",F32,SUMIFS(Zeitdokumentation!S:S,Zeitdokumentation!$B:$B,"&lt;"&amp;TODAY()+365))</f>
        <v>0</v>
      </c>
      <c r="H32" s="139">
        <f t="shared" ca="1" si="4"/>
        <v>0</v>
      </c>
    </row>
    <row r="33" spans="2:8" x14ac:dyDescent="0.2">
      <c r="B33" s="72" t="str">
        <f>IF(Aufgabenplanung!A45="","",Aufgabenplanung!A45)</f>
        <v>Mögliche Auswahl</v>
      </c>
      <c r="E33" s="139"/>
      <c r="F33" s="138">
        <f>+IF(Aufgabenplanung!C45="Jahreslektionen",Aufgabenplanung!B45*Jahreslektion,Aufgabenplanung!B45)/24</f>
        <v>0</v>
      </c>
      <c r="G33" s="138">
        <f ca="1">IF(VE_CDE&lt;&gt;"manuell",F33,SUMIFS(Zeitdokumentation!T:T,Zeitdokumentation!$B:$B,"&lt;"&amp;TODAY()+365))</f>
        <v>0</v>
      </c>
      <c r="H33" s="139">
        <f t="shared" ca="1" si="4"/>
        <v>0</v>
      </c>
    </row>
    <row r="34" spans="2:8" x14ac:dyDescent="0.2">
      <c r="B34" s="72" t="str">
        <f>IF(Aufgabenplanung!A46="","",Aufgabenplanung!A46)</f>
        <v>Mögliche Auswahl</v>
      </c>
      <c r="E34" s="139"/>
      <c r="F34" s="138">
        <f>+IF(Aufgabenplanung!C46="Jahreslektionen",Aufgabenplanung!B46*Jahreslektion,Aufgabenplanung!B46)/24</f>
        <v>0</v>
      </c>
      <c r="G34" s="138">
        <f ca="1">IF(VE_CDE&lt;&gt;"manuell",F34,SUMIFS(Zeitdokumentation!U:U,Zeitdokumentation!$B:$B,"&lt;"&amp;TODAY()+365))</f>
        <v>0</v>
      </c>
      <c r="H34" s="139">
        <f t="shared" ca="1" si="4"/>
        <v>0</v>
      </c>
    </row>
    <row r="35" spans="2:8" x14ac:dyDescent="0.2">
      <c r="B35" s="72" t="str">
        <f>IF(Aufgabenplanung!A47="","",Aufgabenplanung!A47)</f>
        <v>Mögliche Auswahl</v>
      </c>
      <c r="E35" s="139"/>
      <c r="F35" s="138">
        <f>+IF(Aufgabenplanung!C47="Jahreslektionen",Aufgabenplanung!B47*Jahreslektion,Aufgabenplanung!B47)/24</f>
        <v>0</v>
      </c>
      <c r="G35" s="138">
        <f ca="1">IF(VE_CDE&lt;&gt;"manuell",F35,SUMIFS(Zeitdokumentation!V:V,Zeitdokumentation!$B:$B,"&lt;"&amp;TODAY()+365))</f>
        <v>0</v>
      </c>
      <c r="H35" s="139">
        <f t="shared" ca="1" si="4"/>
        <v>0</v>
      </c>
    </row>
    <row r="36" spans="2:8" x14ac:dyDescent="0.2">
      <c r="B36" s="72" t="str">
        <f>IF(Aufgabenplanung!A48="","",Aufgabenplanung!A48)</f>
        <v>Mögliche Auswahl</v>
      </c>
      <c r="E36" s="139"/>
      <c r="F36" s="138">
        <f>+IF(Aufgabenplanung!C48="Jahreslektionen",Aufgabenplanung!B48*Jahreslektion,Aufgabenplanung!B48)/24</f>
        <v>0</v>
      </c>
      <c r="G36" s="138">
        <f ca="1">IF(VE_CDE&lt;&gt;"manuell",F36,SUMIFS(Zeitdokumentation!W:W,Zeitdokumentation!$B:$B,"&lt;"&amp;TODAY()+365))</f>
        <v>0</v>
      </c>
      <c r="H36" s="139">
        <f t="shared" ca="1" si="4"/>
        <v>0</v>
      </c>
    </row>
    <row r="37" spans="2:8" x14ac:dyDescent="0.2">
      <c r="B37" s="72" t="str">
        <f>IF(Aufgabenplanung!A49="","",Aufgabenplanung!A49)</f>
        <v>Mögliche Auswahl</v>
      </c>
      <c r="E37" s="139"/>
      <c r="F37" s="138">
        <f>+IF(Aufgabenplanung!C49="Jahreslektionen",Aufgabenplanung!B49*Jahreslektion,Aufgabenplanung!B49)/24</f>
        <v>0</v>
      </c>
      <c r="G37" s="138">
        <f ca="1">IF(VE_CDE&lt;&gt;"manuell",F37,SUMIFS(Zeitdokumentation!X:X,Zeitdokumentation!$B:$B,"&lt;"&amp;TODAY()+365))</f>
        <v>0</v>
      </c>
      <c r="H37" s="139">
        <f t="shared" ca="1" si="4"/>
        <v>0</v>
      </c>
    </row>
    <row r="38" spans="2:8" x14ac:dyDescent="0.2">
      <c r="B38" s="72" t="str">
        <f>IF(Aufgabenplanung!A50="","",Aufgabenplanung!A50)</f>
        <v>Mögliche Auswahl</v>
      </c>
      <c r="E38" s="139"/>
      <c r="F38" s="138">
        <f>+IF(Aufgabenplanung!C50="Jahreslektionen",Aufgabenplanung!B50*Jahreslektion,Aufgabenplanung!B50)/24</f>
        <v>0</v>
      </c>
      <c r="G38" s="138">
        <f ca="1">IF(VE_CDE&lt;&gt;"manuell",F38,SUMIFS(Zeitdokumentation!Y:Y,Zeitdokumentation!$B:$B,"&lt;"&amp;TODAY()+365))</f>
        <v>0</v>
      </c>
      <c r="H38" s="139">
        <f t="shared" ca="1" si="4"/>
        <v>0</v>
      </c>
    </row>
    <row r="39" spans="2:8" x14ac:dyDescent="0.2">
      <c r="B39" s="72" t="str">
        <f>IF(Aufgabenplanung!A51="","",Aufgabenplanung!A51)</f>
        <v>Mögliche Auswahl</v>
      </c>
      <c r="E39" s="139"/>
      <c r="F39" s="138">
        <f>+IF(Aufgabenplanung!C51="Jahreslektionen",Aufgabenplanung!B51*Jahreslektion,Aufgabenplanung!B51)/24</f>
        <v>0</v>
      </c>
      <c r="G39" s="138">
        <f ca="1">IF(VE_CDE&lt;&gt;"manuell",F39,SUMIFS(Zeitdokumentation!Z:Z,Zeitdokumentation!$B:$B,"&lt;"&amp;TODAY()+365))</f>
        <v>0</v>
      </c>
      <c r="H39" s="139">
        <f t="shared" ca="1" si="4"/>
        <v>0</v>
      </c>
    </row>
    <row r="40" spans="2:8" x14ac:dyDescent="0.2">
      <c r="B40" s="72" t="str">
        <f>IF(Aufgabenplanung!A52="","",Aufgabenplanung!A52)</f>
        <v>Mögliche Auswahl</v>
      </c>
      <c r="E40" s="139"/>
      <c r="F40" s="138">
        <f>+IF(Aufgabenplanung!C52="Jahreslektionen",Aufgabenplanung!B52*Jahreslektion,Aufgabenplanung!B52)/24</f>
        <v>0</v>
      </c>
      <c r="G40" s="138">
        <f ca="1">IF(VE_CDE&lt;&gt;"manuell",F40,SUMIFS(Zeitdokumentation!AA:AA,Zeitdokumentation!$B:$B,"&lt;"&amp;TODAY()+365))</f>
        <v>0</v>
      </c>
      <c r="H40" s="139">
        <f t="shared" ca="1" si="4"/>
        <v>0</v>
      </c>
    </row>
    <row r="41" spans="2:8" x14ac:dyDescent="0.2">
      <c r="B41" s="72" t="str">
        <f>IF(Aufgabenplanung!A53="","",Aufgabenplanung!A53)</f>
        <v>Mögliche Auswahl</v>
      </c>
      <c r="E41" s="139"/>
      <c r="F41" s="138">
        <f>+IF(Aufgabenplanung!C53="Jahreslektionen",Aufgabenplanung!B53*Jahreslektion,Aufgabenplanung!B53)/24</f>
        <v>0</v>
      </c>
      <c r="G41" s="138">
        <f ca="1">IF(VE_CDE&lt;&gt;"manuell",F41,SUMIFS(Zeitdokumentation!AB:AB,Zeitdokumentation!$B:$B,"&lt;"&amp;TODAY()+365))</f>
        <v>0</v>
      </c>
      <c r="H41" s="139">
        <f t="shared" ca="1" si="4"/>
        <v>0</v>
      </c>
    </row>
    <row r="42" spans="2:8" x14ac:dyDescent="0.2">
      <c r="B42" s="72" t="str">
        <f>IF(Aufgabenplanung!A54="","",Aufgabenplanung!A54)</f>
        <v>Mögliche Auswahl</v>
      </c>
      <c r="E42" s="139"/>
      <c r="F42" s="138">
        <f>+IF(Aufgabenplanung!C54="Jahreslektionen",Aufgabenplanung!B54*Jahreslektion,Aufgabenplanung!B54)/24</f>
        <v>0</v>
      </c>
      <c r="G42" s="138">
        <f ca="1">IF(VE_CDE&lt;&gt;"manuell",F42,SUMIFS(Zeitdokumentation!AC:AC,Zeitdokumentation!$B:$B,"&lt;"&amp;TODAY()+365))</f>
        <v>0</v>
      </c>
      <c r="H42" s="139">
        <f t="shared" ca="1" si="4"/>
        <v>0</v>
      </c>
    </row>
    <row r="43" spans="2:8" x14ac:dyDescent="0.2">
      <c r="B43" s="72" t="str">
        <f>IF(Aufgabenplanung!A55="","",Aufgabenplanung!A55)</f>
        <v>Mögliche Auswahl</v>
      </c>
      <c r="E43" s="139"/>
      <c r="F43" s="138">
        <f>+IF(Aufgabenplanung!C55="Jahreslektionen",Aufgabenplanung!B55*Jahreslektion,Aufgabenplanung!B55)/24</f>
        <v>0</v>
      </c>
      <c r="G43" s="138">
        <f ca="1">IF(VE_CDE&lt;&gt;"manuell",F43,SUMIFS(Zeitdokumentation!AD:AD,Zeitdokumentation!$B:$B,"&lt;"&amp;TODAY()+365))</f>
        <v>0</v>
      </c>
      <c r="H43" s="139">
        <f t="shared" ca="1" si="4"/>
        <v>0</v>
      </c>
    </row>
    <row r="44" spans="2:8" x14ac:dyDescent="0.2">
      <c r="B44" s="72" t="str">
        <f>IF(Aufgabenplanung!A59="","",Aufgabenplanung!A59)</f>
        <v>Bitte angeben</v>
      </c>
      <c r="E44" s="138"/>
      <c r="F44" s="138">
        <f>+IF(Aufgabenplanung!C59="Jahreslektionen",Aufgabenplanung!B59*Jahreslektion,Aufgabenplanung!B59)/24</f>
        <v>0</v>
      </c>
      <c r="G44" s="138">
        <f ca="1">IF(VE_CDE&lt;&gt;"manuell",F44,SUMIFS(Zeitdokumentation!AE:AE,Zeitdokumentation!$B:$B,"&lt;"&amp;TODAY()+365))</f>
        <v>0</v>
      </c>
      <c r="H44" s="139">
        <f t="shared" ca="1" si="4"/>
        <v>0</v>
      </c>
    </row>
    <row r="45" spans="2:8" x14ac:dyDescent="0.2">
      <c r="B45" s="72" t="str">
        <f>IF(Aufgabenplanung!A60="","",Aufgabenplanung!A60)</f>
        <v>Bitte angeben</v>
      </c>
      <c r="E45" s="138"/>
      <c r="F45" s="138">
        <f>+IF(Aufgabenplanung!C60="Jahreslektionen",Aufgabenplanung!B60*Jahreslektion,Aufgabenplanung!B60)/24</f>
        <v>0</v>
      </c>
      <c r="G45" s="138">
        <f ca="1">IF(VE_CDE&lt;&gt;"manuell",F45,SUMIFS(Zeitdokumentation!AF:AF,Zeitdokumentation!$B:$B,"&lt;"&amp;TODAY()+365))</f>
        <v>0</v>
      </c>
      <c r="H45" s="139">
        <f t="shared" ca="1" si="4"/>
        <v>0</v>
      </c>
    </row>
    <row r="46" spans="2:8" x14ac:dyDescent="0.2">
      <c r="B46" s="72" t="str">
        <f>IF(Aufgabenplanung!A61="","",Aufgabenplanung!A61)</f>
        <v>Bitte angeben</v>
      </c>
      <c r="E46" s="138"/>
      <c r="F46" s="138">
        <f>+IF(Aufgabenplanung!C61="Jahreslektionen",Aufgabenplanung!B61*Jahreslektion,Aufgabenplanung!B61)/24</f>
        <v>0</v>
      </c>
      <c r="G46" s="138">
        <f ca="1">IF(VE_CDE&lt;&gt;"manuell",F46,SUMIFS(Zeitdokumentation!AG:AG,Zeitdokumentation!$B:$B,"&lt;"&amp;TODAY()+365))</f>
        <v>0</v>
      </c>
      <c r="H46" s="139">
        <f t="shared" ca="1" si="4"/>
        <v>0</v>
      </c>
    </row>
    <row r="47" spans="2:8" x14ac:dyDescent="0.2">
      <c r="B47" s="72" t="str">
        <f>IF(Aufgabenplanung!A62="","",Aufgabenplanung!A62)</f>
        <v>Bitte angeben</v>
      </c>
      <c r="E47" s="138"/>
      <c r="F47" s="138">
        <f>+IF(Aufgabenplanung!C62="Jahreslektionen",Aufgabenplanung!B62*Jahreslektion,Aufgabenplanung!B62)/24</f>
        <v>0</v>
      </c>
      <c r="G47" s="138">
        <f ca="1">IF(VE_CDE&lt;&gt;"manuell",F47,SUMIFS(Zeitdokumentation!AH:AH,Zeitdokumentation!$B:$B,"&lt;"&amp;TODAY()+365))</f>
        <v>0</v>
      </c>
      <c r="H47" s="139">
        <f t="shared" ca="1" si="4"/>
        <v>0</v>
      </c>
    </row>
    <row r="48" spans="2:8" x14ac:dyDescent="0.2">
      <c r="B48" s="72" t="str">
        <f>IF(Aufgabenplanung!A63="","",Aufgabenplanung!A63)</f>
        <v>Bitte angeben</v>
      </c>
      <c r="E48" s="138"/>
      <c r="F48" s="138">
        <f>+IF(Aufgabenplanung!C63="Jahreslektionen",Aufgabenplanung!B63*Jahreslektion,Aufgabenplanung!B63)/24</f>
        <v>0</v>
      </c>
      <c r="G48" s="138">
        <f ca="1">IF(VE_CDE&lt;&gt;"manuell",F48,SUMIFS(Zeitdokumentation!AI:AI,Zeitdokumentation!$B:$B,"&lt;"&amp;TODAY()+365))</f>
        <v>0</v>
      </c>
      <c r="H48" s="139">
        <f t="shared" ref="H48" ca="1" si="5">+G48-F48</f>
        <v>0</v>
      </c>
    </row>
    <row r="49" spans="2:8" ht="15.75" x14ac:dyDescent="0.25">
      <c r="B49" s="140" t="s">
        <v>169</v>
      </c>
      <c r="C49" s="140"/>
      <c r="D49" s="140"/>
      <c r="E49" s="141"/>
      <c r="F49" s="141">
        <f>SUM(F24:F47)</f>
        <v>0</v>
      </c>
      <c r="G49" s="141">
        <f ca="1">SUM(G24:G47)</f>
        <v>0</v>
      </c>
      <c r="H49" s="141">
        <f ca="1">+G49-F49</f>
        <v>0</v>
      </c>
    </row>
    <row r="50" spans="2:8" x14ac:dyDescent="0.2">
      <c r="E50" s="139"/>
      <c r="F50" s="139"/>
      <c r="G50" s="139"/>
    </row>
    <row r="51" spans="2:8" x14ac:dyDescent="0.2">
      <c r="B51" s="136" t="s">
        <v>117</v>
      </c>
      <c r="C51" s="136"/>
      <c r="D51" s="136"/>
      <c r="E51" s="137"/>
      <c r="F51" s="275" t="s">
        <v>179</v>
      </c>
      <c r="G51" s="276" t="s">
        <v>23</v>
      </c>
      <c r="H51" s="275" t="s">
        <v>168</v>
      </c>
    </row>
    <row r="52" spans="2:8" x14ac:dyDescent="0.2">
      <c r="B52" s="72" t="str">
        <f>+BA_EA1</f>
        <v>Klassenleitung</v>
      </c>
      <c r="E52" s="138"/>
      <c r="F52" s="138">
        <f>+IF(Aufgabenplanung!C73="Jahreslektionen",Aufgabenplanung!B73*Jahreslektion,Aufgabenplanung!B73)/24</f>
        <v>0</v>
      </c>
      <c r="G52" s="138">
        <f ca="1">IF(VE_EA&lt;&gt;"manuell",F52,SUMIFS(Zeitdokumentation!AK:AK,Zeitdokumentation!B:B,"&lt;"&amp;TODAY()+365))</f>
        <v>0</v>
      </c>
      <c r="H52" s="139">
        <f ca="1">+G52-F52</f>
        <v>0</v>
      </c>
    </row>
    <row r="53" spans="2:8" x14ac:dyDescent="0.2">
      <c r="B53" s="72" t="str">
        <f>+BA_EA2</f>
        <v>Mögliche Auswahl</v>
      </c>
      <c r="E53" s="138"/>
      <c r="F53" s="138">
        <f>+IF(Aufgabenplanung!C74="Jahreslektionen",Aufgabenplanung!B74*Jahreslektion,Aufgabenplanung!B74)/24</f>
        <v>0</v>
      </c>
      <c r="G53" s="138">
        <f ca="1">IF(VE_EA&lt;&gt;"manuell",F53,SUMIFS(Zeitdokumentation!AL:AL,Zeitdokumentation!B:B,"&lt;"&amp;TODAY()+365))</f>
        <v>0</v>
      </c>
      <c r="H53" s="139">
        <f t="shared" ref="H53:H55" ca="1" si="6">+G53-F53</f>
        <v>0</v>
      </c>
    </row>
    <row r="54" spans="2:8" x14ac:dyDescent="0.2">
      <c r="B54" s="72" t="str">
        <f>+BA_EA3</f>
        <v>Mögliche Auswahl</v>
      </c>
      <c r="E54" s="138"/>
      <c r="F54" s="138">
        <f>+IF(Aufgabenplanung!C75="Jahreslektionen",Aufgabenplanung!B75*Jahreslektion,Aufgabenplanung!B75)/24</f>
        <v>0</v>
      </c>
      <c r="G54" s="138">
        <f ca="1">IF(VE_EA&lt;&gt;"manuell",F54,SUMIFS(Zeitdokumentation!AM:AM,Zeitdokumentation!B:B,"&lt;"&amp;TODAY()+365))</f>
        <v>0</v>
      </c>
      <c r="H54" s="139">
        <f t="shared" ca="1" si="6"/>
        <v>0</v>
      </c>
    </row>
    <row r="55" spans="2:8" x14ac:dyDescent="0.2">
      <c r="B55" s="72" t="str">
        <f>+BA_EA4</f>
        <v>Mögliche Auswahl</v>
      </c>
      <c r="E55" s="138"/>
      <c r="F55" s="138">
        <f>+IF(Aufgabenplanung!C76="Jahreslektionen",Aufgabenplanung!B76*Jahreslektion,Aufgabenplanung!B76)/24</f>
        <v>0</v>
      </c>
      <c r="G55" s="138">
        <f ca="1">IF(VE_EA&lt;&gt;"manuell",F55,SUMIFS(Zeitdokumentation!AN:AN,Zeitdokumentation!B:B,"&lt;"&amp;TODAY()+365))</f>
        <v>0</v>
      </c>
      <c r="H55" s="139">
        <f t="shared" ca="1" si="6"/>
        <v>0</v>
      </c>
    </row>
    <row r="56" spans="2:8" x14ac:dyDescent="0.2">
      <c r="B56" s="136" t="s">
        <v>120</v>
      </c>
      <c r="C56" s="136"/>
      <c r="D56" s="136"/>
      <c r="E56" s="137"/>
      <c r="F56" s="137">
        <f>SUM(F52:F55)</f>
        <v>0</v>
      </c>
      <c r="G56" s="137">
        <f ca="1">SUM(G52:G55)</f>
        <v>0</v>
      </c>
      <c r="H56" s="137">
        <f ca="1">+G56-F56</f>
        <v>0</v>
      </c>
    </row>
    <row r="57" spans="2:8" x14ac:dyDescent="0.2">
      <c r="E57" s="139"/>
      <c r="F57" s="139"/>
      <c r="G57" s="139"/>
    </row>
    <row r="58" spans="2:8" x14ac:dyDescent="0.2">
      <c r="B58" s="136" t="s">
        <v>121</v>
      </c>
      <c r="C58" s="136"/>
      <c r="D58" s="136"/>
      <c r="E58" s="137"/>
      <c r="F58" s="275" t="s">
        <v>179</v>
      </c>
      <c r="G58" s="276" t="s">
        <v>23</v>
      </c>
      <c r="H58" s="275" t="s">
        <v>168</v>
      </c>
    </row>
    <row r="59" spans="2:8" x14ac:dyDescent="0.2">
      <c r="B59" s="72" t="str">
        <f>+BA_EA5</f>
        <v>Bitte angeben</v>
      </c>
      <c r="E59" s="138"/>
      <c r="F59" s="138">
        <f>+IF(Aufgabenplanung!C80="Jahreslektionen",Aufgabenplanung!B80*Jahreslektion,Aufgabenplanung!B80)/24</f>
        <v>0</v>
      </c>
      <c r="G59" s="138">
        <f ca="1">IF(VE_EA&lt;&gt;"manuell",F59,SUMIFS(Zeitdokumentation!AO:AO,Zeitdokumentation!B:B,"&lt;"&amp;TODAY()+365))</f>
        <v>0</v>
      </c>
      <c r="H59" s="139">
        <f t="shared" ref="H59:H60" ca="1" si="7">+G59-F59</f>
        <v>0</v>
      </c>
    </row>
    <row r="60" spans="2:8" x14ac:dyDescent="0.2">
      <c r="B60" s="72" t="str">
        <f>+BA_EA6</f>
        <v>Bitte angeben</v>
      </c>
      <c r="E60" s="138"/>
      <c r="F60" s="138">
        <f>+IF(Aufgabenplanung!C81="Jahreslektionen",Aufgabenplanung!B81*Jahreslektion,Aufgabenplanung!B81)/24</f>
        <v>0</v>
      </c>
      <c r="G60" s="138">
        <f ca="1">IF(VE_EA&lt;&gt;"manuell",F60,SUMIFS(Zeitdokumentation!AP:AP,Zeitdokumentation!B:B,"&lt;"&amp;TODAY()+365))</f>
        <v>0</v>
      </c>
      <c r="H60" s="139">
        <f t="shared" ca="1" si="7"/>
        <v>0</v>
      </c>
    </row>
    <row r="61" spans="2:8" x14ac:dyDescent="0.2">
      <c r="B61" s="136" t="s">
        <v>123</v>
      </c>
      <c r="C61" s="136"/>
      <c r="D61" s="136"/>
      <c r="E61" s="137"/>
      <c r="F61" s="137">
        <f>SUM(F59:F60)</f>
        <v>0</v>
      </c>
      <c r="G61" s="137">
        <f ca="1">SUM(G59:G60)</f>
        <v>0</v>
      </c>
      <c r="H61" s="137">
        <f ca="1">+G61-F61</f>
        <v>0</v>
      </c>
    </row>
    <row r="63" spans="2:8" ht="15.75" x14ac:dyDescent="0.25">
      <c r="B63" s="140" t="s">
        <v>170</v>
      </c>
      <c r="C63" s="140"/>
      <c r="D63" s="140"/>
      <c r="E63" s="141"/>
      <c r="F63" s="141">
        <f>SUM(F56,F61)</f>
        <v>0</v>
      </c>
      <c r="G63" s="141">
        <f t="shared" ref="G63:H63" ca="1" si="8">SUM(G56,G61)</f>
        <v>0</v>
      </c>
      <c r="H63" s="141">
        <f t="shared" ca="1" si="8"/>
        <v>0</v>
      </c>
    </row>
  </sheetData>
  <sheetProtection sheet="1" formatRows="0" autoFilter="0"/>
  <dataValidations disablePrompts="1" count="2">
    <dataValidation type="list" allowBlank="1" showInputMessage="1" sqref="B24:B48" xr:uid="{00000000-0002-0000-0600-000000000000}">
      <formula1>DD_Bereich_C</formula1>
    </dataValidation>
    <dataValidation type="list" allowBlank="1" showInputMessage="1" sqref="B52:B55 B59:B60" xr:uid="{00000000-0002-0000-0600-000001000000}">
      <formula1>IF(OR($B$4="Psychomotorik und Logopädie",$B$4="Musikschule"),"",IF($B$4="Berufsfachschulen und schulische Module Brückenangebote",EA1_SekII_BFS,IF($B$4="Primarschule",EA1_PS,IF($B$4="Sekundarschule",EA1_SekI,EA1_SekII))))</formula1>
    </dataValidation>
  </dataValidations>
  <pageMargins left="0.39370078740157499" right="0.39370078740157499" top="0.59055118110236204" bottom="0.59055118110236204" header="0.39370078740157499" footer="0.39370078740157499"/>
  <pageSetup paperSize="9" scale="91" fitToHeight="300" orientation="landscape" r:id="rId1"/>
  <headerFooter>
    <oddFooter>&amp;L&amp;F&amp;C&amp;D&amp;R&amp;P von &amp;N</oddFooter>
  </headerFooter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51BA141C3839A489E33106E4EBCAB42" ma:contentTypeVersion="2" ma:contentTypeDescription="Ein neues Dokument erstellen." ma:contentTypeScope="" ma:versionID="0ca7b5c32761bd1a3e1688101a1d05eb">
  <xsd:schema xmlns:xsd="http://www.w3.org/2001/XMLSchema" xmlns:xs="http://www.w3.org/2001/XMLSchema" xmlns:p="http://schemas.microsoft.com/office/2006/metadata/properties" xmlns:ns2="051c46fa-c3eb-4280-9fec-0d53d9daabcd" targetNamespace="http://schemas.microsoft.com/office/2006/metadata/properties" ma:root="true" ma:fieldsID="d73f27199887834b22729cb93c429d40" ns2:_="">
    <xsd:import namespace="051c46fa-c3eb-4280-9fec-0d53d9daab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1c46fa-c3eb-4280-9fec-0d53d9daabc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F82FA88-AA48-40EF-8A74-DDAD57705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1c46fa-c3eb-4280-9fec-0d53d9daab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3ED07A-C6F3-4A8D-B636-F0669A34B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52DB66-D8C6-487B-B8CD-021B746CD87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051c46fa-c3eb-4280-9fec-0d53d9daabc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120</vt:i4>
      </vt:variant>
    </vt:vector>
  </HeadingPairs>
  <TitlesOfParts>
    <vt:vector size="124" baseType="lpstr">
      <vt:lpstr>Aufgabenplanung</vt:lpstr>
      <vt:lpstr>ZD Vorerfassung</vt:lpstr>
      <vt:lpstr>Zeitdokumentation</vt:lpstr>
      <vt:lpstr>ZD Übersicht</vt:lpstr>
      <vt:lpstr>AA_Heutiges_Datum_2</vt:lpstr>
      <vt:lpstr>BA_CDE1</vt:lpstr>
      <vt:lpstr>BA_CDE10</vt:lpstr>
      <vt:lpstr>BA_CDE11</vt:lpstr>
      <vt:lpstr>BA_CDE12</vt:lpstr>
      <vt:lpstr>BA_CDE13</vt:lpstr>
      <vt:lpstr>BA_CDE14</vt:lpstr>
      <vt:lpstr>BA_CDE15</vt:lpstr>
      <vt:lpstr>BA_CDE2</vt:lpstr>
      <vt:lpstr>BA_CDE3</vt:lpstr>
      <vt:lpstr>BA_CDE4</vt:lpstr>
      <vt:lpstr>BA_CDE5</vt:lpstr>
      <vt:lpstr>BA_CDE6</vt:lpstr>
      <vt:lpstr>BA_CDE7</vt:lpstr>
      <vt:lpstr>BA_CDE8</vt:lpstr>
      <vt:lpstr>BA_CDE9</vt:lpstr>
      <vt:lpstr>BA_EA1</vt:lpstr>
      <vt:lpstr>BA_EA2</vt:lpstr>
      <vt:lpstr>BA_EA3</vt:lpstr>
      <vt:lpstr>BA_EA4</vt:lpstr>
      <vt:lpstr>BA_EA5</vt:lpstr>
      <vt:lpstr>BA_EA6</vt:lpstr>
      <vt:lpstr>Data_Feiertage</vt:lpstr>
      <vt:lpstr>Data_Feiertage_halb</vt:lpstr>
      <vt:lpstr>Data_Schulferien</vt:lpstr>
      <vt:lpstr>DD_Bereich_C</vt:lpstr>
      <vt:lpstr>DD_Bereich_C_MS</vt:lpstr>
      <vt:lpstr>DD_Schulstufen</vt:lpstr>
      <vt:lpstr>Aufgabenplanung!Druckbereich</vt:lpstr>
      <vt:lpstr>'ZD Übersicht'!Druckbereich</vt:lpstr>
      <vt:lpstr>'ZD Vorerfassung'!Druckbereich</vt:lpstr>
      <vt:lpstr>Zeitdokumentation!Druckbereich</vt:lpstr>
      <vt:lpstr>EA1_Gym</vt:lpstr>
      <vt:lpstr>EA1_KG</vt:lpstr>
      <vt:lpstr>EA1_PS</vt:lpstr>
      <vt:lpstr>EA1_SekI</vt:lpstr>
      <vt:lpstr>EA1_SekII</vt:lpstr>
      <vt:lpstr>EA1_SekII_BFS</vt:lpstr>
      <vt:lpstr>FH</vt:lpstr>
      <vt:lpstr>FT</vt:lpstr>
      <vt:lpstr>Geburtstag</vt:lpstr>
      <vt:lpstr>Jahreslektion</vt:lpstr>
      <vt:lpstr>Jahreslektion_EA</vt:lpstr>
      <vt:lpstr>Nachname</vt:lpstr>
      <vt:lpstr>NR</vt:lpstr>
      <vt:lpstr>Param1</vt:lpstr>
      <vt:lpstr>Param10</vt:lpstr>
      <vt:lpstr>Param2</vt:lpstr>
      <vt:lpstr>Param3</vt:lpstr>
      <vt:lpstr>Param4</vt:lpstr>
      <vt:lpstr>Param5</vt:lpstr>
      <vt:lpstr>Param6</vt:lpstr>
      <vt:lpstr>Param7</vt:lpstr>
      <vt:lpstr>Param8</vt:lpstr>
      <vt:lpstr>Param9</vt:lpstr>
      <vt:lpstr>Schuljahr</vt:lpstr>
      <vt:lpstr>Schuljahre</vt:lpstr>
      <vt:lpstr>Sem2_wt2</vt:lpstr>
      <vt:lpstr>Sem2_wt3</vt:lpstr>
      <vt:lpstr>Sem2_wt4</vt:lpstr>
      <vt:lpstr>SF</vt:lpstr>
      <vt:lpstr>Soll_Arbeitszeit_23_24</vt:lpstr>
      <vt:lpstr>Ueb_CDE1</vt:lpstr>
      <vt:lpstr>Ueb_CDE10</vt:lpstr>
      <vt:lpstr>Ueb_CDE11</vt:lpstr>
      <vt:lpstr>Ueb_CDE12</vt:lpstr>
      <vt:lpstr>Ueb_CDE13</vt:lpstr>
      <vt:lpstr>Ueb_CDE14</vt:lpstr>
      <vt:lpstr>Ueb_CDE2</vt:lpstr>
      <vt:lpstr>Ueb_CDE3</vt:lpstr>
      <vt:lpstr>Ueb_CDE4</vt:lpstr>
      <vt:lpstr>Ueb_CDE5</vt:lpstr>
      <vt:lpstr>Ueb_CDE6</vt:lpstr>
      <vt:lpstr>Ueb_CDE7</vt:lpstr>
      <vt:lpstr>Ueb_CDE8</vt:lpstr>
      <vt:lpstr>Ueb_CDE9</vt:lpstr>
      <vt:lpstr>Ueb_EA1</vt:lpstr>
      <vt:lpstr>Ueb_EA2</vt:lpstr>
      <vt:lpstr>Ueb_EA3</vt:lpstr>
      <vt:lpstr>Ueb_EA4</vt:lpstr>
      <vt:lpstr>Ueb_EA5</vt:lpstr>
      <vt:lpstr>Ueb_EA6</vt:lpstr>
      <vt:lpstr>UU</vt:lpstr>
      <vt:lpstr>UU1_start</vt:lpstr>
      <vt:lpstr>UU1_stop</vt:lpstr>
      <vt:lpstr>UU2_start</vt:lpstr>
      <vt:lpstr>UU2_stop</vt:lpstr>
      <vt:lpstr>UU3_start</vt:lpstr>
      <vt:lpstr>UU3_stop</vt:lpstr>
      <vt:lpstr>VE_B</vt:lpstr>
      <vt:lpstr>VE_CDE</vt:lpstr>
      <vt:lpstr>VE_EA</vt:lpstr>
      <vt:lpstr>Vorname</vt:lpstr>
      <vt:lpstr>Vorsaldo</vt:lpstr>
      <vt:lpstr>VorsaldoFerien</vt:lpstr>
      <vt:lpstr>WE</vt:lpstr>
      <vt:lpstr>ZE_Auswahl_Monat</vt:lpstr>
      <vt:lpstr>ZE_B_auto</vt:lpstr>
      <vt:lpstr>ZE_B_manu</vt:lpstr>
      <vt:lpstr>ZE_CDE1</vt:lpstr>
      <vt:lpstr>ZE_CDE10</vt:lpstr>
      <vt:lpstr>ZE_CDE11</vt:lpstr>
      <vt:lpstr>ZE_CDE12</vt:lpstr>
      <vt:lpstr>ZE_CDE13</vt:lpstr>
      <vt:lpstr>ZE_CDE14</vt:lpstr>
      <vt:lpstr>ZE_CDE15</vt:lpstr>
      <vt:lpstr>ZE_CDE2</vt:lpstr>
      <vt:lpstr>ZE_CDE3</vt:lpstr>
      <vt:lpstr>ZE_CDE4</vt:lpstr>
      <vt:lpstr>ZE_CDE5</vt:lpstr>
      <vt:lpstr>ZE_CDE6</vt:lpstr>
      <vt:lpstr>ZE_CDE7</vt:lpstr>
      <vt:lpstr>ZE_CDE8</vt:lpstr>
      <vt:lpstr>ZE_CDE9</vt:lpstr>
      <vt:lpstr>ZE_EA1</vt:lpstr>
      <vt:lpstr>ZE_EA2</vt:lpstr>
      <vt:lpstr>ZE_EA3</vt:lpstr>
      <vt:lpstr>ZE_EA4</vt:lpstr>
      <vt:lpstr>ZE_EA5</vt:lpstr>
      <vt:lpstr>ZE_EA6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Office-Anwender</dc:creator>
  <cp:keywords/>
  <dc:description/>
  <cp:lastModifiedBy>Schiegg, Michael (AVS)</cp:lastModifiedBy>
  <cp:revision/>
  <dcterms:created xsi:type="dcterms:W3CDTF">2017-09-28T13:10:34Z</dcterms:created>
  <dcterms:modified xsi:type="dcterms:W3CDTF">2026-05-01T16:13:02Z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0x010100551BA141C3839A489E33106E4EBCAB42</vt:lpwstr>
  </property>
  <property fmtid="{D5CDD505-2E9C-101B-9397-08002B2CF9AE}" pid="3" name="CustomUiType">
    <vt:lpwstr>2</vt:lpwstr>
  </property>
</Properties>
</file>